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nascimento" sheetId="2" r:id="rId5"/>
    <sheet state="visible" name="populacao" sheetId="3" r:id="rId6"/>
    <sheet state="visible" name="estrutura_etaria" sheetId="4" r:id="rId7"/>
    <sheet state="visible" name="brasil" sheetId="5" r:id="rId8"/>
    <sheet state="visible" name="chile" sheetId="6" r:id="rId9"/>
    <sheet state="visible" name="colombia" sheetId="7" r:id="rId10"/>
    <sheet state="visible" name="equador" sheetId="8" r:id="rId11"/>
    <sheet state="visible" name="mexico" sheetId="9" r:id="rId12"/>
    <sheet state="visible" name="peru" sheetId="10" r:id="rId13"/>
    <sheet state="visible" name="Análise de dados demográficos" sheetId="11" r:id="rId14"/>
  </sheets>
  <definedNames>
    <definedName hidden="1" localSheetId="10" name="_xlnm._FilterDatabase">'Análise de dados demográficos'!$A$1:$J$126</definedName>
    <definedName hidden="1" localSheetId="0" name="Z_83E9498B_16BD_45B5_ACCE_A901B1B8C284_.wvu.FilterData">Dashboard!$A$1:$F$1000</definedName>
    <definedName hidden="1" localSheetId="10" name="Z_83E9498B_16BD_45B5_ACCE_A901B1B8C284_.wvu.FilterData">'Análise de dados demográficos'!$A$1:$N$126</definedName>
  </definedNames>
  <calcPr/>
  <customWorkbookViews>
    <customWorkbookView activeSheetId="0" maximized="1" windowHeight="0" windowWidth="0" guid="{83E9498B-16BD-45B5-ACCE-A901B1B8C284}" name="Filter 1"/>
  </customWorkbookViews>
  <pivotCaches>
    <pivotCache cacheId="0" r:id="rId15"/>
    <pivotCache cacheId="1" r:id="rId16"/>
  </pivotCaches>
</workbook>
</file>

<file path=xl/sharedStrings.xml><?xml version="1.0" encoding="utf-8"?>
<sst xmlns="http://schemas.openxmlformats.org/spreadsheetml/2006/main" count="511" uniqueCount="34">
  <si>
    <t>SUM of populacao</t>
  </si>
  <si>
    <t>pais</t>
  </si>
  <si>
    <t>ano</t>
  </si>
  <si>
    <t>Brasil</t>
  </si>
  <si>
    <t>Chile</t>
  </si>
  <si>
    <t>Colombia</t>
  </si>
  <si>
    <t>Ecuador</t>
  </si>
  <si>
    <t>Mexico</t>
  </si>
  <si>
    <t>Peru</t>
  </si>
  <si>
    <t>SUM of taxa_de_crescimento</t>
  </si>
  <si>
    <t>SUM of nascimento</t>
  </si>
  <si>
    <t>SUM of taxa_de_natalidade</t>
  </si>
  <si>
    <t>MEDIAN of percentual_de_14</t>
  </si>
  <si>
    <t>MEDIAN of percentual_de_15</t>
  </si>
  <si>
    <t>MEDIAN of percentual_de_64</t>
  </si>
  <si>
    <t>code</t>
  </si>
  <si>
    <t>nascimento</t>
  </si>
  <si>
    <t>BRA</t>
  </si>
  <si>
    <t>CHL</t>
  </si>
  <si>
    <t>COL</t>
  </si>
  <si>
    <t>ECU</t>
  </si>
  <si>
    <t>MEX</t>
  </si>
  <si>
    <t>PER</t>
  </si>
  <si>
    <t>populacao</t>
  </si>
  <si>
    <t>taxa_de_crescimento</t>
  </si>
  <si>
    <t>percentual_de_população</t>
  </si>
  <si>
    <t>0_14_anos</t>
  </si>
  <si>
    <t>15_64_anos</t>
  </si>
  <si>
    <t>64_anos_mais</t>
  </si>
  <si>
    <t>taxa_de_natalidade</t>
  </si>
  <si>
    <t>valor_estimado_de_2022</t>
  </si>
  <si>
    <t>percentual_de_14</t>
  </si>
  <si>
    <t>percentual_de_15</t>
  </si>
  <si>
    <t>percentual_de_64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</si>
</sst>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sz val="11.0"/>
      <color rgb="FF1F1F1F"/>
      <name val="&quot;Google Sans&quot;"/>
    </font>
    <font>
      <color rgb="FF000000"/>
      <name val="Arial"/>
    </font>
    <font>
      <sz val="9.0"/>
      <color rgb="FFFFFFFF"/>
      <name val="&quot;Google Sans Mono&quot;"/>
    </font>
    <font>
      <color rgb="FFFFFFFF"/>
      <name val="Arial"/>
      <scheme val="minor"/>
    </font>
    <font>
      <sz val="10.0"/>
      <color rgb="FF1F1F1F"/>
      <name val="Arial"/>
    </font>
    <font>
      <color rgb="FF1F1F1F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1" fillId="3" fontId="3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3" fontId="3" numFmtId="10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10" xfId="0" applyFont="1" applyNumberFormat="1"/>
    <xf borderId="0" fillId="4" fontId="5" numFmtId="0" xfId="0" applyFill="1" applyFont="1"/>
    <xf borderId="0" fillId="0" fontId="3" numFmtId="0" xfId="0" applyFont="1"/>
    <xf borderId="0" fillId="4" fontId="6" numFmtId="0" xfId="0" applyAlignment="1" applyFont="1">
      <alignment readingOrder="0"/>
    </xf>
    <xf borderId="0" fillId="4" fontId="5" numFmtId="0" xfId="0" applyFont="1"/>
    <xf borderId="0" fillId="4" fontId="7" numFmtId="10" xfId="0" applyAlignment="1" applyFont="1" applyNumberFormat="1">
      <alignment horizontal="left" readingOrder="0"/>
    </xf>
    <xf borderId="0" fillId="0" fontId="3" numFmtId="1" xfId="0" applyFont="1" applyNumberFormat="1"/>
    <xf borderId="0" fillId="4" fontId="5" numFmtId="10" xfId="0" applyFont="1" applyNumberFormat="1"/>
    <xf borderId="0" fillId="4" fontId="6" numFmtId="10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1" xfId="0" applyFont="1" applyNumberFormat="1"/>
    <xf borderId="0" fillId="5" fontId="8" numFmtId="0" xfId="0" applyAlignment="1" applyFill="1" applyFont="1">
      <alignment horizontal="center"/>
    </xf>
    <xf borderId="0" fillId="5" fontId="9" numFmtId="0" xfId="0" applyAlignment="1" applyFont="1">
      <alignment horizontal="center"/>
    </xf>
    <xf borderId="0" fillId="5" fontId="9" numFmtId="0" xfId="0" applyAlignment="1" applyFont="1">
      <alignment horizontal="center" readingOrder="0"/>
    </xf>
    <xf borderId="0" fillId="4" fontId="10" numFmtId="0" xfId="0" applyAlignment="1" applyFont="1">
      <alignment readingOrder="0"/>
    </xf>
    <xf borderId="0" fillId="4" fontId="11" numFmtId="1" xfId="0" applyAlignment="1" applyFont="1" applyNumberFormat="1">
      <alignment readingOrder="0"/>
    </xf>
    <xf borderId="0" fillId="4" fontId="11" numFmtId="1" xfId="0" applyFont="1" applyNumberFormat="1"/>
    <xf borderId="0" fillId="4" fontId="11" numFmtId="0" xfId="0" applyFont="1"/>
    <xf borderId="0" fillId="4" fontId="11" numFmtId="10" xfId="0" applyFont="1" applyNumberFormat="1"/>
    <xf borderId="0" fillId="4" fontId="10" numFmtId="0" xfId="0" applyFont="1"/>
    <xf borderId="0" fillId="4" fontId="12" numFmtId="0" xfId="0" applyFont="1"/>
    <xf borderId="0" fillId="4" fontId="3" numFmtId="1" xfId="0" applyFont="1" applyNumberFormat="1"/>
    <xf borderId="0" fillId="4" fontId="3" numFmtId="0" xfId="0" applyFont="1"/>
    <xf borderId="0" fillId="4" fontId="3" numFmtId="10" xfId="0" applyFont="1" applyNumberFormat="1"/>
    <xf borderId="0" fillId="4" fontId="13" numFmtId="0" xfId="0" applyFont="1"/>
    <xf borderId="0" fillId="0" fontId="1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Taxa de Crescimento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Dashboard!$B$25:$B$26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Dashboard!$B$27:$B$46</c:f>
              <c:numCache/>
            </c:numRef>
          </c:val>
          <c:smooth val="0"/>
        </c:ser>
        <c:ser>
          <c:idx val="1"/>
          <c:order val="1"/>
          <c:tx>
            <c:strRef>
              <c:f>Dashboard!$C$25:$C$26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Dashboard!$C$27:$C$46</c:f>
              <c:numCache/>
            </c:numRef>
          </c:val>
          <c:smooth val="0"/>
        </c:ser>
        <c:ser>
          <c:idx val="2"/>
          <c:order val="2"/>
          <c:tx>
            <c:strRef>
              <c:f>Dashboard!$D$25:$D$26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2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Dashboard!$D$27:$D$46</c:f>
              <c:numCache/>
            </c:numRef>
          </c:val>
          <c:smooth val="0"/>
        </c:ser>
        <c:ser>
          <c:idx val="3"/>
          <c:order val="3"/>
          <c:tx>
            <c:strRef>
              <c:f>Dashboard!$E$25:$E$26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2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Dashboard!$E$27:$E$46</c:f>
              <c:numCache/>
            </c:numRef>
          </c:val>
          <c:smooth val="0"/>
        </c:ser>
        <c:ser>
          <c:idx val="4"/>
          <c:order val="4"/>
          <c:tx>
            <c:strRef>
              <c:f>Dashboard!$F$25:$F$26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2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Dashboard!$F$27:$F$46</c:f>
              <c:numCache/>
            </c:numRef>
          </c:val>
          <c:smooth val="0"/>
        </c:ser>
        <c:ser>
          <c:idx val="5"/>
          <c:order val="5"/>
          <c:tx>
            <c:strRef>
              <c:f>Dashboard!$G$25:$G$26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2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strRef>
              <c:f>Dashboard!$A$27:$A$46</c:f>
            </c:strRef>
          </c:cat>
          <c:val>
            <c:numRef>
              <c:f>Dashboard!$G$27:$G$46</c:f>
              <c:numCache/>
            </c:numRef>
          </c:val>
          <c:smooth val="0"/>
        </c:ser>
        <c:axId val="849615184"/>
        <c:axId val="1328199689"/>
      </c:lineChart>
      <c:catAx>
        <c:axId val="84961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199689"/>
      </c:catAx>
      <c:valAx>
        <c:axId val="1328199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615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Percentual de Jovens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Dashboard!$B$99:$B$100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Dashboard!$B$101:$B$103</c:f>
              <c:numCache/>
            </c:numRef>
          </c:val>
        </c:ser>
        <c:ser>
          <c:idx val="1"/>
          <c:order val="1"/>
          <c:tx>
            <c:strRef>
              <c:f>Dashboard!$C$99:$C$100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Dashboard!$C$101:$C$103</c:f>
              <c:numCache/>
            </c:numRef>
          </c:val>
        </c:ser>
        <c:ser>
          <c:idx val="2"/>
          <c:order val="2"/>
          <c:tx>
            <c:strRef>
              <c:f>Dashboard!$D$99:$D$100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Dashboard!$D$101:$D$103</c:f>
              <c:numCache/>
            </c:numRef>
          </c:val>
        </c:ser>
        <c:ser>
          <c:idx val="3"/>
          <c:order val="3"/>
          <c:tx>
            <c:strRef>
              <c:f>Dashboard!$E$99:$E$100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Dashboard!$E$101:$E$103</c:f>
              <c:numCache/>
            </c:numRef>
          </c:val>
        </c:ser>
        <c:ser>
          <c:idx val="4"/>
          <c:order val="4"/>
          <c:tx>
            <c:strRef>
              <c:f>Dashboard!$F$99:$F$100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Dashboard!$F$101:$F$103</c:f>
              <c:numCache/>
            </c:numRef>
          </c:val>
        </c:ser>
        <c:ser>
          <c:idx val="5"/>
          <c:order val="5"/>
          <c:tx>
            <c:strRef>
              <c:f>Dashboard!$G$99:$G$100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Dashboard!$A$101:$A$103</c:f>
            </c:strRef>
          </c:cat>
          <c:val>
            <c:numRef>
              <c:f>Dashboard!$G$101:$G$103</c:f>
              <c:numCache/>
            </c:numRef>
          </c:val>
        </c:ser>
        <c:axId val="818472331"/>
        <c:axId val="1800245561"/>
      </c:barChart>
      <c:catAx>
        <c:axId val="8184723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245561"/>
      </c:catAx>
      <c:valAx>
        <c:axId val="18002455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47233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Percentual de Adultos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Dashboard!$B$107:$B$108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Dashboard!$B$109:$B$111</c:f>
              <c:numCache/>
            </c:numRef>
          </c:val>
        </c:ser>
        <c:ser>
          <c:idx val="1"/>
          <c:order val="1"/>
          <c:tx>
            <c:strRef>
              <c:f>Dashboard!$C$107:$C$108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Dashboard!$C$109:$C$111</c:f>
              <c:numCache/>
            </c:numRef>
          </c:val>
        </c:ser>
        <c:ser>
          <c:idx val="2"/>
          <c:order val="2"/>
          <c:tx>
            <c:strRef>
              <c:f>Dashboard!$D$107:$D$108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Dashboard!$D$109:$D$111</c:f>
              <c:numCache/>
            </c:numRef>
          </c:val>
        </c:ser>
        <c:ser>
          <c:idx val="3"/>
          <c:order val="3"/>
          <c:tx>
            <c:strRef>
              <c:f>Dashboard!$E$107:$E$108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Dashboard!$E$109:$E$111</c:f>
              <c:numCache/>
            </c:numRef>
          </c:val>
        </c:ser>
        <c:ser>
          <c:idx val="4"/>
          <c:order val="4"/>
          <c:tx>
            <c:strRef>
              <c:f>Dashboard!$F$107:$F$108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Dashboard!$F$109:$F$111</c:f>
              <c:numCache/>
            </c:numRef>
          </c:val>
        </c:ser>
        <c:ser>
          <c:idx val="5"/>
          <c:order val="5"/>
          <c:tx>
            <c:strRef>
              <c:f>Dashboard!$G$107:$G$108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Dashboard!$A$109:$A$111</c:f>
            </c:strRef>
          </c:cat>
          <c:val>
            <c:numRef>
              <c:f>Dashboard!$G$109:$G$111</c:f>
              <c:numCache/>
            </c:numRef>
          </c:val>
        </c:ser>
        <c:axId val="280447778"/>
        <c:axId val="323915533"/>
      </c:barChart>
      <c:catAx>
        <c:axId val="2804477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915533"/>
      </c:catAx>
      <c:valAx>
        <c:axId val="3239155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4477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Percentual de Idosos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Dashboard!$B$114:$B$115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Dashboard!$B$116:$B$118</c:f>
              <c:numCache/>
            </c:numRef>
          </c:val>
        </c:ser>
        <c:ser>
          <c:idx val="1"/>
          <c:order val="1"/>
          <c:tx>
            <c:strRef>
              <c:f>Dashboard!$C$114:$C$115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Dashboard!$C$116:$C$118</c:f>
              <c:numCache/>
            </c:numRef>
          </c:val>
        </c:ser>
        <c:ser>
          <c:idx val="2"/>
          <c:order val="2"/>
          <c:tx>
            <c:strRef>
              <c:f>Dashboard!$D$114:$D$115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Dashboard!$D$116:$D$118</c:f>
              <c:numCache/>
            </c:numRef>
          </c:val>
        </c:ser>
        <c:ser>
          <c:idx val="3"/>
          <c:order val="3"/>
          <c:tx>
            <c:strRef>
              <c:f>Dashboard!$E$114:$E$115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Dashboard!$E$116:$E$118</c:f>
              <c:numCache/>
            </c:numRef>
          </c:val>
        </c:ser>
        <c:ser>
          <c:idx val="4"/>
          <c:order val="4"/>
          <c:tx>
            <c:strRef>
              <c:f>Dashboard!$F$114:$F$115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Dashboard!$F$116:$F$118</c:f>
              <c:numCache/>
            </c:numRef>
          </c:val>
        </c:ser>
        <c:ser>
          <c:idx val="5"/>
          <c:order val="5"/>
          <c:tx>
            <c:strRef>
              <c:f>Dashboard!$G$114:$G$115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Dashboard!$A$116:$A$118</c:f>
            </c:strRef>
          </c:cat>
          <c:val>
            <c:numRef>
              <c:f>Dashboard!$G$116:$G$118</c:f>
              <c:numCache/>
            </c:numRef>
          </c:val>
        </c:ser>
        <c:axId val="46836980"/>
        <c:axId val="52643821"/>
      </c:barChart>
      <c:catAx>
        <c:axId val="468369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43821"/>
      </c:catAx>
      <c:valAx>
        <c:axId val="526438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369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Crescimento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v>População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brasil!$D$2:$D$21</c:f>
            </c:strRef>
          </c:cat>
          <c:val>
            <c:numRef>
              <c:f>brasil!$C$2:$C$21</c:f>
              <c:numCache/>
            </c:numRef>
          </c:val>
        </c:ser>
        <c:axId val="1056436925"/>
        <c:axId val="747065501"/>
      </c:barChart>
      <c:catAx>
        <c:axId val="1056436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065501"/>
      </c:catAx>
      <c:valAx>
        <c:axId val="747065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436925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rgbClr val="38761D">
                  <a:alpha val="100000"/>
                </a:srgbClr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cat>
            <c:strRef>
              <c:f>brasil!$D$2:$D$21</c:f>
            </c:strRef>
          </c:cat>
          <c:val>
            <c:numRef>
              <c:f>brasil!$E$2:$E$21</c:f>
              <c:numCache/>
            </c:numRef>
          </c:val>
          <c:smooth val="1"/>
        </c:ser>
        <c:ser>
          <c:idx val="1"/>
          <c:order val="1"/>
          <c:tx>
            <c:v>Taxa de Crescimento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brasil!$D$2:$D$21</c:f>
            </c:strRef>
          </c:cat>
          <c:val>
            <c:numRef>
              <c:f>brasil!$F$2:$F$21</c:f>
              <c:numCache/>
            </c:numRef>
          </c:val>
          <c:smooth val="1"/>
        </c:ser>
        <c:axId val="757486183"/>
        <c:axId val="441889677"/>
      </c:lineChart>
      <c:catAx>
        <c:axId val="757486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1889677"/>
      </c:catAx>
      <c:valAx>
        <c:axId val="44188967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748618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Crescimento</a:t>
            </a:r>
          </a:p>
        </c:rich>
      </c:tx>
      <c:overlay val="0"/>
    </c:title>
    <c:plotArea>
      <c:layout/>
      <c:barChart>
        <c:barDir val="col"/>
        <c:ser>
          <c:idx val="1"/>
          <c:order val="1"/>
          <c:tx>
            <c:v>População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chile!$D$2:$D$21</c:f>
            </c:strRef>
          </c:cat>
          <c:val>
            <c:numRef>
              <c:f>chile!$C$2:$C$21</c:f>
              <c:numCache/>
            </c:numRef>
          </c:val>
        </c:ser>
        <c:axId val="1016756180"/>
        <c:axId val="570579857"/>
      </c:barChart>
      <c:catAx>
        <c:axId val="1016756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579857"/>
      </c:catAx>
      <c:valAx>
        <c:axId val="570579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756180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chile!$D$2:$D$21</c:f>
            </c:strRef>
          </c:cat>
          <c:val>
            <c:numRef>
              <c:f>chile!$E$2:$E$21</c:f>
              <c:numCache/>
            </c:numRef>
          </c:val>
          <c:smooth val="0"/>
        </c:ser>
        <c:ser>
          <c:idx val="2"/>
          <c:order val="2"/>
          <c:tx>
            <c:v>Taxa de Crescimento</c:v>
          </c:tx>
          <c:spPr>
            <a:ln cmpd="sng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chile!$D$2:$D$21</c:f>
            </c:strRef>
          </c:cat>
          <c:val>
            <c:numRef>
              <c:f>chile!$F$2:$F$21</c:f>
              <c:numCache/>
            </c:numRef>
          </c:val>
          <c:smooth val="0"/>
        </c:ser>
        <c:axId val="2005965999"/>
        <c:axId val="568757639"/>
      </c:lineChart>
      <c:catAx>
        <c:axId val="2005965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8757639"/>
      </c:catAx>
      <c:valAx>
        <c:axId val="56875763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96599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Crescimento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strRef>
              <c:f>colombia!$C$1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colombia!$D$2:$D$21</c:f>
            </c:strRef>
          </c:cat>
          <c:val>
            <c:numRef>
              <c:f>colombia!$C$2:$C$21</c:f>
              <c:numCache/>
            </c:numRef>
          </c:val>
        </c:ser>
        <c:axId val="1005745533"/>
        <c:axId val="729542349"/>
      </c:barChart>
      <c:catAx>
        <c:axId val="1005745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542349"/>
      </c:catAx>
      <c:valAx>
        <c:axId val="729542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5745533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colombia!$D$2:$D$21</c:f>
            </c:strRef>
          </c:cat>
          <c:val>
            <c:numRef>
              <c:f>colombia!$E$2:$E$21</c:f>
              <c:numCache/>
            </c:numRef>
          </c:val>
          <c:smooth val="0"/>
        </c:ser>
        <c:ser>
          <c:idx val="1"/>
          <c:order val="1"/>
          <c:tx>
            <c:v>Taxa de Crescimento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colombia!$D$2:$D$21</c:f>
            </c:strRef>
          </c:cat>
          <c:val>
            <c:numRef>
              <c:f>colombia!$F$2:$F$21</c:f>
              <c:numCache/>
            </c:numRef>
          </c:val>
          <c:smooth val="0"/>
        </c:ser>
        <c:axId val="396117789"/>
        <c:axId val="1474477737"/>
      </c:lineChart>
      <c:catAx>
        <c:axId val="39611778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477737"/>
      </c:catAx>
      <c:valAx>
        <c:axId val="147447773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117789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Cresimento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v>População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equador!$D$2:$D$21</c:f>
            </c:strRef>
          </c:cat>
          <c:val>
            <c:numRef>
              <c:f>equador!$C$2:$C$21</c:f>
              <c:numCache/>
            </c:numRef>
          </c:val>
        </c:ser>
        <c:axId val="1556616313"/>
        <c:axId val="694913400"/>
      </c:barChart>
      <c:catAx>
        <c:axId val="1556616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913400"/>
      </c:catAx>
      <c:valAx>
        <c:axId val="694913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6616313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equador!$D$2:$D$21</c:f>
            </c:strRef>
          </c:cat>
          <c:val>
            <c:numRef>
              <c:f>equador!$E$2:$E$21</c:f>
              <c:numCache/>
            </c:numRef>
          </c:val>
          <c:smooth val="0"/>
        </c:ser>
        <c:ser>
          <c:idx val="1"/>
          <c:order val="1"/>
          <c:tx>
            <c:v>Taxa de Crescimento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equador!$D$2:$D$21</c:f>
            </c:strRef>
          </c:cat>
          <c:val>
            <c:numRef>
              <c:f>equador!$F$2:$F$21</c:f>
              <c:numCache/>
            </c:numRef>
          </c:val>
          <c:smooth val="0"/>
        </c:ser>
        <c:axId val="1561511371"/>
        <c:axId val="245658831"/>
      </c:lineChart>
      <c:catAx>
        <c:axId val="15615113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658831"/>
      </c:catAx>
      <c:valAx>
        <c:axId val="24565883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5113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Crescimento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v>População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mexico!$D$2:$D$21</c:f>
            </c:strRef>
          </c:cat>
          <c:val>
            <c:numRef>
              <c:f>mexico!$C$2:$C$21</c:f>
              <c:numCache/>
            </c:numRef>
          </c:val>
        </c:ser>
        <c:axId val="1882676508"/>
        <c:axId val="1330396228"/>
      </c:barChart>
      <c:catAx>
        <c:axId val="1882676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396228"/>
      </c:catAx>
      <c:valAx>
        <c:axId val="1330396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676508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mexico!$D$2:$D$21</c:f>
            </c:strRef>
          </c:cat>
          <c:val>
            <c:numRef>
              <c:f>mexico!$E$2:$E$21</c:f>
              <c:numCache/>
            </c:numRef>
          </c:val>
          <c:smooth val="0"/>
        </c:ser>
        <c:ser>
          <c:idx val="1"/>
          <c:order val="1"/>
          <c:tx>
            <c:v>Taxa de Crescimento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mexico!$D$2:$D$21</c:f>
            </c:strRef>
          </c:cat>
          <c:val>
            <c:numRef>
              <c:f>mexico!$F$2:$F$21</c:f>
              <c:numCache/>
            </c:numRef>
          </c:val>
          <c:smooth val="0"/>
        </c:ser>
        <c:axId val="401493316"/>
        <c:axId val="736378200"/>
      </c:lineChart>
      <c:catAx>
        <c:axId val="4014933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378200"/>
      </c:catAx>
      <c:valAx>
        <c:axId val="73637820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4933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80000"/>
                </a:solidFill>
                <a:latin typeface="+mn-lt"/>
              </a:defRPr>
            </a:pPr>
            <a:r>
              <a:rPr b="0">
                <a:solidFill>
                  <a:srgbClr val="980000"/>
                </a:solidFill>
                <a:latin typeface="+mn-lt"/>
              </a:rPr>
              <a:t>População x Taxa de Natalidade x Taxa de Crescimento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v>População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peru!$D$2:$D$21</c:f>
            </c:strRef>
          </c:cat>
          <c:val>
            <c:numRef>
              <c:f>peru!$C$2:$C$21</c:f>
              <c:numCache/>
            </c:numRef>
          </c:val>
        </c:ser>
        <c:axId val="1364673522"/>
        <c:axId val="1567363633"/>
      </c:barChart>
      <c:catAx>
        <c:axId val="1364673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363633"/>
      </c:catAx>
      <c:valAx>
        <c:axId val="1567363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673522"/>
      </c:valAx>
      <c:lineChart>
        <c:ser>
          <c:idx val="0"/>
          <c:order val="0"/>
          <c:tx>
            <c:v>Taxa de Natalidade</c:v>
          </c:tx>
          <c:spPr>
            <a:ln cmpd="sng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peru!$D$2:$D$21</c:f>
            </c:strRef>
          </c:cat>
          <c:val>
            <c:numRef>
              <c:f>peru!$E$2:$E$21</c:f>
              <c:numCache/>
            </c:numRef>
          </c:val>
          <c:smooth val="0"/>
        </c:ser>
        <c:ser>
          <c:idx val="1"/>
          <c:order val="1"/>
          <c:tx>
            <c:v>Taxa de Crescimento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peru!$D$2:$D$21</c:f>
            </c:strRef>
          </c:cat>
          <c:val>
            <c:numRef>
              <c:f>peru!$F$2:$F$21</c:f>
              <c:numCache/>
            </c:numRef>
          </c:val>
          <c:smooth val="0"/>
        </c:ser>
        <c:axId val="2034406921"/>
        <c:axId val="339339957"/>
      </c:lineChart>
      <c:catAx>
        <c:axId val="20344069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339957"/>
      </c:catAx>
      <c:valAx>
        <c:axId val="33933995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40692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26</xdr:row>
      <xdr:rowOff>95250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257175</xdr:colOff>
      <xdr:row>98</xdr:row>
      <xdr:rowOff>9525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257175</xdr:colOff>
      <xdr:row>116</xdr:row>
      <xdr:rowOff>57150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257175</xdr:colOff>
      <xdr:row>134</xdr:row>
      <xdr:rowOff>104775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1428750</xdr:colOff>
      <xdr:row>5</xdr:row>
      <xdr:rowOff>28575</xdr:rowOff>
    </xdr:from>
    <xdr:ext cx="6238875" cy="50196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1400175</xdr:colOff>
      <xdr:row>4</xdr:row>
      <xdr:rowOff>133350</xdr:rowOff>
    </xdr:from>
    <xdr:ext cx="7277100" cy="45148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4</xdr:row>
      <xdr:rowOff>38100</xdr:rowOff>
    </xdr:from>
    <xdr:ext cx="6153150" cy="38004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4</xdr:row>
      <xdr:rowOff>38100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4</xdr:row>
      <xdr:rowOff>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4</xdr:row>
      <xdr:rowOff>28575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26" sheet="Análise de dados demográficos"/>
  </cacheSource>
  <cacheFields>
    <cacheField name="pais" numFmtId="0">
      <sharedItems>
        <s v="Brasil"/>
        <s v="pais"/>
        <s v="Chile"/>
        <s v="Colombia"/>
        <s v="Ecuador"/>
        <s v="Mexico"/>
        <s v="Peru"/>
      </sharedItems>
    </cacheField>
    <cacheField name="nascimento" numFmtId="1">
      <sharedItems containsString="0" containsBlank="1" containsNumber="1">
        <n v="3351520.0"/>
        <n v="3259436.0"/>
        <n v="3257137.0"/>
        <n v="3238499.0"/>
        <n v="3182010.0"/>
        <n v="3123429.0"/>
        <n v="3071834.0"/>
        <n v="3057083.0"/>
        <n v="3041789.0"/>
        <n v="3033630.0"/>
        <n v="2986828.0"/>
        <n v="2962857.0"/>
        <n v="3001591.0"/>
        <n v="3021946.0"/>
        <n v="2905301.0"/>
        <n v="2952133.0"/>
        <n v="2969862.0"/>
        <n v="2886359.0"/>
        <n v="2787294.0"/>
        <n v="2760958.0"/>
        <m/>
        <n v="241091.0"/>
        <n v="234636.0"/>
        <n v="230212.0"/>
        <n v="229074.0"/>
        <n v="230846.0"/>
        <n v="235781.0"/>
        <n v="240764.0"/>
        <n v="243308.0"/>
        <n v="243439.0"/>
        <n v="242097.0"/>
        <n v="240081.0"/>
        <n v="239570.0"/>
        <n v="239204.0"/>
        <n v="235699.0"/>
        <n v="228821.0"/>
        <n v="221468.0"/>
        <n v="221872.0"/>
        <n v="224350.0"/>
        <n v="227821.0"/>
        <n v="229116.0"/>
        <n v="850588.0"/>
        <n v="839623.0"/>
        <n v="827013.0"/>
        <n v="813688.0"/>
        <n v="799623.0"/>
        <n v="787414.0"/>
        <n v="776110.0"/>
        <n v="765905.0"/>
        <n v="758072.0"/>
        <n v="752881.0"/>
        <n v="748734.0"/>
        <n v="744381.0"/>
        <n v="739615.0"/>
        <n v="734664.0"/>
        <n v="730565.0"/>
        <n v="726008.0"/>
        <n v="727649.0"/>
        <n v="733940.0"/>
        <n v="733491.0"/>
        <n v="730203.0"/>
        <n v="320056.0"/>
        <n v="319753.0"/>
        <n v="319624.0"/>
        <n v="319659.0"/>
        <n v="320941.0"/>
        <n v="322742.0"/>
        <n v="324545.0"/>
        <n v="326551.0"/>
        <n v="328258.0"/>
        <n v="330798.0"/>
        <n v="325267.0"/>
        <n v="316029.0"/>
        <n v="308532.0"/>
        <n v="303340.0"/>
        <n v="299318.0"/>
        <n v="300031.0"/>
        <n v="299106.0"/>
        <n v="300075.0"/>
        <n v="299338.0"/>
        <n v="298989.0"/>
        <n v="2350590.0"/>
        <n v="2339268.0"/>
        <n v="2326284.0"/>
        <n v="2312543.0"/>
        <n v="2296928.0"/>
        <n v="2286462.0"/>
        <n v="2279101.0"/>
        <n v="2273032.0"/>
        <n v="2268110.0"/>
        <n v="2273571.0"/>
        <n v="2273326.0"/>
        <n v="2267699.0"/>
        <n v="2222905.0"/>
        <n v="2159314.0"/>
        <n v="2116264.0"/>
        <n v="2081548.1"/>
        <n v="2042458.0"/>
        <n v="1965139.0"/>
        <n v="1961267.0"/>
        <n v="1882362.0"/>
        <n v="616261.0"/>
        <n v="615508.0"/>
        <n v="623674.0"/>
        <n v="631197.0"/>
        <n v="634801.0"/>
        <n v="632563.0"/>
        <n v="626301.0"/>
        <n v="623635.0"/>
        <n v="617632.0"/>
        <n v="613180.0"/>
        <n v="602813.0"/>
        <n v="592938.0"/>
        <n v="584699.0"/>
        <n v="577568.0"/>
        <n v="575208.0"/>
        <n v="576461.0"/>
        <n v="579697.0"/>
        <n v="591025.0"/>
        <n v="593207.0"/>
        <n v="593523.0"/>
      </sharedItems>
    </cacheField>
    <cacheField name="populacao" numFmtId="1">
      <sharedItems containsString="0" containsBlank="1" containsNumber="1" containsInteger="1">
        <n v="1.78376409E8"/>
        <n v="1.80682719E8"/>
        <n v="1.82913865E8"/>
        <n v="1.85075508E8"/>
        <n v="1.87155615E8"/>
        <n v="1.89156967E8"/>
        <n v="1.91085595E8"/>
        <n v="1.92966061E8"/>
        <n v="1.9480758E8"/>
        <n v="1.9662149E8"/>
        <n v="1.9840576E8"/>
        <n v="2.00168784E8"/>
        <n v="2.01906925E8"/>
        <n v="2.03624771E8"/>
        <n v="2.05322029E8"/>
        <n v="2.07005307E8"/>
        <n v="2.08658294E8"/>
        <n v="2.10265913E8"/>
        <n v="2.11808589E8"/>
        <n v="2.13736047E8"/>
        <m/>
        <n v="1.5600954E7"/>
        <n v="1.576771E7"/>
        <n v="1.5932762E7"/>
        <n v="1.6099532E7"/>
        <n v="1.6269316E7"/>
        <n v="1.6443076E7"/>
        <n v="1.6619714E7"/>
        <n v="1.6797951E7"/>
        <n v="1.6975082E7"/>
        <n v="1.714876E7"/>
        <n v="1.7317427E7"/>
        <n v="1.7486638E7"/>
        <n v="1.766601E7"/>
        <n v="1.7865027E7"/>
        <n v="1.8089869E7"/>
        <n v="1.8340828E7"/>
        <n v="1.8600864E7"/>
        <n v="1.8841516E7"/>
        <n v="1.9034571E7"/>
        <n v="1.923767E7"/>
        <n v="4.0568205E7"/>
        <n v="4.1182118E7"/>
        <n v="4.178153E7"/>
        <n v="4.2364192E7"/>
        <n v="4.2926589E7"/>
        <n v="4.3471412E7"/>
        <n v="4.3997656E7"/>
        <n v="4.4504548E7"/>
        <n v="4.4988319E7"/>
        <n v="4.5444531E7"/>
        <n v="4.5870362E7"/>
        <n v="4.6287332E7"/>
        <n v="4.673354E7"/>
        <n v="4.7246459E7"/>
        <n v="4.7849645E7"/>
        <n v="4.8545466E7"/>
        <n v="4.9288537E7"/>
        <n v="5.0003037E7"/>
        <n v="5.0612648E7"/>
        <n v="5.1109158E7"/>
        <n v="1.3030003E7"/>
        <n v="1.3257501E7"/>
        <n v="1.3483653E7"/>
        <n v="1.3712057E7"/>
        <n v="1.3943569E7"/>
        <n v="1.4178941E7"/>
        <n v="1.4416801E7"/>
        <n v="1.4656057E7"/>
        <n v="1.4893736E7"/>
        <n v="1.5128456E7"/>
        <n v="1.5359621E7"/>
        <n v="1.5591745E7"/>
        <n v="1.5830657E7"/>
        <n v="1.6082996E7"/>
        <n v="1.6352332E7"/>
        <n v="1.6639445E7"/>
        <n v="1.6936086E7"/>
        <n v="1.7230197E7"/>
        <n v="1.7509095E7"/>
        <n v="1.7781537E7"/>
        <n v="1.00997156E8"/>
        <n v="1.0238863E8"/>
        <n v="1.03801895E8"/>
        <n v="1.05266191E8"/>
        <n v="1.06789067E8"/>
        <n v="1.08371947E8"/>
        <n v="1.09997381E8"/>
        <n v="1.11646354E8"/>
        <n v="1.13285118E8"/>
        <n v="1.149008E8"/>
        <n v="1.16489125E8"/>
        <n v="1.18057039E8"/>
        <n v="1.19597427E8"/>
        <n v="1.21112871E8"/>
        <n v="1.22599845E8"/>
        <n v="1.24061287E8"/>
        <n v="1.25489863E8"/>
        <n v="1.26888846E8"/>
        <n v="1.28257849E8"/>
        <n v="1.30012416E8"/>
        <n v="2.6951366E7"/>
        <n v="2.7237705E7"/>
        <n v="2.749891E7"/>
        <n v="2.7746177E7"/>
        <n v="2.7985067E7"/>
        <n v="2.8218502E7"/>
        <n v="2.8448312E7"/>
        <n v="2.8678439E7"/>
        <n v="2.8911137E7"/>
        <n v="2.9146969E7"/>
        <n v="2.9386215E7"/>
        <n v="2.9641486E7"/>
        <n v="2.9933479E7"/>
        <n v="3.0282119E7"/>
        <n v="3.0699631E7"/>
        <n v="3.1187297E7"/>
        <n v="3.1719022E7"/>
        <n v="3.2252005E7"/>
        <n v="3.2742415E7"/>
        <n v="3.3174287E7"/>
      </sharedItems>
    </cacheField>
    <cacheField name="ano" numFmtId="0">
      <sharedItems containsString="0" containsBlank="1" containsNumber="1" containsInteger="1"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m/>
      </sharedItems>
    </cacheField>
    <cacheField name="taxa_de_natalidade" numFmtId="10">
      <sharedItems containsString="0" containsBlank="1" containsNumber="1">
        <n v="0.018789031681874478"/>
        <n v="0.01803955584706471"/>
        <n v="0.01780694426854957"/>
        <n v="0.017498258062325567"/>
        <n v="0.017001947817595533"/>
        <n v="0.0165123656270086"/>
        <n v="0.01607569633911965"/>
        <n v="0.01584259420624231"/>
        <n v="0.015614325684862979"/>
        <n v="0.015428781462290821"/>
        <n v="0.01505413955723866"/>
        <n v="0.014801793470454414"/>
        <n v="0.014866211250555175"/>
        <n v="0.014840758249397859"/>
        <n v="0.014149972188322764"/>
        <n v="0.014261146454568916"/>
        <n v="0.014233136594129347"/>
        <n v="0.013727184586500237"/>
        <n v="0.01315949467941548"/>
        <n v="0.012917605798145972"/>
        <m/>
        <n v="0.01545360623459309"/>
        <n v="0.01488079118654516"/>
        <n v="0.01444896999026283"/>
        <n v="0.014228612359663622"/>
        <n v="0.0141890415061088"/>
        <n v="0.014339227040001517"/>
        <n v="0.014486651214334977"/>
        <n v="0.014484385625365855"/>
        <n v="0.014340961651908369"/>
        <n v="0.014117463886601714"/>
        <n v="0.013863549128863081"/>
        <n v="0.013700174956443887"/>
        <n v="0.0135403523489458"/>
        <n v="0.013193318991345493"/>
        <n v="0.012649124214221784"/>
        <n v="0.012075136411507703"/>
        <n v="0.011928048073465834"/>
        <n v="0.01190721595863093"/>
        <n v="0.011968801398255837"/>
        <n v="0.011909758302330792"/>
        <n v="0.020966863088963388"/>
        <n v="0.020388048035800393"/>
        <n v="0.01979374618401959"/>
        <n v="0.01920697555142796"/>
        <n v="0.018627685512119307"/>
        <n v="0.018113375291329392"/>
        <n v="0.017639803356797008"/>
        <n v="0.017209589455891114"/>
        <n v="0.016850418438617367"/>
        <n v="0.01656703201535956"/>
        <n v="0.016322827362905922"/>
        <n v="0.016081743488693623"/>
        <n v="0.01582621389263471"/>
        <n v="0.015549609760172715"/>
        <n v="0.015267929364993198"/>
        <n v="0.0149552174450236"/>
        <n v="0.01476304723753517"/>
        <n v="0.014677908463839906"/>
        <n v="0.014492247076264415"/>
        <n v="0.014287126389364505"/>
        <n v="0.024563002786722306"/>
        <n v="0.02411864800161056"/>
        <n v="0.023704555434643712"/>
        <n v="0.023312257234636643"/>
        <n v="0.023017134278892296"/>
        <n v="0.0227620666451747"/>
        <n v="0.02251158214641376"/>
        <n v="0.022280958650747605"/>
        <n v="0.022040003931854305"/>
        <n v="0.021865945870484075"/>
        <n v="0.021176759504677883"/>
        <n v="0.02026899490724098"/>
        <n v="0.019489525924287286"/>
        <n v="0.01886091372527855"/>
        <n v="0.018304300573153725"/>
        <n v="0.018031310539504172"/>
        <n v="0.017660869223266817"/>
        <n v="0.017415645334757344"/>
        <n v="0.01709614346144104"/>
        <n v="0.01681457570287653"/>
        <n v="0.02327382367083683"/>
        <n v="0.02284695087726049"/>
        <n v="0.022410804735308543"/>
        <n v="0.021968525487922327"/>
        <n v="0.02150901833424577"/>
        <n v="0.021098282934789388"/>
        <n v="0.020719593314680828"/>
        <n v="0.020359213879926612"/>
        <n v="0.020021252923971885"/>
        <n v="0.019787251263698773"/>
        <n v="0.019515349608815416"/>
        <n v="0.01920850310331771"/>
        <n v="0.01858656206709196"/>
        <n v="0.017828939089388773"/>
        <n v="0.017261555265424684"/>
        <n v="0.016778385508768742"/>
        <n v="0.016275880387246897"/>
        <n v="0.015487090173394752"/>
        <n v="0.015291594356927037"/>
        <n v="0.014478324900907925"/>
        <n v="0.022865668478547617"/>
        <n v="0.022597645433049516"/>
        <n v="0.02267995349633858"/>
        <n v="0.02274897186736753"/>
        <n v="0.022683561915360074"/>
        <n v="0.022416604538398246"/>
        <n v="0.02201540112467833"/>
        <n v="0.021745779119986274"/>
        <n v="0.02136311691926886"/>
        <n v="0.021037521946106988"/>
        <n v="0.020513461839165064"/>
        <n v="0.02000365298824762"/>
        <n v="0.01953327910865289"/>
        <n v="0.01907290569725322"/>
        <n v="0.018736642144004924"/>
        <n v="0.01848383975052407"/>
        <n v="0.018276004852860846"/>
        <n v="0.018325217300443803"/>
        <n v="0.01811738688181675"/>
        <n v="0.017891055201879696"/>
      </sharedItems>
    </cacheField>
    <cacheField name="taxa_de_crescimento" numFmtId="10">
      <sharedItems containsString="0" containsBlank="1" containsNumber="1">
        <n v="0.01348458212501405"/>
        <n v="0.012929456383439135"/>
        <n v="0.012348419441263777"/>
        <n v="0.011817819277942654"/>
        <n v="0.011239234312948636"/>
        <n v="0.01069351833232468"/>
        <n v="0.01019591311167513"/>
        <n v="0.009840961585827545"/>
        <n v="0.009543227396863327"/>
        <n v="0.009311290659223835"/>
        <n v="0.009074643875397343"/>
        <n v="0.008885951698176504"/>
        <n v="0.008683376924545837"/>
        <n v="0.00850810837716438"/>
        <n v="0.00833522361579476"/>
        <n v="0.00819823380958309"/>
        <n v="0.007985239721414485"/>
        <n v="0.007704553551080026"/>
        <n v="0.007336785967775956"/>
        <n v="0.009099999245073107"/>
        <m/>
        <n v="0.011082929978039455"/>
        <n v="0.010688833516206765"/>
        <n v="0.010467721691989515"/>
        <n v="0.010467111728650688"/>
        <n v="0.010545896613640695"/>
        <n v="0.01068022773667928"/>
        <n v="0.010742393941376905"/>
        <n v="0.010724432442098582"/>
        <n v="0.010544797993517185"/>
        <n v="0.010231349692449203"/>
        <n v="0.00983552163538355"/>
        <n v="0.009771139788838146"/>
        <n v="0.010257660735013786"/>
        <n v="0.011265531945244002"/>
        <n v="0.01258559530864409"/>
        <n v="0.013872903114997682"/>
        <n v="0.014177985857563247"/>
        <n v="0.012937678593854566"/>
        <n v="0.010246256192973008"/>
        <n v="0.010670006694660993"/>
        <n v="0.015588025825065346"/>
        <n v="0.015132860820438075"/>
        <n v="0.014555152311495975"/>
        <n v="0.013945444314748647"/>
        <n v="0.01327529154810742"/>
        <n v="0.012691970470796085"/>
        <n v="0.012105518909760742"/>
        <n v="0.01152088647631592"/>
        <n v="0.010870147473467207"/>
        <n v="0.010140676738777459"/>
        <n v="0.009370346455990492"/>
        <n v="0.009090183330142457"/>
        <n v="0.009639959373765591"/>
        <n v="0.010975393689414498"/>
        <n v="0.012766798036652862"/>
        <n v="0.014541821574642821"/>
        <n v="0.015306702380815542"/>
        <n v="0.014496271212107593"/>
        <n v="0.012191479489535806"/>
        <n v="0.009809998481012099"/>
        <n v="0.018060371200508546"/>
        <n v="0.017459550853518607"/>
        <n v="0.017058418475699152"/>
        <n v="0.016939326457006867"/>
        <n v="0.016883827131115338"/>
        <n v="0.01688032669397627"/>
        <n v="0.016775582887325648"/>
        <n v="0.01659563727070936"/>
        <n v="0.016217117605369574"/>
        <n v="0.015759645531517413"/>
        <n v="0.015280144913664686"/>
        <n v="0.015112612479175105"/>
        <n v="0.015322980205230395"/>
        <n v="0.015939894345509475"/>
        <n v="0.01674663103814737"/>
        <n v="0.017557923848415015"/>
        <n v="0.017827577782792633"/>
        <n v="0.017365936852233744"/>
        <n v="0.01618658219636142"/>
        <n v="0.015560027517127527"/>
        <n v="0.01397936413571462"/>
        <n v="0.013777358245612381"/>
        <n v="0.01380294862818264"/>
        <n v="0.014106640346016804"/>
        <n v="0.014466905143361746"/>
        <n v="0.014822491145090724"/>
        <n v="0.014998660123731099"/>
        <n v="0.014991020558934944"/>
        <n v="0.014678168532041808"/>
        <n v="0.014262085157557941"/>
        <n v="0.013823445963822706"/>
        <n v="0.013459745705875978"/>
        <n v="0.013047828516180218"/>
        <n v="0.01267120905535869"/>
        <n v="0.012277588564472227"/>
        <n v="0.01192042290102406"/>
        <n v="0.011515082863842932"/>
        <n v="0.011148175370946098"/>
        <n v="0.010788994014493599"/>
        <n v="0.01367999708150415"/>
        <n v="0.012029396856168923"/>
        <n v="0.010624285240310269"/>
        <n v="0.009589831448721543"/>
        <n v="0.008991883678298522"/>
        <n v="0.00860983478913149"/>
        <n v="0.00834141293997974"/>
        <n v="0.00814394754193543"/>
        <n v="0.00808930245140731"/>
        <n v="0.008114039958729972"/>
        <n v="0.008157133356602337"/>
        <n v="0.00820826343898743"/>
        <n v="0.008686760101632687"/>
        <n v="0.009850821918982065"/>
        <n v="0.01164715935625124"/>
        <n v="0.013787410319601479"/>
        <n v="0.01588507692486597"/>
        <n v="0.0170494095721088"/>
        <n v="0.01680326083193864"/>
        <n v="0.015205566289599669"/>
        <n v="0.01318998613877443"/>
      </sharedItems>
    </cacheField>
    <cacheField name="0_14_anos" numFmtId="1">
      <sharedItems containsString="0" containsBlank="1" containsNumber="1">
        <n v="4.821487605E7"/>
        <n v="4.5815573475E7"/>
        <n v="4.41197290887E7"/>
        <m/>
        <n v="3646247.6136"/>
        <n v="3567645.8918999997"/>
        <n v="3544237.1202000002"/>
        <n v="1.2205330944699999E7"/>
        <n v="1.15139620583E7"/>
        <n v="1.10942924416E7"/>
        <n v="4640888.1376"/>
        <n v="4667285.4392"/>
        <n v="4638159.2655"/>
        <n v="3.38609217702E7"/>
        <n v="3.34392636831E7"/>
        <n v="3.2500538936600003E7"/>
        <n v="8621301.0534"/>
        <n v="8603150.007900001"/>
        <n v="8732402.0805"/>
      </sharedItems>
    </cacheField>
    <cacheField name="15_64_anos" numFmtId="1">
      <sharedItems containsString="0" containsBlank="1" containsNumber="1">
        <n v="1.33131500172E8"/>
        <n v="1.417024781389E8"/>
        <n v="1.480118419932E8"/>
        <m/>
        <n v="1.16669738586E7"/>
        <n v="1.23250821273E7"/>
        <n v="1.3130047075800002E7"/>
        <n v="3.0119679570499998E7"/>
        <n v="3.2363824415000003E7"/>
        <n v="3.52314642728E7"/>
        <n v="9377096.185600001"/>
        <n v="1.0344583027199998E7"/>
        <n v="1.15507499715E7"/>
        <n v="7.243450444919999E7"/>
        <n v="7.92199289211E7"/>
        <n v="8.54710305736E7"/>
        <n v="1.82226896511E7"/>
        <n v="1.92836533792E7"/>
        <n v="2.1308763681999996E7"/>
      </sharedItems>
    </cacheField>
    <cacheField name="64_anos_mais" numFmtId="1">
      <sharedItems containsString="0" containsBlank="1" containsNumber="1">
        <n v="1.3461203777999999E7"/>
        <n v="1.6106719386100002E7"/>
        <n v="1.96770179181E7"/>
        <m/>
        <n v="1661860.5277999998"/>
        <n v="1972298.9808"/>
        <n v="2360286.804"/>
        <n v="2663308.4848"/>
        <n v="3368672.5267000003"/>
        <n v="4286891.285600001"/>
        <n v="875751.6768"/>
        <n v="1071127.5336000002"/>
        <n v="1320185.7629999998"/>
        <n v="6989691.7806"/>
        <n v="8453678.3958"/>
        <n v="1.0286279489799999E7"/>
        <n v="2067146.2955000002"/>
        <n v="2395315.6129"/>
        <n v="2701249.2375000003"/>
      </sharedItems>
    </cacheField>
    <cacheField name="ano2" numFmtId="1">
      <sharedItems containsString="0" containsBlank="1" containsNumber="1" containsInteger="1">
        <n v="2010.0"/>
        <n v="2015.0"/>
        <n v="2020.0"/>
        <m/>
      </sharedItems>
    </cacheField>
    <cacheField name="valor_estimado_de_2022" numFmtId="1">
      <sharedItems containsString="0" containsBlank="1" containsNumber="1">
        <n v="1435660.6040324813"/>
        <m/>
        <n v="112462.70619048303"/>
        <n v="365129.1066346273"/>
        <n v="149753.90844980482"/>
        <n v="993277.4159052672"/>
        <n v="293391.30781333"/>
      </sharedItems>
    </cacheField>
    <cacheField name="percentual_de_14" numFmtId="10">
      <sharedItems containsString="0" containsBlank="1" containsNumber="1">
        <n v="0.2475"/>
        <n v="0.225"/>
        <n v="0.20829999999999999"/>
        <m/>
        <n v="0.2148"/>
        <n v="0.1997"/>
        <n v="0.18619999999999998"/>
        <n v="0.2713"/>
        <n v="0.2437"/>
        <n v="0.2192"/>
        <n v="0.3116"/>
        <n v="0.2902"/>
        <n v="0.26489999999999997"/>
        <n v="0.29890000000000005"/>
        <n v="0.2761"/>
        <n v="0.2534"/>
        <n v="0.2982000000000001"/>
        <n v="0.2841"/>
        <n v="0.2667"/>
      </sharedItems>
    </cacheField>
    <cacheField name="percentual_de_15" numFmtId="10">
      <sharedItems containsString="0" containsBlank="1" containsNumber="1">
        <n v="0.6834"/>
        <n v="0.6959000000000001"/>
        <n v="0.6988"/>
        <m/>
        <n v="0.6873"/>
        <n v="0.6899"/>
        <n v="0.6898"/>
        <n v="0.6695"/>
        <n v="0.685"/>
        <n v="0.6960999999999999"/>
        <n v="0.6296"/>
        <n v="0.6432"/>
        <n v="0.6597"/>
        <n v="0.6394"/>
        <n v="0.6541"/>
        <n v="0.6664"/>
        <n v="0.6303000000000001"/>
        <n v="0.6367999999999999"/>
        <n v="0.6507999999999999"/>
      </sharedItems>
    </cacheField>
    <cacheField name="percentual_de_64" numFmtId="10">
      <sharedItems containsString="0" containsBlank="1" containsNumber="1">
        <n v="0.0691"/>
        <n v="0.0791"/>
        <n v="0.0929"/>
        <m/>
        <n v="0.09789999999999999"/>
        <n v="0.1104"/>
        <n v="0.12399999999999997"/>
        <n v="0.0592"/>
        <n v="0.0713"/>
        <n v="0.08470000000000003"/>
        <n v="0.05879999999999999"/>
        <n v="0.06660000000000002"/>
        <n v="0.0754"/>
        <n v="0.06170000000000001"/>
        <n v="0.0698"/>
        <n v="0.0802"/>
        <n v="0.07150000000000002"/>
        <n v="0.07909999999999999"/>
        <n v="0.0825000000000000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0" sheet="Análise de dados demográficos"/>
  </cacheSource>
  <cacheFields>
    <cacheField name="pais" numFmtId="0">
      <sharedItems containsBlank="1">
        <s v="Brasil"/>
        <s v="pais"/>
        <s v="Chile"/>
        <s v="Colombia"/>
        <s v="Ecuador"/>
        <s v="Mexico"/>
        <s v="Peru"/>
        <m/>
      </sharedItems>
    </cacheField>
    <cacheField name="nascimento" numFmtId="1">
      <sharedItems containsString="0" containsBlank="1" containsNumber="1">
        <n v="3351520.0"/>
        <n v="3259436.0"/>
        <n v="3257137.0"/>
        <n v="3238499.0"/>
        <n v="3182010.0"/>
        <n v="3123429.0"/>
        <n v="3071834.0"/>
        <n v="3057083.0"/>
        <n v="3041789.0"/>
        <n v="3033630.0"/>
        <n v="2986828.0"/>
        <n v="2962857.0"/>
        <n v="3001591.0"/>
        <n v="3021946.0"/>
        <n v="2905301.0"/>
        <n v="2952133.0"/>
        <n v="2969862.0"/>
        <n v="2886359.0"/>
        <n v="2787294.0"/>
        <n v="2760958.0"/>
        <m/>
        <n v="241091.0"/>
        <n v="234636.0"/>
        <n v="230212.0"/>
        <n v="229074.0"/>
        <n v="230846.0"/>
        <n v="235781.0"/>
        <n v="240764.0"/>
        <n v="243308.0"/>
        <n v="243439.0"/>
        <n v="242097.0"/>
        <n v="240081.0"/>
        <n v="239570.0"/>
        <n v="239204.0"/>
        <n v="235699.0"/>
        <n v="228821.0"/>
        <n v="221468.0"/>
        <n v="221872.0"/>
        <n v="224350.0"/>
        <n v="227821.0"/>
        <n v="229116.0"/>
        <n v="850588.0"/>
        <n v="839623.0"/>
        <n v="827013.0"/>
        <n v="813688.0"/>
        <n v="799623.0"/>
        <n v="787414.0"/>
        <n v="776110.0"/>
        <n v="765905.0"/>
        <n v="758072.0"/>
        <n v="752881.0"/>
        <n v="748734.0"/>
        <n v="744381.0"/>
        <n v="739615.0"/>
        <n v="734664.0"/>
        <n v="730565.0"/>
        <n v="726008.0"/>
        <n v="727649.0"/>
        <n v="733940.0"/>
        <n v="733491.0"/>
        <n v="730203.0"/>
        <n v="320056.0"/>
        <n v="319753.0"/>
        <n v="319624.0"/>
        <n v="319659.0"/>
        <n v="320941.0"/>
        <n v="322742.0"/>
        <n v="324545.0"/>
        <n v="326551.0"/>
        <n v="328258.0"/>
        <n v="330798.0"/>
        <n v="325267.0"/>
        <n v="316029.0"/>
        <n v="308532.0"/>
        <n v="303340.0"/>
        <n v="299318.0"/>
        <n v="300031.0"/>
        <n v="299106.0"/>
        <n v="300075.0"/>
        <n v="299338.0"/>
        <n v="298989.0"/>
        <n v="2350590.0"/>
        <n v="2339268.0"/>
        <n v="2326284.0"/>
        <n v="2312543.0"/>
        <n v="2296928.0"/>
        <n v="2286462.0"/>
        <n v="2279101.0"/>
        <n v="2273032.0"/>
        <n v="2268110.0"/>
        <n v="2273571.0"/>
        <n v="2273326.0"/>
        <n v="2267699.0"/>
        <n v="2222905.0"/>
        <n v="2159314.0"/>
        <n v="2116264.0"/>
        <n v="2081548.1"/>
        <n v="2042458.0"/>
        <n v="1965139.0"/>
        <n v="1961267.0"/>
        <n v="1882362.0"/>
        <n v="616261.0"/>
        <n v="615508.0"/>
        <n v="623674.0"/>
        <n v="631197.0"/>
        <n v="634801.0"/>
        <n v="632563.0"/>
        <n v="626301.0"/>
        <n v="623635.0"/>
        <n v="617632.0"/>
        <n v="613180.0"/>
        <n v="602813.0"/>
        <n v="592938.0"/>
        <n v="584699.0"/>
        <n v="577568.0"/>
        <n v="575208.0"/>
        <n v="576461.0"/>
        <n v="579697.0"/>
        <n v="591025.0"/>
        <n v="593207.0"/>
        <n v="593523.0"/>
      </sharedItems>
    </cacheField>
    <cacheField name="populacao" numFmtId="1">
      <sharedItems containsString="0" containsBlank="1" containsNumber="1" containsInteger="1">
        <n v="1.78376409E8"/>
        <n v="1.80682719E8"/>
        <n v="1.82913865E8"/>
        <n v="1.85075508E8"/>
        <n v="1.87155615E8"/>
        <n v="1.89156967E8"/>
        <n v="1.91085595E8"/>
        <n v="1.92966061E8"/>
        <n v="1.9480758E8"/>
        <n v="1.9662149E8"/>
        <n v="1.9840576E8"/>
        <n v="2.00168784E8"/>
        <n v="2.01906925E8"/>
        <n v="2.03624771E8"/>
        <n v="2.05322029E8"/>
        <n v="2.07005307E8"/>
        <n v="2.08658294E8"/>
        <n v="2.10265913E8"/>
        <n v="2.11808589E8"/>
        <n v="2.13736047E8"/>
        <m/>
        <n v="1.5600954E7"/>
        <n v="1.576771E7"/>
        <n v="1.5932762E7"/>
        <n v="1.6099532E7"/>
        <n v="1.6269316E7"/>
        <n v="1.6443076E7"/>
        <n v="1.6619714E7"/>
        <n v="1.6797951E7"/>
        <n v="1.6975082E7"/>
        <n v="1.714876E7"/>
        <n v="1.7317427E7"/>
        <n v="1.7486638E7"/>
        <n v="1.766601E7"/>
        <n v="1.7865027E7"/>
        <n v="1.8089869E7"/>
        <n v="1.8340828E7"/>
        <n v="1.8600864E7"/>
        <n v="1.8841516E7"/>
        <n v="1.9034571E7"/>
        <n v="1.923767E7"/>
        <n v="4.0568205E7"/>
        <n v="4.1182118E7"/>
        <n v="4.178153E7"/>
        <n v="4.2364192E7"/>
        <n v="4.2926589E7"/>
        <n v="4.3471412E7"/>
        <n v="4.3997656E7"/>
        <n v="4.4504548E7"/>
        <n v="4.4988319E7"/>
        <n v="4.5444531E7"/>
        <n v="4.5870362E7"/>
        <n v="4.6287332E7"/>
        <n v="4.673354E7"/>
        <n v="4.7246459E7"/>
        <n v="4.7849645E7"/>
        <n v="4.8545466E7"/>
        <n v="4.9288537E7"/>
        <n v="5.0003037E7"/>
        <n v="5.0612648E7"/>
        <n v="5.1109158E7"/>
        <n v="1.3030003E7"/>
        <n v="1.3257501E7"/>
        <n v="1.3483653E7"/>
        <n v="1.3712057E7"/>
        <n v="1.3943569E7"/>
        <n v="1.4178941E7"/>
        <n v="1.4416801E7"/>
        <n v="1.4656057E7"/>
        <n v="1.4893736E7"/>
        <n v="1.5128456E7"/>
        <n v="1.5359621E7"/>
        <n v="1.5591745E7"/>
        <n v="1.5830657E7"/>
        <n v="1.6082996E7"/>
        <n v="1.6352332E7"/>
        <n v="1.6639445E7"/>
        <n v="1.6936086E7"/>
        <n v="1.7230197E7"/>
        <n v="1.7509095E7"/>
        <n v="1.7781537E7"/>
        <n v="1.00997156E8"/>
        <n v="1.0238863E8"/>
        <n v="1.03801895E8"/>
        <n v="1.05266191E8"/>
        <n v="1.06789067E8"/>
        <n v="1.08371947E8"/>
        <n v="1.09997381E8"/>
        <n v="1.11646354E8"/>
        <n v="1.13285118E8"/>
        <n v="1.149008E8"/>
        <n v="1.16489125E8"/>
        <n v="1.18057039E8"/>
        <n v="1.19597427E8"/>
        <n v="1.21112871E8"/>
        <n v="1.22599845E8"/>
        <n v="1.24061287E8"/>
        <n v="1.25489863E8"/>
        <n v="1.26888846E8"/>
        <n v="1.28257849E8"/>
        <n v="1.30012416E8"/>
        <n v="2.6951366E7"/>
        <n v="2.7237705E7"/>
        <n v="2.749891E7"/>
        <n v="2.7746177E7"/>
        <n v="2.7985067E7"/>
        <n v="2.8218502E7"/>
        <n v="2.8448312E7"/>
        <n v="2.8678439E7"/>
        <n v="2.8911137E7"/>
        <n v="2.9146969E7"/>
        <n v="2.9386215E7"/>
        <n v="2.9641486E7"/>
        <n v="2.9933479E7"/>
        <n v="3.0282119E7"/>
        <n v="3.0699631E7"/>
        <n v="3.1187297E7"/>
        <n v="3.1719022E7"/>
        <n v="3.2252005E7"/>
        <n v="3.2742415E7"/>
        <n v="3.3174287E7"/>
      </sharedItems>
    </cacheField>
    <cacheField name="ano" numFmtId="0">
      <sharedItems containsString="0" containsBlank="1" containsNumber="1" containsInteger="1"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m/>
      </sharedItems>
    </cacheField>
    <cacheField name="taxa_de_natalidade" numFmtId="10">
      <sharedItems containsString="0" containsBlank="1" containsNumber="1">
        <n v="0.018789031681874478"/>
        <n v="0.01803955584706471"/>
        <n v="0.01780694426854957"/>
        <n v="0.017498258062325567"/>
        <n v="0.017001947817595533"/>
        <n v="0.0165123656270086"/>
        <n v="0.01607569633911965"/>
        <n v="0.01584259420624231"/>
        <n v="0.015614325684862979"/>
        <n v="0.015428781462290821"/>
        <n v="0.01505413955723866"/>
        <n v="0.014801793470454414"/>
        <n v="0.014866211250555175"/>
        <n v="0.014840758249397859"/>
        <n v="0.014149972188322764"/>
        <n v="0.014261146454568916"/>
        <n v="0.014233136594129347"/>
        <n v="0.013727184586500237"/>
        <n v="0.01315949467941548"/>
        <n v="0.012917605798145972"/>
        <m/>
        <n v="0.01545360623459309"/>
        <n v="0.01488079118654516"/>
        <n v="0.01444896999026283"/>
        <n v="0.014228612359663622"/>
        <n v="0.0141890415061088"/>
        <n v="0.014339227040001517"/>
        <n v="0.014486651214334977"/>
        <n v="0.014484385625365855"/>
        <n v="0.014340961651908369"/>
        <n v="0.014117463886601714"/>
        <n v="0.013863549128863081"/>
        <n v="0.013700174956443887"/>
        <n v="0.0135403523489458"/>
        <n v="0.013193318991345493"/>
        <n v="0.012649124214221784"/>
        <n v="0.012075136411507703"/>
        <n v="0.011928048073465834"/>
        <n v="0.01190721595863093"/>
        <n v="0.011968801398255837"/>
        <n v="0.011909758302330792"/>
        <n v="0.020966863088963388"/>
        <n v="0.020388048035800393"/>
        <n v="0.01979374618401959"/>
        <n v="0.01920697555142796"/>
        <n v="0.018627685512119307"/>
        <n v="0.018113375291329392"/>
        <n v="0.017639803356797008"/>
        <n v="0.017209589455891114"/>
        <n v="0.016850418438617367"/>
        <n v="0.01656703201535956"/>
        <n v="0.016322827362905922"/>
        <n v="0.016081743488693623"/>
        <n v="0.01582621389263471"/>
        <n v="0.015549609760172715"/>
        <n v="0.015267929364993198"/>
        <n v="0.0149552174450236"/>
        <n v="0.01476304723753517"/>
        <n v="0.014677908463839906"/>
        <n v="0.014492247076264415"/>
        <n v="0.014287126389364505"/>
        <n v="0.024563002786722306"/>
        <n v="0.02411864800161056"/>
        <n v="0.023704555434643712"/>
        <n v="0.023312257234636643"/>
        <n v="0.023017134278892296"/>
        <n v="0.0227620666451747"/>
        <n v="0.02251158214641376"/>
        <n v="0.022280958650747605"/>
        <n v="0.022040003931854305"/>
        <n v="0.021865945870484075"/>
        <n v="0.021176759504677883"/>
        <n v="0.02026899490724098"/>
        <n v="0.019489525924287286"/>
        <n v="0.01886091372527855"/>
        <n v="0.018304300573153725"/>
        <n v="0.018031310539504172"/>
        <n v="0.017660869223266817"/>
        <n v="0.017415645334757344"/>
        <n v="0.01709614346144104"/>
        <n v="0.01681457570287653"/>
        <n v="0.02327382367083683"/>
        <n v="0.02284695087726049"/>
        <n v="0.022410804735308543"/>
        <n v="0.021968525487922327"/>
        <n v="0.02150901833424577"/>
        <n v="0.021098282934789388"/>
        <n v="0.020719593314680828"/>
        <n v="0.020359213879926612"/>
        <n v="0.020021252923971885"/>
        <n v="0.019787251263698773"/>
        <n v="0.019515349608815416"/>
        <n v="0.01920850310331771"/>
        <n v="0.01858656206709196"/>
        <n v="0.017828939089388773"/>
        <n v="0.017261555265424684"/>
        <n v="0.016778385508768742"/>
        <n v="0.016275880387246897"/>
        <n v="0.015487090173394752"/>
        <n v="0.015291594356927037"/>
        <n v="0.014478324900907925"/>
        <n v="0.022865668478547617"/>
        <n v="0.022597645433049516"/>
        <n v="0.02267995349633858"/>
        <n v="0.02274897186736753"/>
        <n v="0.022683561915360074"/>
        <n v="0.022416604538398246"/>
        <n v="0.02201540112467833"/>
        <n v="0.021745779119986274"/>
        <n v="0.02136311691926886"/>
        <n v="0.021037521946106988"/>
        <n v="0.020513461839165064"/>
        <n v="0.02000365298824762"/>
        <n v="0.01953327910865289"/>
        <n v="0.01907290569725322"/>
        <n v="0.018736642144004924"/>
        <n v="0.01848383975052407"/>
        <n v="0.018276004852860846"/>
        <n v="0.018325217300443803"/>
        <n v="0.01811738688181675"/>
        <n v="0.017891055201879696"/>
      </sharedItems>
    </cacheField>
    <cacheField name="taxa_de_crescimento" numFmtId="10">
      <sharedItems containsString="0" containsBlank="1" containsNumber="1">
        <n v="0.01348458212501405"/>
        <n v="0.012929456383439135"/>
        <n v="0.012348419441263777"/>
        <n v="0.011817819277942654"/>
        <n v="0.011239234312948636"/>
        <n v="0.01069351833232468"/>
        <n v="0.01019591311167513"/>
        <n v="0.009840961585827545"/>
        <n v="0.009543227396863327"/>
        <n v="0.009311290659223835"/>
        <n v="0.009074643875397343"/>
        <n v="0.008885951698176504"/>
        <n v="0.008683376924545837"/>
        <n v="0.00850810837716438"/>
        <n v="0.00833522361579476"/>
        <n v="0.00819823380958309"/>
        <n v="0.007985239721414485"/>
        <n v="0.007704553551080026"/>
        <n v="0.007336785967775956"/>
        <n v="0.009099999245073107"/>
        <m/>
        <n v="0.011082929978039455"/>
        <n v="0.010688833516206765"/>
        <n v="0.010467721691989515"/>
        <n v="0.010467111728650688"/>
        <n v="0.010545896613640695"/>
        <n v="0.01068022773667928"/>
        <n v="0.010742393941376905"/>
        <n v="0.010724432442098582"/>
        <n v="0.010544797993517185"/>
        <n v="0.010231349692449203"/>
        <n v="0.00983552163538355"/>
        <n v="0.009771139788838146"/>
        <n v="0.010257660735013786"/>
        <n v="0.011265531945244002"/>
        <n v="0.01258559530864409"/>
        <n v="0.013872903114997682"/>
        <n v="0.014177985857563247"/>
        <n v="0.012937678593854566"/>
        <n v="0.010246256192973008"/>
        <n v="0.010670006694660993"/>
        <n v="0.015588025825065346"/>
        <n v="0.015132860820438075"/>
        <n v="0.014555152311495975"/>
        <n v="0.013945444314748647"/>
        <n v="0.01327529154810742"/>
        <n v="0.012691970470796085"/>
        <n v="0.012105518909760742"/>
        <n v="0.01152088647631592"/>
        <n v="0.010870147473467207"/>
        <n v="0.010140676738777459"/>
        <n v="0.009370346455990492"/>
        <n v="0.009090183330142457"/>
        <n v="0.009639959373765591"/>
        <n v="0.010975393689414498"/>
        <n v="0.012766798036652862"/>
        <n v="0.014541821574642821"/>
        <n v="0.015306702380815542"/>
        <n v="0.014496271212107593"/>
        <n v="0.012191479489535806"/>
        <n v="0.009809998481012099"/>
        <n v="0.018060371200508546"/>
        <n v="0.017459550853518607"/>
        <n v="0.017058418475699152"/>
        <n v="0.016939326457006867"/>
        <n v="0.016883827131115338"/>
        <n v="0.01688032669397627"/>
        <n v="0.016775582887325648"/>
        <n v="0.01659563727070936"/>
        <n v="0.016217117605369574"/>
        <n v="0.015759645531517413"/>
        <n v="0.015280144913664686"/>
        <n v="0.015112612479175105"/>
        <n v="0.015322980205230395"/>
        <n v="0.015939894345509475"/>
        <n v="0.01674663103814737"/>
        <n v="0.017557923848415015"/>
        <n v="0.017827577782792633"/>
        <n v="0.017365936852233744"/>
        <n v="0.01618658219636142"/>
        <n v="0.015560027517127527"/>
        <n v="0.01397936413571462"/>
        <n v="0.013777358245612381"/>
        <n v="0.01380294862818264"/>
        <n v="0.014106640346016804"/>
        <n v="0.014466905143361746"/>
        <n v="0.014822491145090724"/>
        <n v="0.014998660123731099"/>
        <n v="0.014991020558934944"/>
        <n v="0.014678168532041808"/>
        <n v="0.014262085157557941"/>
        <n v="0.013823445963822706"/>
        <n v="0.013459745705875978"/>
        <n v="0.013047828516180218"/>
        <n v="0.01267120905535869"/>
        <n v="0.012277588564472227"/>
        <n v="0.01192042290102406"/>
        <n v="0.011515082863842932"/>
        <n v="0.011148175370946098"/>
        <n v="0.010788994014493599"/>
        <n v="0.01367999708150415"/>
        <n v="0.012029396856168923"/>
        <n v="0.010624285240310269"/>
        <n v="0.009589831448721543"/>
        <n v="0.008991883678298522"/>
        <n v="0.00860983478913149"/>
        <n v="0.00834141293997974"/>
        <n v="0.00814394754193543"/>
        <n v="0.00808930245140731"/>
        <n v="0.008114039958729972"/>
        <n v="0.008157133356602337"/>
        <n v="0.00820826343898743"/>
        <n v="0.008686760101632687"/>
        <n v="0.009850821918982065"/>
        <n v="0.01164715935625124"/>
        <n v="0.013787410319601479"/>
        <n v="0.01588507692486597"/>
        <n v="0.0170494095721088"/>
        <n v="0.01680326083193864"/>
        <n v="0.015205566289599669"/>
        <n v="0.01318998613877443"/>
      </sharedItems>
    </cacheField>
    <cacheField name="0_14_anos" numFmtId="1">
      <sharedItems containsString="0" containsBlank="1" containsNumber="1">
        <n v="4.821487605E7"/>
        <n v="4.5815573475E7"/>
        <n v="4.41197290887E7"/>
        <m/>
        <n v="3646247.6136"/>
        <n v="3567645.8918999997"/>
        <n v="3544237.1202000002"/>
        <n v="1.2205330944699999E7"/>
        <n v="1.15139620583E7"/>
        <n v="1.10942924416E7"/>
        <n v="4640888.1376"/>
        <n v="4667285.4392"/>
        <n v="4638159.2655"/>
        <n v="3.38609217702E7"/>
        <n v="3.34392636831E7"/>
        <n v="3.2500538936600003E7"/>
        <n v="8621301.0534"/>
        <n v="8603150.007900001"/>
        <n v="8732402.0805"/>
      </sharedItems>
    </cacheField>
    <cacheField name="15_64_anos" numFmtId="1">
      <sharedItems containsString="0" containsBlank="1" containsNumber="1">
        <n v="1.33131500172E8"/>
        <n v="1.417024781389E8"/>
        <n v="1.480118419932E8"/>
        <m/>
        <n v="1.16669738586E7"/>
        <n v="1.23250821273E7"/>
        <n v="1.3130047075800002E7"/>
        <n v="3.0119679570499998E7"/>
        <n v="3.2363824415000003E7"/>
        <n v="3.52314642728E7"/>
        <n v="9377096.185600001"/>
        <n v="1.0344583027199998E7"/>
        <n v="1.15507499715E7"/>
        <n v="7.243450444919999E7"/>
        <n v="7.92199289211E7"/>
        <n v="8.54710305736E7"/>
        <n v="1.82226896511E7"/>
        <n v="1.92836533792E7"/>
        <n v="2.1308763681999996E7"/>
      </sharedItems>
    </cacheField>
    <cacheField name="64_anos_mais" numFmtId="1">
      <sharedItems containsString="0" containsBlank="1" containsNumber="1">
        <n v="1.3461203777999999E7"/>
        <n v="1.6106719386100002E7"/>
        <n v="1.96770179181E7"/>
        <m/>
        <n v="1661860.5277999998"/>
        <n v="1972298.9808"/>
        <n v="2360286.804"/>
        <n v="2663308.4848"/>
        <n v="3368672.5267000003"/>
        <n v="4286891.285600001"/>
        <n v="875751.6768"/>
        <n v="1071127.5336000002"/>
        <n v="1320185.7629999998"/>
        <n v="6989691.7806"/>
        <n v="8453678.3958"/>
        <n v="1.0286279489799999E7"/>
        <n v="2067146.2955000002"/>
        <n v="2395315.6129"/>
        <n v="2701249.2375000003"/>
      </sharedItems>
    </cacheField>
    <cacheField name="ano2" numFmtId="1">
      <sharedItems containsString="0" containsBlank="1" containsNumber="1" containsInteger="1">
        <n v="2010.0"/>
        <n v="2015.0"/>
        <n v="2020.0"/>
        <m/>
      </sharedItems>
    </cacheField>
    <cacheField name="valor_estimado_de_2022" numFmtId="1">
      <sharedItems containsString="0" containsBlank="1" containsNumber="1">
        <n v="1435660.6040324813"/>
        <m/>
        <n v="112462.70619048303"/>
        <n v="365129.1066346273"/>
        <n v="149753.90844980482"/>
        <n v="993277.4159052672"/>
        <n v="293391.30781333"/>
      </sharedItems>
    </cacheField>
    <cacheField name="percentual_de_14" numFmtId="10">
      <sharedItems containsString="0" containsBlank="1" containsNumber="1">
        <n v="0.2475"/>
        <n v="0.225"/>
        <n v="0.20829999999999999"/>
        <m/>
        <n v="0.2148"/>
        <n v="0.1997"/>
        <n v="0.18619999999999998"/>
        <n v="0.2713"/>
        <n v="0.2437"/>
        <n v="0.2192"/>
        <n v="0.3116"/>
        <n v="0.2902"/>
        <n v="0.26489999999999997"/>
        <n v="0.29890000000000005"/>
        <n v="0.2761"/>
        <n v="0.2534"/>
        <n v="0.2982000000000001"/>
        <n v="0.2841"/>
        <n v="0.2667"/>
      </sharedItems>
    </cacheField>
    <cacheField name="percentual_de_15" numFmtId="10">
      <sharedItems containsString="0" containsBlank="1" containsNumber="1">
        <n v="0.6834"/>
        <n v="0.6959000000000001"/>
        <n v="0.6988"/>
        <m/>
        <n v="0.6873"/>
        <n v="0.6899"/>
        <n v="0.6898"/>
        <n v="0.6695"/>
        <n v="0.685"/>
        <n v="0.6960999999999999"/>
        <n v="0.6296"/>
        <n v="0.6432"/>
        <n v="0.6597"/>
        <n v="0.6394"/>
        <n v="0.6541"/>
        <n v="0.6664"/>
        <n v="0.6303000000000001"/>
        <n v="0.6367999999999999"/>
        <n v="0.6507999999999999"/>
      </sharedItems>
    </cacheField>
    <cacheField name="percentual_de_64" numFmtId="10">
      <sharedItems containsString="0" containsBlank="1" containsNumber="1">
        <n v="0.0691"/>
        <n v="0.0791"/>
        <n v="0.0929"/>
        <m/>
        <n v="0.09789999999999999"/>
        <n v="0.1104"/>
        <n v="0.12399999999999997"/>
        <n v="0.0592"/>
        <n v="0.0713"/>
        <n v="0.08470000000000003"/>
        <n v="0.05879999999999999"/>
        <n v="0.06660000000000002"/>
        <n v="0.0754"/>
        <n v="0.06170000000000001"/>
        <n v="0.0698"/>
        <n v="0.0802"/>
        <n v="0.07150000000000002"/>
        <n v="0.07909999999999999"/>
        <n v="0.0825000000000000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shboard" cacheId="0" dataCaption="" rowGrandTotals="0" colGrandTotals="0" compact="0" compactData="0">
  <location ref="A1:G22" firstHeaderRow="0" firstDataRow="1" firstDataCol="1"/>
  <pivotFields>
    <pivotField name="pais" axis="axisCol" compact="0" outline="0" multipleItemSelectionAllowed="1" showAll="0" sortType="ascending">
      <items>
        <item x="0"/>
        <item x="2"/>
        <item x="3"/>
        <item x="4"/>
        <item x="5"/>
        <item h="1" x="1"/>
        <item x="6"/>
        <item t="default"/>
      </items>
    </pivotField>
    <pivotField name="nasciment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populacao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ano" axis="axisRow" compact="0" outline="0" multipleItemSelectionAllowed="1" showAll="0" sortType="ascending">
      <items>
        <item h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axa_de_natalidad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taxa_de_crescimento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0_1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15_6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64_anos_mai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no2" compact="0" numFmtId="1" outline="0" multipleItemSelectionAllowed="1" showAll="0">
      <items>
        <item x="0"/>
        <item x="1"/>
        <item x="2"/>
        <item x="3"/>
        <item t="default"/>
      </items>
    </pivotField>
    <pivotField name="valor_estimado_de_2022" compact="0" numFmtId="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centual_de_1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15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3"/>
  </rowFields>
  <colFields>
    <field x="0"/>
  </colFields>
  <dataFields>
    <dataField name="SUM of populacao" fld="2" baseField="0"/>
  </dataFields>
</pivotTableDefinition>
</file>

<file path=xl/pivotTables/pivotTable2.xml><?xml version="1.0" encoding="utf-8"?>
<pivotTableDefinition xmlns="http://schemas.openxmlformats.org/spreadsheetml/2006/main" name="Dashboard 2" cacheId="0" dataCaption="" rowGrandTotals="0" colGrandTotals="0" compact="0" compactData="0">
  <location ref="A25:G46" firstHeaderRow="0" firstDataRow="1" firstDataCol="1"/>
  <pivotFields>
    <pivotField name="pais" axis="axisCol" compact="0" outline="0" multipleItemSelectionAllowed="1" showAll="0" sortType="ascending">
      <items>
        <item x="0"/>
        <item x="2"/>
        <item x="3"/>
        <item x="4"/>
        <item x="5"/>
        <item h="1" x="1"/>
        <item x="6"/>
        <item t="default"/>
      </items>
    </pivotField>
    <pivotField name="nasciment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populaca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ano" axis="axisRow" compact="0" outline="0" multipleItemSelectionAllowed="1" showAll="0" sortType="ascending">
      <items>
        <item h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axa_de_natalidad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taxa_de_crescimento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0_1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15_6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64_anos_mai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no2" compact="0" numFmtId="1" outline="0" multipleItemSelectionAllowed="1" showAll="0">
      <items>
        <item x="0"/>
        <item x="1"/>
        <item x="2"/>
        <item x="3"/>
        <item t="default"/>
      </items>
    </pivotField>
    <pivotField name="valor_estimado_de_2022" compact="0" numFmtId="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centual_de_1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15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3"/>
  </rowFields>
  <colFields>
    <field x="0"/>
  </colFields>
  <dataFields>
    <dataField name="SUM of taxa_de_crescimento" fld="5" baseField="0"/>
  </dataFields>
</pivotTableDefinition>
</file>

<file path=xl/pivotTables/pivotTable3.xml><?xml version="1.0" encoding="utf-8"?>
<pivotTableDefinition xmlns="http://schemas.openxmlformats.org/spreadsheetml/2006/main" name="Dashboard 3" cacheId="1" dataCaption="" rowGrandTotals="0" colGrandTotals="0" compact="0" compactData="0">
  <location ref="A49:G70" firstHeaderRow="0" firstDataRow="1" firstDataCol="1"/>
  <pivotFields>
    <pivotField name="pais" axis="axisCol" compact="0" outline="0" multipleItemSelectionAllowed="1" showAll="0" sortType="ascending">
      <items>
        <item h="1" x="7"/>
        <item x="0"/>
        <item x="2"/>
        <item x="3"/>
        <item x="4"/>
        <item x="5"/>
        <item h="1" x="1"/>
        <item x="6"/>
        <item t="default"/>
      </items>
    </pivotField>
    <pivotField name="nascimento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populaca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ano" axis="axisRow" compact="0" outline="0" multipleItemSelectionAllowed="1" showAll="0" sortType="ascending">
      <items>
        <item h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axa_de_natalidad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taxa_de_crescimento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0_1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15_6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64_anos_mai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no2" compact="0" numFmtId="1" outline="0" multipleItemSelectionAllowed="1" showAll="0">
      <items>
        <item x="0"/>
        <item x="1"/>
        <item x="2"/>
        <item x="3"/>
        <item t="default"/>
      </items>
    </pivotField>
    <pivotField name="valor_estimado_de_2022" compact="0" numFmtId="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centual_de_1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15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3"/>
  </rowFields>
  <colFields>
    <field x="0"/>
  </colFields>
  <dataFields>
    <dataField name="SUM of nascimento" fld="1" baseField="0"/>
  </dataFields>
</pivotTableDefinition>
</file>

<file path=xl/pivotTables/pivotTable4.xml><?xml version="1.0" encoding="utf-8"?>
<pivotTableDefinition xmlns="http://schemas.openxmlformats.org/spreadsheetml/2006/main" name="Dashboard 4" cacheId="1" dataCaption="" rowGrandTotals="0" colGrandTotals="0" compact="0" compactData="0">
  <location ref="A74:G95" firstHeaderRow="0" firstDataRow="1" firstDataCol="1"/>
  <pivotFields>
    <pivotField name="pais" axis="axisCol" compact="0" outline="0" multipleItemSelectionAllowed="1" showAll="0" sortType="ascending">
      <items>
        <item h="1" x="7"/>
        <item x="0"/>
        <item x="2"/>
        <item x="3"/>
        <item x="4"/>
        <item x="5"/>
        <item h="1" x="1"/>
        <item x="6"/>
        <item t="default"/>
      </items>
    </pivotField>
    <pivotField name="nasciment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populaca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ano" axis="axisRow" compact="0" outline="0" multipleItemSelectionAllowed="1" showAll="0" sortType="ascending">
      <items>
        <item h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axa_de_natalidade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taxa_de_crescimento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0_1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15_64_ano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64_anos_mai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no2" compact="0" numFmtId="1" outline="0" multipleItemSelectionAllowed="1" showAll="0">
      <items>
        <item x="0"/>
        <item x="1"/>
        <item x="2"/>
        <item x="3"/>
        <item t="default"/>
      </items>
    </pivotField>
    <pivotField name="valor_estimado_de_2022" compact="0" numFmtId="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centual_de_1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15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ercentual_de_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3"/>
  </rowFields>
  <colFields>
    <field x="0"/>
  </colFields>
  <dataFields>
    <dataField name="SUM of taxa_de_natalidade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0"/>
    <col customWidth="1" min="5" max="5" width="15.25"/>
    <col customWidth="1" min="6" max="6" width="16.88"/>
  </cols>
  <sheetData>
    <row r="1">
      <c r="H1" s="2"/>
      <c r="I1" s="2"/>
      <c r="J1" s="2"/>
      <c r="K1" s="2"/>
      <c r="L1" s="2"/>
      <c r="M1" s="2"/>
    </row>
    <row r="2">
      <c r="H2" s="2"/>
      <c r="I2" s="2"/>
      <c r="J2" s="2"/>
      <c r="K2" s="2"/>
      <c r="L2" s="2"/>
      <c r="M2" s="2"/>
    </row>
    <row r="3">
      <c r="H3" s="2"/>
      <c r="I3" s="2"/>
      <c r="J3" s="2"/>
      <c r="K3" s="2"/>
      <c r="L3" s="2"/>
      <c r="M3" s="2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1" t="s">
        <v>12</v>
      </c>
      <c r="B99" s="1" t="s">
        <v>1</v>
      </c>
      <c r="C99" s="1"/>
      <c r="D99" s="1"/>
      <c r="E99" s="1"/>
      <c r="F99" s="1"/>
      <c r="G99" s="1"/>
    </row>
    <row r="100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</row>
    <row r="101">
      <c r="A101" s="4">
        <v>2010.0</v>
      </c>
      <c r="B101" s="6">
        <v>0.2475</v>
      </c>
      <c r="C101" s="6">
        <v>0.2148</v>
      </c>
      <c r="D101" s="6">
        <v>0.2713</v>
      </c>
      <c r="E101" s="6">
        <v>0.3116</v>
      </c>
      <c r="F101" s="6">
        <v>0.29890000000000005</v>
      </c>
      <c r="G101" s="6">
        <v>0.2982000000000001</v>
      </c>
    </row>
    <row r="102">
      <c r="A102" s="4">
        <v>2015.0</v>
      </c>
      <c r="B102" s="6">
        <v>0.225</v>
      </c>
      <c r="C102" s="6">
        <v>0.1997</v>
      </c>
      <c r="D102" s="6">
        <v>0.2437</v>
      </c>
      <c r="E102" s="6">
        <v>0.2902</v>
      </c>
      <c r="F102" s="6">
        <v>0.2761</v>
      </c>
      <c r="G102" s="6">
        <v>0.2841</v>
      </c>
    </row>
    <row r="103">
      <c r="A103" s="4">
        <v>2020.0</v>
      </c>
      <c r="B103" s="6">
        <v>0.20829999999999999</v>
      </c>
      <c r="C103" s="6">
        <v>0.18619999999999998</v>
      </c>
      <c r="D103" s="6">
        <v>0.2192</v>
      </c>
      <c r="E103" s="6">
        <v>0.26489999999999997</v>
      </c>
      <c r="F103" s="6">
        <v>0.2534</v>
      </c>
      <c r="G103" s="6">
        <v>0.2667</v>
      </c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1" t="s">
        <v>13</v>
      </c>
      <c r="B107" s="1" t="s">
        <v>1</v>
      </c>
      <c r="C107" s="1"/>
      <c r="D107" s="1"/>
      <c r="E107" s="1"/>
      <c r="F107" s="1"/>
      <c r="G107" s="1"/>
    </row>
    <row r="108">
      <c r="A108" s="1" t="s">
        <v>2</v>
      </c>
      <c r="B108" s="1" t="s">
        <v>3</v>
      </c>
      <c r="C108" s="1" t="s">
        <v>4</v>
      </c>
      <c r="D108" s="1" t="s">
        <v>5</v>
      </c>
      <c r="E108" s="1" t="s">
        <v>6</v>
      </c>
      <c r="F108" s="1" t="s">
        <v>7</v>
      </c>
      <c r="G108" s="1" t="s">
        <v>8</v>
      </c>
    </row>
    <row r="109">
      <c r="A109" s="4">
        <v>2010.0</v>
      </c>
      <c r="B109" s="6">
        <v>0.6834</v>
      </c>
      <c r="C109" s="6">
        <v>0.6873</v>
      </c>
      <c r="D109" s="6">
        <v>0.6695</v>
      </c>
      <c r="E109" s="6">
        <v>0.6296</v>
      </c>
      <c r="F109" s="6">
        <v>0.6394</v>
      </c>
      <c r="G109" s="6">
        <v>0.6303000000000001</v>
      </c>
    </row>
    <row r="110">
      <c r="A110" s="4">
        <v>2015.0</v>
      </c>
      <c r="B110" s="6">
        <v>0.6959000000000001</v>
      </c>
      <c r="C110" s="6">
        <v>0.6899</v>
      </c>
      <c r="D110" s="6">
        <v>0.685</v>
      </c>
      <c r="E110" s="6">
        <v>0.6432</v>
      </c>
      <c r="F110" s="6">
        <v>0.6541</v>
      </c>
      <c r="G110" s="6">
        <v>0.6367999999999999</v>
      </c>
    </row>
    <row r="111">
      <c r="A111" s="4">
        <v>2020.0</v>
      </c>
      <c r="B111" s="6">
        <v>0.6988</v>
      </c>
      <c r="C111" s="6">
        <v>0.6898</v>
      </c>
      <c r="D111" s="6">
        <v>0.6960999999999999</v>
      </c>
      <c r="E111" s="6">
        <v>0.6597</v>
      </c>
      <c r="F111" s="6">
        <v>0.6664</v>
      </c>
      <c r="G111" s="6">
        <v>0.6507999999999999</v>
      </c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1" t="s">
        <v>14</v>
      </c>
      <c r="B114" s="1" t="s">
        <v>1</v>
      </c>
      <c r="C114" s="1"/>
      <c r="D114" s="1"/>
      <c r="E114" s="1"/>
      <c r="F114" s="1"/>
      <c r="G114" s="1"/>
    </row>
    <row r="115">
      <c r="A115" s="1" t="s">
        <v>2</v>
      </c>
      <c r="B115" s="1" t="s">
        <v>3</v>
      </c>
      <c r="C115" s="1" t="s">
        <v>4</v>
      </c>
      <c r="D115" s="1" t="s">
        <v>5</v>
      </c>
      <c r="E115" s="1" t="s">
        <v>6</v>
      </c>
      <c r="F115" s="1" t="s">
        <v>7</v>
      </c>
      <c r="G115" s="1" t="s">
        <v>8</v>
      </c>
    </row>
    <row r="116">
      <c r="A116" s="4">
        <v>2010.0</v>
      </c>
      <c r="B116" s="6">
        <v>0.0691</v>
      </c>
      <c r="C116" s="6">
        <v>0.09789999999999999</v>
      </c>
      <c r="D116" s="6">
        <v>0.0592</v>
      </c>
      <c r="E116" s="6">
        <v>0.05879999999999999</v>
      </c>
      <c r="F116" s="6">
        <v>0.06170000000000001</v>
      </c>
      <c r="G116" s="6">
        <v>0.07150000000000002</v>
      </c>
    </row>
    <row r="117">
      <c r="A117" s="4">
        <v>2015.0</v>
      </c>
      <c r="B117" s="6">
        <v>0.0791</v>
      </c>
      <c r="C117" s="6">
        <v>0.1104</v>
      </c>
      <c r="D117" s="6">
        <v>0.0713</v>
      </c>
      <c r="E117" s="6">
        <v>0.06660000000000002</v>
      </c>
      <c r="F117" s="6">
        <v>0.0698</v>
      </c>
      <c r="G117" s="6">
        <v>0.07909999999999999</v>
      </c>
    </row>
    <row r="118">
      <c r="A118" s="4">
        <v>2020.0</v>
      </c>
      <c r="B118" s="6">
        <v>0.0929</v>
      </c>
      <c r="C118" s="6">
        <v>0.12399999999999997</v>
      </c>
      <c r="D118" s="6">
        <v>0.08470000000000003</v>
      </c>
      <c r="E118" s="6">
        <v>0.0754</v>
      </c>
      <c r="F118" s="6">
        <v>0.0802</v>
      </c>
      <c r="G118" s="6">
        <v>0.08250000000000002</v>
      </c>
    </row>
    <row r="119">
      <c r="A119" s="5"/>
      <c r="B119" s="5"/>
      <c r="C119" s="5"/>
      <c r="D119" s="5"/>
      <c r="E119" s="5"/>
      <c r="F119" s="5"/>
      <c r="G119" s="5"/>
    </row>
    <row r="120">
      <c r="A120" s="7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customSheetViews>
    <customSheetView guid="{83E9498B-16BD-45B5-ACCE-A901B1B8C284}" filter="1" showAutoFilter="1">
      <autoFilter ref="$A$1:$F$1000"/>
    </customSheetView>
  </customSheetView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15</v>
      </c>
      <c r="B1" s="8" t="s">
        <v>1</v>
      </c>
      <c r="C1" s="8" t="s">
        <v>2</v>
      </c>
      <c r="D1" s="9" t="s">
        <v>16</v>
      </c>
    </row>
    <row r="2">
      <c r="A2" s="8" t="s">
        <v>17</v>
      </c>
      <c r="B2" s="10" t="s">
        <v>3</v>
      </c>
      <c r="C2" s="11">
        <v>2002.0</v>
      </c>
      <c r="D2" s="12">
        <v>3351520.0</v>
      </c>
    </row>
    <row r="3">
      <c r="A3" s="8" t="s">
        <v>17</v>
      </c>
      <c r="B3" s="10" t="s">
        <v>3</v>
      </c>
      <c r="C3" s="11">
        <v>2003.0</v>
      </c>
      <c r="D3" s="12">
        <v>3259436.0</v>
      </c>
    </row>
    <row r="4">
      <c r="A4" s="8" t="s">
        <v>17</v>
      </c>
      <c r="B4" s="10" t="s">
        <v>3</v>
      </c>
      <c r="C4" s="11">
        <v>2004.0</v>
      </c>
      <c r="D4" s="12">
        <v>3257137.0</v>
      </c>
    </row>
    <row r="5">
      <c r="A5" s="8" t="s">
        <v>17</v>
      </c>
      <c r="B5" s="10" t="s">
        <v>3</v>
      </c>
      <c r="C5" s="11">
        <v>2005.0</v>
      </c>
      <c r="D5" s="12">
        <v>3238499.0</v>
      </c>
    </row>
    <row r="6">
      <c r="A6" s="8" t="s">
        <v>17</v>
      </c>
      <c r="B6" s="10" t="s">
        <v>3</v>
      </c>
      <c r="C6" s="11">
        <v>2006.0</v>
      </c>
      <c r="D6" s="12">
        <v>3182010.0</v>
      </c>
    </row>
    <row r="7">
      <c r="A7" s="8" t="s">
        <v>17</v>
      </c>
      <c r="B7" s="10" t="s">
        <v>3</v>
      </c>
      <c r="C7" s="11">
        <v>2007.0</v>
      </c>
      <c r="D7" s="12">
        <v>3123429.0</v>
      </c>
    </row>
    <row r="8">
      <c r="A8" s="8" t="s">
        <v>17</v>
      </c>
      <c r="B8" s="10" t="s">
        <v>3</v>
      </c>
      <c r="C8" s="11">
        <v>2008.0</v>
      </c>
      <c r="D8" s="12">
        <v>3071834.0</v>
      </c>
    </row>
    <row r="9">
      <c r="A9" s="8" t="s">
        <v>17</v>
      </c>
      <c r="B9" s="10" t="s">
        <v>3</v>
      </c>
      <c r="C9" s="11">
        <v>2009.0</v>
      </c>
      <c r="D9" s="12">
        <v>3057083.0</v>
      </c>
    </row>
    <row r="10">
      <c r="A10" s="8" t="s">
        <v>17</v>
      </c>
      <c r="B10" s="10" t="s">
        <v>3</v>
      </c>
      <c r="C10" s="11">
        <v>2010.0</v>
      </c>
      <c r="D10" s="12">
        <v>3041789.0</v>
      </c>
    </row>
    <row r="11">
      <c r="A11" s="8" t="s">
        <v>17</v>
      </c>
      <c r="B11" s="10" t="s">
        <v>3</v>
      </c>
      <c r="C11" s="11">
        <v>2011.0</v>
      </c>
      <c r="D11" s="12">
        <v>3033630.0</v>
      </c>
    </row>
    <row r="12">
      <c r="A12" s="8" t="s">
        <v>17</v>
      </c>
      <c r="B12" s="10" t="s">
        <v>3</v>
      </c>
      <c r="C12" s="11">
        <v>2012.0</v>
      </c>
      <c r="D12" s="12">
        <v>2986828.0</v>
      </c>
    </row>
    <row r="13">
      <c r="A13" s="8" t="s">
        <v>17</v>
      </c>
      <c r="B13" s="10" t="s">
        <v>3</v>
      </c>
      <c r="C13" s="11">
        <v>2013.0</v>
      </c>
      <c r="D13" s="12">
        <v>2962857.0</v>
      </c>
    </row>
    <row r="14">
      <c r="A14" s="8" t="s">
        <v>17</v>
      </c>
      <c r="B14" s="10" t="s">
        <v>3</v>
      </c>
      <c r="C14" s="11">
        <v>2014.0</v>
      </c>
      <c r="D14" s="12">
        <v>3001591.0</v>
      </c>
    </row>
    <row r="15">
      <c r="A15" s="8" t="s">
        <v>17</v>
      </c>
      <c r="B15" s="10" t="s">
        <v>3</v>
      </c>
      <c r="C15" s="11">
        <v>2015.0</v>
      </c>
      <c r="D15" s="12">
        <v>3021946.0</v>
      </c>
    </row>
    <row r="16">
      <c r="A16" s="8" t="s">
        <v>17</v>
      </c>
      <c r="B16" s="10" t="s">
        <v>3</v>
      </c>
      <c r="C16" s="11">
        <v>2016.0</v>
      </c>
      <c r="D16" s="12">
        <v>2905301.0</v>
      </c>
    </row>
    <row r="17">
      <c r="A17" s="8" t="s">
        <v>17</v>
      </c>
      <c r="B17" s="10" t="s">
        <v>3</v>
      </c>
      <c r="C17" s="11">
        <v>2017.0</v>
      </c>
      <c r="D17" s="12">
        <v>2952133.0</v>
      </c>
    </row>
    <row r="18">
      <c r="A18" s="8" t="s">
        <v>17</v>
      </c>
      <c r="B18" s="10" t="s">
        <v>3</v>
      </c>
      <c r="C18" s="11">
        <v>2018.0</v>
      </c>
      <c r="D18" s="12">
        <v>2969862.0</v>
      </c>
    </row>
    <row r="19">
      <c r="A19" s="8" t="s">
        <v>17</v>
      </c>
      <c r="B19" s="10" t="s">
        <v>3</v>
      </c>
      <c r="C19" s="11">
        <v>2019.0</v>
      </c>
      <c r="D19" s="12">
        <v>2886359.0</v>
      </c>
    </row>
    <row r="20">
      <c r="A20" s="8" t="s">
        <v>17</v>
      </c>
      <c r="B20" s="10" t="s">
        <v>3</v>
      </c>
      <c r="C20" s="11">
        <v>2020.0</v>
      </c>
      <c r="D20" s="12">
        <v>2787294.0</v>
      </c>
    </row>
    <row r="21">
      <c r="A21" s="8" t="s">
        <v>17</v>
      </c>
      <c r="B21" s="10" t="s">
        <v>3</v>
      </c>
      <c r="C21" s="11">
        <v>2021.0</v>
      </c>
      <c r="D21" s="12">
        <v>2760958.0</v>
      </c>
    </row>
    <row r="22">
      <c r="A22" s="8" t="s">
        <v>18</v>
      </c>
      <c r="B22" s="8" t="s">
        <v>4</v>
      </c>
      <c r="C22" s="11">
        <v>2002.0</v>
      </c>
      <c r="D22" s="12">
        <v>241091.0</v>
      </c>
    </row>
    <row r="23">
      <c r="A23" s="8" t="s">
        <v>18</v>
      </c>
      <c r="B23" s="8" t="s">
        <v>4</v>
      </c>
      <c r="C23" s="11">
        <v>2003.0</v>
      </c>
      <c r="D23" s="12">
        <v>234636.0</v>
      </c>
    </row>
    <row r="24">
      <c r="A24" s="8" t="s">
        <v>18</v>
      </c>
      <c r="B24" s="8" t="s">
        <v>4</v>
      </c>
      <c r="C24" s="11">
        <v>2004.0</v>
      </c>
      <c r="D24" s="12">
        <v>230212.0</v>
      </c>
    </row>
    <row r="25">
      <c r="A25" s="8" t="s">
        <v>18</v>
      </c>
      <c r="B25" s="8" t="s">
        <v>4</v>
      </c>
      <c r="C25" s="11">
        <v>2005.0</v>
      </c>
      <c r="D25" s="12">
        <v>229074.0</v>
      </c>
    </row>
    <row r="26">
      <c r="A26" s="8" t="s">
        <v>18</v>
      </c>
      <c r="B26" s="8" t="s">
        <v>4</v>
      </c>
      <c r="C26" s="11">
        <v>2006.0</v>
      </c>
      <c r="D26" s="12">
        <v>230846.0</v>
      </c>
    </row>
    <row r="27">
      <c r="A27" s="8" t="s">
        <v>18</v>
      </c>
      <c r="B27" s="8" t="s">
        <v>4</v>
      </c>
      <c r="C27" s="11">
        <v>2007.0</v>
      </c>
      <c r="D27" s="12">
        <v>235781.0</v>
      </c>
    </row>
    <row r="28">
      <c r="A28" s="8" t="s">
        <v>18</v>
      </c>
      <c r="B28" s="8" t="s">
        <v>4</v>
      </c>
      <c r="C28" s="11">
        <v>2008.0</v>
      </c>
      <c r="D28" s="12">
        <v>240764.0</v>
      </c>
    </row>
    <row r="29">
      <c r="A29" s="8" t="s">
        <v>18</v>
      </c>
      <c r="B29" s="8" t="s">
        <v>4</v>
      </c>
      <c r="C29" s="11">
        <v>2009.0</v>
      </c>
      <c r="D29" s="12">
        <v>243308.0</v>
      </c>
    </row>
    <row r="30">
      <c r="A30" s="8" t="s">
        <v>18</v>
      </c>
      <c r="B30" s="8" t="s">
        <v>4</v>
      </c>
      <c r="C30" s="11">
        <v>2010.0</v>
      </c>
      <c r="D30" s="12">
        <v>243439.0</v>
      </c>
    </row>
    <row r="31">
      <c r="A31" s="8" t="s">
        <v>18</v>
      </c>
      <c r="B31" s="8" t="s">
        <v>4</v>
      </c>
      <c r="C31" s="11">
        <v>2011.0</v>
      </c>
      <c r="D31" s="12">
        <v>242097.0</v>
      </c>
    </row>
    <row r="32">
      <c r="A32" s="8" t="s">
        <v>18</v>
      </c>
      <c r="B32" s="8" t="s">
        <v>4</v>
      </c>
      <c r="C32" s="11">
        <v>2012.0</v>
      </c>
      <c r="D32" s="12">
        <v>240081.0</v>
      </c>
    </row>
    <row r="33">
      <c r="A33" s="8" t="s">
        <v>18</v>
      </c>
      <c r="B33" s="8" t="s">
        <v>4</v>
      </c>
      <c r="C33" s="11">
        <v>2013.0</v>
      </c>
      <c r="D33" s="12">
        <v>239570.0</v>
      </c>
    </row>
    <row r="34">
      <c r="A34" s="8" t="s">
        <v>18</v>
      </c>
      <c r="B34" s="8" t="s">
        <v>4</v>
      </c>
      <c r="C34" s="11">
        <v>2014.0</v>
      </c>
      <c r="D34" s="12">
        <v>239204.0</v>
      </c>
    </row>
    <row r="35">
      <c r="A35" s="8" t="s">
        <v>18</v>
      </c>
      <c r="B35" s="8" t="s">
        <v>4</v>
      </c>
      <c r="C35" s="11">
        <v>2015.0</v>
      </c>
      <c r="D35" s="12">
        <v>235699.0</v>
      </c>
    </row>
    <row r="36">
      <c r="A36" s="8" t="s">
        <v>18</v>
      </c>
      <c r="B36" s="8" t="s">
        <v>4</v>
      </c>
      <c r="C36" s="11">
        <v>2016.0</v>
      </c>
      <c r="D36" s="12">
        <v>228821.0</v>
      </c>
    </row>
    <row r="37">
      <c r="A37" s="8" t="s">
        <v>18</v>
      </c>
      <c r="B37" s="8" t="s">
        <v>4</v>
      </c>
      <c r="C37" s="11">
        <v>2017.0</v>
      </c>
      <c r="D37" s="12">
        <v>221468.0</v>
      </c>
    </row>
    <row r="38">
      <c r="A38" s="8" t="s">
        <v>18</v>
      </c>
      <c r="B38" s="8" t="s">
        <v>4</v>
      </c>
      <c r="C38" s="11">
        <v>2018.0</v>
      </c>
      <c r="D38" s="12">
        <v>221872.0</v>
      </c>
    </row>
    <row r="39">
      <c r="A39" s="8" t="s">
        <v>18</v>
      </c>
      <c r="B39" s="8" t="s">
        <v>4</v>
      </c>
      <c r="C39" s="11">
        <v>2019.0</v>
      </c>
      <c r="D39" s="12">
        <v>224350.0</v>
      </c>
    </row>
    <row r="40">
      <c r="A40" s="8" t="s">
        <v>18</v>
      </c>
      <c r="B40" s="8" t="s">
        <v>4</v>
      </c>
      <c r="C40" s="11">
        <v>2020.0</v>
      </c>
      <c r="D40" s="12">
        <v>227821.0</v>
      </c>
    </row>
    <row r="41">
      <c r="A41" s="8" t="s">
        <v>18</v>
      </c>
      <c r="B41" s="8" t="s">
        <v>4</v>
      </c>
      <c r="C41" s="11">
        <v>2021.0</v>
      </c>
      <c r="D41" s="12">
        <v>229116.0</v>
      </c>
    </row>
    <row r="42">
      <c r="A42" s="8" t="s">
        <v>19</v>
      </c>
      <c r="B42" s="8" t="s">
        <v>5</v>
      </c>
      <c r="C42" s="11">
        <v>2002.0</v>
      </c>
      <c r="D42" s="12">
        <v>850588.0</v>
      </c>
    </row>
    <row r="43">
      <c r="A43" s="8" t="s">
        <v>19</v>
      </c>
      <c r="B43" s="8" t="s">
        <v>5</v>
      </c>
      <c r="C43" s="11">
        <v>2003.0</v>
      </c>
      <c r="D43" s="12">
        <v>839623.0</v>
      </c>
    </row>
    <row r="44">
      <c r="A44" s="8" t="s">
        <v>19</v>
      </c>
      <c r="B44" s="8" t="s">
        <v>5</v>
      </c>
      <c r="C44" s="11">
        <v>2004.0</v>
      </c>
      <c r="D44" s="12">
        <v>827013.0</v>
      </c>
    </row>
    <row r="45">
      <c r="A45" s="8" t="s">
        <v>19</v>
      </c>
      <c r="B45" s="8" t="s">
        <v>5</v>
      </c>
      <c r="C45" s="11">
        <v>2005.0</v>
      </c>
      <c r="D45" s="12">
        <v>813688.0</v>
      </c>
    </row>
    <row r="46">
      <c r="A46" s="8" t="s">
        <v>19</v>
      </c>
      <c r="B46" s="8" t="s">
        <v>5</v>
      </c>
      <c r="C46" s="11">
        <v>2006.0</v>
      </c>
      <c r="D46" s="12">
        <v>799623.0</v>
      </c>
    </row>
    <row r="47">
      <c r="A47" s="8" t="s">
        <v>19</v>
      </c>
      <c r="B47" s="8" t="s">
        <v>5</v>
      </c>
      <c r="C47" s="11">
        <v>2007.0</v>
      </c>
      <c r="D47" s="12">
        <v>787414.0</v>
      </c>
    </row>
    <row r="48">
      <c r="A48" s="8" t="s">
        <v>19</v>
      </c>
      <c r="B48" s="8" t="s">
        <v>5</v>
      </c>
      <c r="C48" s="11">
        <v>2008.0</v>
      </c>
      <c r="D48" s="12">
        <v>776110.0</v>
      </c>
    </row>
    <row r="49">
      <c r="A49" s="8" t="s">
        <v>19</v>
      </c>
      <c r="B49" s="8" t="s">
        <v>5</v>
      </c>
      <c r="C49" s="11">
        <v>2009.0</v>
      </c>
      <c r="D49" s="12">
        <v>765905.0</v>
      </c>
    </row>
    <row r="50">
      <c r="A50" s="8" t="s">
        <v>19</v>
      </c>
      <c r="B50" s="8" t="s">
        <v>5</v>
      </c>
      <c r="C50" s="11">
        <v>2010.0</v>
      </c>
      <c r="D50" s="12">
        <v>758072.0</v>
      </c>
    </row>
    <row r="51">
      <c r="A51" s="8" t="s">
        <v>19</v>
      </c>
      <c r="B51" s="8" t="s">
        <v>5</v>
      </c>
      <c r="C51" s="11">
        <v>2011.0</v>
      </c>
      <c r="D51" s="12">
        <v>752881.0</v>
      </c>
    </row>
    <row r="52">
      <c r="A52" s="8" t="s">
        <v>19</v>
      </c>
      <c r="B52" s="8" t="s">
        <v>5</v>
      </c>
      <c r="C52" s="11">
        <v>2012.0</v>
      </c>
      <c r="D52" s="12">
        <v>748734.0</v>
      </c>
    </row>
    <row r="53">
      <c r="A53" s="8" t="s">
        <v>19</v>
      </c>
      <c r="B53" s="8" t="s">
        <v>5</v>
      </c>
      <c r="C53" s="11">
        <v>2013.0</v>
      </c>
      <c r="D53" s="12">
        <v>744381.0</v>
      </c>
    </row>
    <row r="54">
      <c r="A54" s="8" t="s">
        <v>19</v>
      </c>
      <c r="B54" s="8" t="s">
        <v>5</v>
      </c>
      <c r="C54" s="11">
        <v>2014.0</v>
      </c>
      <c r="D54" s="12">
        <v>739615.0</v>
      </c>
    </row>
    <row r="55">
      <c r="A55" s="8" t="s">
        <v>19</v>
      </c>
      <c r="B55" s="8" t="s">
        <v>5</v>
      </c>
      <c r="C55" s="11">
        <v>2015.0</v>
      </c>
      <c r="D55" s="12">
        <v>734664.0</v>
      </c>
    </row>
    <row r="56">
      <c r="A56" s="8" t="s">
        <v>19</v>
      </c>
      <c r="B56" s="8" t="s">
        <v>5</v>
      </c>
      <c r="C56" s="11">
        <v>2016.0</v>
      </c>
      <c r="D56" s="12">
        <v>730565.0</v>
      </c>
    </row>
    <row r="57">
      <c r="A57" s="8" t="s">
        <v>19</v>
      </c>
      <c r="B57" s="8" t="s">
        <v>5</v>
      </c>
      <c r="C57" s="11">
        <v>2017.0</v>
      </c>
      <c r="D57" s="12">
        <v>726008.0</v>
      </c>
    </row>
    <row r="58">
      <c r="A58" s="8" t="s">
        <v>19</v>
      </c>
      <c r="B58" s="8" t="s">
        <v>5</v>
      </c>
      <c r="C58" s="11">
        <v>2018.0</v>
      </c>
      <c r="D58" s="12">
        <v>727649.0</v>
      </c>
    </row>
    <row r="59">
      <c r="A59" s="8" t="s">
        <v>19</v>
      </c>
      <c r="B59" s="8" t="s">
        <v>5</v>
      </c>
      <c r="C59" s="11">
        <v>2019.0</v>
      </c>
      <c r="D59" s="12">
        <v>733940.0</v>
      </c>
    </row>
    <row r="60">
      <c r="A60" s="8" t="s">
        <v>19</v>
      </c>
      <c r="B60" s="8" t="s">
        <v>5</v>
      </c>
      <c r="C60" s="11">
        <v>2020.0</v>
      </c>
      <c r="D60" s="12">
        <v>733491.0</v>
      </c>
    </row>
    <row r="61">
      <c r="A61" s="8" t="s">
        <v>19</v>
      </c>
      <c r="B61" s="8" t="s">
        <v>5</v>
      </c>
      <c r="C61" s="11">
        <v>2021.0</v>
      </c>
      <c r="D61" s="12">
        <v>730203.0</v>
      </c>
    </row>
    <row r="62">
      <c r="A62" s="8" t="s">
        <v>20</v>
      </c>
      <c r="B62" s="8" t="s">
        <v>6</v>
      </c>
      <c r="C62" s="11">
        <v>2002.0</v>
      </c>
      <c r="D62" s="12">
        <v>320056.0</v>
      </c>
    </row>
    <row r="63">
      <c r="A63" s="8" t="s">
        <v>20</v>
      </c>
      <c r="B63" s="8" t="s">
        <v>6</v>
      </c>
      <c r="C63" s="11">
        <v>2003.0</v>
      </c>
      <c r="D63" s="12">
        <v>319753.0</v>
      </c>
    </row>
    <row r="64">
      <c r="A64" s="8" t="s">
        <v>20</v>
      </c>
      <c r="B64" s="8" t="s">
        <v>6</v>
      </c>
      <c r="C64" s="11">
        <v>2004.0</v>
      </c>
      <c r="D64" s="12">
        <v>319624.0</v>
      </c>
    </row>
    <row r="65">
      <c r="A65" s="8" t="s">
        <v>20</v>
      </c>
      <c r="B65" s="8" t="s">
        <v>6</v>
      </c>
      <c r="C65" s="11">
        <v>2005.0</v>
      </c>
      <c r="D65" s="12">
        <v>319659.0</v>
      </c>
    </row>
    <row r="66">
      <c r="A66" s="8" t="s">
        <v>20</v>
      </c>
      <c r="B66" s="8" t="s">
        <v>6</v>
      </c>
      <c r="C66" s="11">
        <v>2006.0</v>
      </c>
      <c r="D66" s="12">
        <v>320941.0</v>
      </c>
    </row>
    <row r="67">
      <c r="A67" s="8" t="s">
        <v>20</v>
      </c>
      <c r="B67" s="8" t="s">
        <v>6</v>
      </c>
      <c r="C67" s="11">
        <v>2007.0</v>
      </c>
      <c r="D67" s="12">
        <v>322742.0</v>
      </c>
    </row>
    <row r="68">
      <c r="A68" s="8" t="s">
        <v>20</v>
      </c>
      <c r="B68" s="8" t="s">
        <v>6</v>
      </c>
      <c r="C68" s="11">
        <v>2008.0</v>
      </c>
      <c r="D68" s="12">
        <v>324545.0</v>
      </c>
    </row>
    <row r="69">
      <c r="A69" s="8" t="s">
        <v>20</v>
      </c>
      <c r="B69" s="8" t="s">
        <v>6</v>
      </c>
      <c r="C69" s="11">
        <v>2009.0</v>
      </c>
      <c r="D69" s="12">
        <v>326551.0</v>
      </c>
    </row>
    <row r="70">
      <c r="A70" s="8" t="s">
        <v>20</v>
      </c>
      <c r="B70" s="8" t="s">
        <v>6</v>
      </c>
      <c r="C70" s="11">
        <v>2010.0</v>
      </c>
      <c r="D70" s="12">
        <v>328258.0</v>
      </c>
    </row>
    <row r="71">
      <c r="A71" s="8" t="s">
        <v>20</v>
      </c>
      <c r="B71" s="8" t="s">
        <v>6</v>
      </c>
      <c r="C71" s="11">
        <v>2011.0</v>
      </c>
      <c r="D71" s="12">
        <v>330798.0</v>
      </c>
    </row>
    <row r="72">
      <c r="A72" s="8" t="s">
        <v>20</v>
      </c>
      <c r="B72" s="8" t="s">
        <v>6</v>
      </c>
      <c r="C72" s="11">
        <v>2012.0</v>
      </c>
      <c r="D72" s="12">
        <v>325267.0</v>
      </c>
    </row>
    <row r="73">
      <c r="A73" s="8" t="s">
        <v>20</v>
      </c>
      <c r="B73" s="8" t="s">
        <v>6</v>
      </c>
      <c r="C73" s="11">
        <v>2013.0</v>
      </c>
      <c r="D73" s="12">
        <v>316029.0</v>
      </c>
    </row>
    <row r="74">
      <c r="A74" s="8" t="s">
        <v>20</v>
      </c>
      <c r="B74" s="8" t="s">
        <v>6</v>
      </c>
      <c r="C74" s="11">
        <v>2014.0</v>
      </c>
      <c r="D74" s="12">
        <v>308532.0</v>
      </c>
    </row>
    <row r="75">
      <c r="A75" s="8" t="s">
        <v>20</v>
      </c>
      <c r="B75" s="8" t="s">
        <v>6</v>
      </c>
      <c r="C75" s="11">
        <v>2015.0</v>
      </c>
      <c r="D75" s="12">
        <v>303340.0</v>
      </c>
    </row>
    <row r="76">
      <c r="A76" s="8" t="s">
        <v>20</v>
      </c>
      <c r="B76" s="8" t="s">
        <v>6</v>
      </c>
      <c r="C76" s="11">
        <v>2016.0</v>
      </c>
      <c r="D76" s="12">
        <v>299318.0</v>
      </c>
    </row>
    <row r="77">
      <c r="A77" s="8" t="s">
        <v>20</v>
      </c>
      <c r="B77" s="8" t="s">
        <v>6</v>
      </c>
      <c r="C77" s="11">
        <v>2017.0</v>
      </c>
      <c r="D77" s="12">
        <v>300031.0</v>
      </c>
    </row>
    <row r="78">
      <c r="A78" s="8" t="s">
        <v>20</v>
      </c>
      <c r="B78" s="8" t="s">
        <v>6</v>
      </c>
      <c r="C78" s="11">
        <v>2018.0</v>
      </c>
      <c r="D78" s="12">
        <v>299106.0</v>
      </c>
    </row>
    <row r="79">
      <c r="A79" s="8" t="s">
        <v>20</v>
      </c>
      <c r="B79" s="8" t="s">
        <v>6</v>
      </c>
      <c r="C79" s="11">
        <v>2019.0</v>
      </c>
      <c r="D79" s="12">
        <v>300075.0</v>
      </c>
    </row>
    <row r="80">
      <c r="A80" s="8" t="s">
        <v>20</v>
      </c>
      <c r="B80" s="8" t="s">
        <v>6</v>
      </c>
      <c r="C80" s="11">
        <v>2020.0</v>
      </c>
      <c r="D80" s="12">
        <v>299338.0</v>
      </c>
    </row>
    <row r="81">
      <c r="A81" s="8" t="s">
        <v>20</v>
      </c>
      <c r="B81" s="8" t="s">
        <v>6</v>
      </c>
      <c r="C81" s="11">
        <v>2021.0</v>
      </c>
      <c r="D81" s="12">
        <v>298989.0</v>
      </c>
    </row>
    <row r="82">
      <c r="A82" s="8" t="s">
        <v>21</v>
      </c>
      <c r="B82" s="8" t="s">
        <v>7</v>
      </c>
      <c r="C82" s="11">
        <v>2002.0</v>
      </c>
      <c r="D82" s="12">
        <v>2350590.0</v>
      </c>
    </row>
    <row r="83">
      <c r="A83" s="8" t="s">
        <v>21</v>
      </c>
      <c r="B83" s="8" t="s">
        <v>7</v>
      </c>
      <c r="C83" s="11">
        <v>2003.0</v>
      </c>
      <c r="D83" s="12">
        <v>2339268.0</v>
      </c>
    </row>
    <row r="84">
      <c r="A84" s="8" t="s">
        <v>21</v>
      </c>
      <c r="B84" s="8" t="s">
        <v>7</v>
      </c>
      <c r="C84" s="11">
        <v>2004.0</v>
      </c>
      <c r="D84" s="12">
        <v>2326284.0</v>
      </c>
    </row>
    <row r="85">
      <c r="A85" s="8" t="s">
        <v>21</v>
      </c>
      <c r="B85" s="8" t="s">
        <v>7</v>
      </c>
      <c r="C85" s="11">
        <v>2005.0</v>
      </c>
      <c r="D85" s="12">
        <v>2312543.0</v>
      </c>
    </row>
    <row r="86">
      <c r="A86" s="8" t="s">
        <v>21</v>
      </c>
      <c r="B86" s="8" t="s">
        <v>7</v>
      </c>
      <c r="C86" s="11">
        <v>2006.0</v>
      </c>
      <c r="D86" s="12">
        <v>2296928.0</v>
      </c>
    </row>
    <row r="87">
      <c r="A87" s="8" t="s">
        <v>21</v>
      </c>
      <c r="B87" s="8" t="s">
        <v>7</v>
      </c>
      <c r="C87" s="11">
        <v>2007.0</v>
      </c>
      <c r="D87" s="12">
        <v>2286462.0</v>
      </c>
    </row>
    <row r="88">
      <c r="A88" s="8" t="s">
        <v>21</v>
      </c>
      <c r="B88" s="8" t="s">
        <v>7</v>
      </c>
      <c r="C88" s="11">
        <v>2008.0</v>
      </c>
      <c r="D88" s="12">
        <v>2279101.0</v>
      </c>
    </row>
    <row r="89">
      <c r="A89" s="8" t="s">
        <v>21</v>
      </c>
      <c r="B89" s="8" t="s">
        <v>7</v>
      </c>
      <c r="C89" s="11">
        <v>2009.0</v>
      </c>
      <c r="D89" s="12">
        <v>2273032.0</v>
      </c>
    </row>
    <row r="90">
      <c r="A90" s="8" t="s">
        <v>21</v>
      </c>
      <c r="B90" s="8" t="s">
        <v>7</v>
      </c>
      <c r="C90" s="11">
        <v>2010.0</v>
      </c>
      <c r="D90" s="12">
        <v>2268110.0</v>
      </c>
    </row>
    <row r="91">
      <c r="A91" s="8" t="s">
        <v>21</v>
      </c>
      <c r="B91" s="8" t="s">
        <v>7</v>
      </c>
      <c r="C91" s="11">
        <v>2011.0</v>
      </c>
      <c r="D91" s="12">
        <v>2273571.0</v>
      </c>
    </row>
    <row r="92">
      <c r="A92" s="8" t="s">
        <v>21</v>
      </c>
      <c r="B92" s="8" t="s">
        <v>7</v>
      </c>
      <c r="C92" s="11">
        <v>2012.0</v>
      </c>
      <c r="D92" s="12">
        <v>2273326.0</v>
      </c>
    </row>
    <row r="93">
      <c r="A93" s="8" t="s">
        <v>21</v>
      </c>
      <c r="B93" s="8" t="s">
        <v>7</v>
      </c>
      <c r="C93" s="11">
        <v>2013.0</v>
      </c>
      <c r="D93" s="12">
        <v>2267699.0</v>
      </c>
    </row>
    <row r="94">
      <c r="A94" s="8" t="s">
        <v>21</v>
      </c>
      <c r="B94" s="8" t="s">
        <v>7</v>
      </c>
      <c r="C94" s="11">
        <v>2014.0</v>
      </c>
      <c r="D94" s="12">
        <v>2222905.0</v>
      </c>
    </row>
    <row r="95">
      <c r="A95" s="8" t="s">
        <v>21</v>
      </c>
      <c r="B95" s="8" t="s">
        <v>7</v>
      </c>
      <c r="C95" s="11">
        <v>2015.0</v>
      </c>
      <c r="D95" s="12">
        <v>2159314.0</v>
      </c>
    </row>
    <row r="96">
      <c r="A96" s="8" t="s">
        <v>21</v>
      </c>
      <c r="B96" s="8" t="s">
        <v>7</v>
      </c>
      <c r="C96" s="11">
        <v>2016.0</v>
      </c>
      <c r="D96" s="12">
        <v>2116264.0</v>
      </c>
    </row>
    <row r="97">
      <c r="A97" s="8" t="s">
        <v>21</v>
      </c>
      <c r="B97" s="8" t="s">
        <v>7</v>
      </c>
      <c r="C97" s="11">
        <v>2017.0</v>
      </c>
      <c r="D97" s="12">
        <v>2081548.1</v>
      </c>
    </row>
    <row r="98">
      <c r="A98" s="8" t="s">
        <v>21</v>
      </c>
      <c r="B98" s="8" t="s">
        <v>7</v>
      </c>
      <c r="C98" s="11">
        <v>2018.0</v>
      </c>
      <c r="D98" s="12">
        <v>2042458.0</v>
      </c>
    </row>
    <row r="99">
      <c r="A99" s="8" t="s">
        <v>21</v>
      </c>
      <c r="B99" s="8" t="s">
        <v>7</v>
      </c>
      <c r="C99" s="11">
        <v>2019.0</v>
      </c>
      <c r="D99" s="12">
        <v>1965139.0</v>
      </c>
    </row>
    <row r="100">
      <c r="A100" s="8" t="s">
        <v>21</v>
      </c>
      <c r="B100" s="8" t="s">
        <v>7</v>
      </c>
      <c r="C100" s="11">
        <v>2020.0</v>
      </c>
      <c r="D100" s="12">
        <v>1961267.0</v>
      </c>
    </row>
    <row r="101">
      <c r="A101" s="8" t="s">
        <v>21</v>
      </c>
      <c r="B101" s="8" t="s">
        <v>7</v>
      </c>
      <c r="C101" s="11">
        <v>2021.0</v>
      </c>
      <c r="D101" s="12">
        <v>1882362.0</v>
      </c>
    </row>
    <row r="102">
      <c r="A102" s="8" t="s">
        <v>22</v>
      </c>
      <c r="B102" s="8" t="s">
        <v>8</v>
      </c>
      <c r="C102" s="11">
        <v>2002.0</v>
      </c>
      <c r="D102" s="12">
        <v>616261.0</v>
      </c>
    </row>
    <row r="103">
      <c r="A103" s="8" t="s">
        <v>22</v>
      </c>
      <c r="B103" s="8" t="s">
        <v>8</v>
      </c>
      <c r="C103" s="11">
        <v>2003.0</v>
      </c>
      <c r="D103" s="12">
        <v>615508.0</v>
      </c>
    </row>
    <row r="104">
      <c r="A104" s="8" t="s">
        <v>22</v>
      </c>
      <c r="B104" s="8" t="s">
        <v>8</v>
      </c>
      <c r="C104" s="11">
        <v>2004.0</v>
      </c>
      <c r="D104" s="12">
        <v>623674.0</v>
      </c>
    </row>
    <row r="105">
      <c r="A105" s="8" t="s">
        <v>22</v>
      </c>
      <c r="B105" s="8" t="s">
        <v>8</v>
      </c>
      <c r="C105" s="11">
        <v>2005.0</v>
      </c>
      <c r="D105" s="12">
        <v>631197.0</v>
      </c>
    </row>
    <row r="106">
      <c r="A106" s="8" t="s">
        <v>22</v>
      </c>
      <c r="B106" s="8" t="s">
        <v>8</v>
      </c>
      <c r="C106" s="11">
        <v>2006.0</v>
      </c>
      <c r="D106" s="12">
        <v>634801.0</v>
      </c>
    </row>
    <row r="107">
      <c r="A107" s="8" t="s">
        <v>22</v>
      </c>
      <c r="B107" s="8" t="s">
        <v>8</v>
      </c>
      <c r="C107" s="11">
        <v>2007.0</v>
      </c>
      <c r="D107" s="12">
        <v>632563.0</v>
      </c>
    </row>
    <row r="108">
      <c r="A108" s="8" t="s">
        <v>22</v>
      </c>
      <c r="B108" s="8" t="s">
        <v>8</v>
      </c>
      <c r="C108" s="11">
        <v>2008.0</v>
      </c>
      <c r="D108" s="12">
        <v>626301.0</v>
      </c>
    </row>
    <row r="109">
      <c r="A109" s="8" t="s">
        <v>22</v>
      </c>
      <c r="B109" s="8" t="s">
        <v>8</v>
      </c>
      <c r="C109" s="11">
        <v>2009.0</v>
      </c>
      <c r="D109" s="12">
        <v>623635.0</v>
      </c>
    </row>
    <row r="110">
      <c r="A110" s="8" t="s">
        <v>22</v>
      </c>
      <c r="B110" s="8" t="s">
        <v>8</v>
      </c>
      <c r="C110" s="11">
        <v>2010.0</v>
      </c>
      <c r="D110" s="12">
        <v>617632.0</v>
      </c>
    </row>
    <row r="111">
      <c r="A111" s="8" t="s">
        <v>22</v>
      </c>
      <c r="B111" s="8" t="s">
        <v>8</v>
      </c>
      <c r="C111" s="11">
        <v>2011.0</v>
      </c>
      <c r="D111" s="12">
        <v>613180.0</v>
      </c>
    </row>
    <row r="112">
      <c r="A112" s="8" t="s">
        <v>22</v>
      </c>
      <c r="B112" s="8" t="s">
        <v>8</v>
      </c>
      <c r="C112" s="11">
        <v>2012.0</v>
      </c>
      <c r="D112" s="12">
        <v>602813.0</v>
      </c>
    </row>
    <row r="113">
      <c r="A113" s="8" t="s">
        <v>22</v>
      </c>
      <c r="B113" s="8" t="s">
        <v>8</v>
      </c>
      <c r="C113" s="11">
        <v>2013.0</v>
      </c>
      <c r="D113" s="12">
        <v>592938.0</v>
      </c>
    </row>
    <row r="114">
      <c r="A114" s="8" t="s">
        <v>22</v>
      </c>
      <c r="B114" s="8" t="s">
        <v>8</v>
      </c>
      <c r="C114" s="11">
        <v>2014.0</v>
      </c>
      <c r="D114" s="12">
        <v>584699.0</v>
      </c>
    </row>
    <row r="115">
      <c r="A115" s="8" t="s">
        <v>22</v>
      </c>
      <c r="B115" s="8" t="s">
        <v>8</v>
      </c>
      <c r="C115" s="11">
        <v>2015.0</v>
      </c>
      <c r="D115" s="12">
        <v>577568.0</v>
      </c>
    </row>
    <row r="116">
      <c r="A116" s="8" t="s">
        <v>22</v>
      </c>
      <c r="B116" s="8" t="s">
        <v>8</v>
      </c>
      <c r="C116" s="11">
        <v>2016.0</v>
      </c>
      <c r="D116" s="12">
        <v>575208.0</v>
      </c>
    </row>
    <row r="117">
      <c r="A117" s="8" t="s">
        <v>22</v>
      </c>
      <c r="B117" s="8" t="s">
        <v>8</v>
      </c>
      <c r="C117" s="11">
        <v>2017.0</v>
      </c>
      <c r="D117" s="12">
        <v>576461.0</v>
      </c>
    </row>
    <row r="118">
      <c r="A118" s="8" t="s">
        <v>22</v>
      </c>
      <c r="B118" s="8" t="s">
        <v>8</v>
      </c>
      <c r="C118" s="11">
        <v>2018.0</v>
      </c>
      <c r="D118" s="12">
        <v>579697.0</v>
      </c>
    </row>
    <row r="119">
      <c r="A119" s="8" t="s">
        <v>22</v>
      </c>
      <c r="B119" s="8" t="s">
        <v>8</v>
      </c>
      <c r="C119" s="11">
        <v>2019.0</v>
      </c>
      <c r="D119" s="12">
        <v>591025.0</v>
      </c>
    </row>
    <row r="120">
      <c r="A120" s="8" t="s">
        <v>22</v>
      </c>
      <c r="B120" s="8" t="s">
        <v>8</v>
      </c>
      <c r="C120" s="11">
        <v>2020.0</v>
      </c>
      <c r="D120" s="12">
        <v>593207.0</v>
      </c>
    </row>
    <row r="121">
      <c r="A121" s="8" t="s">
        <v>22</v>
      </c>
      <c r="B121" s="8" t="s">
        <v>8</v>
      </c>
      <c r="C121" s="11">
        <v>2021.0</v>
      </c>
      <c r="D121" s="12">
        <v>593523.0</v>
      </c>
    </row>
    <row r="122">
      <c r="A122" s="8"/>
      <c r="B122" s="8"/>
      <c r="C122" s="8"/>
      <c r="D122" s="9"/>
    </row>
    <row r="123">
      <c r="A123" s="8"/>
      <c r="B123" s="8"/>
      <c r="C123" s="8"/>
      <c r="D123" s="9"/>
    </row>
    <row r="124">
      <c r="A124" s="8"/>
      <c r="B124" s="8"/>
      <c r="C124" s="8"/>
      <c r="D124" s="9"/>
    </row>
    <row r="125">
      <c r="A125" s="8"/>
      <c r="B125" s="8"/>
      <c r="C125" s="8"/>
      <c r="D125" s="9"/>
    </row>
    <row r="126">
      <c r="A126" s="8"/>
      <c r="B126" s="8"/>
      <c r="C126" s="8"/>
      <c r="D126" s="9"/>
    </row>
    <row r="127">
      <c r="A127" s="8"/>
      <c r="B127" s="8"/>
      <c r="C127" s="8"/>
      <c r="D127" s="9"/>
    </row>
    <row r="128">
      <c r="A128" s="8"/>
      <c r="B128" s="8"/>
      <c r="C128" s="8"/>
      <c r="D128" s="9"/>
    </row>
    <row r="129">
      <c r="A129" s="8"/>
      <c r="B129" s="8"/>
      <c r="C129" s="8"/>
      <c r="D129" s="9"/>
    </row>
    <row r="130">
      <c r="A130" s="8"/>
      <c r="B130" s="8"/>
      <c r="C130" s="8"/>
      <c r="D130" s="9"/>
    </row>
    <row r="131">
      <c r="A131" s="8"/>
      <c r="B131" s="8"/>
      <c r="C131" s="8"/>
      <c r="D131" s="9"/>
    </row>
    <row r="132">
      <c r="A132" s="8"/>
      <c r="B132" s="8"/>
      <c r="C132" s="8"/>
      <c r="D132" s="9"/>
    </row>
    <row r="133">
      <c r="A133" s="8"/>
      <c r="B133" s="8"/>
      <c r="C133" s="8"/>
      <c r="D133" s="9"/>
    </row>
    <row r="134">
      <c r="A134" s="8"/>
      <c r="B134" s="8"/>
      <c r="C134" s="8"/>
      <c r="D134" s="9"/>
    </row>
    <row r="135">
      <c r="A135" s="8"/>
      <c r="B135" s="8"/>
      <c r="C135" s="8"/>
      <c r="D135" s="9"/>
    </row>
    <row r="136">
      <c r="A136" s="8"/>
      <c r="B136" s="8"/>
      <c r="C136" s="8"/>
      <c r="D136" s="9"/>
    </row>
    <row r="137">
      <c r="A137" s="8"/>
      <c r="B137" s="8"/>
      <c r="C137" s="8"/>
      <c r="D137" s="9"/>
    </row>
    <row r="138">
      <c r="A138" s="8"/>
      <c r="B138" s="8"/>
      <c r="C138" s="8"/>
      <c r="D138" s="9"/>
    </row>
    <row r="139">
      <c r="A139" s="8"/>
      <c r="B139" s="8"/>
      <c r="C139" s="8"/>
      <c r="D139" s="9"/>
    </row>
    <row r="140">
      <c r="A140" s="8"/>
      <c r="B140" s="8"/>
      <c r="C140" s="8"/>
      <c r="D140" s="9"/>
    </row>
    <row r="141">
      <c r="A141" s="8"/>
      <c r="B141" s="8"/>
      <c r="C141" s="8"/>
      <c r="D141" s="9"/>
    </row>
    <row r="142">
      <c r="A142" s="8"/>
      <c r="B142" s="8"/>
      <c r="C142" s="8"/>
      <c r="D142" s="9"/>
    </row>
    <row r="143">
      <c r="A143" s="8"/>
      <c r="B143" s="8"/>
      <c r="C143" s="8"/>
      <c r="D143" s="9"/>
    </row>
    <row r="144">
      <c r="A144" s="8"/>
      <c r="B144" s="8"/>
      <c r="C144" s="8"/>
      <c r="D144" s="9"/>
    </row>
    <row r="145">
      <c r="A145" s="8"/>
      <c r="B145" s="8"/>
      <c r="C145" s="8"/>
      <c r="D145" s="9"/>
    </row>
    <row r="146">
      <c r="A146" s="8"/>
      <c r="B146" s="8"/>
      <c r="C146" s="8"/>
      <c r="D146" s="9"/>
    </row>
    <row r="147">
      <c r="A147" s="8"/>
      <c r="B147" s="8"/>
      <c r="C147" s="8"/>
      <c r="D147" s="9"/>
    </row>
    <row r="148">
      <c r="A148" s="8"/>
      <c r="B148" s="8"/>
      <c r="C148" s="8"/>
      <c r="D148" s="9"/>
    </row>
    <row r="149">
      <c r="A149" s="8"/>
      <c r="B149" s="8"/>
      <c r="C149" s="8"/>
      <c r="D149" s="9"/>
    </row>
    <row r="150">
      <c r="A150" s="8"/>
      <c r="B150" s="8"/>
      <c r="C150" s="8"/>
      <c r="D150" s="9"/>
    </row>
    <row r="151">
      <c r="A151" s="8"/>
      <c r="B151" s="8"/>
      <c r="C151" s="8"/>
      <c r="D151" s="9"/>
    </row>
    <row r="152">
      <c r="A152" s="8"/>
      <c r="B152" s="8"/>
      <c r="C152" s="8"/>
      <c r="D152" s="9"/>
    </row>
    <row r="153">
      <c r="A153" s="8"/>
      <c r="B153" s="8"/>
      <c r="C153" s="8"/>
      <c r="D153" s="9"/>
    </row>
    <row r="154">
      <c r="A154" s="8"/>
      <c r="B154" s="8"/>
      <c r="C154" s="8"/>
      <c r="D154" s="9"/>
    </row>
    <row r="155">
      <c r="A155" s="8"/>
      <c r="B155" s="8"/>
      <c r="C155" s="8"/>
      <c r="D155" s="9"/>
    </row>
    <row r="156">
      <c r="A156" s="8"/>
      <c r="B156" s="8"/>
      <c r="C156" s="8"/>
      <c r="D156" s="9"/>
    </row>
    <row r="157">
      <c r="A157" s="8"/>
      <c r="B157" s="8"/>
      <c r="C157" s="8"/>
      <c r="D157" s="9"/>
    </row>
    <row r="158">
      <c r="A158" s="8"/>
      <c r="B158" s="8"/>
      <c r="C158" s="8"/>
      <c r="D158" s="9"/>
    </row>
    <row r="159">
      <c r="A159" s="8"/>
      <c r="B159" s="8"/>
      <c r="C159" s="8"/>
      <c r="D159" s="9"/>
    </row>
    <row r="160">
      <c r="A160" s="8"/>
      <c r="B160" s="8"/>
      <c r="C160" s="8"/>
      <c r="D160" s="9"/>
    </row>
    <row r="161">
      <c r="A161" s="8"/>
      <c r="B161" s="8"/>
      <c r="C161" s="8"/>
      <c r="D161" s="9"/>
    </row>
    <row r="162">
      <c r="A162" s="8"/>
      <c r="B162" s="8"/>
      <c r="C162" s="8"/>
      <c r="D162" s="9"/>
    </row>
    <row r="163">
      <c r="A163" s="8"/>
      <c r="B163" s="8"/>
      <c r="C163" s="8"/>
      <c r="D163" s="9"/>
    </row>
    <row r="164">
      <c r="A164" s="8"/>
      <c r="B164" s="8"/>
      <c r="C164" s="8"/>
      <c r="D164" s="9"/>
    </row>
    <row r="165">
      <c r="A165" s="8"/>
      <c r="B165" s="8"/>
      <c r="C165" s="8"/>
      <c r="D165" s="9"/>
    </row>
    <row r="166">
      <c r="A166" s="8"/>
      <c r="B166" s="8"/>
      <c r="C166" s="8"/>
      <c r="D166" s="9"/>
    </row>
    <row r="167">
      <c r="A167" s="8"/>
      <c r="B167" s="8"/>
      <c r="C167" s="8"/>
      <c r="D167" s="9"/>
    </row>
    <row r="168">
      <c r="A168" s="8"/>
      <c r="B168" s="8"/>
      <c r="C168" s="8"/>
      <c r="D168" s="9"/>
    </row>
    <row r="169">
      <c r="A169" s="8"/>
      <c r="B169" s="8"/>
      <c r="C169" s="8"/>
      <c r="D169" s="9"/>
    </row>
    <row r="170">
      <c r="A170" s="8"/>
      <c r="B170" s="8"/>
      <c r="C170" s="8"/>
      <c r="D170" s="9"/>
    </row>
    <row r="171">
      <c r="A171" s="8"/>
      <c r="B171" s="8"/>
      <c r="C171" s="8"/>
      <c r="D171" s="9"/>
    </row>
    <row r="172">
      <c r="A172" s="8"/>
      <c r="B172" s="8"/>
      <c r="C172" s="8"/>
      <c r="D172" s="9"/>
    </row>
    <row r="173">
      <c r="A173" s="8"/>
      <c r="B173" s="8"/>
      <c r="C173" s="8"/>
      <c r="D173" s="9"/>
    </row>
    <row r="174">
      <c r="A174" s="8"/>
      <c r="B174" s="8"/>
      <c r="C174" s="8"/>
      <c r="D174" s="9"/>
    </row>
    <row r="175">
      <c r="A175" s="8"/>
      <c r="B175" s="8"/>
      <c r="C175" s="8"/>
      <c r="D175" s="9"/>
    </row>
    <row r="176">
      <c r="A176" s="8"/>
      <c r="B176" s="8"/>
      <c r="C176" s="8"/>
      <c r="D176" s="9"/>
    </row>
    <row r="177">
      <c r="A177" s="8"/>
      <c r="B177" s="8"/>
      <c r="C177" s="8"/>
      <c r="D177" s="9"/>
    </row>
    <row r="178">
      <c r="A178" s="8"/>
      <c r="B178" s="8"/>
      <c r="C178" s="8"/>
      <c r="D178" s="9"/>
    </row>
    <row r="179">
      <c r="A179" s="8"/>
      <c r="B179" s="8"/>
      <c r="C179" s="8"/>
      <c r="D179" s="9"/>
    </row>
    <row r="180">
      <c r="A180" s="8"/>
      <c r="B180" s="8"/>
      <c r="C180" s="8"/>
      <c r="D180" s="9"/>
    </row>
    <row r="181">
      <c r="A181" s="8"/>
      <c r="B181" s="8"/>
      <c r="C181" s="8"/>
      <c r="D181" s="9"/>
    </row>
    <row r="182">
      <c r="A182" s="8"/>
      <c r="B182" s="8"/>
      <c r="C182" s="8"/>
      <c r="D182" s="9"/>
    </row>
    <row r="183">
      <c r="A183" s="8"/>
      <c r="B183" s="8"/>
      <c r="C183" s="8"/>
      <c r="D183" s="9"/>
    </row>
    <row r="184">
      <c r="A184" s="8"/>
      <c r="B184" s="8"/>
      <c r="C184" s="8"/>
      <c r="D184" s="9"/>
    </row>
    <row r="185">
      <c r="A185" s="8"/>
      <c r="B185" s="8"/>
      <c r="C185" s="8"/>
      <c r="D185" s="9"/>
    </row>
    <row r="186">
      <c r="A186" s="8"/>
      <c r="B186" s="8"/>
      <c r="C186" s="8"/>
      <c r="D186" s="9"/>
    </row>
    <row r="187">
      <c r="A187" s="8"/>
      <c r="B187" s="8"/>
      <c r="C187" s="8"/>
      <c r="D187" s="9"/>
    </row>
    <row r="188">
      <c r="A188" s="8"/>
      <c r="B188" s="8"/>
      <c r="C188" s="8"/>
      <c r="D188" s="9"/>
    </row>
    <row r="189">
      <c r="A189" s="8"/>
      <c r="B189" s="8"/>
      <c r="C189" s="8"/>
      <c r="D189" s="9"/>
    </row>
    <row r="190">
      <c r="A190" s="8"/>
      <c r="B190" s="8"/>
      <c r="C190" s="8"/>
      <c r="D190" s="9"/>
    </row>
    <row r="191">
      <c r="A191" s="8"/>
      <c r="B191" s="8"/>
      <c r="C191" s="8"/>
      <c r="D191" s="9"/>
    </row>
    <row r="192">
      <c r="A192" s="8"/>
      <c r="B192" s="8"/>
      <c r="C192" s="8"/>
      <c r="D192" s="9"/>
    </row>
    <row r="193">
      <c r="A193" s="8"/>
      <c r="B193" s="8"/>
      <c r="C193" s="8"/>
      <c r="D193" s="9"/>
    </row>
    <row r="194">
      <c r="A194" s="8"/>
      <c r="B194" s="8"/>
      <c r="C194" s="8"/>
      <c r="D194" s="9"/>
    </row>
    <row r="195">
      <c r="A195" s="8"/>
      <c r="B195" s="8"/>
      <c r="C195" s="8"/>
      <c r="D195" s="9"/>
    </row>
    <row r="196">
      <c r="A196" s="8"/>
      <c r="B196" s="8"/>
      <c r="C196" s="8"/>
      <c r="D196" s="9"/>
    </row>
    <row r="197">
      <c r="A197" s="8"/>
      <c r="B197" s="8"/>
      <c r="C197" s="8"/>
      <c r="D197" s="9"/>
    </row>
    <row r="198">
      <c r="A198" s="8"/>
      <c r="B198" s="8"/>
      <c r="C198" s="8"/>
      <c r="D198" s="9"/>
    </row>
    <row r="199">
      <c r="A199" s="8"/>
      <c r="B199" s="8"/>
      <c r="C199" s="8"/>
      <c r="D199" s="9"/>
    </row>
    <row r="200">
      <c r="A200" s="8"/>
      <c r="B200" s="8"/>
      <c r="C200" s="8"/>
      <c r="D200" s="9"/>
    </row>
    <row r="201">
      <c r="A201" s="8"/>
      <c r="B201" s="8"/>
      <c r="C201" s="8"/>
      <c r="D201" s="9"/>
    </row>
    <row r="202">
      <c r="A202" s="8"/>
      <c r="B202" s="8"/>
      <c r="C202" s="8"/>
      <c r="D202" s="9"/>
    </row>
    <row r="203">
      <c r="A203" s="8"/>
      <c r="B203" s="8"/>
      <c r="C203" s="8"/>
      <c r="D203" s="9"/>
    </row>
    <row r="204">
      <c r="A204" s="8"/>
      <c r="B204" s="8"/>
      <c r="C204" s="8"/>
      <c r="D204" s="9"/>
    </row>
    <row r="205">
      <c r="A205" s="8"/>
      <c r="B205" s="8"/>
      <c r="C205" s="8"/>
      <c r="D205" s="9"/>
    </row>
    <row r="206">
      <c r="A206" s="8"/>
      <c r="B206" s="8"/>
      <c r="C206" s="8"/>
      <c r="D206" s="9"/>
    </row>
    <row r="207">
      <c r="A207" s="8"/>
      <c r="B207" s="8"/>
      <c r="C207" s="8"/>
      <c r="D207" s="9"/>
    </row>
    <row r="208">
      <c r="A208" s="8"/>
      <c r="B208" s="8"/>
      <c r="C208" s="8"/>
      <c r="D208" s="9"/>
    </row>
    <row r="209">
      <c r="A209" s="8"/>
      <c r="B209" s="8"/>
      <c r="C209" s="8"/>
      <c r="D209" s="9"/>
    </row>
    <row r="210">
      <c r="A210" s="8"/>
      <c r="B210" s="8"/>
      <c r="C210" s="8"/>
      <c r="D210" s="9"/>
    </row>
    <row r="211">
      <c r="A211" s="8"/>
      <c r="B211" s="8"/>
      <c r="C211" s="8"/>
      <c r="D211" s="9"/>
    </row>
    <row r="212">
      <c r="A212" s="8"/>
      <c r="B212" s="8"/>
      <c r="C212" s="8"/>
      <c r="D212" s="9"/>
    </row>
    <row r="213">
      <c r="A213" s="8"/>
      <c r="B213" s="8"/>
      <c r="C213" s="8"/>
      <c r="D213" s="9"/>
    </row>
    <row r="214">
      <c r="A214" s="8"/>
      <c r="B214" s="8"/>
      <c r="C214" s="8"/>
      <c r="D214" s="9"/>
    </row>
    <row r="215">
      <c r="A215" s="8"/>
      <c r="B215" s="8"/>
      <c r="C215" s="8"/>
      <c r="D215" s="9"/>
    </row>
    <row r="216">
      <c r="A216" s="8"/>
      <c r="B216" s="8"/>
      <c r="C216" s="8"/>
      <c r="D216" s="9"/>
    </row>
    <row r="217">
      <c r="A217" s="8"/>
      <c r="B217" s="8"/>
      <c r="C217" s="8"/>
      <c r="D217" s="9"/>
    </row>
    <row r="218">
      <c r="A218" s="8"/>
      <c r="B218" s="8"/>
      <c r="C218" s="8"/>
      <c r="D218" s="9"/>
    </row>
    <row r="219">
      <c r="A219" s="8"/>
      <c r="B219" s="8"/>
      <c r="C219" s="8"/>
      <c r="D219" s="9"/>
    </row>
    <row r="220">
      <c r="A220" s="8"/>
      <c r="B220" s="8"/>
      <c r="C220" s="8"/>
      <c r="D220" s="9"/>
    </row>
    <row r="221">
      <c r="A221" s="8"/>
      <c r="B221" s="8"/>
      <c r="C221" s="8"/>
      <c r="D221" s="9"/>
    </row>
    <row r="222">
      <c r="A222" s="8"/>
      <c r="B222" s="8"/>
      <c r="C222" s="8"/>
      <c r="D222" s="9"/>
    </row>
    <row r="223">
      <c r="A223" s="8"/>
      <c r="B223" s="8"/>
      <c r="C223" s="8"/>
      <c r="D223" s="9"/>
    </row>
    <row r="224">
      <c r="A224" s="8"/>
      <c r="B224" s="8"/>
      <c r="C224" s="8"/>
      <c r="D224" s="9"/>
    </row>
    <row r="225">
      <c r="A225" s="8"/>
      <c r="B225" s="8"/>
      <c r="C225" s="8"/>
      <c r="D225" s="9"/>
    </row>
    <row r="226">
      <c r="A226" s="8"/>
      <c r="B226" s="8"/>
      <c r="C226" s="8"/>
      <c r="D226" s="9"/>
    </row>
    <row r="227">
      <c r="A227" s="8"/>
      <c r="B227" s="8"/>
      <c r="C227" s="8"/>
      <c r="D227" s="9"/>
    </row>
    <row r="228">
      <c r="A228" s="8"/>
      <c r="B228" s="8"/>
      <c r="C228" s="8"/>
      <c r="D228" s="9"/>
    </row>
    <row r="229">
      <c r="A229" s="8"/>
      <c r="B229" s="8"/>
      <c r="C229" s="8"/>
      <c r="D229" s="9"/>
    </row>
    <row r="230">
      <c r="A230" s="8"/>
      <c r="B230" s="8"/>
      <c r="C230" s="8"/>
      <c r="D230" s="9"/>
    </row>
    <row r="231">
      <c r="A231" s="8"/>
      <c r="B231" s="8"/>
      <c r="C231" s="8"/>
      <c r="D231" s="9"/>
    </row>
    <row r="232">
      <c r="A232" s="8"/>
      <c r="B232" s="8"/>
      <c r="C232" s="8"/>
      <c r="D232" s="9"/>
    </row>
    <row r="233">
      <c r="A233" s="8"/>
      <c r="B233" s="8"/>
      <c r="C233" s="8"/>
      <c r="D233" s="9"/>
    </row>
    <row r="234">
      <c r="A234" s="8"/>
      <c r="B234" s="8"/>
      <c r="C234" s="8"/>
      <c r="D234" s="9"/>
    </row>
    <row r="235">
      <c r="A235" s="8"/>
      <c r="B235" s="8"/>
      <c r="C235" s="8"/>
      <c r="D235" s="9"/>
    </row>
    <row r="236">
      <c r="A236" s="8"/>
      <c r="B236" s="8"/>
      <c r="C236" s="8"/>
      <c r="D236" s="9"/>
    </row>
    <row r="237">
      <c r="A237" s="8"/>
      <c r="B237" s="8"/>
      <c r="C237" s="8"/>
      <c r="D237" s="9"/>
    </row>
    <row r="238">
      <c r="A238" s="8"/>
      <c r="B238" s="8"/>
      <c r="C238" s="8"/>
      <c r="D238" s="9"/>
    </row>
    <row r="239">
      <c r="A239" s="8"/>
      <c r="B239" s="8"/>
      <c r="C239" s="8"/>
      <c r="D239" s="9"/>
    </row>
    <row r="240">
      <c r="A240" s="8"/>
      <c r="B240" s="8"/>
      <c r="C240" s="8"/>
      <c r="D240" s="9"/>
    </row>
    <row r="241">
      <c r="A241" s="8"/>
      <c r="B241" s="8"/>
      <c r="C241" s="8"/>
      <c r="D241" s="9"/>
    </row>
    <row r="242">
      <c r="A242" s="8"/>
      <c r="B242" s="8"/>
      <c r="C242" s="8"/>
      <c r="D242" s="9"/>
    </row>
    <row r="243">
      <c r="A243" s="8"/>
      <c r="B243" s="8"/>
      <c r="C243" s="8"/>
      <c r="D243" s="9"/>
    </row>
    <row r="244">
      <c r="A244" s="8"/>
      <c r="B244" s="8"/>
      <c r="C244" s="8"/>
      <c r="D244" s="9"/>
    </row>
    <row r="245">
      <c r="A245" s="8"/>
      <c r="B245" s="8"/>
      <c r="C245" s="8"/>
      <c r="D245" s="9"/>
    </row>
    <row r="246">
      <c r="A246" s="8"/>
      <c r="B246" s="8"/>
      <c r="C246" s="8"/>
      <c r="D246" s="9"/>
    </row>
    <row r="247">
      <c r="A247" s="8"/>
      <c r="B247" s="8"/>
      <c r="C247" s="8"/>
      <c r="D247" s="9"/>
    </row>
    <row r="248">
      <c r="A248" s="8"/>
      <c r="B248" s="8"/>
      <c r="C248" s="8"/>
      <c r="D248" s="9"/>
    </row>
    <row r="249">
      <c r="A249" s="8"/>
      <c r="B249" s="8"/>
      <c r="C249" s="8"/>
      <c r="D249" s="9"/>
    </row>
    <row r="250">
      <c r="A250" s="8"/>
      <c r="B250" s="8"/>
      <c r="C250" s="8"/>
      <c r="D250" s="9"/>
    </row>
    <row r="251">
      <c r="A251" s="8"/>
      <c r="B251" s="8"/>
      <c r="C251" s="8"/>
      <c r="D251" s="9"/>
    </row>
    <row r="252">
      <c r="A252" s="8"/>
      <c r="B252" s="8"/>
      <c r="C252" s="8"/>
      <c r="D252" s="9"/>
    </row>
    <row r="253">
      <c r="A253" s="8"/>
      <c r="B253" s="8"/>
      <c r="C253" s="8"/>
      <c r="D253" s="9"/>
    </row>
    <row r="254">
      <c r="A254" s="8"/>
      <c r="B254" s="8"/>
      <c r="C254" s="8"/>
      <c r="D254" s="9"/>
    </row>
    <row r="255">
      <c r="A255" s="8"/>
      <c r="B255" s="8"/>
      <c r="C255" s="8"/>
      <c r="D255" s="9"/>
    </row>
    <row r="256">
      <c r="A256" s="8"/>
      <c r="B256" s="8"/>
      <c r="C256" s="8"/>
      <c r="D256" s="9"/>
    </row>
    <row r="257">
      <c r="A257" s="8"/>
      <c r="B257" s="8"/>
      <c r="C257" s="8"/>
      <c r="D257" s="9"/>
    </row>
    <row r="258">
      <c r="A258" s="8"/>
      <c r="B258" s="8"/>
      <c r="C258" s="8"/>
      <c r="D258" s="9"/>
    </row>
    <row r="259">
      <c r="A259" s="8"/>
      <c r="B259" s="8"/>
      <c r="C259" s="8"/>
      <c r="D259" s="9"/>
    </row>
    <row r="260">
      <c r="A260" s="8"/>
      <c r="B260" s="8"/>
      <c r="C260" s="8"/>
      <c r="D260" s="9"/>
    </row>
    <row r="261">
      <c r="A261" s="8"/>
      <c r="B261" s="8"/>
      <c r="C261" s="8"/>
      <c r="D261" s="9"/>
    </row>
    <row r="262">
      <c r="A262" s="8"/>
      <c r="B262" s="8"/>
      <c r="C262" s="8"/>
      <c r="D262" s="9"/>
    </row>
    <row r="263">
      <c r="A263" s="8"/>
      <c r="B263" s="8"/>
      <c r="C263" s="8"/>
      <c r="D263" s="9"/>
    </row>
    <row r="264">
      <c r="A264" s="8"/>
      <c r="B264" s="8"/>
      <c r="C264" s="8"/>
      <c r="D264" s="9"/>
    </row>
    <row r="265">
      <c r="A265" s="8"/>
      <c r="B265" s="8"/>
      <c r="C265" s="8"/>
      <c r="D265" s="9"/>
    </row>
    <row r="266">
      <c r="A266" s="8"/>
      <c r="B266" s="8"/>
      <c r="C266" s="8"/>
      <c r="D266" s="9"/>
    </row>
    <row r="267">
      <c r="A267" s="8"/>
      <c r="B267" s="8"/>
      <c r="C267" s="8"/>
      <c r="D267" s="9"/>
    </row>
    <row r="268">
      <c r="A268" s="8"/>
      <c r="B268" s="8"/>
      <c r="C268" s="8"/>
      <c r="D268" s="9"/>
    </row>
    <row r="269">
      <c r="A269" s="8"/>
      <c r="B269" s="8"/>
      <c r="C269" s="8"/>
      <c r="D269" s="9"/>
    </row>
    <row r="270">
      <c r="A270" s="8"/>
      <c r="B270" s="8"/>
      <c r="C270" s="8"/>
      <c r="D270" s="9"/>
    </row>
    <row r="271">
      <c r="A271" s="8"/>
      <c r="B271" s="8"/>
      <c r="C271" s="8"/>
      <c r="D271" s="9"/>
    </row>
    <row r="272">
      <c r="A272" s="8"/>
      <c r="B272" s="8"/>
      <c r="C272" s="8"/>
      <c r="D272" s="9"/>
    </row>
    <row r="273">
      <c r="A273" s="8"/>
      <c r="B273" s="8"/>
      <c r="C273" s="8"/>
      <c r="D273" s="9"/>
    </row>
    <row r="274">
      <c r="A274" s="8"/>
      <c r="B274" s="8"/>
      <c r="C274" s="8"/>
      <c r="D274" s="9"/>
    </row>
    <row r="275">
      <c r="A275" s="8"/>
      <c r="B275" s="8"/>
      <c r="C275" s="8"/>
      <c r="D275" s="9"/>
    </row>
    <row r="276">
      <c r="A276" s="8"/>
      <c r="B276" s="8"/>
      <c r="C276" s="8"/>
      <c r="D276" s="9"/>
    </row>
    <row r="277">
      <c r="A277" s="8"/>
      <c r="B277" s="8"/>
      <c r="C277" s="8"/>
      <c r="D277" s="9"/>
    </row>
    <row r="278">
      <c r="A278" s="8"/>
      <c r="B278" s="8"/>
      <c r="C278" s="8"/>
      <c r="D278" s="9"/>
    </row>
    <row r="279">
      <c r="A279" s="8"/>
      <c r="B279" s="8"/>
      <c r="C279" s="8"/>
      <c r="D279" s="9"/>
    </row>
    <row r="280">
      <c r="A280" s="8"/>
      <c r="B280" s="8"/>
      <c r="C280" s="8"/>
      <c r="D280" s="9"/>
    </row>
    <row r="281">
      <c r="A281" s="8"/>
      <c r="B281" s="8"/>
      <c r="C281" s="8"/>
      <c r="D281" s="9"/>
    </row>
    <row r="282">
      <c r="A282" s="8"/>
      <c r="B282" s="8"/>
      <c r="C282" s="8"/>
      <c r="D282" s="9"/>
    </row>
    <row r="283">
      <c r="A283" s="8"/>
      <c r="B283" s="8"/>
      <c r="C283" s="8"/>
      <c r="D283" s="9"/>
    </row>
    <row r="284">
      <c r="A284" s="8"/>
      <c r="B284" s="8"/>
      <c r="C284" s="8"/>
      <c r="D284" s="9"/>
    </row>
    <row r="285">
      <c r="A285" s="8"/>
      <c r="B285" s="8"/>
      <c r="C285" s="8"/>
      <c r="D285" s="9"/>
    </row>
    <row r="286">
      <c r="A286" s="8"/>
      <c r="B286" s="8"/>
      <c r="C286" s="8"/>
      <c r="D286" s="9"/>
    </row>
    <row r="287">
      <c r="A287" s="8"/>
      <c r="B287" s="8"/>
      <c r="C287" s="8"/>
      <c r="D287" s="9"/>
    </row>
    <row r="288">
      <c r="A288" s="8"/>
      <c r="B288" s="8"/>
      <c r="C288" s="8"/>
      <c r="D288" s="9"/>
    </row>
    <row r="289">
      <c r="A289" s="8"/>
      <c r="B289" s="8"/>
      <c r="C289" s="8"/>
      <c r="D289" s="9"/>
    </row>
    <row r="290">
      <c r="A290" s="8"/>
      <c r="B290" s="8"/>
      <c r="C290" s="8"/>
      <c r="D290" s="9"/>
    </row>
    <row r="291">
      <c r="A291" s="8"/>
      <c r="B291" s="8"/>
      <c r="C291" s="8"/>
      <c r="D291" s="9"/>
    </row>
    <row r="292">
      <c r="A292" s="8"/>
      <c r="B292" s="8"/>
      <c r="C292" s="8"/>
      <c r="D292" s="9"/>
    </row>
    <row r="293">
      <c r="A293" s="8"/>
      <c r="B293" s="8"/>
      <c r="C293" s="8"/>
      <c r="D293" s="9"/>
    </row>
    <row r="294">
      <c r="A294" s="8"/>
      <c r="B294" s="8"/>
      <c r="C294" s="8"/>
      <c r="D294" s="9"/>
    </row>
    <row r="295">
      <c r="A295" s="8"/>
      <c r="B295" s="8"/>
      <c r="C295" s="8"/>
      <c r="D295" s="9"/>
    </row>
    <row r="296">
      <c r="A296" s="8"/>
      <c r="B296" s="8"/>
      <c r="C296" s="8"/>
      <c r="D296" s="9"/>
    </row>
    <row r="297">
      <c r="A297" s="8"/>
      <c r="B297" s="8"/>
      <c r="C297" s="8"/>
      <c r="D297" s="9"/>
    </row>
    <row r="298">
      <c r="A298" s="8"/>
      <c r="B298" s="8"/>
      <c r="C298" s="8"/>
      <c r="D298" s="9"/>
    </row>
    <row r="299">
      <c r="A299" s="8"/>
      <c r="B299" s="8"/>
      <c r="C299" s="8"/>
      <c r="D299" s="9"/>
    </row>
    <row r="300">
      <c r="A300" s="8"/>
      <c r="B300" s="8"/>
      <c r="C300" s="8"/>
      <c r="D300" s="9"/>
    </row>
    <row r="301">
      <c r="A301" s="8"/>
      <c r="B301" s="8"/>
      <c r="C301" s="8"/>
      <c r="D301" s="9"/>
    </row>
    <row r="302">
      <c r="A302" s="8"/>
      <c r="B302" s="8"/>
      <c r="C302" s="8"/>
      <c r="D302" s="9"/>
    </row>
    <row r="303">
      <c r="A303" s="8"/>
      <c r="B303" s="8"/>
      <c r="C303" s="8"/>
      <c r="D303" s="9"/>
    </row>
    <row r="304">
      <c r="A304" s="8"/>
      <c r="B304" s="8"/>
      <c r="C304" s="8"/>
      <c r="D304" s="9"/>
    </row>
    <row r="305">
      <c r="A305" s="8"/>
      <c r="B305" s="8"/>
      <c r="C305" s="8"/>
      <c r="D305" s="9"/>
    </row>
    <row r="306">
      <c r="A306" s="8"/>
      <c r="B306" s="8"/>
      <c r="C306" s="8"/>
      <c r="D306" s="9"/>
    </row>
    <row r="307">
      <c r="A307" s="8"/>
      <c r="B307" s="8"/>
      <c r="C307" s="8"/>
      <c r="D307" s="9"/>
    </row>
    <row r="308">
      <c r="A308" s="8"/>
      <c r="B308" s="8"/>
      <c r="C308" s="8"/>
      <c r="D308" s="9"/>
    </row>
    <row r="309">
      <c r="A309" s="8"/>
      <c r="B309" s="8"/>
      <c r="C309" s="8"/>
      <c r="D309" s="9"/>
    </row>
    <row r="310">
      <c r="A310" s="8"/>
      <c r="B310" s="8"/>
      <c r="C310" s="8"/>
      <c r="D310" s="9"/>
    </row>
    <row r="311">
      <c r="A311" s="8"/>
      <c r="B311" s="8"/>
      <c r="C311" s="8"/>
      <c r="D311" s="9"/>
    </row>
    <row r="312">
      <c r="A312" s="8"/>
      <c r="B312" s="8"/>
      <c r="C312" s="8"/>
      <c r="D312" s="9"/>
    </row>
    <row r="313">
      <c r="A313" s="8"/>
      <c r="B313" s="8"/>
      <c r="C313" s="8"/>
      <c r="D313" s="9"/>
    </row>
    <row r="314">
      <c r="A314" s="8"/>
      <c r="B314" s="8"/>
      <c r="C314" s="8"/>
      <c r="D314" s="9"/>
    </row>
    <row r="315">
      <c r="A315" s="8"/>
      <c r="B315" s="8"/>
      <c r="C315" s="8"/>
      <c r="D315" s="9"/>
    </row>
    <row r="316">
      <c r="A316" s="8"/>
      <c r="B316" s="8"/>
      <c r="C316" s="8"/>
      <c r="D316" s="9"/>
    </row>
    <row r="317">
      <c r="A317" s="8"/>
      <c r="B317" s="8"/>
      <c r="C317" s="8"/>
      <c r="D317" s="9"/>
    </row>
    <row r="318">
      <c r="A318" s="8"/>
      <c r="B318" s="8"/>
      <c r="C318" s="8"/>
      <c r="D318" s="9"/>
    </row>
    <row r="319">
      <c r="A319" s="8"/>
      <c r="B319" s="8"/>
      <c r="C319" s="8"/>
      <c r="D319" s="9"/>
    </row>
    <row r="320">
      <c r="A320" s="8"/>
      <c r="B320" s="8"/>
      <c r="C320" s="8"/>
      <c r="D320" s="9"/>
    </row>
    <row r="321">
      <c r="A321" s="8"/>
      <c r="B321" s="8"/>
      <c r="C321" s="8"/>
      <c r="D321" s="9"/>
    </row>
    <row r="322">
      <c r="A322" s="8"/>
      <c r="B322" s="8"/>
      <c r="C322" s="8"/>
      <c r="D322" s="9"/>
    </row>
    <row r="323">
      <c r="A323" s="8"/>
      <c r="B323" s="8"/>
      <c r="C323" s="8"/>
      <c r="D323" s="9"/>
    </row>
    <row r="324">
      <c r="A324" s="8"/>
      <c r="B324" s="8"/>
      <c r="C324" s="8"/>
      <c r="D324" s="9"/>
    </row>
    <row r="325">
      <c r="A325" s="8"/>
      <c r="B325" s="8"/>
      <c r="C325" s="8"/>
      <c r="D325" s="9"/>
    </row>
    <row r="326">
      <c r="A326" s="8"/>
      <c r="B326" s="8"/>
      <c r="C326" s="8"/>
      <c r="D326" s="9"/>
    </row>
    <row r="327">
      <c r="A327" s="8"/>
      <c r="B327" s="8"/>
      <c r="C327" s="8"/>
      <c r="D327" s="9"/>
    </row>
    <row r="328">
      <c r="A328" s="8"/>
      <c r="B328" s="8"/>
      <c r="C328" s="8"/>
      <c r="D328" s="9"/>
    </row>
    <row r="329">
      <c r="A329" s="8"/>
      <c r="B329" s="8"/>
      <c r="C329" s="8"/>
      <c r="D329" s="9"/>
    </row>
    <row r="330">
      <c r="A330" s="8"/>
      <c r="B330" s="8"/>
      <c r="C330" s="8"/>
      <c r="D330" s="9"/>
    </row>
    <row r="331">
      <c r="A331" s="8"/>
      <c r="B331" s="8"/>
      <c r="C331" s="8"/>
      <c r="D331" s="9"/>
    </row>
    <row r="332">
      <c r="A332" s="8"/>
      <c r="B332" s="8"/>
      <c r="C332" s="8"/>
      <c r="D332" s="9"/>
    </row>
    <row r="333">
      <c r="A333" s="8"/>
      <c r="B333" s="8"/>
      <c r="C333" s="8"/>
      <c r="D333" s="9"/>
    </row>
    <row r="334">
      <c r="A334" s="8"/>
      <c r="B334" s="8"/>
      <c r="C334" s="8"/>
      <c r="D334" s="9"/>
    </row>
    <row r="335">
      <c r="A335" s="8"/>
      <c r="B335" s="8"/>
      <c r="C335" s="8"/>
      <c r="D335" s="9"/>
    </row>
    <row r="336">
      <c r="A336" s="8"/>
      <c r="B336" s="8"/>
      <c r="C336" s="8"/>
      <c r="D336" s="9"/>
    </row>
    <row r="337">
      <c r="A337" s="8"/>
      <c r="B337" s="8"/>
      <c r="C337" s="8"/>
      <c r="D337" s="9"/>
    </row>
    <row r="338">
      <c r="A338" s="8"/>
      <c r="B338" s="8"/>
      <c r="C338" s="8"/>
      <c r="D338" s="9"/>
    </row>
    <row r="339">
      <c r="A339" s="8"/>
      <c r="B339" s="8"/>
      <c r="C339" s="8"/>
      <c r="D339" s="9"/>
    </row>
    <row r="340">
      <c r="A340" s="8"/>
      <c r="B340" s="8"/>
      <c r="C340" s="8"/>
      <c r="D340" s="9"/>
    </row>
    <row r="341">
      <c r="A341" s="8"/>
      <c r="B341" s="8"/>
      <c r="C341" s="8"/>
      <c r="D341" s="9"/>
    </row>
    <row r="342">
      <c r="A342" s="8"/>
      <c r="B342" s="8"/>
      <c r="C342" s="8"/>
      <c r="D342" s="9"/>
    </row>
    <row r="343">
      <c r="A343" s="8"/>
      <c r="B343" s="8"/>
      <c r="C343" s="8"/>
      <c r="D343" s="9"/>
    </row>
    <row r="344">
      <c r="A344" s="8"/>
      <c r="B344" s="8"/>
      <c r="C344" s="8"/>
      <c r="D344" s="9"/>
    </row>
    <row r="345">
      <c r="A345" s="8"/>
      <c r="B345" s="8"/>
      <c r="C345" s="8"/>
      <c r="D345" s="9"/>
    </row>
    <row r="346">
      <c r="A346" s="8"/>
      <c r="B346" s="8"/>
      <c r="C346" s="8"/>
      <c r="D346" s="9"/>
    </row>
    <row r="347">
      <c r="A347" s="8"/>
      <c r="B347" s="8"/>
      <c r="C347" s="8"/>
      <c r="D347" s="9"/>
    </row>
    <row r="348">
      <c r="A348" s="8"/>
      <c r="B348" s="8"/>
      <c r="C348" s="8"/>
      <c r="D348" s="9"/>
    </row>
    <row r="349">
      <c r="A349" s="8"/>
      <c r="B349" s="8"/>
      <c r="C349" s="8"/>
      <c r="D349" s="9"/>
    </row>
    <row r="350">
      <c r="A350" s="8"/>
      <c r="B350" s="8"/>
      <c r="C350" s="8"/>
      <c r="D350" s="9"/>
    </row>
    <row r="351">
      <c r="A351" s="8"/>
      <c r="B351" s="8"/>
      <c r="C351" s="8"/>
      <c r="D351" s="9"/>
    </row>
    <row r="352">
      <c r="A352" s="8"/>
      <c r="B352" s="8"/>
      <c r="C352" s="8"/>
      <c r="D352" s="9"/>
    </row>
    <row r="353">
      <c r="A353" s="8"/>
      <c r="B353" s="8"/>
      <c r="C353" s="8"/>
      <c r="D353" s="9"/>
    </row>
    <row r="354">
      <c r="A354" s="8"/>
      <c r="B354" s="8"/>
      <c r="C354" s="8"/>
      <c r="D354" s="9"/>
    </row>
    <row r="355">
      <c r="A355" s="8"/>
      <c r="B355" s="8"/>
      <c r="C355" s="8"/>
      <c r="D355" s="9"/>
    </row>
    <row r="356">
      <c r="A356" s="8"/>
      <c r="B356" s="8"/>
      <c r="C356" s="8"/>
      <c r="D356" s="9"/>
    </row>
    <row r="357">
      <c r="A357" s="8"/>
      <c r="B357" s="8"/>
      <c r="C357" s="8"/>
      <c r="D357" s="9"/>
    </row>
    <row r="358">
      <c r="A358" s="8"/>
      <c r="B358" s="8"/>
      <c r="C358" s="8"/>
      <c r="D358" s="9"/>
    </row>
    <row r="359">
      <c r="A359" s="8"/>
      <c r="B359" s="8"/>
      <c r="C359" s="8"/>
      <c r="D359" s="9"/>
    </row>
    <row r="360">
      <c r="A360" s="8"/>
      <c r="B360" s="8"/>
      <c r="C360" s="8"/>
      <c r="D360" s="9"/>
    </row>
    <row r="361">
      <c r="A361" s="8"/>
      <c r="B361" s="8"/>
      <c r="C361" s="8"/>
      <c r="D361" s="9"/>
    </row>
    <row r="362">
      <c r="A362" s="8"/>
      <c r="B362" s="8"/>
      <c r="C362" s="8"/>
      <c r="D362" s="9"/>
    </row>
    <row r="363">
      <c r="A363" s="8"/>
      <c r="B363" s="8"/>
      <c r="C363" s="8"/>
      <c r="D363" s="9"/>
    </row>
    <row r="364">
      <c r="A364" s="8"/>
      <c r="B364" s="8"/>
      <c r="C364" s="8"/>
      <c r="D364" s="9"/>
    </row>
    <row r="365">
      <c r="A365" s="8"/>
      <c r="B365" s="8"/>
      <c r="C365" s="8"/>
      <c r="D365" s="9"/>
    </row>
    <row r="366">
      <c r="A366" s="8"/>
      <c r="B366" s="8"/>
      <c r="C366" s="8"/>
      <c r="D366" s="9"/>
    </row>
    <row r="367">
      <c r="A367" s="8"/>
      <c r="B367" s="8"/>
      <c r="C367" s="8"/>
      <c r="D367" s="9"/>
    </row>
    <row r="368">
      <c r="A368" s="8"/>
      <c r="B368" s="8"/>
      <c r="C368" s="8"/>
      <c r="D368" s="9"/>
    </row>
    <row r="369">
      <c r="A369" s="8"/>
      <c r="B369" s="8"/>
      <c r="C369" s="8"/>
      <c r="D369" s="9"/>
    </row>
    <row r="370">
      <c r="A370" s="8"/>
      <c r="B370" s="8"/>
      <c r="C370" s="8"/>
      <c r="D370" s="9"/>
    </row>
    <row r="371">
      <c r="A371" s="8"/>
      <c r="B371" s="8"/>
      <c r="C371" s="8"/>
      <c r="D371" s="9"/>
    </row>
    <row r="372">
      <c r="A372" s="8"/>
      <c r="B372" s="8"/>
      <c r="C372" s="8"/>
      <c r="D372" s="9"/>
    </row>
    <row r="373">
      <c r="A373" s="8"/>
      <c r="B373" s="8"/>
      <c r="C373" s="8"/>
      <c r="D373" s="9"/>
    </row>
    <row r="374">
      <c r="A374" s="8"/>
      <c r="B374" s="8"/>
      <c r="C374" s="8"/>
      <c r="D374" s="9"/>
    </row>
    <row r="375">
      <c r="A375" s="8"/>
      <c r="B375" s="8"/>
      <c r="C375" s="8"/>
      <c r="D375" s="9"/>
    </row>
    <row r="376">
      <c r="A376" s="8"/>
      <c r="B376" s="8"/>
      <c r="C376" s="8"/>
      <c r="D376" s="9"/>
    </row>
    <row r="377">
      <c r="A377" s="8"/>
      <c r="B377" s="8"/>
      <c r="C377" s="8"/>
      <c r="D377" s="9"/>
    </row>
    <row r="378">
      <c r="A378" s="8"/>
      <c r="B378" s="8"/>
      <c r="C378" s="8"/>
      <c r="D378" s="9"/>
    </row>
    <row r="379">
      <c r="A379" s="8"/>
      <c r="B379" s="8"/>
      <c r="C379" s="8"/>
      <c r="D379" s="9"/>
    </row>
    <row r="380">
      <c r="A380" s="8"/>
      <c r="B380" s="8"/>
      <c r="C380" s="8"/>
      <c r="D380" s="9"/>
    </row>
    <row r="381">
      <c r="A381" s="8"/>
      <c r="B381" s="8"/>
      <c r="C381" s="8"/>
      <c r="D381" s="9"/>
    </row>
    <row r="382">
      <c r="A382" s="8"/>
      <c r="B382" s="8"/>
      <c r="C382" s="8"/>
      <c r="D382" s="9"/>
    </row>
    <row r="383">
      <c r="A383" s="8"/>
      <c r="B383" s="8"/>
      <c r="C383" s="8"/>
      <c r="D383" s="9"/>
    </row>
    <row r="384">
      <c r="A384" s="8"/>
      <c r="B384" s="8"/>
      <c r="C384" s="8"/>
      <c r="D384" s="9"/>
    </row>
    <row r="385">
      <c r="A385" s="8"/>
      <c r="B385" s="8"/>
      <c r="C385" s="8"/>
      <c r="D385" s="9"/>
    </row>
    <row r="386">
      <c r="A386" s="8"/>
      <c r="B386" s="8"/>
      <c r="C386" s="8"/>
      <c r="D386" s="9"/>
    </row>
    <row r="387">
      <c r="A387" s="8"/>
      <c r="B387" s="8"/>
      <c r="C387" s="8"/>
      <c r="D387" s="9"/>
    </row>
    <row r="388">
      <c r="A388" s="8"/>
      <c r="B388" s="8"/>
      <c r="C388" s="8"/>
      <c r="D388" s="9"/>
    </row>
    <row r="389">
      <c r="A389" s="8"/>
      <c r="B389" s="8"/>
      <c r="C389" s="8"/>
      <c r="D389" s="9"/>
    </row>
    <row r="390">
      <c r="A390" s="8"/>
      <c r="B390" s="8"/>
      <c r="C390" s="8"/>
      <c r="D390" s="9"/>
    </row>
    <row r="391">
      <c r="A391" s="8"/>
      <c r="B391" s="8"/>
      <c r="C391" s="8"/>
      <c r="D391" s="9"/>
    </row>
    <row r="392">
      <c r="A392" s="8"/>
      <c r="B392" s="8"/>
      <c r="C392" s="8"/>
      <c r="D392" s="9"/>
    </row>
    <row r="393">
      <c r="A393" s="8"/>
      <c r="B393" s="8"/>
      <c r="C393" s="8"/>
      <c r="D393" s="9"/>
    </row>
    <row r="394">
      <c r="A394" s="8"/>
      <c r="B394" s="8"/>
      <c r="C394" s="8"/>
      <c r="D394" s="9"/>
    </row>
    <row r="395">
      <c r="A395" s="8"/>
      <c r="B395" s="8"/>
      <c r="C395" s="8"/>
      <c r="D395" s="9"/>
    </row>
    <row r="396">
      <c r="A396" s="8"/>
      <c r="B396" s="8"/>
      <c r="C396" s="8"/>
      <c r="D396" s="9"/>
    </row>
    <row r="397">
      <c r="A397" s="8"/>
      <c r="B397" s="8"/>
      <c r="C397" s="8"/>
      <c r="D397" s="9"/>
    </row>
    <row r="398">
      <c r="A398" s="8"/>
      <c r="B398" s="8"/>
      <c r="C398" s="8"/>
      <c r="D398" s="9"/>
    </row>
    <row r="399">
      <c r="A399" s="8"/>
      <c r="B399" s="8"/>
      <c r="C399" s="8"/>
      <c r="D399" s="9"/>
    </row>
    <row r="400">
      <c r="A400" s="8"/>
      <c r="B400" s="8"/>
      <c r="C400" s="8"/>
      <c r="D400" s="9"/>
    </row>
    <row r="401">
      <c r="A401" s="8"/>
      <c r="B401" s="8"/>
      <c r="C401" s="8"/>
      <c r="D401" s="9"/>
    </row>
    <row r="402">
      <c r="A402" s="8"/>
      <c r="B402" s="8"/>
      <c r="C402" s="8"/>
      <c r="D402" s="9"/>
    </row>
    <row r="403">
      <c r="A403" s="8"/>
      <c r="B403" s="8"/>
      <c r="C403" s="8"/>
      <c r="D403" s="9"/>
    </row>
    <row r="404">
      <c r="A404" s="8"/>
      <c r="B404" s="8"/>
      <c r="C404" s="8"/>
      <c r="D404" s="9"/>
    </row>
    <row r="405">
      <c r="A405" s="8"/>
      <c r="B405" s="8"/>
      <c r="C405" s="8"/>
      <c r="D405" s="9"/>
    </row>
    <row r="406">
      <c r="A406" s="8"/>
      <c r="B406" s="8"/>
      <c r="C406" s="8"/>
      <c r="D406" s="9"/>
    </row>
    <row r="407">
      <c r="A407" s="8"/>
      <c r="B407" s="8"/>
      <c r="C407" s="8"/>
      <c r="D407" s="9"/>
    </row>
    <row r="408">
      <c r="A408" s="8"/>
      <c r="B408" s="8"/>
      <c r="C408" s="8"/>
      <c r="D408" s="9"/>
    </row>
    <row r="409">
      <c r="A409" s="8"/>
      <c r="B409" s="8"/>
      <c r="C409" s="8"/>
      <c r="D409" s="9"/>
    </row>
    <row r="410">
      <c r="A410" s="8"/>
      <c r="B410" s="8"/>
      <c r="C410" s="8"/>
      <c r="D410" s="9"/>
    </row>
    <row r="411">
      <c r="A411" s="8"/>
      <c r="B411" s="8"/>
      <c r="C411" s="8"/>
      <c r="D411" s="9"/>
    </row>
    <row r="412">
      <c r="A412" s="8"/>
      <c r="B412" s="8"/>
      <c r="C412" s="8"/>
      <c r="D412" s="9"/>
    </row>
    <row r="413">
      <c r="A413" s="8"/>
      <c r="B413" s="8"/>
      <c r="C413" s="8"/>
      <c r="D413" s="9"/>
    </row>
    <row r="414">
      <c r="A414" s="8"/>
      <c r="B414" s="8"/>
      <c r="C414" s="8"/>
      <c r="D414" s="9"/>
    </row>
    <row r="415">
      <c r="A415" s="8"/>
      <c r="B415" s="8"/>
      <c r="C415" s="8"/>
      <c r="D415" s="9"/>
    </row>
    <row r="416">
      <c r="A416" s="8"/>
      <c r="B416" s="8"/>
      <c r="C416" s="8"/>
      <c r="D416" s="9"/>
    </row>
    <row r="417">
      <c r="A417" s="8"/>
      <c r="B417" s="8"/>
      <c r="C417" s="8"/>
      <c r="D417" s="9"/>
    </row>
    <row r="418">
      <c r="A418" s="8"/>
      <c r="B418" s="8"/>
      <c r="C418" s="8"/>
      <c r="D418" s="9"/>
    </row>
    <row r="419">
      <c r="A419" s="8"/>
      <c r="B419" s="8"/>
      <c r="C419" s="8"/>
      <c r="D419" s="9"/>
    </row>
    <row r="420">
      <c r="A420" s="8"/>
      <c r="B420" s="8"/>
      <c r="C420" s="8"/>
      <c r="D420" s="9"/>
    </row>
    <row r="421">
      <c r="A421" s="8"/>
      <c r="B421" s="8"/>
      <c r="C421" s="8"/>
      <c r="D421" s="9"/>
    </row>
    <row r="422">
      <c r="A422" s="8"/>
      <c r="B422" s="8"/>
      <c r="C422" s="8"/>
      <c r="D422" s="9"/>
    </row>
    <row r="423">
      <c r="A423" s="8"/>
      <c r="B423" s="8"/>
      <c r="C423" s="8"/>
      <c r="D423" s="9"/>
    </row>
    <row r="424">
      <c r="A424" s="8"/>
      <c r="B424" s="8"/>
      <c r="C424" s="8"/>
      <c r="D424" s="9"/>
    </row>
    <row r="425">
      <c r="A425" s="8"/>
      <c r="B425" s="8"/>
      <c r="C425" s="8"/>
      <c r="D425" s="9"/>
    </row>
    <row r="426">
      <c r="A426" s="8"/>
      <c r="B426" s="8"/>
      <c r="C426" s="8"/>
      <c r="D426" s="9"/>
    </row>
    <row r="427">
      <c r="A427" s="8"/>
      <c r="B427" s="8"/>
      <c r="C427" s="8"/>
      <c r="D427" s="9"/>
    </row>
    <row r="428">
      <c r="A428" s="8"/>
      <c r="B428" s="8"/>
      <c r="C428" s="8"/>
      <c r="D428" s="9"/>
    </row>
    <row r="429">
      <c r="A429" s="8"/>
      <c r="B429" s="8"/>
      <c r="C429" s="8"/>
      <c r="D429" s="9"/>
    </row>
    <row r="430">
      <c r="A430" s="8"/>
      <c r="B430" s="8"/>
      <c r="C430" s="8"/>
      <c r="D430" s="9"/>
    </row>
    <row r="431">
      <c r="A431" s="8"/>
      <c r="B431" s="8"/>
      <c r="C431" s="8"/>
      <c r="D431" s="9"/>
    </row>
    <row r="432">
      <c r="A432" s="8"/>
      <c r="B432" s="8"/>
      <c r="C432" s="8"/>
      <c r="D432" s="9"/>
    </row>
    <row r="433">
      <c r="A433" s="8"/>
      <c r="B433" s="8"/>
      <c r="C433" s="8"/>
      <c r="D433" s="9"/>
    </row>
    <row r="434">
      <c r="A434" s="8"/>
      <c r="B434" s="8"/>
      <c r="C434" s="8"/>
      <c r="D434" s="9"/>
    </row>
    <row r="435">
      <c r="A435" s="8"/>
      <c r="B435" s="8"/>
      <c r="C435" s="8"/>
      <c r="D435" s="9"/>
    </row>
    <row r="436">
      <c r="A436" s="8"/>
      <c r="B436" s="8"/>
      <c r="C436" s="8"/>
      <c r="D436" s="9"/>
    </row>
    <row r="437">
      <c r="A437" s="8"/>
      <c r="B437" s="8"/>
      <c r="C437" s="8"/>
      <c r="D437" s="9"/>
    </row>
    <row r="438">
      <c r="A438" s="8"/>
      <c r="B438" s="8"/>
      <c r="C438" s="8"/>
      <c r="D438" s="9"/>
    </row>
    <row r="439">
      <c r="A439" s="8"/>
      <c r="B439" s="8"/>
      <c r="C439" s="8"/>
      <c r="D439" s="9"/>
    </row>
    <row r="440">
      <c r="A440" s="8"/>
      <c r="B440" s="8"/>
      <c r="C440" s="8"/>
      <c r="D440" s="9"/>
    </row>
    <row r="441">
      <c r="A441" s="8"/>
      <c r="B441" s="8"/>
      <c r="C441" s="8"/>
      <c r="D441" s="9"/>
    </row>
    <row r="442">
      <c r="A442" s="8"/>
      <c r="B442" s="8"/>
      <c r="C442" s="8"/>
      <c r="D442" s="9"/>
    </row>
    <row r="443">
      <c r="A443" s="8"/>
      <c r="B443" s="8"/>
      <c r="C443" s="8"/>
      <c r="D443" s="9"/>
    </row>
    <row r="444">
      <c r="A444" s="8"/>
      <c r="B444" s="8"/>
      <c r="C444" s="8"/>
      <c r="D444" s="9"/>
    </row>
    <row r="445">
      <c r="A445" s="8"/>
      <c r="B445" s="8"/>
      <c r="C445" s="8"/>
      <c r="D445" s="9"/>
    </row>
    <row r="446">
      <c r="A446" s="8"/>
      <c r="B446" s="8"/>
      <c r="C446" s="8"/>
      <c r="D446" s="9"/>
    </row>
    <row r="447">
      <c r="A447" s="8"/>
      <c r="B447" s="8"/>
      <c r="C447" s="8"/>
      <c r="D447" s="9"/>
    </row>
    <row r="448">
      <c r="A448" s="8"/>
      <c r="B448" s="8"/>
      <c r="C448" s="8"/>
      <c r="D448" s="9"/>
    </row>
    <row r="449">
      <c r="A449" s="8"/>
      <c r="B449" s="8"/>
      <c r="C449" s="8"/>
      <c r="D449" s="9"/>
    </row>
    <row r="450">
      <c r="A450" s="8"/>
      <c r="B450" s="8"/>
      <c r="C450" s="8"/>
      <c r="D450" s="9"/>
    </row>
    <row r="451">
      <c r="A451" s="8"/>
      <c r="B451" s="8"/>
      <c r="C451" s="8"/>
      <c r="D451" s="9"/>
    </row>
    <row r="452">
      <c r="A452" s="8"/>
      <c r="B452" s="8"/>
      <c r="C452" s="8"/>
      <c r="D452" s="9"/>
    </row>
    <row r="453">
      <c r="A453" s="8"/>
      <c r="B453" s="8"/>
      <c r="C453" s="8"/>
      <c r="D453" s="9"/>
    </row>
    <row r="454">
      <c r="A454" s="8"/>
      <c r="B454" s="8"/>
      <c r="C454" s="8"/>
      <c r="D454" s="9"/>
    </row>
    <row r="455">
      <c r="A455" s="8"/>
      <c r="B455" s="8"/>
      <c r="C455" s="8"/>
      <c r="D455" s="9"/>
    </row>
    <row r="456">
      <c r="A456" s="8"/>
      <c r="B456" s="8"/>
      <c r="C456" s="8"/>
      <c r="D456" s="9"/>
    </row>
    <row r="457">
      <c r="A457" s="8"/>
      <c r="B457" s="8"/>
      <c r="C457" s="8"/>
      <c r="D457" s="9"/>
    </row>
    <row r="458">
      <c r="A458" s="8"/>
      <c r="B458" s="8"/>
      <c r="C458" s="8"/>
      <c r="D458" s="9"/>
    </row>
    <row r="459">
      <c r="A459" s="8"/>
      <c r="B459" s="8"/>
      <c r="C459" s="8"/>
      <c r="D459" s="9"/>
    </row>
    <row r="460">
      <c r="A460" s="8"/>
      <c r="B460" s="8"/>
      <c r="C460" s="8"/>
      <c r="D460" s="9"/>
    </row>
    <row r="461">
      <c r="A461" s="8"/>
      <c r="B461" s="8"/>
      <c r="C461" s="8"/>
      <c r="D461" s="9"/>
    </row>
    <row r="462">
      <c r="A462" s="8"/>
      <c r="B462" s="8"/>
      <c r="C462" s="8"/>
      <c r="D462" s="9"/>
    </row>
    <row r="463">
      <c r="A463" s="8"/>
      <c r="B463" s="8"/>
      <c r="C463" s="8"/>
      <c r="D463" s="9"/>
    </row>
    <row r="464">
      <c r="A464" s="8"/>
      <c r="B464" s="8"/>
      <c r="C464" s="8"/>
      <c r="D464" s="9"/>
    </row>
    <row r="465">
      <c r="A465" s="8"/>
      <c r="B465" s="8"/>
      <c r="C465" s="8"/>
      <c r="D465" s="9"/>
    </row>
    <row r="466">
      <c r="A466" s="8"/>
      <c r="B466" s="8"/>
      <c r="C466" s="8"/>
      <c r="D466" s="9"/>
    </row>
    <row r="467">
      <c r="A467" s="8"/>
      <c r="B467" s="8"/>
      <c r="C467" s="8"/>
      <c r="D467" s="9"/>
    </row>
    <row r="468">
      <c r="A468" s="8"/>
      <c r="B468" s="8"/>
      <c r="C468" s="8"/>
      <c r="D468" s="9"/>
    </row>
    <row r="469">
      <c r="A469" s="8"/>
      <c r="B469" s="8"/>
      <c r="C469" s="8"/>
      <c r="D469" s="9"/>
    </row>
    <row r="470">
      <c r="A470" s="8"/>
      <c r="B470" s="8"/>
      <c r="C470" s="8"/>
      <c r="D470" s="9"/>
    </row>
    <row r="471">
      <c r="A471" s="8"/>
      <c r="B471" s="8"/>
      <c r="C471" s="8"/>
      <c r="D471" s="9"/>
    </row>
    <row r="472">
      <c r="A472" s="8"/>
      <c r="B472" s="8"/>
      <c r="C472" s="8"/>
      <c r="D472" s="9"/>
    </row>
    <row r="473">
      <c r="A473" s="8"/>
      <c r="B473" s="8"/>
      <c r="C473" s="8"/>
      <c r="D473" s="9"/>
    </row>
    <row r="474">
      <c r="A474" s="8"/>
      <c r="B474" s="8"/>
      <c r="C474" s="8"/>
      <c r="D474" s="9"/>
    </row>
    <row r="475">
      <c r="A475" s="8"/>
      <c r="B475" s="8"/>
      <c r="C475" s="8"/>
      <c r="D475" s="9"/>
    </row>
    <row r="476">
      <c r="A476" s="8"/>
      <c r="B476" s="8"/>
      <c r="C476" s="8"/>
      <c r="D476" s="9"/>
    </row>
    <row r="477">
      <c r="A477" s="8"/>
      <c r="B477" s="8"/>
      <c r="C477" s="8"/>
      <c r="D477" s="9"/>
    </row>
    <row r="478">
      <c r="A478" s="8"/>
      <c r="B478" s="8"/>
      <c r="C478" s="8"/>
      <c r="D478" s="9"/>
    </row>
    <row r="479">
      <c r="A479" s="8"/>
      <c r="B479" s="8"/>
      <c r="C479" s="8"/>
      <c r="D479" s="9"/>
    </row>
    <row r="480">
      <c r="A480" s="8"/>
      <c r="B480" s="8"/>
      <c r="C480" s="8"/>
      <c r="D480" s="9"/>
    </row>
    <row r="481">
      <c r="A481" s="8"/>
      <c r="B481" s="8"/>
      <c r="C481" s="8"/>
      <c r="D481" s="9"/>
    </row>
    <row r="482">
      <c r="A482" s="8"/>
      <c r="B482" s="8"/>
      <c r="C482" s="8"/>
      <c r="D482" s="9"/>
    </row>
    <row r="483">
      <c r="A483" s="8"/>
      <c r="B483" s="8"/>
      <c r="C483" s="8"/>
      <c r="D483" s="9"/>
    </row>
    <row r="484">
      <c r="A484" s="8"/>
      <c r="B484" s="8"/>
      <c r="C484" s="8"/>
      <c r="D484" s="9"/>
    </row>
    <row r="485">
      <c r="A485" s="8"/>
      <c r="B485" s="8"/>
      <c r="C485" s="8"/>
      <c r="D485" s="9"/>
    </row>
    <row r="486">
      <c r="A486" s="8"/>
      <c r="B486" s="8"/>
      <c r="C486" s="8"/>
      <c r="D486" s="9"/>
    </row>
    <row r="487">
      <c r="A487" s="8"/>
      <c r="B487" s="8"/>
      <c r="C487" s="8"/>
      <c r="D487" s="9"/>
    </row>
    <row r="488">
      <c r="A488" s="8"/>
      <c r="B488" s="8"/>
      <c r="C488" s="8"/>
      <c r="D488" s="9"/>
    </row>
    <row r="489">
      <c r="A489" s="8"/>
      <c r="B489" s="8"/>
      <c r="C489" s="8"/>
      <c r="D489" s="9"/>
    </row>
    <row r="490">
      <c r="A490" s="8"/>
      <c r="B490" s="8"/>
      <c r="C490" s="8"/>
      <c r="D490" s="9"/>
    </row>
    <row r="491">
      <c r="A491" s="8"/>
      <c r="B491" s="8"/>
      <c r="C491" s="8"/>
      <c r="D491" s="9"/>
    </row>
    <row r="492">
      <c r="A492" s="8"/>
      <c r="B492" s="8"/>
      <c r="C492" s="8"/>
      <c r="D492" s="9"/>
    </row>
    <row r="493">
      <c r="A493" s="8"/>
      <c r="B493" s="8"/>
      <c r="C493" s="8"/>
      <c r="D493" s="9"/>
    </row>
    <row r="494">
      <c r="A494" s="8"/>
      <c r="B494" s="8"/>
      <c r="C494" s="8"/>
      <c r="D494" s="9"/>
    </row>
    <row r="495">
      <c r="A495" s="8"/>
      <c r="B495" s="8"/>
      <c r="C495" s="8"/>
      <c r="D495" s="9"/>
    </row>
    <row r="496">
      <c r="A496" s="8"/>
      <c r="B496" s="8"/>
      <c r="C496" s="8"/>
      <c r="D496" s="9"/>
    </row>
    <row r="497">
      <c r="A497" s="8"/>
      <c r="B497" s="8"/>
      <c r="C497" s="8"/>
      <c r="D497" s="9"/>
    </row>
    <row r="498">
      <c r="A498" s="8"/>
      <c r="B498" s="8"/>
      <c r="C498" s="8"/>
      <c r="D498" s="9"/>
    </row>
    <row r="499">
      <c r="A499" s="8"/>
      <c r="B499" s="8"/>
      <c r="C499" s="8"/>
      <c r="D499" s="9"/>
    </row>
    <row r="500">
      <c r="A500" s="8"/>
      <c r="B500" s="8"/>
      <c r="C500" s="8"/>
      <c r="D500" s="9"/>
    </row>
    <row r="501">
      <c r="A501" s="8"/>
      <c r="B501" s="8"/>
      <c r="C501" s="8"/>
      <c r="D501" s="9"/>
    </row>
    <row r="502">
      <c r="A502" s="8"/>
      <c r="B502" s="8"/>
      <c r="C502" s="8"/>
      <c r="D502" s="9"/>
    </row>
    <row r="503">
      <c r="A503" s="8"/>
      <c r="B503" s="8"/>
      <c r="C503" s="8"/>
      <c r="D503" s="9"/>
    </row>
    <row r="504">
      <c r="A504" s="8"/>
      <c r="B504" s="8"/>
      <c r="C504" s="8"/>
      <c r="D504" s="9"/>
    </row>
    <row r="505">
      <c r="A505" s="8"/>
      <c r="B505" s="8"/>
      <c r="C505" s="8"/>
      <c r="D505" s="9"/>
    </row>
    <row r="506">
      <c r="A506" s="8"/>
      <c r="B506" s="8"/>
      <c r="C506" s="8"/>
      <c r="D506" s="9"/>
    </row>
    <row r="507">
      <c r="A507" s="8"/>
      <c r="B507" s="8"/>
      <c r="C507" s="8"/>
      <c r="D507" s="9"/>
    </row>
    <row r="508">
      <c r="A508" s="8"/>
      <c r="B508" s="8"/>
      <c r="C508" s="8"/>
      <c r="D508" s="9"/>
    </row>
    <row r="509">
      <c r="A509" s="8"/>
      <c r="B509" s="8"/>
      <c r="C509" s="8"/>
      <c r="D509" s="9"/>
    </row>
    <row r="510">
      <c r="A510" s="8"/>
      <c r="B510" s="8"/>
      <c r="C510" s="8"/>
      <c r="D510" s="9"/>
    </row>
    <row r="511">
      <c r="A511" s="8"/>
      <c r="B511" s="8"/>
      <c r="C511" s="8"/>
      <c r="D511" s="9"/>
    </row>
    <row r="512">
      <c r="A512" s="8"/>
      <c r="B512" s="8"/>
      <c r="C512" s="8"/>
      <c r="D512" s="9"/>
    </row>
    <row r="513">
      <c r="A513" s="8"/>
      <c r="B513" s="8"/>
      <c r="C513" s="8"/>
      <c r="D513" s="9"/>
    </row>
    <row r="514">
      <c r="A514" s="8"/>
      <c r="B514" s="8"/>
      <c r="C514" s="8"/>
      <c r="D514" s="9"/>
    </row>
    <row r="515">
      <c r="A515" s="8"/>
      <c r="B515" s="8"/>
      <c r="C515" s="8"/>
      <c r="D515" s="9"/>
    </row>
    <row r="516">
      <c r="A516" s="8"/>
      <c r="B516" s="8"/>
      <c r="C516" s="8"/>
      <c r="D516" s="9"/>
    </row>
    <row r="517">
      <c r="A517" s="8"/>
      <c r="B517" s="8"/>
      <c r="C517" s="8"/>
      <c r="D517" s="9"/>
    </row>
    <row r="518">
      <c r="A518" s="8"/>
      <c r="B518" s="8"/>
      <c r="C518" s="8"/>
      <c r="D518" s="9"/>
    </row>
    <row r="519">
      <c r="A519" s="8"/>
      <c r="B519" s="8"/>
      <c r="C519" s="8"/>
      <c r="D519" s="9"/>
    </row>
    <row r="520">
      <c r="A520" s="8"/>
      <c r="B520" s="8"/>
      <c r="C520" s="8"/>
      <c r="D520" s="9"/>
    </row>
    <row r="521">
      <c r="A521" s="8"/>
      <c r="B521" s="8"/>
      <c r="C521" s="8"/>
      <c r="D521" s="9"/>
    </row>
    <row r="522">
      <c r="A522" s="8"/>
      <c r="B522" s="8"/>
      <c r="C522" s="8"/>
      <c r="D522" s="9"/>
    </row>
    <row r="523">
      <c r="A523" s="8"/>
      <c r="B523" s="8"/>
      <c r="C523" s="8"/>
      <c r="D523" s="9"/>
    </row>
    <row r="524">
      <c r="A524" s="8"/>
      <c r="B524" s="8"/>
      <c r="C524" s="8"/>
      <c r="D524" s="9"/>
    </row>
    <row r="525">
      <c r="A525" s="8"/>
      <c r="B525" s="8"/>
      <c r="C525" s="8"/>
      <c r="D525" s="9"/>
    </row>
    <row r="526">
      <c r="A526" s="8"/>
      <c r="B526" s="8"/>
      <c r="C526" s="8"/>
      <c r="D526" s="9"/>
    </row>
    <row r="527">
      <c r="A527" s="8"/>
      <c r="B527" s="8"/>
      <c r="C527" s="8"/>
      <c r="D527" s="9"/>
    </row>
    <row r="528">
      <c r="A528" s="8"/>
      <c r="B528" s="8"/>
      <c r="C528" s="8"/>
      <c r="D528" s="9"/>
    </row>
    <row r="529">
      <c r="A529" s="8"/>
      <c r="B529" s="8"/>
      <c r="C529" s="8"/>
      <c r="D529" s="9"/>
    </row>
    <row r="530">
      <c r="A530" s="8"/>
      <c r="B530" s="8"/>
      <c r="C530" s="8"/>
      <c r="D530" s="9"/>
    </row>
    <row r="531">
      <c r="A531" s="8"/>
      <c r="B531" s="8"/>
      <c r="C531" s="8"/>
      <c r="D531" s="9"/>
    </row>
    <row r="532">
      <c r="A532" s="8"/>
      <c r="B532" s="8"/>
      <c r="C532" s="8"/>
      <c r="D532" s="9"/>
    </row>
    <row r="533">
      <c r="A533" s="8"/>
      <c r="B533" s="8"/>
      <c r="C533" s="8"/>
      <c r="D533" s="9"/>
    </row>
    <row r="534">
      <c r="A534" s="8"/>
      <c r="B534" s="8"/>
      <c r="C534" s="8"/>
      <c r="D534" s="9"/>
    </row>
    <row r="535">
      <c r="A535" s="8"/>
      <c r="B535" s="8"/>
      <c r="C535" s="8"/>
      <c r="D535" s="9"/>
    </row>
    <row r="536">
      <c r="A536" s="8"/>
      <c r="B536" s="8"/>
      <c r="C536" s="8"/>
      <c r="D536" s="9"/>
    </row>
    <row r="537">
      <c r="A537" s="8"/>
      <c r="B537" s="8"/>
      <c r="C537" s="8"/>
      <c r="D537" s="9"/>
    </row>
    <row r="538">
      <c r="A538" s="8"/>
      <c r="B538" s="8"/>
      <c r="C538" s="8"/>
      <c r="D538" s="9"/>
    </row>
    <row r="539">
      <c r="A539" s="8"/>
      <c r="B539" s="8"/>
      <c r="C539" s="8"/>
      <c r="D539" s="9"/>
    </row>
    <row r="540">
      <c r="A540" s="8"/>
      <c r="B540" s="8"/>
      <c r="C540" s="8"/>
      <c r="D540" s="9"/>
    </row>
    <row r="541">
      <c r="A541" s="8"/>
      <c r="B541" s="8"/>
      <c r="C541" s="8"/>
      <c r="D541" s="9"/>
    </row>
    <row r="542">
      <c r="A542" s="8"/>
      <c r="B542" s="8"/>
      <c r="C542" s="8"/>
      <c r="D542" s="9"/>
    </row>
    <row r="543">
      <c r="A543" s="8"/>
      <c r="B543" s="8"/>
      <c r="C543" s="8"/>
      <c r="D543" s="9"/>
    </row>
    <row r="544">
      <c r="A544" s="8"/>
      <c r="B544" s="8"/>
      <c r="C544" s="8"/>
      <c r="D544" s="9"/>
    </row>
    <row r="545">
      <c r="A545" s="8"/>
      <c r="B545" s="8"/>
      <c r="C545" s="8"/>
      <c r="D545" s="9"/>
    </row>
    <row r="546">
      <c r="A546" s="8"/>
      <c r="B546" s="8"/>
      <c r="C546" s="8"/>
      <c r="D546" s="9"/>
    </row>
    <row r="547">
      <c r="A547" s="8"/>
      <c r="B547" s="8"/>
      <c r="C547" s="8"/>
      <c r="D547" s="9"/>
    </row>
    <row r="548">
      <c r="A548" s="8"/>
      <c r="B548" s="8"/>
      <c r="C548" s="8"/>
      <c r="D548" s="9"/>
    </row>
    <row r="549">
      <c r="A549" s="8"/>
      <c r="B549" s="8"/>
      <c r="C549" s="8"/>
      <c r="D549" s="9"/>
    </row>
    <row r="550">
      <c r="A550" s="8"/>
      <c r="B550" s="8"/>
      <c r="C550" s="8"/>
      <c r="D550" s="9"/>
    </row>
    <row r="551">
      <c r="A551" s="8"/>
      <c r="B551" s="8"/>
      <c r="C551" s="8"/>
      <c r="D551" s="9"/>
    </row>
    <row r="552">
      <c r="A552" s="8"/>
      <c r="B552" s="8"/>
      <c r="C552" s="8"/>
      <c r="D552" s="9"/>
    </row>
    <row r="553">
      <c r="A553" s="8"/>
      <c r="B553" s="8"/>
      <c r="C553" s="8"/>
      <c r="D553" s="9"/>
    </row>
    <row r="554">
      <c r="A554" s="8"/>
      <c r="B554" s="8"/>
      <c r="C554" s="8"/>
      <c r="D554" s="9"/>
    </row>
    <row r="555">
      <c r="A555" s="8"/>
      <c r="B555" s="8"/>
      <c r="C555" s="8"/>
      <c r="D555" s="9"/>
    </row>
    <row r="556">
      <c r="A556" s="8"/>
      <c r="B556" s="8"/>
      <c r="C556" s="8"/>
      <c r="D556" s="9"/>
    </row>
    <row r="557">
      <c r="A557" s="8"/>
      <c r="B557" s="8"/>
      <c r="C557" s="8"/>
      <c r="D557" s="9"/>
    </row>
    <row r="558">
      <c r="A558" s="8"/>
      <c r="B558" s="8"/>
      <c r="C558" s="8"/>
      <c r="D558" s="9"/>
    </row>
    <row r="559">
      <c r="A559" s="8"/>
      <c r="B559" s="8"/>
      <c r="C559" s="8"/>
      <c r="D559" s="9"/>
    </row>
    <row r="560">
      <c r="A560" s="8"/>
      <c r="B560" s="8"/>
      <c r="C560" s="8"/>
      <c r="D560" s="9"/>
    </row>
    <row r="561">
      <c r="A561" s="8"/>
      <c r="B561" s="8"/>
      <c r="C561" s="8"/>
      <c r="D561" s="9"/>
    </row>
    <row r="562">
      <c r="A562" s="8"/>
      <c r="B562" s="8"/>
      <c r="C562" s="8"/>
      <c r="D562" s="9"/>
    </row>
    <row r="563">
      <c r="A563" s="8"/>
      <c r="B563" s="8"/>
      <c r="C563" s="8"/>
      <c r="D563" s="9"/>
    </row>
    <row r="564">
      <c r="A564" s="8"/>
      <c r="B564" s="8"/>
      <c r="C564" s="8"/>
      <c r="D564" s="9"/>
    </row>
    <row r="565">
      <c r="A565" s="8"/>
      <c r="B565" s="8"/>
      <c r="C565" s="8"/>
      <c r="D565" s="9"/>
    </row>
    <row r="566">
      <c r="A566" s="8"/>
      <c r="B566" s="8"/>
      <c r="C566" s="8"/>
      <c r="D566" s="9"/>
    </row>
    <row r="567">
      <c r="A567" s="8"/>
      <c r="B567" s="8"/>
      <c r="C567" s="8"/>
      <c r="D567" s="9"/>
    </row>
    <row r="568">
      <c r="A568" s="8"/>
      <c r="B568" s="8"/>
      <c r="C568" s="8"/>
      <c r="D568" s="9"/>
    </row>
    <row r="569">
      <c r="A569" s="8"/>
      <c r="B569" s="8"/>
      <c r="C569" s="8"/>
      <c r="D569" s="9"/>
    </row>
    <row r="570">
      <c r="A570" s="8"/>
      <c r="B570" s="8"/>
      <c r="C570" s="8"/>
      <c r="D570" s="9"/>
    </row>
    <row r="571">
      <c r="A571" s="8"/>
      <c r="B571" s="8"/>
      <c r="C571" s="8"/>
      <c r="D571" s="9"/>
    </row>
    <row r="572">
      <c r="A572" s="8"/>
      <c r="B572" s="8"/>
      <c r="C572" s="8"/>
      <c r="D572" s="9"/>
    </row>
    <row r="573">
      <c r="A573" s="8"/>
      <c r="B573" s="8"/>
      <c r="C573" s="8"/>
      <c r="D573" s="9"/>
    </row>
    <row r="574">
      <c r="A574" s="8"/>
      <c r="B574" s="8"/>
      <c r="C574" s="8"/>
      <c r="D574" s="9"/>
    </row>
    <row r="575">
      <c r="A575" s="8"/>
      <c r="B575" s="8"/>
      <c r="C575" s="8"/>
      <c r="D575" s="9"/>
    </row>
    <row r="576">
      <c r="A576" s="8"/>
      <c r="B576" s="8"/>
      <c r="C576" s="8"/>
      <c r="D576" s="9"/>
    </row>
    <row r="577">
      <c r="A577" s="8"/>
      <c r="B577" s="8"/>
      <c r="C577" s="8"/>
      <c r="D577" s="9"/>
    </row>
    <row r="578">
      <c r="A578" s="8"/>
      <c r="B578" s="8"/>
      <c r="C578" s="8"/>
      <c r="D578" s="9"/>
    </row>
    <row r="579">
      <c r="A579" s="8"/>
      <c r="B579" s="8"/>
      <c r="C579" s="8"/>
      <c r="D579" s="9"/>
    </row>
    <row r="580">
      <c r="A580" s="8"/>
      <c r="B580" s="8"/>
      <c r="C580" s="8"/>
      <c r="D580" s="9"/>
    </row>
    <row r="581">
      <c r="A581" s="8"/>
      <c r="B581" s="8"/>
      <c r="C581" s="8"/>
      <c r="D581" s="9"/>
    </row>
    <row r="582">
      <c r="A582" s="8"/>
      <c r="B582" s="8"/>
      <c r="C582" s="8"/>
      <c r="D582" s="9"/>
    </row>
    <row r="583">
      <c r="A583" s="8"/>
      <c r="B583" s="8"/>
      <c r="C583" s="8"/>
      <c r="D583" s="9"/>
    </row>
    <row r="584">
      <c r="A584" s="8"/>
      <c r="B584" s="8"/>
      <c r="C584" s="8"/>
      <c r="D584" s="9"/>
    </row>
    <row r="585">
      <c r="A585" s="8"/>
      <c r="B585" s="8"/>
      <c r="C585" s="8"/>
      <c r="D585" s="9"/>
    </row>
    <row r="586">
      <c r="A586" s="8"/>
      <c r="B586" s="8"/>
      <c r="C586" s="8"/>
      <c r="D586" s="9"/>
    </row>
    <row r="587">
      <c r="A587" s="8"/>
      <c r="B587" s="8"/>
      <c r="C587" s="8"/>
      <c r="D587" s="9"/>
    </row>
    <row r="588">
      <c r="A588" s="8"/>
      <c r="B588" s="8"/>
      <c r="C588" s="8"/>
      <c r="D588" s="9"/>
    </row>
    <row r="589">
      <c r="A589" s="8"/>
      <c r="B589" s="8"/>
      <c r="C589" s="8"/>
      <c r="D589" s="9"/>
    </row>
    <row r="590">
      <c r="A590" s="8"/>
      <c r="B590" s="8"/>
      <c r="C590" s="8"/>
      <c r="D590" s="9"/>
    </row>
    <row r="591">
      <c r="A591" s="8"/>
      <c r="B591" s="8"/>
      <c r="C591" s="8"/>
      <c r="D591" s="9"/>
    </row>
    <row r="592">
      <c r="A592" s="8"/>
      <c r="B592" s="8"/>
      <c r="C592" s="8"/>
      <c r="D592" s="9"/>
    </row>
    <row r="593">
      <c r="A593" s="8"/>
      <c r="B593" s="8"/>
      <c r="C593" s="8"/>
      <c r="D593" s="9"/>
    </row>
    <row r="594">
      <c r="A594" s="8"/>
      <c r="B594" s="8"/>
      <c r="C594" s="8"/>
      <c r="D594" s="9"/>
    </row>
    <row r="595">
      <c r="A595" s="8"/>
      <c r="B595" s="8"/>
      <c r="C595" s="8"/>
      <c r="D595" s="9"/>
    </row>
    <row r="596">
      <c r="A596" s="8"/>
      <c r="B596" s="8"/>
      <c r="C596" s="8"/>
      <c r="D596" s="9"/>
    </row>
    <row r="597">
      <c r="A597" s="8"/>
      <c r="B597" s="8"/>
      <c r="C597" s="8"/>
      <c r="D597" s="9"/>
    </row>
    <row r="598">
      <c r="A598" s="8"/>
      <c r="B598" s="8"/>
      <c r="C598" s="8"/>
      <c r="D598" s="9"/>
    </row>
    <row r="599">
      <c r="A599" s="8"/>
      <c r="B599" s="8"/>
      <c r="C599" s="8"/>
      <c r="D599" s="9"/>
    </row>
    <row r="600">
      <c r="A600" s="8"/>
      <c r="B600" s="8"/>
      <c r="C600" s="8"/>
      <c r="D600" s="9"/>
    </row>
    <row r="601">
      <c r="A601" s="8"/>
      <c r="B601" s="8"/>
      <c r="C601" s="8"/>
      <c r="D601" s="9"/>
    </row>
    <row r="602">
      <c r="A602" s="8"/>
      <c r="B602" s="8"/>
      <c r="C602" s="8"/>
      <c r="D602" s="9"/>
    </row>
    <row r="603">
      <c r="A603" s="8"/>
      <c r="B603" s="8"/>
      <c r="C603" s="8"/>
      <c r="D603" s="9"/>
    </row>
    <row r="604">
      <c r="A604" s="8"/>
      <c r="B604" s="8"/>
      <c r="C604" s="8"/>
      <c r="D604" s="9"/>
    </row>
    <row r="605">
      <c r="A605" s="8"/>
      <c r="B605" s="8"/>
      <c r="C605" s="8"/>
      <c r="D605" s="9"/>
    </row>
    <row r="606">
      <c r="A606" s="8"/>
      <c r="B606" s="8"/>
      <c r="C606" s="8"/>
      <c r="D606" s="9"/>
    </row>
    <row r="607">
      <c r="A607" s="8"/>
      <c r="B607" s="8"/>
      <c r="C607" s="8"/>
      <c r="D607" s="9"/>
    </row>
    <row r="608">
      <c r="A608" s="8"/>
      <c r="B608" s="8"/>
      <c r="C608" s="8"/>
      <c r="D608" s="9"/>
    </row>
    <row r="609">
      <c r="A609" s="8"/>
      <c r="B609" s="8"/>
      <c r="C609" s="8"/>
      <c r="D609" s="9"/>
    </row>
    <row r="610">
      <c r="A610" s="8"/>
      <c r="B610" s="8"/>
      <c r="C610" s="8"/>
      <c r="D610" s="9"/>
    </row>
    <row r="611">
      <c r="A611" s="8"/>
      <c r="B611" s="8"/>
      <c r="C611" s="8"/>
      <c r="D611" s="9"/>
    </row>
    <row r="612">
      <c r="A612" s="8"/>
      <c r="B612" s="8"/>
      <c r="C612" s="8"/>
      <c r="D612" s="9"/>
    </row>
    <row r="613">
      <c r="A613" s="8"/>
      <c r="B613" s="8"/>
      <c r="C613" s="8"/>
      <c r="D613" s="9"/>
    </row>
    <row r="614">
      <c r="A614" s="8"/>
      <c r="B614" s="8"/>
      <c r="C614" s="8"/>
      <c r="D614" s="9"/>
    </row>
    <row r="615">
      <c r="A615" s="8"/>
      <c r="B615" s="8"/>
      <c r="C615" s="8"/>
      <c r="D615" s="9"/>
    </row>
    <row r="616">
      <c r="A616" s="8"/>
      <c r="B616" s="8"/>
      <c r="C616" s="8"/>
      <c r="D616" s="9"/>
    </row>
    <row r="617">
      <c r="A617" s="8"/>
      <c r="B617" s="8"/>
      <c r="C617" s="8"/>
      <c r="D617" s="9"/>
    </row>
    <row r="618">
      <c r="A618" s="8"/>
      <c r="B618" s="8"/>
      <c r="C618" s="8"/>
      <c r="D618" s="9"/>
    </row>
    <row r="619">
      <c r="A619" s="8"/>
      <c r="B619" s="8"/>
      <c r="C619" s="8"/>
      <c r="D619" s="9"/>
    </row>
    <row r="620">
      <c r="A620" s="8"/>
      <c r="B620" s="8"/>
      <c r="C620" s="8"/>
      <c r="D620" s="9"/>
    </row>
    <row r="621">
      <c r="A621" s="8"/>
      <c r="B621" s="8"/>
      <c r="C621" s="8"/>
      <c r="D621" s="9"/>
    </row>
    <row r="622">
      <c r="A622" s="8"/>
      <c r="B622" s="8"/>
      <c r="C622" s="8"/>
      <c r="D622" s="9"/>
    </row>
    <row r="623">
      <c r="A623" s="8"/>
      <c r="B623" s="8"/>
      <c r="C623" s="8"/>
      <c r="D623" s="9"/>
    </row>
    <row r="624">
      <c r="A624" s="8"/>
      <c r="B624" s="8"/>
      <c r="C624" s="8"/>
      <c r="D624" s="9"/>
    </row>
    <row r="625">
      <c r="A625" s="8"/>
      <c r="B625" s="8"/>
      <c r="C625" s="8"/>
      <c r="D625" s="9"/>
    </row>
    <row r="626">
      <c r="A626" s="8"/>
      <c r="B626" s="8"/>
      <c r="C626" s="8"/>
      <c r="D626" s="9"/>
    </row>
    <row r="627">
      <c r="A627" s="8"/>
      <c r="B627" s="8"/>
      <c r="C627" s="8"/>
      <c r="D627" s="9"/>
    </row>
    <row r="628">
      <c r="A628" s="8"/>
      <c r="B628" s="8"/>
      <c r="C628" s="8"/>
      <c r="D628" s="9"/>
    </row>
    <row r="629">
      <c r="A629" s="8"/>
      <c r="B629" s="8"/>
      <c r="C629" s="8"/>
      <c r="D629" s="9"/>
    </row>
    <row r="630">
      <c r="A630" s="8"/>
      <c r="B630" s="8"/>
      <c r="C630" s="8"/>
      <c r="D630" s="9"/>
    </row>
    <row r="631">
      <c r="A631" s="8"/>
      <c r="B631" s="8"/>
      <c r="C631" s="8"/>
      <c r="D631" s="9"/>
    </row>
    <row r="632">
      <c r="A632" s="8"/>
      <c r="B632" s="8"/>
      <c r="C632" s="8"/>
      <c r="D632" s="9"/>
    </row>
    <row r="633">
      <c r="A633" s="8"/>
      <c r="B633" s="8"/>
      <c r="C633" s="8"/>
      <c r="D633" s="9"/>
    </row>
    <row r="634">
      <c r="A634" s="8"/>
      <c r="B634" s="8"/>
      <c r="C634" s="8"/>
      <c r="D634" s="9"/>
    </row>
    <row r="635">
      <c r="A635" s="8"/>
      <c r="B635" s="8"/>
      <c r="C635" s="8"/>
      <c r="D635" s="9"/>
    </row>
    <row r="636">
      <c r="A636" s="8"/>
      <c r="B636" s="8"/>
      <c r="C636" s="8"/>
      <c r="D636" s="9"/>
    </row>
    <row r="637">
      <c r="A637" s="8"/>
      <c r="B637" s="8"/>
      <c r="C637" s="8"/>
      <c r="D637" s="9"/>
    </row>
    <row r="638">
      <c r="A638" s="8"/>
      <c r="B638" s="8"/>
      <c r="C638" s="8"/>
      <c r="D638" s="9"/>
    </row>
    <row r="639">
      <c r="A639" s="8"/>
      <c r="B639" s="8"/>
      <c r="C639" s="8"/>
      <c r="D639" s="9"/>
    </row>
    <row r="640">
      <c r="A640" s="8"/>
      <c r="B640" s="8"/>
      <c r="C640" s="8"/>
      <c r="D640" s="9"/>
    </row>
    <row r="641">
      <c r="A641" s="8"/>
      <c r="B641" s="8"/>
      <c r="C641" s="8"/>
      <c r="D641" s="9"/>
    </row>
    <row r="642">
      <c r="A642" s="8"/>
      <c r="B642" s="8"/>
      <c r="C642" s="8"/>
      <c r="D642" s="9"/>
    </row>
    <row r="643">
      <c r="A643" s="8"/>
      <c r="B643" s="8"/>
      <c r="C643" s="8"/>
      <c r="D643" s="9"/>
    </row>
    <row r="644">
      <c r="A644" s="8"/>
      <c r="B644" s="8"/>
      <c r="C644" s="8"/>
      <c r="D644" s="9"/>
    </row>
    <row r="645">
      <c r="A645" s="8"/>
      <c r="B645" s="8"/>
      <c r="C645" s="8"/>
      <c r="D645" s="9"/>
    </row>
    <row r="646">
      <c r="A646" s="8"/>
      <c r="B646" s="8"/>
      <c r="C646" s="8"/>
      <c r="D646" s="9"/>
    </row>
    <row r="647">
      <c r="A647" s="8"/>
      <c r="B647" s="8"/>
      <c r="C647" s="8"/>
      <c r="D647" s="9"/>
    </row>
    <row r="648">
      <c r="A648" s="8"/>
      <c r="B648" s="8"/>
      <c r="C648" s="8"/>
      <c r="D648" s="9"/>
    </row>
    <row r="649">
      <c r="A649" s="8"/>
      <c r="B649" s="8"/>
      <c r="C649" s="8"/>
      <c r="D649" s="9"/>
    </row>
    <row r="650">
      <c r="A650" s="8"/>
      <c r="B650" s="8"/>
      <c r="C650" s="8"/>
      <c r="D650" s="9"/>
    </row>
    <row r="651">
      <c r="A651" s="8"/>
      <c r="B651" s="8"/>
      <c r="C651" s="8"/>
      <c r="D651" s="9"/>
    </row>
    <row r="652">
      <c r="A652" s="8"/>
      <c r="B652" s="8"/>
      <c r="C652" s="8"/>
      <c r="D652" s="9"/>
    </row>
    <row r="653">
      <c r="A653" s="8"/>
      <c r="B653" s="8"/>
      <c r="C653" s="8"/>
      <c r="D653" s="9"/>
    </row>
    <row r="654">
      <c r="A654" s="8"/>
      <c r="B654" s="8"/>
      <c r="C654" s="8"/>
      <c r="D654" s="9"/>
    </row>
    <row r="655">
      <c r="A655" s="8"/>
      <c r="B655" s="8"/>
      <c r="C655" s="8"/>
      <c r="D655" s="9"/>
    </row>
    <row r="656">
      <c r="A656" s="8"/>
      <c r="B656" s="8"/>
      <c r="C656" s="8"/>
      <c r="D656" s="9"/>
    </row>
    <row r="657">
      <c r="A657" s="8"/>
      <c r="B657" s="8"/>
      <c r="C657" s="8"/>
      <c r="D657" s="9"/>
    </row>
    <row r="658">
      <c r="A658" s="8"/>
      <c r="B658" s="8"/>
      <c r="C658" s="8"/>
      <c r="D658" s="9"/>
    </row>
    <row r="659">
      <c r="A659" s="8"/>
      <c r="B659" s="8"/>
      <c r="C659" s="8"/>
      <c r="D659" s="9"/>
    </row>
    <row r="660">
      <c r="A660" s="8"/>
      <c r="B660" s="8"/>
      <c r="C660" s="8"/>
      <c r="D660" s="9"/>
    </row>
    <row r="661">
      <c r="A661" s="8"/>
      <c r="B661" s="8"/>
      <c r="C661" s="8"/>
      <c r="D661" s="9"/>
    </row>
    <row r="662">
      <c r="A662" s="8"/>
      <c r="B662" s="8"/>
      <c r="C662" s="8"/>
      <c r="D662" s="9"/>
    </row>
    <row r="663">
      <c r="A663" s="8"/>
      <c r="B663" s="8"/>
      <c r="C663" s="8"/>
      <c r="D663" s="9"/>
    </row>
    <row r="664">
      <c r="A664" s="8"/>
      <c r="B664" s="8"/>
      <c r="C664" s="8"/>
      <c r="D664" s="9"/>
    </row>
    <row r="665">
      <c r="A665" s="8"/>
      <c r="B665" s="8"/>
      <c r="C665" s="8"/>
      <c r="D665" s="9"/>
    </row>
    <row r="666">
      <c r="A666" s="8"/>
      <c r="B666" s="8"/>
      <c r="C666" s="8"/>
      <c r="D666" s="9"/>
    </row>
    <row r="667">
      <c r="A667" s="8"/>
      <c r="B667" s="8"/>
      <c r="C667" s="8"/>
      <c r="D667" s="9"/>
    </row>
    <row r="668">
      <c r="A668" s="8"/>
      <c r="B668" s="8"/>
      <c r="C668" s="8"/>
      <c r="D668" s="9"/>
    </row>
    <row r="669">
      <c r="A669" s="8"/>
      <c r="B669" s="8"/>
      <c r="C669" s="8"/>
      <c r="D669" s="9"/>
    </row>
    <row r="670">
      <c r="A670" s="8"/>
      <c r="B670" s="8"/>
      <c r="C670" s="8"/>
      <c r="D670" s="9"/>
    </row>
    <row r="671">
      <c r="A671" s="8"/>
      <c r="B671" s="8"/>
      <c r="C671" s="8"/>
      <c r="D671" s="9"/>
    </row>
    <row r="672">
      <c r="A672" s="8"/>
      <c r="B672" s="8"/>
      <c r="C672" s="8"/>
      <c r="D672" s="9"/>
    </row>
    <row r="673">
      <c r="A673" s="8"/>
      <c r="B673" s="8"/>
      <c r="C673" s="8"/>
      <c r="D673" s="9"/>
    </row>
    <row r="674">
      <c r="A674" s="8"/>
      <c r="B674" s="8"/>
      <c r="C674" s="8"/>
      <c r="D674" s="9"/>
    </row>
    <row r="675">
      <c r="A675" s="8"/>
      <c r="B675" s="8"/>
      <c r="C675" s="8"/>
      <c r="D675" s="9"/>
    </row>
    <row r="676">
      <c r="A676" s="8"/>
      <c r="B676" s="8"/>
      <c r="C676" s="8"/>
      <c r="D676" s="9"/>
    </row>
    <row r="677">
      <c r="A677" s="8"/>
      <c r="B677" s="8"/>
      <c r="C677" s="8"/>
      <c r="D677" s="9"/>
    </row>
    <row r="678">
      <c r="A678" s="8"/>
      <c r="B678" s="8"/>
      <c r="C678" s="8"/>
      <c r="D678" s="9"/>
    </row>
    <row r="679">
      <c r="A679" s="8"/>
      <c r="B679" s="8"/>
      <c r="C679" s="8"/>
      <c r="D679" s="9"/>
    </row>
    <row r="680">
      <c r="A680" s="8"/>
      <c r="B680" s="8"/>
      <c r="C680" s="8"/>
      <c r="D680" s="9"/>
    </row>
    <row r="681">
      <c r="A681" s="8"/>
      <c r="B681" s="8"/>
      <c r="C681" s="8"/>
      <c r="D681" s="9"/>
    </row>
    <row r="682">
      <c r="A682" s="8"/>
      <c r="B682" s="8"/>
      <c r="C682" s="8"/>
      <c r="D682" s="9"/>
    </row>
    <row r="683">
      <c r="A683" s="8"/>
      <c r="B683" s="8"/>
      <c r="C683" s="8"/>
      <c r="D683" s="9"/>
    </row>
    <row r="684">
      <c r="A684" s="8"/>
      <c r="B684" s="8"/>
      <c r="C684" s="8"/>
      <c r="D684" s="9"/>
    </row>
    <row r="685">
      <c r="A685" s="8"/>
      <c r="B685" s="8"/>
      <c r="C685" s="8"/>
      <c r="D685" s="9"/>
    </row>
    <row r="686">
      <c r="A686" s="8"/>
      <c r="B686" s="8"/>
      <c r="C686" s="8"/>
      <c r="D686" s="9"/>
    </row>
    <row r="687">
      <c r="A687" s="8"/>
      <c r="B687" s="8"/>
      <c r="C687" s="8"/>
      <c r="D687" s="9"/>
    </row>
    <row r="688">
      <c r="A688" s="8"/>
      <c r="B688" s="8"/>
      <c r="C688" s="8"/>
      <c r="D688" s="9"/>
    </row>
    <row r="689">
      <c r="A689" s="8"/>
      <c r="B689" s="8"/>
      <c r="C689" s="8"/>
      <c r="D689" s="9"/>
    </row>
    <row r="690">
      <c r="A690" s="8"/>
      <c r="B690" s="8"/>
      <c r="C690" s="8"/>
      <c r="D690" s="9"/>
    </row>
    <row r="691">
      <c r="A691" s="8"/>
      <c r="B691" s="8"/>
      <c r="C691" s="8"/>
      <c r="D691" s="9"/>
    </row>
    <row r="692">
      <c r="A692" s="8"/>
      <c r="B692" s="8"/>
      <c r="C692" s="8"/>
      <c r="D692" s="9"/>
    </row>
    <row r="693">
      <c r="A693" s="8"/>
      <c r="B693" s="8"/>
      <c r="C693" s="8"/>
      <c r="D693" s="9"/>
    </row>
    <row r="694">
      <c r="A694" s="8"/>
      <c r="B694" s="8"/>
      <c r="C694" s="8"/>
      <c r="D694" s="9"/>
    </row>
    <row r="695">
      <c r="A695" s="8"/>
      <c r="B695" s="8"/>
      <c r="C695" s="8"/>
      <c r="D695" s="9"/>
    </row>
    <row r="696">
      <c r="A696" s="8"/>
      <c r="B696" s="8"/>
      <c r="C696" s="8"/>
      <c r="D696" s="9"/>
    </row>
    <row r="697">
      <c r="A697" s="8"/>
      <c r="B697" s="8"/>
      <c r="C697" s="8"/>
      <c r="D697" s="9"/>
    </row>
    <row r="698">
      <c r="A698" s="8"/>
      <c r="B698" s="8"/>
      <c r="C698" s="8"/>
      <c r="D698" s="9"/>
    </row>
    <row r="699">
      <c r="A699" s="8"/>
      <c r="B699" s="8"/>
      <c r="C699" s="8"/>
      <c r="D699" s="9"/>
    </row>
    <row r="700">
      <c r="A700" s="8"/>
      <c r="B700" s="8"/>
      <c r="C700" s="8"/>
      <c r="D700" s="9"/>
    </row>
    <row r="701">
      <c r="A701" s="8"/>
      <c r="B701" s="8"/>
      <c r="C701" s="8"/>
      <c r="D701" s="9"/>
    </row>
    <row r="702">
      <c r="A702" s="8"/>
      <c r="B702" s="8"/>
      <c r="C702" s="8"/>
      <c r="D702" s="9"/>
    </row>
    <row r="703">
      <c r="A703" s="8"/>
      <c r="B703" s="8"/>
      <c r="C703" s="8"/>
      <c r="D703" s="9"/>
    </row>
    <row r="704">
      <c r="A704" s="8"/>
      <c r="B704" s="8"/>
      <c r="C704" s="8"/>
      <c r="D704" s="9"/>
    </row>
    <row r="705">
      <c r="A705" s="8"/>
      <c r="B705" s="8"/>
      <c r="C705" s="8"/>
      <c r="D705" s="9"/>
    </row>
    <row r="706">
      <c r="A706" s="8"/>
      <c r="B706" s="8"/>
      <c r="C706" s="8"/>
      <c r="D706" s="9"/>
    </row>
    <row r="707">
      <c r="A707" s="8"/>
      <c r="B707" s="8"/>
      <c r="C707" s="8"/>
      <c r="D707" s="9"/>
    </row>
    <row r="708">
      <c r="A708" s="8"/>
      <c r="B708" s="8"/>
      <c r="C708" s="8"/>
      <c r="D708" s="9"/>
    </row>
    <row r="709">
      <c r="A709" s="8"/>
      <c r="B709" s="8"/>
      <c r="C709" s="8"/>
      <c r="D709" s="9"/>
    </row>
    <row r="710">
      <c r="A710" s="8"/>
      <c r="B710" s="8"/>
      <c r="C710" s="8"/>
      <c r="D710" s="9"/>
    </row>
    <row r="711">
      <c r="A711" s="8"/>
      <c r="B711" s="8"/>
      <c r="C711" s="8"/>
      <c r="D711" s="9"/>
    </row>
    <row r="712">
      <c r="A712" s="8"/>
      <c r="B712" s="8"/>
      <c r="C712" s="8"/>
      <c r="D712" s="9"/>
    </row>
    <row r="713">
      <c r="A713" s="8"/>
      <c r="B713" s="8"/>
      <c r="C713" s="8"/>
      <c r="D713" s="9"/>
    </row>
    <row r="714">
      <c r="A714" s="8"/>
      <c r="B714" s="8"/>
      <c r="C714" s="8"/>
      <c r="D714" s="9"/>
    </row>
    <row r="715">
      <c r="A715" s="8"/>
      <c r="B715" s="8"/>
      <c r="C715" s="8"/>
      <c r="D715" s="9"/>
    </row>
    <row r="716">
      <c r="A716" s="8"/>
      <c r="B716" s="8"/>
      <c r="C716" s="8"/>
      <c r="D716" s="9"/>
    </row>
    <row r="717">
      <c r="A717" s="8"/>
      <c r="B717" s="8"/>
      <c r="C717" s="8"/>
      <c r="D717" s="9"/>
    </row>
    <row r="718">
      <c r="A718" s="8"/>
      <c r="B718" s="8"/>
      <c r="C718" s="8"/>
      <c r="D718" s="9"/>
    </row>
    <row r="719">
      <c r="A719" s="8"/>
      <c r="B719" s="8"/>
      <c r="C719" s="8"/>
      <c r="D719" s="9"/>
    </row>
    <row r="720">
      <c r="A720" s="8"/>
      <c r="B720" s="8"/>
      <c r="C720" s="8"/>
      <c r="D720" s="9"/>
    </row>
    <row r="721">
      <c r="A721" s="8"/>
      <c r="B721" s="8"/>
      <c r="C721" s="8"/>
      <c r="D721" s="9"/>
    </row>
    <row r="722">
      <c r="A722" s="8"/>
      <c r="B722" s="8"/>
      <c r="C722" s="8"/>
      <c r="D722" s="9"/>
    </row>
    <row r="723">
      <c r="A723" s="8"/>
      <c r="B723" s="8"/>
      <c r="C723" s="8"/>
      <c r="D723" s="9"/>
    </row>
    <row r="724">
      <c r="A724" s="8"/>
      <c r="B724" s="8"/>
      <c r="C724" s="8"/>
      <c r="D724" s="9"/>
    </row>
    <row r="725">
      <c r="A725" s="8"/>
      <c r="B725" s="8"/>
      <c r="C725" s="8"/>
      <c r="D725" s="9"/>
    </row>
    <row r="726">
      <c r="A726" s="8"/>
      <c r="B726" s="8"/>
      <c r="C726" s="8"/>
      <c r="D726" s="9"/>
    </row>
    <row r="727">
      <c r="A727" s="8"/>
      <c r="B727" s="8"/>
      <c r="C727" s="8"/>
      <c r="D727" s="9"/>
    </row>
    <row r="728">
      <c r="A728" s="8"/>
      <c r="B728" s="8"/>
      <c r="C728" s="8"/>
      <c r="D728" s="9"/>
    </row>
    <row r="729">
      <c r="A729" s="8"/>
      <c r="B729" s="8"/>
      <c r="C729" s="8"/>
      <c r="D729" s="9"/>
    </row>
    <row r="730">
      <c r="A730" s="8"/>
      <c r="B730" s="8"/>
      <c r="C730" s="8"/>
      <c r="D730" s="9"/>
    </row>
    <row r="731">
      <c r="A731" s="8"/>
      <c r="B731" s="8"/>
      <c r="C731" s="8"/>
      <c r="D731" s="9"/>
    </row>
    <row r="732">
      <c r="A732" s="8"/>
      <c r="B732" s="8"/>
      <c r="C732" s="8"/>
      <c r="D732" s="9"/>
    </row>
    <row r="733">
      <c r="A733" s="8"/>
      <c r="B733" s="8"/>
      <c r="C733" s="8"/>
      <c r="D733" s="9"/>
    </row>
    <row r="734">
      <c r="A734" s="8"/>
      <c r="B734" s="8"/>
      <c r="C734" s="8"/>
      <c r="D734" s="9"/>
    </row>
    <row r="735">
      <c r="A735" s="8"/>
      <c r="B735" s="8"/>
      <c r="C735" s="8"/>
      <c r="D735" s="9"/>
    </row>
    <row r="736">
      <c r="A736" s="8"/>
      <c r="B736" s="8"/>
      <c r="C736" s="8"/>
      <c r="D736" s="9"/>
    </row>
    <row r="737">
      <c r="A737" s="8"/>
      <c r="B737" s="8"/>
      <c r="C737" s="8"/>
      <c r="D737" s="9"/>
    </row>
    <row r="738">
      <c r="A738" s="8"/>
      <c r="B738" s="8"/>
      <c r="C738" s="8"/>
      <c r="D738" s="9"/>
    </row>
    <row r="739">
      <c r="A739" s="8"/>
      <c r="B739" s="8"/>
      <c r="C739" s="8"/>
      <c r="D739" s="9"/>
    </row>
    <row r="740">
      <c r="A740" s="8"/>
      <c r="B740" s="8"/>
      <c r="C740" s="8"/>
      <c r="D740" s="9"/>
    </row>
    <row r="741">
      <c r="A741" s="8"/>
      <c r="B741" s="8"/>
      <c r="C741" s="8"/>
      <c r="D741" s="9"/>
    </row>
    <row r="742">
      <c r="A742" s="8"/>
      <c r="B742" s="8"/>
      <c r="C742" s="8"/>
      <c r="D742" s="9"/>
    </row>
    <row r="743">
      <c r="A743" s="8"/>
      <c r="B743" s="8"/>
      <c r="C743" s="8"/>
      <c r="D743" s="9"/>
    </row>
    <row r="744">
      <c r="A744" s="8"/>
      <c r="B744" s="8"/>
      <c r="C744" s="8"/>
      <c r="D744" s="9"/>
    </row>
    <row r="745">
      <c r="A745" s="8"/>
      <c r="B745" s="8"/>
      <c r="C745" s="8"/>
      <c r="D745" s="9"/>
    </row>
    <row r="746">
      <c r="A746" s="8"/>
      <c r="B746" s="8"/>
      <c r="C746" s="8"/>
      <c r="D746" s="9"/>
    </row>
    <row r="747">
      <c r="A747" s="8"/>
      <c r="B747" s="8"/>
      <c r="C747" s="8"/>
      <c r="D747" s="9"/>
    </row>
    <row r="748">
      <c r="A748" s="8"/>
      <c r="B748" s="8"/>
      <c r="C748" s="8"/>
      <c r="D748" s="9"/>
    </row>
    <row r="749">
      <c r="A749" s="8"/>
      <c r="B749" s="8"/>
      <c r="C749" s="8"/>
      <c r="D749" s="9"/>
    </row>
    <row r="750">
      <c r="A750" s="8"/>
      <c r="B750" s="8"/>
      <c r="C750" s="8"/>
      <c r="D750" s="9"/>
    </row>
    <row r="751">
      <c r="A751" s="8"/>
      <c r="B751" s="8"/>
      <c r="C751" s="8"/>
      <c r="D751" s="9"/>
    </row>
    <row r="752">
      <c r="A752" s="8"/>
      <c r="B752" s="8"/>
      <c r="C752" s="8"/>
      <c r="D752" s="9"/>
    </row>
    <row r="753">
      <c r="A753" s="8"/>
      <c r="B753" s="8"/>
      <c r="C753" s="8"/>
      <c r="D753" s="9"/>
    </row>
    <row r="754">
      <c r="A754" s="8"/>
      <c r="B754" s="8"/>
      <c r="C754" s="8"/>
      <c r="D754" s="9"/>
    </row>
    <row r="755">
      <c r="A755" s="8"/>
      <c r="B755" s="8"/>
      <c r="C755" s="8"/>
      <c r="D755" s="9"/>
    </row>
    <row r="756">
      <c r="A756" s="8"/>
      <c r="B756" s="8"/>
      <c r="C756" s="8"/>
      <c r="D756" s="9"/>
    </row>
    <row r="757">
      <c r="A757" s="8"/>
      <c r="B757" s="8"/>
      <c r="C757" s="8"/>
      <c r="D757" s="9"/>
    </row>
    <row r="758">
      <c r="A758" s="8"/>
      <c r="B758" s="8"/>
      <c r="C758" s="8"/>
      <c r="D758" s="9"/>
    </row>
    <row r="759">
      <c r="A759" s="8"/>
      <c r="B759" s="8"/>
      <c r="C759" s="8"/>
      <c r="D759" s="9"/>
    </row>
    <row r="760">
      <c r="A760" s="8"/>
      <c r="B760" s="8"/>
      <c r="C760" s="8"/>
      <c r="D760" s="9"/>
    </row>
    <row r="761">
      <c r="A761" s="8"/>
      <c r="B761" s="8"/>
      <c r="C761" s="8"/>
      <c r="D761" s="9"/>
    </row>
    <row r="762">
      <c r="A762" s="8"/>
      <c r="B762" s="8"/>
      <c r="C762" s="8"/>
      <c r="D762" s="9"/>
    </row>
    <row r="763">
      <c r="A763" s="8"/>
      <c r="B763" s="8"/>
      <c r="C763" s="8"/>
      <c r="D763" s="9"/>
    </row>
    <row r="764">
      <c r="A764" s="8"/>
      <c r="B764" s="8"/>
      <c r="C764" s="8"/>
      <c r="D764" s="9"/>
    </row>
    <row r="765">
      <c r="A765" s="8"/>
      <c r="B765" s="8"/>
      <c r="C765" s="8"/>
      <c r="D765" s="9"/>
    </row>
    <row r="766">
      <c r="A766" s="8"/>
      <c r="B766" s="8"/>
      <c r="C766" s="8"/>
      <c r="D766" s="9"/>
    </row>
    <row r="767">
      <c r="A767" s="8"/>
      <c r="B767" s="8"/>
      <c r="C767" s="8"/>
      <c r="D767" s="9"/>
    </row>
    <row r="768">
      <c r="A768" s="8"/>
      <c r="B768" s="8"/>
      <c r="C768" s="8"/>
      <c r="D768" s="9"/>
    </row>
    <row r="769">
      <c r="A769" s="8"/>
      <c r="B769" s="8"/>
      <c r="C769" s="8"/>
      <c r="D769" s="9"/>
    </row>
    <row r="770">
      <c r="A770" s="8"/>
      <c r="B770" s="8"/>
      <c r="C770" s="8"/>
      <c r="D770" s="9"/>
    </row>
    <row r="771">
      <c r="A771" s="8"/>
      <c r="B771" s="8"/>
      <c r="C771" s="8"/>
      <c r="D771" s="9"/>
    </row>
    <row r="772">
      <c r="A772" s="8"/>
      <c r="B772" s="8"/>
      <c r="C772" s="8"/>
      <c r="D772" s="9"/>
    </row>
    <row r="773">
      <c r="A773" s="8"/>
      <c r="B773" s="8"/>
      <c r="C773" s="8"/>
      <c r="D773" s="9"/>
    </row>
    <row r="774">
      <c r="A774" s="8"/>
      <c r="B774" s="8"/>
      <c r="C774" s="8"/>
      <c r="D774" s="9"/>
    </row>
    <row r="775">
      <c r="A775" s="8"/>
      <c r="B775" s="8"/>
      <c r="C775" s="8"/>
      <c r="D775" s="9"/>
    </row>
    <row r="776">
      <c r="A776" s="8"/>
      <c r="B776" s="8"/>
      <c r="C776" s="8"/>
      <c r="D776" s="9"/>
    </row>
    <row r="777">
      <c r="A777" s="8"/>
      <c r="B777" s="8"/>
      <c r="C777" s="8"/>
      <c r="D777" s="9"/>
    </row>
    <row r="778">
      <c r="A778" s="8"/>
      <c r="B778" s="8"/>
      <c r="C778" s="8"/>
      <c r="D778" s="9"/>
    </row>
    <row r="779">
      <c r="A779" s="8"/>
      <c r="B779" s="8"/>
      <c r="C779" s="8"/>
      <c r="D779" s="9"/>
    </row>
    <row r="780">
      <c r="A780" s="8"/>
      <c r="B780" s="8"/>
      <c r="C780" s="8"/>
      <c r="D780" s="9"/>
    </row>
    <row r="781">
      <c r="A781" s="8"/>
      <c r="B781" s="8"/>
      <c r="C781" s="8"/>
      <c r="D781" s="9"/>
    </row>
    <row r="782">
      <c r="A782" s="8"/>
      <c r="B782" s="8"/>
      <c r="C782" s="8"/>
      <c r="D782" s="9"/>
    </row>
    <row r="783">
      <c r="A783" s="8"/>
      <c r="B783" s="8"/>
      <c r="C783" s="8"/>
      <c r="D783" s="9"/>
    </row>
    <row r="784">
      <c r="A784" s="8"/>
      <c r="B784" s="8"/>
      <c r="C784" s="8"/>
      <c r="D784" s="9"/>
    </row>
    <row r="785">
      <c r="A785" s="8"/>
      <c r="B785" s="8"/>
      <c r="C785" s="8"/>
      <c r="D785" s="9"/>
    </row>
    <row r="786">
      <c r="A786" s="8"/>
      <c r="B786" s="8"/>
      <c r="C786" s="8"/>
      <c r="D786" s="9"/>
    </row>
    <row r="787">
      <c r="A787" s="8"/>
      <c r="B787" s="8"/>
      <c r="C787" s="8"/>
      <c r="D787" s="9"/>
    </row>
    <row r="788">
      <c r="A788" s="8"/>
      <c r="B788" s="8"/>
      <c r="C788" s="8"/>
      <c r="D788" s="9"/>
    </row>
    <row r="789">
      <c r="A789" s="8"/>
      <c r="B789" s="8"/>
      <c r="C789" s="8"/>
      <c r="D789" s="9"/>
    </row>
    <row r="790">
      <c r="A790" s="8"/>
      <c r="B790" s="8"/>
      <c r="C790" s="8"/>
      <c r="D790" s="9"/>
    </row>
    <row r="791">
      <c r="A791" s="8"/>
      <c r="B791" s="8"/>
      <c r="C791" s="8"/>
      <c r="D791" s="9"/>
    </row>
    <row r="792">
      <c r="A792" s="8"/>
      <c r="B792" s="8"/>
      <c r="C792" s="8"/>
      <c r="D792" s="9"/>
    </row>
    <row r="793">
      <c r="A793" s="8"/>
      <c r="B793" s="8"/>
      <c r="C793" s="8"/>
      <c r="D793" s="9"/>
    </row>
    <row r="794">
      <c r="A794" s="8"/>
      <c r="B794" s="8"/>
      <c r="C794" s="8"/>
      <c r="D794" s="9"/>
    </row>
    <row r="795">
      <c r="A795" s="8"/>
      <c r="B795" s="8"/>
      <c r="C795" s="8"/>
      <c r="D795" s="9"/>
    </row>
    <row r="796">
      <c r="A796" s="8"/>
      <c r="B796" s="8"/>
      <c r="C796" s="8"/>
      <c r="D796" s="9"/>
    </row>
    <row r="797">
      <c r="A797" s="8"/>
      <c r="B797" s="8"/>
      <c r="C797" s="8"/>
      <c r="D797" s="9"/>
    </row>
    <row r="798">
      <c r="A798" s="8"/>
      <c r="B798" s="8"/>
      <c r="C798" s="8"/>
      <c r="D798" s="9"/>
    </row>
    <row r="799">
      <c r="A799" s="8"/>
      <c r="B799" s="8"/>
      <c r="C799" s="8"/>
      <c r="D799" s="9"/>
    </row>
    <row r="800">
      <c r="A800" s="8"/>
      <c r="B800" s="8"/>
      <c r="C800" s="8"/>
      <c r="D800" s="9"/>
    </row>
    <row r="801">
      <c r="A801" s="8"/>
      <c r="B801" s="8"/>
      <c r="C801" s="8"/>
      <c r="D801" s="9"/>
    </row>
    <row r="802">
      <c r="A802" s="8"/>
      <c r="B802" s="8"/>
      <c r="C802" s="8"/>
      <c r="D802" s="9"/>
    </row>
    <row r="803">
      <c r="A803" s="8"/>
      <c r="B803" s="8"/>
      <c r="C803" s="8"/>
      <c r="D803" s="9"/>
    </row>
    <row r="804">
      <c r="A804" s="8"/>
      <c r="B804" s="8"/>
      <c r="C804" s="8"/>
      <c r="D804" s="9"/>
    </row>
    <row r="805">
      <c r="A805" s="8"/>
      <c r="B805" s="8"/>
      <c r="C805" s="8"/>
      <c r="D805" s="9"/>
    </row>
    <row r="806">
      <c r="A806" s="8"/>
      <c r="B806" s="8"/>
      <c r="C806" s="8"/>
      <c r="D806" s="9"/>
    </row>
    <row r="807">
      <c r="A807" s="8"/>
      <c r="B807" s="8"/>
      <c r="C807" s="8"/>
      <c r="D807" s="9"/>
    </row>
    <row r="808">
      <c r="A808" s="8"/>
      <c r="B808" s="8"/>
      <c r="C808" s="8"/>
      <c r="D808" s="9"/>
    </row>
    <row r="809">
      <c r="A809" s="8"/>
      <c r="B809" s="8"/>
      <c r="C809" s="8"/>
      <c r="D809" s="9"/>
    </row>
    <row r="810">
      <c r="A810" s="8"/>
      <c r="B810" s="8"/>
      <c r="C810" s="8"/>
      <c r="D810" s="9"/>
    </row>
    <row r="811">
      <c r="A811" s="8"/>
      <c r="B811" s="8"/>
      <c r="C811" s="8"/>
      <c r="D811" s="9"/>
    </row>
    <row r="812">
      <c r="A812" s="8"/>
      <c r="B812" s="8"/>
      <c r="C812" s="8"/>
      <c r="D812" s="9"/>
    </row>
    <row r="813">
      <c r="A813" s="8"/>
      <c r="B813" s="8"/>
      <c r="C813" s="8"/>
      <c r="D813" s="9"/>
    </row>
    <row r="814">
      <c r="A814" s="8"/>
      <c r="B814" s="8"/>
      <c r="C814" s="8"/>
      <c r="D814" s="9"/>
    </row>
    <row r="815">
      <c r="A815" s="8"/>
      <c r="B815" s="8"/>
      <c r="C815" s="8"/>
      <c r="D815" s="9"/>
    </row>
    <row r="816">
      <c r="A816" s="8"/>
      <c r="B816" s="8"/>
      <c r="C816" s="8"/>
      <c r="D816" s="9"/>
    </row>
    <row r="817">
      <c r="A817" s="8"/>
      <c r="B817" s="8"/>
      <c r="C817" s="8"/>
      <c r="D817" s="9"/>
    </row>
    <row r="818">
      <c r="A818" s="8"/>
      <c r="B818" s="8"/>
      <c r="C818" s="8"/>
      <c r="D818" s="9"/>
    </row>
    <row r="819">
      <c r="A819" s="8"/>
      <c r="B819" s="8"/>
      <c r="C819" s="8"/>
      <c r="D819" s="9"/>
    </row>
    <row r="820">
      <c r="A820" s="8"/>
      <c r="B820" s="8"/>
      <c r="C820" s="8"/>
      <c r="D820" s="9"/>
    </row>
    <row r="821">
      <c r="A821" s="8"/>
      <c r="B821" s="8"/>
      <c r="C821" s="8"/>
      <c r="D821" s="9"/>
    </row>
    <row r="822">
      <c r="A822" s="8"/>
      <c r="B822" s="8"/>
      <c r="C822" s="8"/>
      <c r="D822" s="9"/>
    </row>
    <row r="823">
      <c r="A823" s="8"/>
      <c r="B823" s="8"/>
      <c r="C823" s="8"/>
      <c r="D823" s="9"/>
    </row>
    <row r="824">
      <c r="A824" s="8"/>
      <c r="B824" s="8"/>
      <c r="C824" s="8"/>
      <c r="D824" s="9"/>
    </row>
    <row r="825">
      <c r="A825" s="8"/>
      <c r="B825" s="8"/>
      <c r="C825" s="8"/>
      <c r="D825" s="9"/>
    </row>
    <row r="826">
      <c r="A826" s="8"/>
      <c r="B826" s="8"/>
      <c r="C826" s="8"/>
      <c r="D826" s="9"/>
    </row>
    <row r="827">
      <c r="A827" s="8"/>
      <c r="B827" s="8"/>
      <c r="C827" s="8"/>
      <c r="D827" s="9"/>
    </row>
    <row r="828">
      <c r="A828" s="8"/>
      <c r="B828" s="8"/>
      <c r="C828" s="8"/>
      <c r="D828" s="9"/>
    </row>
    <row r="829">
      <c r="A829" s="8"/>
      <c r="B829" s="8"/>
      <c r="C829" s="8"/>
      <c r="D829" s="9"/>
    </row>
    <row r="830">
      <c r="A830" s="8"/>
      <c r="B830" s="8"/>
      <c r="C830" s="8"/>
      <c r="D830" s="9"/>
    </row>
    <row r="831">
      <c r="A831" s="8"/>
      <c r="B831" s="8"/>
      <c r="C831" s="8"/>
      <c r="D831" s="9"/>
    </row>
    <row r="832">
      <c r="A832" s="8"/>
      <c r="B832" s="8"/>
      <c r="C832" s="8"/>
      <c r="D832" s="9"/>
    </row>
    <row r="833">
      <c r="A833" s="8"/>
      <c r="B833" s="8"/>
      <c r="C833" s="8"/>
      <c r="D833" s="9"/>
    </row>
    <row r="834">
      <c r="A834" s="8"/>
      <c r="B834" s="8"/>
      <c r="C834" s="8"/>
      <c r="D834" s="9"/>
    </row>
    <row r="835">
      <c r="A835" s="8"/>
      <c r="B835" s="8"/>
      <c r="C835" s="8"/>
      <c r="D835" s="9"/>
    </row>
    <row r="836">
      <c r="A836" s="8"/>
      <c r="B836" s="8"/>
      <c r="C836" s="8"/>
      <c r="D836" s="9"/>
    </row>
    <row r="837">
      <c r="A837" s="8"/>
      <c r="B837" s="8"/>
      <c r="C837" s="8"/>
      <c r="D837" s="9"/>
    </row>
    <row r="838">
      <c r="A838" s="8"/>
      <c r="B838" s="8"/>
      <c r="C838" s="8"/>
      <c r="D838" s="9"/>
    </row>
    <row r="839">
      <c r="A839" s="8"/>
      <c r="B839" s="8"/>
      <c r="C839" s="8"/>
      <c r="D839" s="9"/>
    </row>
    <row r="840">
      <c r="A840" s="8"/>
      <c r="B840" s="8"/>
      <c r="C840" s="8"/>
      <c r="D840" s="9"/>
    </row>
    <row r="841">
      <c r="A841" s="8"/>
      <c r="B841" s="8"/>
      <c r="C841" s="8"/>
      <c r="D841" s="9"/>
    </row>
    <row r="842">
      <c r="A842" s="8"/>
      <c r="B842" s="8"/>
      <c r="C842" s="8"/>
      <c r="D842" s="9"/>
    </row>
    <row r="843">
      <c r="A843" s="8"/>
      <c r="B843" s="8"/>
      <c r="C843" s="8"/>
      <c r="D843" s="9"/>
    </row>
    <row r="844">
      <c r="A844" s="8"/>
      <c r="B844" s="8"/>
      <c r="C844" s="8"/>
      <c r="D844" s="9"/>
    </row>
    <row r="845">
      <c r="A845" s="8"/>
      <c r="B845" s="8"/>
      <c r="C845" s="8"/>
      <c r="D845" s="9"/>
    </row>
    <row r="846">
      <c r="A846" s="8"/>
      <c r="B846" s="8"/>
      <c r="C846" s="8"/>
      <c r="D846" s="9"/>
    </row>
    <row r="847">
      <c r="A847" s="8"/>
      <c r="B847" s="8"/>
      <c r="C847" s="8"/>
      <c r="D847" s="9"/>
    </row>
    <row r="848">
      <c r="A848" s="8"/>
      <c r="B848" s="8"/>
      <c r="C848" s="8"/>
      <c r="D848" s="9"/>
    </row>
    <row r="849">
      <c r="A849" s="8"/>
      <c r="B849" s="8"/>
      <c r="C849" s="8"/>
      <c r="D849" s="9"/>
    </row>
    <row r="850">
      <c r="A850" s="8"/>
      <c r="B850" s="8"/>
      <c r="C850" s="8"/>
      <c r="D850" s="9"/>
    </row>
    <row r="851">
      <c r="A851" s="8"/>
      <c r="B851" s="8"/>
      <c r="C851" s="8"/>
      <c r="D851" s="9"/>
    </row>
    <row r="852">
      <c r="A852" s="8"/>
      <c r="B852" s="8"/>
      <c r="C852" s="8"/>
      <c r="D852" s="9"/>
    </row>
    <row r="853">
      <c r="A853" s="8"/>
      <c r="B853" s="8"/>
      <c r="C853" s="8"/>
      <c r="D853" s="9"/>
    </row>
    <row r="854">
      <c r="A854" s="8"/>
      <c r="B854" s="8"/>
      <c r="C854" s="8"/>
      <c r="D854" s="9"/>
    </row>
    <row r="855">
      <c r="A855" s="8"/>
      <c r="B855" s="8"/>
      <c r="C855" s="8"/>
      <c r="D855" s="9"/>
    </row>
    <row r="856">
      <c r="A856" s="8"/>
      <c r="B856" s="8"/>
      <c r="C856" s="8"/>
      <c r="D856" s="9"/>
    </row>
    <row r="857">
      <c r="A857" s="8"/>
      <c r="B857" s="8"/>
      <c r="C857" s="8"/>
      <c r="D857" s="9"/>
    </row>
    <row r="858">
      <c r="A858" s="8"/>
      <c r="B858" s="8"/>
      <c r="C858" s="8"/>
      <c r="D858" s="9"/>
    </row>
    <row r="859">
      <c r="A859" s="8"/>
      <c r="B859" s="8"/>
      <c r="C859" s="8"/>
      <c r="D859" s="9"/>
    </row>
    <row r="860">
      <c r="A860" s="8"/>
      <c r="B860" s="8"/>
      <c r="C860" s="8"/>
      <c r="D860" s="9"/>
    </row>
    <row r="861">
      <c r="A861" s="8"/>
      <c r="B861" s="8"/>
      <c r="C861" s="8"/>
      <c r="D861" s="9"/>
    </row>
    <row r="862">
      <c r="A862" s="8"/>
      <c r="B862" s="8"/>
      <c r="C862" s="8"/>
      <c r="D862" s="9"/>
    </row>
    <row r="863">
      <c r="A863" s="8"/>
      <c r="B863" s="8"/>
      <c r="C863" s="8"/>
      <c r="D863" s="9"/>
    </row>
    <row r="864">
      <c r="A864" s="8"/>
      <c r="B864" s="8"/>
      <c r="C864" s="8"/>
      <c r="D864" s="9"/>
    </row>
    <row r="865">
      <c r="A865" s="8"/>
      <c r="B865" s="8"/>
      <c r="C865" s="8"/>
      <c r="D865" s="9"/>
    </row>
    <row r="866">
      <c r="A866" s="8"/>
      <c r="B866" s="8"/>
      <c r="C866" s="8"/>
      <c r="D866" s="9"/>
    </row>
    <row r="867">
      <c r="A867" s="8"/>
      <c r="B867" s="8"/>
      <c r="C867" s="8"/>
      <c r="D867" s="9"/>
    </row>
    <row r="868">
      <c r="A868" s="8"/>
      <c r="B868" s="8"/>
      <c r="C868" s="8"/>
      <c r="D868" s="9"/>
    </row>
    <row r="869">
      <c r="A869" s="8"/>
      <c r="B869" s="8"/>
      <c r="C869" s="8"/>
      <c r="D869" s="9"/>
    </row>
    <row r="870">
      <c r="A870" s="8"/>
      <c r="B870" s="8"/>
      <c r="C870" s="8"/>
      <c r="D870" s="9"/>
    </row>
    <row r="871">
      <c r="A871" s="8"/>
      <c r="B871" s="8"/>
      <c r="C871" s="8"/>
      <c r="D871" s="9"/>
    </row>
    <row r="872">
      <c r="A872" s="8"/>
      <c r="B872" s="8"/>
      <c r="C872" s="8"/>
      <c r="D872" s="9"/>
    </row>
    <row r="873">
      <c r="A873" s="8"/>
      <c r="B873" s="8"/>
      <c r="C873" s="8"/>
      <c r="D873" s="9"/>
    </row>
    <row r="874">
      <c r="A874" s="8"/>
      <c r="B874" s="8"/>
      <c r="C874" s="8"/>
      <c r="D874" s="9"/>
    </row>
    <row r="875">
      <c r="A875" s="8"/>
      <c r="B875" s="8"/>
      <c r="C875" s="8"/>
      <c r="D875" s="9"/>
    </row>
    <row r="876">
      <c r="A876" s="8"/>
      <c r="B876" s="8"/>
      <c r="C876" s="8"/>
      <c r="D876" s="9"/>
    </row>
    <row r="877">
      <c r="A877" s="8"/>
      <c r="B877" s="8"/>
      <c r="C877" s="8"/>
      <c r="D877" s="9"/>
    </row>
    <row r="878">
      <c r="A878" s="8"/>
      <c r="B878" s="8"/>
      <c r="C878" s="8"/>
      <c r="D878" s="9"/>
    </row>
    <row r="879">
      <c r="A879" s="8"/>
      <c r="B879" s="8"/>
      <c r="C879" s="8"/>
      <c r="D879" s="9"/>
    </row>
    <row r="880">
      <c r="A880" s="8"/>
      <c r="B880" s="8"/>
      <c r="C880" s="8"/>
      <c r="D880" s="9"/>
    </row>
    <row r="881">
      <c r="A881" s="8"/>
      <c r="B881" s="8"/>
      <c r="C881" s="8"/>
      <c r="D881" s="9"/>
    </row>
    <row r="882">
      <c r="A882" s="8"/>
      <c r="B882" s="8"/>
      <c r="C882" s="8"/>
      <c r="D882" s="9"/>
    </row>
    <row r="883">
      <c r="A883" s="8"/>
      <c r="B883" s="8"/>
      <c r="C883" s="8"/>
      <c r="D883" s="9"/>
    </row>
    <row r="884">
      <c r="A884" s="8"/>
      <c r="B884" s="8"/>
      <c r="C884" s="8"/>
      <c r="D884" s="9"/>
    </row>
    <row r="885">
      <c r="A885" s="8"/>
      <c r="B885" s="8"/>
      <c r="C885" s="8"/>
      <c r="D885" s="9"/>
    </row>
    <row r="886">
      <c r="A886" s="8"/>
      <c r="B886" s="8"/>
      <c r="C886" s="8"/>
      <c r="D886" s="9"/>
    </row>
    <row r="887">
      <c r="A887" s="8"/>
      <c r="B887" s="8"/>
      <c r="C887" s="8"/>
      <c r="D887" s="9"/>
    </row>
    <row r="888">
      <c r="A888" s="8"/>
      <c r="B888" s="8"/>
      <c r="C888" s="8"/>
      <c r="D888" s="9"/>
    </row>
    <row r="889">
      <c r="A889" s="8"/>
      <c r="B889" s="8"/>
      <c r="C889" s="8"/>
      <c r="D889" s="9"/>
    </row>
    <row r="890">
      <c r="A890" s="8"/>
      <c r="B890" s="8"/>
      <c r="C890" s="8"/>
      <c r="D890" s="9"/>
    </row>
    <row r="891">
      <c r="A891" s="8"/>
      <c r="B891" s="8"/>
      <c r="C891" s="8"/>
      <c r="D891" s="9"/>
    </row>
    <row r="892">
      <c r="A892" s="8"/>
      <c r="B892" s="8"/>
      <c r="C892" s="8"/>
      <c r="D892" s="9"/>
    </row>
    <row r="893">
      <c r="A893" s="8"/>
      <c r="B893" s="8"/>
      <c r="C893" s="8"/>
      <c r="D893" s="9"/>
    </row>
    <row r="894">
      <c r="A894" s="8"/>
      <c r="B894" s="8"/>
      <c r="C894" s="8"/>
      <c r="D894" s="9"/>
    </row>
    <row r="895">
      <c r="A895" s="8"/>
      <c r="B895" s="8"/>
      <c r="C895" s="8"/>
      <c r="D895" s="9"/>
    </row>
    <row r="896">
      <c r="A896" s="8"/>
      <c r="B896" s="8"/>
      <c r="C896" s="8"/>
      <c r="D896" s="9"/>
    </row>
    <row r="897">
      <c r="A897" s="8"/>
      <c r="B897" s="8"/>
      <c r="C897" s="8"/>
      <c r="D897" s="9"/>
    </row>
    <row r="898">
      <c r="A898" s="8"/>
      <c r="B898" s="8"/>
      <c r="C898" s="8"/>
      <c r="D898" s="9"/>
    </row>
    <row r="899">
      <c r="A899" s="8"/>
      <c r="B899" s="8"/>
      <c r="C899" s="8"/>
      <c r="D899" s="9"/>
    </row>
    <row r="900">
      <c r="A900" s="8"/>
      <c r="B900" s="8"/>
      <c r="C900" s="8"/>
      <c r="D900" s="9"/>
    </row>
    <row r="901">
      <c r="A901" s="8"/>
      <c r="B901" s="8"/>
      <c r="C901" s="8"/>
      <c r="D901" s="9"/>
    </row>
    <row r="902">
      <c r="A902" s="8"/>
      <c r="B902" s="8"/>
      <c r="C902" s="8"/>
      <c r="D902" s="9"/>
    </row>
    <row r="903">
      <c r="A903" s="8"/>
      <c r="B903" s="8"/>
      <c r="C903" s="8"/>
      <c r="D903" s="9"/>
    </row>
    <row r="904">
      <c r="A904" s="8"/>
      <c r="B904" s="8"/>
      <c r="C904" s="8"/>
      <c r="D904" s="9"/>
    </row>
    <row r="905">
      <c r="A905" s="8"/>
      <c r="B905" s="8"/>
      <c r="C905" s="8"/>
      <c r="D905" s="9"/>
    </row>
    <row r="906">
      <c r="A906" s="8"/>
      <c r="B906" s="8"/>
      <c r="C906" s="8"/>
      <c r="D906" s="9"/>
    </row>
    <row r="907">
      <c r="A907" s="8"/>
      <c r="B907" s="8"/>
      <c r="C907" s="8"/>
      <c r="D907" s="9"/>
    </row>
    <row r="908">
      <c r="A908" s="8"/>
      <c r="B908" s="8"/>
      <c r="C908" s="8"/>
      <c r="D908" s="9"/>
    </row>
    <row r="909">
      <c r="A909" s="8"/>
      <c r="B909" s="8"/>
      <c r="C909" s="8"/>
      <c r="D909" s="9"/>
    </row>
    <row r="910">
      <c r="A910" s="8"/>
      <c r="B910" s="8"/>
      <c r="C910" s="8"/>
      <c r="D910" s="9"/>
    </row>
    <row r="911">
      <c r="A911" s="8"/>
      <c r="B911" s="8"/>
      <c r="C911" s="8"/>
      <c r="D911" s="9"/>
    </row>
    <row r="912">
      <c r="A912" s="8"/>
      <c r="B912" s="8"/>
      <c r="C912" s="8"/>
      <c r="D912" s="9"/>
    </row>
    <row r="913">
      <c r="A913" s="8"/>
      <c r="B913" s="8"/>
      <c r="C913" s="8"/>
      <c r="D913" s="9"/>
    </row>
    <row r="914">
      <c r="A914" s="8"/>
      <c r="B914" s="8"/>
      <c r="C914" s="8"/>
      <c r="D914" s="9"/>
    </row>
    <row r="915">
      <c r="A915" s="8"/>
      <c r="B915" s="8"/>
      <c r="C915" s="8"/>
      <c r="D915" s="9"/>
    </row>
    <row r="916">
      <c r="A916" s="8"/>
      <c r="B916" s="8"/>
      <c r="C916" s="8"/>
      <c r="D916" s="9"/>
    </row>
    <row r="917">
      <c r="A917" s="8"/>
      <c r="B917" s="8"/>
      <c r="C917" s="8"/>
      <c r="D917" s="9"/>
    </row>
    <row r="918">
      <c r="A918" s="8"/>
      <c r="B918" s="8"/>
      <c r="C918" s="8"/>
      <c r="D918" s="9"/>
    </row>
    <row r="919">
      <c r="A919" s="8"/>
      <c r="B919" s="8"/>
      <c r="C919" s="8"/>
      <c r="D919" s="9"/>
    </row>
    <row r="920">
      <c r="A920" s="8"/>
      <c r="B920" s="8"/>
      <c r="C920" s="8"/>
      <c r="D920" s="9"/>
    </row>
    <row r="921">
      <c r="A921" s="8"/>
      <c r="B921" s="8"/>
      <c r="C921" s="8"/>
      <c r="D921" s="9"/>
    </row>
    <row r="922">
      <c r="A922" s="8"/>
      <c r="B922" s="8"/>
      <c r="C922" s="8"/>
      <c r="D922" s="9"/>
    </row>
    <row r="923">
      <c r="A923" s="8"/>
      <c r="B923" s="8"/>
      <c r="C923" s="8"/>
      <c r="D923" s="9"/>
    </row>
    <row r="924">
      <c r="A924" s="8"/>
      <c r="B924" s="8"/>
      <c r="C924" s="8"/>
      <c r="D924" s="9"/>
    </row>
    <row r="925">
      <c r="A925" s="8"/>
      <c r="B925" s="8"/>
      <c r="C925" s="8"/>
      <c r="D925" s="9"/>
    </row>
    <row r="926">
      <c r="A926" s="8"/>
      <c r="B926" s="8"/>
      <c r="C926" s="8"/>
      <c r="D926" s="9"/>
    </row>
    <row r="927">
      <c r="A927" s="8"/>
      <c r="B927" s="8"/>
      <c r="C927" s="8"/>
      <c r="D927" s="9"/>
    </row>
    <row r="928">
      <c r="A928" s="8"/>
      <c r="B928" s="8"/>
      <c r="C928" s="8"/>
      <c r="D928" s="9"/>
    </row>
    <row r="929">
      <c r="A929" s="8"/>
      <c r="B929" s="8"/>
      <c r="C929" s="8"/>
      <c r="D929" s="9"/>
    </row>
    <row r="930">
      <c r="A930" s="8"/>
      <c r="B930" s="8"/>
      <c r="C930" s="8"/>
      <c r="D930" s="9"/>
    </row>
    <row r="931">
      <c r="A931" s="8"/>
      <c r="B931" s="8"/>
      <c r="C931" s="8"/>
      <c r="D931" s="9"/>
    </row>
    <row r="932">
      <c r="A932" s="8"/>
      <c r="B932" s="8"/>
      <c r="C932" s="8"/>
      <c r="D932" s="9"/>
    </row>
    <row r="933">
      <c r="A933" s="8"/>
      <c r="B933" s="8"/>
      <c r="C933" s="8"/>
      <c r="D933" s="9"/>
    </row>
    <row r="934">
      <c r="A934" s="8"/>
      <c r="B934" s="8"/>
      <c r="C934" s="8"/>
      <c r="D934" s="9"/>
    </row>
    <row r="935">
      <c r="A935" s="8"/>
      <c r="B935" s="8"/>
      <c r="C935" s="8"/>
      <c r="D935" s="9"/>
    </row>
    <row r="936">
      <c r="A936" s="8"/>
      <c r="B936" s="8"/>
      <c r="C936" s="8"/>
      <c r="D936" s="9"/>
    </row>
    <row r="937">
      <c r="A937" s="8"/>
      <c r="B937" s="8"/>
      <c r="C937" s="8"/>
      <c r="D937" s="9"/>
    </row>
    <row r="938">
      <c r="A938" s="8"/>
      <c r="B938" s="8"/>
      <c r="C938" s="8"/>
      <c r="D938" s="9"/>
    </row>
    <row r="939">
      <c r="A939" s="8"/>
      <c r="B939" s="8"/>
      <c r="C939" s="8"/>
      <c r="D939" s="9"/>
    </row>
    <row r="940">
      <c r="A940" s="8"/>
      <c r="B940" s="8"/>
      <c r="C940" s="8"/>
      <c r="D940" s="9"/>
    </row>
    <row r="941">
      <c r="A941" s="8"/>
      <c r="B941" s="8"/>
      <c r="C941" s="8"/>
      <c r="D941" s="9"/>
    </row>
    <row r="942">
      <c r="A942" s="8"/>
      <c r="B942" s="8"/>
      <c r="C942" s="8"/>
      <c r="D942" s="9"/>
    </row>
    <row r="943">
      <c r="A943" s="8"/>
      <c r="B943" s="8"/>
      <c r="C943" s="8"/>
      <c r="D943" s="9"/>
    </row>
    <row r="944">
      <c r="A944" s="8"/>
      <c r="B944" s="8"/>
      <c r="C944" s="8"/>
      <c r="D944" s="9"/>
    </row>
    <row r="945">
      <c r="A945" s="8"/>
      <c r="B945" s="8"/>
      <c r="C945" s="8"/>
      <c r="D945" s="9"/>
    </row>
    <row r="946">
      <c r="A946" s="8"/>
      <c r="B946" s="8"/>
      <c r="C946" s="8"/>
      <c r="D946" s="9"/>
    </row>
    <row r="947">
      <c r="A947" s="8"/>
      <c r="B947" s="8"/>
      <c r="C947" s="8"/>
      <c r="D947" s="9"/>
    </row>
    <row r="948">
      <c r="A948" s="8"/>
      <c r="B948" s="8"/>
      <c r="C948" s="8"/>
      <c r="D948" s="9"/>
    </row>
    <row r="949">
      <c r="A949" s="8"/>
      <c r="B949" s="8"/>
      <c r="C949" s="8"/>
      <c r="D949" s="9"/>
    </row>
    <row r="950">
      <c r="A950" s="8"/>
      <c r="B950" s="8"/>
      <c r="C950" s="8"/>
      <c r="D950" s="9"/>
    </row>
    <row r="951">
      <c r="A951" s="8"/>
      <c r="B951" s="8"/>
      <c r="C951" s="8"/>
      <c r="D951" s="9"/>
    </row>
    <row r="952">
      <c r="A952" s="8"/>
      <c r="B952" s="8"/>
      <c r="C952" s="8"/>
      <c r="D952" s="9"/>
    </row>
    <row r="953">
      <c r="A953" s="8"/>
      <c r="B953" s="8"/>
      <c r="C953" s="8"/>
      <c r="D953" s="9"/>
    </row>
    <row r="954">
      <c r="A954" s="8"/>
      <c r="B954" s="8"/>
      <c r="C954" s="8"/>
      <c r="D954" s="9"/>
    </row>
    <row r="955">
      <c r="A955" s="8"/>
      <c r="B955" s="8"/>
      <c r="C955" s="8"/>
      <c r="D955" s="9"/>
    </row>
    <row r="956">
      <c r="A956" s="8"/>
      <c r="B956" s="8"/>
      <c r="C956" s="8"/>
      <c r="D956" s="9"/>
    </row>
    <row r="957">
      <c r="A957" s="8"/>
      <c r="B957" s="8"/>
      <c r="C957" s="8"/>
      <c r="D957" s="9"/>
    </row>
    <row r="958">
      <c r="A958" s="8"/>
      <c r="B958" s="8"/>
      <c r="C958" s="8"/>
      <c r="D958" s="9"/>
    </row>
    <row r="959">
      <c r="A959" s="8"/>
      <c r="B959" s="8"/>
      <c r="C959" s="8"/>
      <c r="D959" s="9"/>
    </row>
    <row r="960">
      <c r="A960" s="8"/>
      <c r="B960" s="8"/>
      <c r="C960" s="8"/>
      <c r="D960" s="9"/>
    </row>
    <row r="961">
      <c r="A961" s="8"/>
      <c r="B961" s="8"/>
      <c r="C961" s="8"/>
      <c r="D961" s="9"/>
    </row>
    <row r="962">
      <c r="A962" s="8"/>
      <c r="B962" s="8"/>
      <c r="C962" s="8"/>
      <c r="D962" s="9"/>
    </row>
    <row r="963">
      <c r="A963" s="8"/>
      <c r="B963" s="8"/>
      <c r="C963" s="8"/>
      <c r="D963" s="9"/>
    </row>
    <row r="964">
      <c r="A964" s="8"/>
      <c r="B964" s="8"/>
      <c r="C964" s="8"/>
      <c r="D964" s="9"/>
    </row>
    <row r="965">
      <c r="A965" s="8"/>
      <c r="B965" s="8"/>
      <c r="C965" s="8"/>
      <c r="D965" s="9"/>
    </row>
    <row r="966">
      <c r="A966" s="8"/>
      <c r="B966" s="8"/>
      <c r="C966" s="8"/>
      <c r="D966" s="9"/>
    </row>
    <row r="967">
      <c r="A967" s="8"/>
      <c r="B967" s="8"/>
      <c r="C967" s="8"/>
      <c r="D967" s="9"/>
    </row>
    <row r="968">
      <c r="A968" s="8"/>
      <c r="B968" s="8"/>
      <c r="C968" s="8"/>
      <c r="D968" s="9"/>
    </row>
    <row r="969">
      <c r="A969" s="8"/>
      <c r="B969" s="8"/>
      <c r="C969" s="8"/>
      <c r="D969" s="9"/>
    </row>
    <row r="970">
      <c r="A970" s="8"/>
      <c r="B970" s="8"/>
      <c r="C970" s="8"/>
      <c r="D970" s="9"/>
    </row>
    <row r="971">
      <c r="A971" s="8"/>
      <c r="B971" s="8"/>
      <c r="C971" s="8"/>
      <c r="D971" s="9"/>
    </row>
    <row r="972">
      <c r="A972" s="8"/>
      <c r="B972" s="8"/>
      <c r="C972" s="8"/>
      <c r="D972" s="9"/>
    </row>
    <row r="973">
      <c r="A973" s="8"/>
      <c r="B973" s="8"/>
      <c r="C973" s="8"/>
      <c r="D973" s="9"/>
    </row>
    <row r="974">
      <c r="A974" s="8"/>
      <c r="B974" s="8"/>
      <c r="C974" s="8"/>
      <c r="D974" s="9"/>
    </row>
    <row r="975">
      <c r="A975" s="8"/>
      <c r="B975" s="8"/>
      <c r="C975" s="8"/>
      <c r="D975" s="9"/>
    </row>
    <row r="976">
      <c r="A976" s="8"/>
      <c r="B976" s="8"/>
      <c r="C976" s="8"/>
      <c r="D976" s="9"/>
    </row>
    <row r="977">
      <c r="A977" s="8"/>
      <c r="B977" s="8"/>
      <c r="C977" s="8"/>
      <c r="D977" s="9"/>
    </row>
    <row r="978">
      <c r="A978" s="8"/>
      <c r="B978" s="8"/>
      <c r="C978" s="8"/>
      <c r="D978" s="9"/>
    </row>
    <row r="979">
      <c r="A979" s="8"/>
      <c r="B979" s="8"/>
      <c r="C979" s="8"/>
      <c r="D979" s="9"/>
    </row>
    <row r="980">
      <c r="A980" s="8"/>
      <c r="B980" s="8"/>
      <c r="C980" s="8"/>
      <c r="D980" s="9"/>
    </row>
    <row r="981">
      <c r="A981" s="8"/>
      <c r="B981" s="8"/>
      <c r="C981" s="8"/>
      <c r="D981" s="9"/>
    </row>
    <row r="982">
      <c r="A982" s="8"/>
      <c r="B982" s="8"/>
      <c r="C982" s="8"/>
      <c r="D982" s="9"/>
    </row>
    <row r="983">
      <c r="A983" s="8"/>
      <c r="B983" s="8"/>
      <c r="C983" s="8"/>
      <c r="D983" s="9"/>
    </row>
    <row r="984">
      <c r="A984" s="8"/>
      <c r="B984" s="8"/>
      <c r="C984" s="8"/>
      <c r="D984" s="9"/>
    </row>
    <row r="985">
      <c r="A985" s="8"/>
      <c r="B985" s="8"/>
      <c r="C985" s="8"/>
      <c r="D985" s="9"/>
    </row>
    <row r="986">
      <c r="A986" s="8"/>
      <c r="B986" s="8"/>
      <c r="C986" s="8"/>
      <c r="D986" s="9"/>
    </row>
    <row r="987">
      <c r="A987" s="8"/>
      <c r="B987" s="8"/>
      <c r="C987" s="8"/>
      <c r="D987" s="9"/>
    </row>
    <row r="988">
      <c r="A988" s="8"/>
      <c r="B988" s="8"/>
      <c r="C988" s="8"/>
      <c r="D98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20.5"/>
  </cols>
  <sheetData>
    <row r="1">
      <c r="A1" s="8" t="s">
        <v>15</v>
      </c>
      <c r="B1" s="11" t="s">
        <v>2</v>
      </c>
      <c r="C1" s="12" t="s">
        <v>23</v>
      </c>
      <c r="D1" s="13" t="s">
        <v>24</v>
      </c>
      <c r="E1" s="14" t="s">
        <v>25</v>
      </c>
    </row>
    <row r="2">
      <c r="A2" s="8" t="s">
        <v>17</v>
      </c>
      <c r="B2" s="15">
        <v>2001.0</v>
      </c>
      <c r="C2" s="12">
        <v>1.76003081E8</v>
      </c>
      <c r="D2" s="16">
        <f t="shared" ref="D2:D21" si="1">((C3-C2)/C2)</f>
        <v>0.01348458213</v>
      </c>
      <c r="E2" s="16">
        <f t="shared" ref="E2:E21" si="2">(C3-C2)/C2</f>
        <v>0.01348458213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8" t="s">
        <v>17</v>
      </c>
      <c r="B3" s="15">
        <v>2002.0</v>
      </c>
      <c r="C3" s="12">
        <v>1.78376409E8</v>
      </c>
      <c r="D3" s="16">
        <f t="shared" si="1"/>
        <v>0.01292945638</v>
      </c>
      <c r="E3" s="16">
        <f t="shared" si="2"/>
        <v>0.01292945638</v>
      </c>
    </row>
    <row r="4">
      <c r="A4" s="8" t="s">
        <v>17</v>
      </c>
      <c r="B4" s="15">
        <v>2003.0</v>
      </c>
      <c r="C4" s="12">
        <v>1.80682719E8</v>
      </c>
      <c r="D4" s="16">
        <f t="shared" si="1"/>
        <v>0.01234841944</v>
      </c>
      <c r="E4" s="16">
        <f t="shared" si="2"/>
        <v>0.01234841944</v>
      </c>
    </row>
    <row r="5">
      <c r="A5" s="8" t="s">
        <v>17</v>
      </c>
      <c r="B5" s="15">
        <v>2004.0</v>
      </c>
      <c r="C5" s="12">
        <v>1.82913865E8</v>
      </c>
      <c r="D5" s="16">
        <f t="shared" si="1"/>
        <v>0.01181781928</v>
      </c>
      <c r="E5" s="16">
        <f t="shared" si="2"/>
        <v>0.01181781928</v>
      </c>
    </row>
    <row r="6">
      <c r="A6" s="8" t="s">
        <v>17</v>
      </c>
      <c r="B6" s="15">
        <v>2005.0</v>
      </c>
      <c r="C6" s="12">
        <v>1.85075508E8</v>
      </c>
      <c r="D6" s="16">
        <f t="shared" si="1"/>
        <v>0.01123923431</v>
      </c>
      <c r="E6" s="16">
        <f t="shared" si="2"/>
        <v>0.01123923431</v>
      </c>
    </row>
    <row r="7">
      <c r="A7" s="8" t="s">
        <v>17</v>
      </c>
      <c r="B7" s="15">
        <v>2006.0</v>
      </c>
      <c r="C7" s="12">
        <v>1.87155615E8</v>
      </c>
      <c r="D7" s="16">
        <f t="shared" si="1"/>
        <v>0.01069351833</v>
      </c>
      <c r="E7" s="16">
        <f t="shared" si="2"/>
        <v>0.01069351833</v>
      </c>
    </row>
    <row r="8">
      <c r="A8" s="8" t="s">
        <v>17</v>
      </c>
      <c r="B8" s="15">
        <v>2007.0</v>
      </c>
      <c r="C8" s="12">
        <v>1.89156967E8</v>
      </c>
      <c r="D8" s="16">
        <f t="shared" si="1"/>
        <v>0.01019591311</v>
      </c>
      <c r="E8" s="16">
        <f t="shared" si="2"/>
        <v>0.01019591311</v>
      </c>
    </row>
    <row r="9">
      <c r="A9" s="8" t="s">
        <v>17</v>
      </c>
      <c r="B9" s="15">
        <v>2008.0</v>
      </c>
      <c r="C9" s="12">
        <v>1.91085595E8</v>
      </c>
      <c r="D9" s="16">
        <f t="shared" si="1"/>
        <v>0.009840961586</v>
      </c>
      <c r="E9" s="16">
        <f t="shared" si="2"/>
        <v>0.009840961586</v>
      </c>
    </row>
    <row r="10">
      <c r="A10" s="8" t="s">
        <v>17</v>
      </c>
      <c r="B10" s="15">
        <v>2009.0</v>
      </c>
      <c r="C10" s="12">
        <v>1.92966061E8</v>
      </c>
      <c r="D10" s="16">
        <f t="shared" si="1"/>
        <v>0.009543227397</v>
      </c>
      <c r="E10" s="16">
        <f t="shared" si="2"/>
        <v>0.009543227397</v>
      </c>
    </row>
    <row r="11">
      <c r="A11" s="8" t="s">
        <v>17</v>
      </c>
      <c r="B11" s="15">
        <v>2010.0</v>
      </c>
      <c r="C11" s="12">
        <v>1.9480758E8</v>
      </c>
      <c r="D11" s="16">
        <f t="shared" si="1"/>
        <v>0.009311290659</v>
      </c>
      <c r="E11" s="16">
        <f t="shared" si="2"/>
        <v>0.009311290659</v>
      </c>
    </row>
    <row r="12">
      <c r="A12" s="8" t="s">
        <v>17</v>
      </c>
      <c r="B12" s="15">
        <v>2011.0</v>
      </c>
      <c r="C12" s="12">
        <v>1.9662149E8</v>
      </c>
      <c r="D12" s="16">
        <f t="shared" si="1"/>
        <v>0.009074643875</v>
      </c>
      <c r="E12" s="16">
        <f t="shared" si="2"/>
        <v>0.009074643875</v>
      </c>
    </row>
    <row r="13">
      <c r="A13" s="8" t="s">
        <v>17</v>
      </c>
      <c r="B13" s="15">
        <v>2012.0</v>
      </c>
      <c r="C13" s="12">
        <v>1.9840576E8</v>
      </c>
      <c r="D13" s="16">
        <f t="shared" si="1"/>
        <v>0.008885951698</v>
      </c>
      <c r="E13" s="16">
        <f t="shared" si="2"/>
        <v>0.008885951698</v>
      </c>
    </row>
    <row r="14">
      <c r="A14" s="8" t="s">
        <v>17</v>
      </c>
      <c r="B14" s="15">
        <v>2013.0</v>
      </c>
      <c r="C14" s="12">
        <v>2.00168784E8</v>
      </c>
      <c r="D14" s="16">
        <f t="shared" si="1"/>
        <v>0.008683376925</v>
      </c>
      <c r="E14" s="16">
        <f t="shared" si="2"/>
        <v>0.008683376925</v>
      </c>
    </row>
    <row r="15">
      <c r="A15" s="8" t="s">
        <v>17</v>
      </c>
      <c r="B15" s="15">
        <v>2014.0</v>
      </c>
      <c r="C15" s="12">
        <v>2.01906925E8</v>
      </c>
      <c r="D15" s="16">
        <f t="shared" si="1"/>
        <v>0.008508108377</v>
      </c>
      <c r="E15" s="16">
        <f t="shared" si="2"/>
        <v>0.008508108377</v>
      </c>
    </row>
    <row r="16">
      <c r="A16" s="8" t="s">
        <v>17</v>
      </c>
      <c r="B16" s="15">
        <v>2015.0</v>
      </c>
      <c r="C16" s="12">
        <v>2.03624771E8</v>
      </c>
      <c r="D16" s="16">
        <f t="shared" si="1"/>
        <v>0.008335223616</v>
      </c>
      <c r="E16" s="16">
        <f t="shared" si="2"/>
        <v>0.008335223616</v>
      </c>
    </row>
    <row r="17">
      <c r="A17" s="8" t="s">
        <v>17</v>
      </c>
      <c r="B17" s="15">
        <v>2016.0</v>
      </c>
      <c r="C17" s="12">
        <v>2.05322029E8</v>
      </c>
      <c r="D17" s="16">
        <f t="shared" si="1"/>
        <v>0.00819823381</v>
      </c>
      <c r="E17" s="16">
        <f t="shared" si="2"/>
        <v>0.00819823381</v>
      </c>
    </row>
    <row r="18">
      <c r="A18" s="8" t="s">
        <v>17</v>
      </c>
      <c r="B18" s="15">
        <v>2017.0</v>
      </c>
      <c r="C18" s="12">
        <v>2.07005307E8</v>
      </c>
      <c r="D18" s="16">
        <f t="shared" si="1"/>
        <v>0.007985239721</v>
      </c>
      <c r="E18" s="16">
        <f t="shared" si="2"/>
        <v>0.007985239721</v>
      </c>
    </row>
    <row r="19">
      <c r="A19" s="8" t="s">
        <v>17</v>
      </c>
      <c r="B19" s="11">
        <v>2018.0</v>
      </c>
      <c r="C19" s="12">
        <v>2.08658294E8</v>
      </c>
      <c r="D19" s="16">
        <f t="shared" si="1"/>
        <v>0.007704553551</v>
      </c>
      <c r="E19" s="16">
        <f t="shared" si="2"/>
        <v>0.007704553551</v>
      </c>
    </row>
    <row r="20">
      <c r="A20" s="8" t="s">
        <v>17</v>
      </c>
      <c r="B20" s="11">
        <v>2019.0</v>
      </c>
      <c r="C20" s="12">
        <v>2.10265913E8</v>
      </c>
      <c r="D20" s="16">
        <f t="shared" si="1"/>
        <v>0.007336785968</v>
      </c>
      <c r="E20" s="16">
        <f t="shared" si="2"/>
        <v>0.007336785968</v>
      </c>
    </row>
    <row r="21">
      <c r="A21" s="8" t="s">
        <v>17</v>
      </c>
      <c r="B21" s="11">
        <v>2020.0</v>
      </c>
      <c r="C21" s="12">
        <v>2.11808589E8</v>
      </c>
      <c r="D21" s="16">
        <f t="shared" si="1"/>
        <v>0.009099999245</v>
      </c>
      <c r="E21" s="16">
        <f t="shared" si="2"/>
        <v>0.009099999245</v>
      </c>
    </row>
    <row r="22">
      <c r="A22" s="8" t="s">
        <v>17</v>
      </c>
      <c r="B22" s="11">
        <v>2021.0</v>
      </c>
      <c r="C22" s="12">
        <v>2.13736047E8</v>
      </c>
      <c r="D22" s="14">
        <v>0.0</v>
      </c>
      <c r="E22" s="14">
        <v>0.0</v>
      </c>
    </row>
    <row r="23">
      <c r="A23" s="8" t="s">
        <v>18</v>
      </c>
      <c r="B23" s="11">
        <v>2001.0</v>
      </c>
      <c r="C23" s="12">
        <v>1.5429945E7</v>
      </c>
      <c r="D23" s="16">
        <f t="shared" ref="D23:D42" si="3">((C24-C23)/C23)</f>
        <v>0.01108292998</v>
      </c>
      <c r="E23" s="16">
        <f t="shared" ref="E23:E42" si="4">(C24-C23)/C23</f>
        <v>0.01108292998</v>
      </c>
    </row>
    <row r="24">
      <c r="A24" s="8" t="s">
        <v>18</v>
      </c>
      <c r="B24" s="11">
        <v>2002.0</v>
      </c>
      <c r="C24" s="12">
        <v>1.5600954E7</v>
      </c>
      <c r="D24" s="16">
        <f t="shared" si="3"/>
        <v>0.01068883352</v>
      </c>
      <c r="E24" s="16">
        <f t="shared" si="4"/>
        <v>0.01068883352</v>
      </c>
    </row>
    <row r="25">
      <c r="A25" s="8" t="s">
        <v>18</v>
      </c>
      <c r="B25" s="11">
        <v>2003.0</v>
      </c>
      <c r="C25" s="12">
        <v>1.576771E7</v>
      </c>
      <c r="D25" s="16">
        <f t="shared" si="3"/>
        <v>0.01046772169</v>
      </c>
      <c r="E25" s="16">
        <f t="shared" si="4"/>
        <v>0.01046772169</v>
      </c>
    </row>
    <row r="26">
      <c r="A26" s="8" t="s">
        <v>18</v>
      </c>
      <c r="B26" s="11">
        <v>2004.0</v>
      </c>
      <c r="C26" s="12">
        <v>1.5932762E7</v>
      </c>
      <c r="D26" s="16">
        <f t="shared" si="3"/>
        <v>0.01046711173</v>
      </c>
      <c r="E26" s="16">
        <f t="shared" si="4"/>
        <v>0.01046711173</v>
      </c>
    </row>
    <row r="27">
      <c r="A27" s="8" t="s">
        <v>18</v>
      </c>
      <c r="B27" s="11">
        <v>2005.0</v>
      </c>
      <c r="C27" s="12">
        <v>1.6099532E7</v>
      </c>
      <c r="D27" s="16">
        <f t="shared" si="3"/>
        <v>0.01054589661</v>
      </c>
      <c r="E27" s="16">
        <f t="shared" si="4"/>
        <v>0.01054589661</v>
      </c>
    </row>
    <row r="28">
      <c r="A28" s="8" t="s">
        <v>18</v>
      </c>
      <c r="B28" s="11">
        <v>2006.0</v>
      </c>
      <c r="C28" s="12">
        <v>1.6269316E7</v>
      </c>
      <c r="D28" s="16">
        <f t="shared" si="3"/>
        <v>0.01068022774</v>
      </c>
      <c r="E28" s="16">
        <f t="shared" si="4"/>
        <v>0.01068022774</v>
      </c>
    </row>
    <row r="29">
      <c r="A29" s="8" t="s">
        <v>18</v>
      </c>
      <c r="B29" s="11">
        <v>2007.0</v>
      </c>
      <c r="C29" s="12">
        <v>1.6443076E7</v>
      </c>
      <c r="D29" s="16">
        <f t="shared" si="3"/>
        <v>0.01074239394</v>
      </c>
      <c r="E29" s="16">
        <f t="shared" si="4"/>
        <v>0.01074239394</v>
      </c>
    </row>
    <row r="30">
      <c r="A30" s="8" t="s">
        <v>18</v>
      </c>
      <c r="B30" s="11">
        <v>2008.0</v>
      </c>
      <c r="C30" s="12">
        <v>1.6619714E7</v>
      </c>
      <c r="D30" s="16">
        <f t="shared" si="3"/>
        <v>0.01072443244</v>
      </c>
      <c r="E30" s="16">
        <f t="shared" si="4"/>
        <v>0.01072443244</v>
      </c>
    </row>
    <row r="31">
      <c r="A31" s="8" t="s">
        <v>18</v>
      </c>
      <c r="B31" s="11">
        <v>2009.0</v>
      </c>
      <c r="C31" s="12">
        <v>1.6797951E7</v>
      </c>
      <c r="D31" s="16">
        <f t="shared" si="3"/>
        <v>0.01054479799</v>
      </c>
      <c r="E31" s="16">
        <f t="shared" si="4"/>
        <v>0.01054479799</v>
      </c>
    </row>
    <row r="32">
      <c r="A32" s="8" t="s">
        <v>18</v>
      </c>
      <c r="B32" s="11">
        <v>2010.0</v>
      </c>
      <c r="C32" s="12">
        <v>1.6975082E7</v>
      </c>
      <c r="D32" s="16">
        <f t="shared" si="3"/>
        <v>0.01023134969</v>
      </c>
      <c r="E32" s="16">
        <f t="shared" si="4"/>
        <v>0.01023134969</v>
      </c>
    </row>
    <row r="33">
      <c r="A33" s="8" t="s">
        <v>18</v>
      </c>
      <c r="B33" s="11">
        <v>2011.0</v>
      </c>
      <c r="C33" s="12">
        <v>1.714876E7</v>
      </c>
      <c r="D33" s="16">
        <f t="shared" si="3"/>
        <v>0.009835521635</v>
      </c>
      <c r="E33" s="16">
        <f t="shared" si="4"/>
        <v>0.009835521635</v>
      </c>
    </row>
    <row r="34">
      <c r="A34" s="8" t="s">
        <v>18</v>
      </c>
      <c r="B34" s="11">
        <v>2012.0</v>
      </c>
      <c r="C34" s="12">
        <v>1.7317427E7</v>
      </c>
      <c r="D34" s="16">
        <f t="shared" si="3"/>
        <v>0.009771139789</v>
      </c>
      <c r="E34" s="16">
        <f t="shared" si="4"/>
        <v>0.009771139789</v>
      </c>
    </row>
    <row r="35">
      <c r="A35" s="8" t="s">
        <v>18</v>
      </c>
      <c r="B35" s="11">
        <v>2013.0</v>
      </c>
      <c r="C35" s="12">
        <v>1.7486638E7</v>
      </c>
      <c r="D35" s="16">
        <f t="shared" si="3"/>
        <v>0.01025766074</v>
      </c>
      <c r="E35" s="16">
        <f t="shared" si="4"/>
        <v>0.01025766074</v>
      </c>
    </row>
    <row r="36">
      <c r="A36" s="8" t="s">
        <v>18</v>
      </c>
      <c r="B36" s="11">
        <v>2014.0</v>
      </c>
      <c r="C36" s="12">
        <v>1.766601E7</v>
      </c>
      <c r="D36" s="16">
        <f t="shared" si="3"/>
        <v>0.01126553195</v>
      </c>
      <c r="E36" s="16">
        <f t="shared" si="4"/>
        <v>0.01126553195</v>
      </c>
    </row>
    <row r="37">
      <c r="A37" s="8" t="s">
        <v>18</v>
      </c>
      <c r="B37" s="11">
        <v>2015.0</v>
      </c>
      <c r="C37" s="12">
        <v>1.7865027E7</v>
      </c>
      <c r="D37" s="16">
        <f t="shared" si="3"/>
        <v>0.01258559531</v>
      </c>
      <c r="E37" s="16">
        <f t="shared" si="4"/>
        <v>0.01258559531</v>
      </c>
    </row>
    <row r="38">
      <c r="A38" s="8" t="s">
        <v>18</v>
      </c>
      <c r="B38" s="11">
        <v>2016.0</v>
      </c>
      <c r="C38" s="12">
        <v>1.8089869E7</v>
      </c>
      <c r="D38" s="16">
        <f t="shared" si="3"/>
        <v>0.01387290311</v>
      </c>
      <c r="E38" s="16">
        <f t="shared" si="4"/>
        <v>0.01387290311</v>
      </c>
    </row>
    <row r="39">
      <c r="A39" s="8" t="s">
        <v>18</v>
      </c>
      <c r="B39" s="11">
        <v>2017.0</v>
      </c>
      <c r="C39" s="12">
        <v>1.8340828E7</v>
      </c>
      <c r="D39" s="16">
        <f t="shared" si="3"/>
        <v>0.01417798586</v>
      </c>
      <c r="E39" s="16">
        <f t="shared" si="4"/>
        <v>0.01417798586</v>
      </c>
    </row>
    <row r="40">
      <c r="A40" s="8" t="s">
        <v>18</v>
      </c>
      <c r="B40" s="11">
        <v>2018.0</v>
      </c>
      <c r="C40" s="12">
        <v>1.8600864E7</v>
      </c>
      <c r="D40" s="16">
        <f t="shared" si="3"/>
        <v>0.01293767859</v>
      </c>
      <c r="E40" s="16">
        <f t="shared" si="4"/>
        <v>0.01293767859</v>
      </c>
    </row>
    <row r="41">
      <c r="A41" s="8" t="s">
        <v>18</v>
      </c>
      <c r="B41" s="11">
        <v>2019.0</v>
      </c>
      <c r="C41" s="12">
        <v>1.8841516E7</v>
      </c>
      <c r="D41" s="16">
        <f t="shared" si="3"/>
        <v>0.01024625619</v>
      </c>
      <c r="E41" s="16">
        <f t="shared" si="4"/>
        <v>0.01024625619</v>
      </c>
    </row>
    <row r="42">
      <c r="A42" s="8" t="s">
        <v>18</v>
      </c>
      <c r="B42" s="11">
        <v>2020.0</v>
      </c>
      <c r="C42" s="12">
        <v>1.9034571E7</v>
      </c>
      <c r="D42" s="16">
        <f t="shared" si="3"/>
        <v>0.01067000669</v>
      </c>
      <c r="E42" s="16">
        <f t="shared" si="4"/>
        <v>0.01067000669</v>
      </c>
    </row>
    <row r="43">
      <c r="A43" s="8" t="s">
        <v>18</v>
      </c>
      <c r="B43" s="11">
        <v>2021.0</v>
      </c>
      <c r="C43" s="12">
        <v>1.923767E7</v>
      </c>
      <c r="D43" s="14">
        <v>0.0</v>
      </c>
      <c r="E43" s="14">
        <v>0.0</v>
      </c>
    </row>
    <row r="44">
      <c r="A44" s="8" t="s">
        <v>19</v>
      </c>
      <c r="B44" s="11">
        <v>2001.0</v>
      </c>
      <c r="C44" s="12">
        <v>3.9945533E7</v>
      </c>
      <c r="D44" s="16">
        <f t="shared" ref="D44:D63" si="5">((C45-C44)/C44)</f>
        <v>0.01558802583</v>
      </c>
      <c r="E44" s="16">
        <f t="shared" ref="E44:E63" si="6">(C45-C44)/C44</f>
        <v>0.01558802583</v>
      </c>
    </row>
    <row r="45">
      <c r="A45" s="8" t="s">
        <v>19</v>
      </c>
      <c r="B45" s="11">
        <v>2002.0</v>
      </c>
      <c r="C45" s="12">
        <v>4.0568205E7</v>
      </c>
      <c r="D45" s="16">
        <f t="shared" si="5"/>
        <v>0.01513286082</v>
      </c>
      <c r="E45" s="16">
        <f t="shared" si="6"/>
        <v>0.01513286082</v>
      </c>
    </row>
    <row r="46">
      <c r="A46" s="8" t="s">
        <v>19</v>
      </c>
      <c r="B46" s="11">
        <v>2003.0</v>
      </c>
      <c r="C46" s="12">
        <v>4.1182118E7</v>
      </c>
      <c r="D46" s="16">
        <f t="shared" si="5"/>
        <v>0.01455515231</v>
      </c>
      <c r="E46" s="16">
        <f t="shared" si="6"/>
        <v>0.01455515231</v>
      </c>
    </row>
    <row r="47">
      <c r="A47" s="8" t="s">
        <v>19</v>
      </c>
      <c r="B47" s="11">
        <v>2004.0</v>
      </c>
      <c r="C47" s="12">
        <v>4.178153E7</v>
      </c>
      <c r="D47" s="16">
        <f t="shared" si="5"/>
        <v>0.01394544431</v>
      </c>
      <c r="E47" s="16">
        <f t="shared" si="6"/>
        <v>0.01394544431</v>
      </c>
    </row>
    <row r="48">
      <c r="A48" s="8" t="s">
        <v>19</v>
      </c>
      <c r="B48" s="11">
        <v>2005.0</v>
      </c>
      <c r="C48" s="12">
        <v>4.2364192E7</v>
      </c>
      <c r="D48" s="16">
        <f t="shared" si="5"/>
        <v>0.01327529155</v>
      </c>
      <c r="E48" s="16">
        <f t="shared" si="6"/>
        <v>0.01327529155</v>
      </c>
    </row>
    <row r="49">
      <c r="A49" s="8" t="s">
        <v>19</v>
      </c>
      <c r="B49" s="11">
        <v>2006.0</v>
      </c>
      <c r="C49" s="12">
        <v>4.2926589E7</v>
      </c>
      <c r="D49" s="16">
        <f t="shared" si="5"/>
        <v>0.01269197047</v>
      </c>
      <c r="E49" s="16">
        <f t="shared" si="6"/>
        <v>0.01269197047</v>
      </c>
    </row>
    <row r="50">
      <c r="A50" s="8" t="s">
        <v>19</v>
      </c>
      <c r="B50" s="11">
        <v>2007.0</v>
      </c>
      <c r="C50" s="12">
        <v>4.3471412E7</v>
      </c>
      <c r="D50" s="16">
        <f t="shared" si="5"/>
        <v>0.01210551891</v>
      </c>
      <c r="E50" s="16">
        <f t="shared" si="6"/>
        <v>0.01210551891</v>
      </c>
    </row>
    <row r="51">
      <c r="A51" s="8" t="s">
        <v>19</v>
      </c>
      <c r="B51" s="11">
        <v>2008.0</v>
      </c>
      <c r="C51" s="12">
        <v>4.3997656E7</v>
      </c>
      <c r="D51" s="16">
        <f t="shared" si="5"/>
        <v>0.01152088648</v>
      </c>
      <c r="E51" s="16">
        <f t="shared" si="6"/>
        <v>0.01152088648</v>
      </c>
    </row>
    <row r="52">
      <c r="A52" s="8" t="s">
        <v>19</v>
      </c>
      <c r="B52" s="11">
        <v>2009.0</v>
      </c>
      <c r="C52" s="12">
        <v>4.4504548E7</v>
      </c>
      <c r="D52" s="16">
        <f t="shared" si="5"/>
        <v>0.01087014747</v>
      </c>
      <c r="E52" s="16">
        <f t="shared" si="6"/>
        <v>0.01087014747</v>
      </c>
    </row>
    <row r="53">
      <c r="A53" s="8" t="s">
        <v>19</v>
      </c>
      <c r="B53" s="11">
        <v>2010.0</v>
      </c>
      <c r="C53" s="12">
        <v>4.4988319E7</v>
      </c>
      <c r="D53" s="16">
        <f t="shared" si="5"/>
        <v>0.01014067674</v>
      </c>
      <c r="E53" s="16">
        <f t="shared" si="6"/>
        <v>0.01014067674</v>
      </c>
    </row>
    <row r="54">
      <c r="A54" s="8" t="s">
        <v>19</v>
      </c>
      <c r="B54" s="11">
        <v>2011.0</v>
      </c>
      <c r="C54" s="12">
        <v>4.5444531E7</v>
      </c>
      <c r="D54" s="16">
        <f t="shared" si="5"/>
        <v>0.009370346456</v>
      </c>
      <c r="E54" s="16">
        <f t="shared" si="6"/>
        <v>0.009370346456</v>
      </c>
    </row>
    <row r="55">
      <c r="A55" s="8" t="s">
        <v>19</v>
      </c>
      <c r="B55" s="11">
        <v>2012.0</v>
      </c>
      <c r="C55" s="12">
        <v>4.5870362E7</v>
      </c>
      <c r="D55" s="16">
        <f t="shared" si="5"/>
        <v>0.00909018333</v>
      </c>
      <c r="E55" s="16">
        <f t="shared" si="6"/>
        <v>0.00909018333</v>
      </c>
    </row>
    <row r="56">
      <c r="A56" s="8" t="s">
        <v>19</v>
      </c>
      <c r="B56" s="11">
        <v>2013.0</v>
      </c>
      <c r="C56" s="12">
        <v>4.6287332E7</v>
      </c>
      <c r="D56" s="16">
        <f t="shared" si="5"/>
        <v>0.009639959374</v>
      </c>
      <c r="E56" s="16">
        <f t="shared" si="6"/>
        <v>0.009639959374</v>
      </c>
    </row>
    <row r="57">
      <c r="A57" s="8" t="s">
        <v>19</v>
      </c>
      <c r="B57" s="11">
        <v>2014.0</v>
      </c>
      <c r="C57" s="12">
        <v>4.673354E7</v>
      </c>
      <c r="D57" s="16">
        <f t="shared" si="5"/>
        <v>0.01097539369</v>
      </c>
      <c r="E57" s="16">
        <f t="shared" si="6"/>
        <v>0.01097539369</v>
      </c>
    </row>
    <row r="58">
      <c r="A58" s="8" t="s">
        <v>19</v>
      </c>
      <c r="B58" s="11">
        <v>2015.0</v>
      </c>
      <c r="C58" s="12">
        <v>4.7246459E7</v>
      </c>
      <c r="D58" s="16">
        <f t="shared" si="5"/>
        <v>0.01276679804</v>
      </c>
      <c r="E58" s="16">
        <f t="shared" si="6"/>
        <v>0.01276679804</v>
      </c>
    </row>
    <row r="59">
      <c r="A59" s="8" t="s">
        <v>19</v>
      </c>
      <c r="B59" s="11">
        <v>2016.0</v>
      </c>
      <c r="C59" s="12">
        <v>4.7849645E7</v>
      </c>
      <c r="D59" s="16">
        <f t="shared" si="5"/>
        <v>0.01454182157</v>
      </c>
      <c r="E59" s="16">
        <f t="shared" si="6"/>
        <v>0.01454182157</v>
      </c>
    </row>
    <row r="60">
      <c r="A60" s="8" t="s">
        <v>19</v>
      </c>
      <c r="B60" s="11">
        <v>2017.0</v>
      </c>
      <c r="C60" s="12">
        <v>4.8545466E7</v>
      </c>
      <c r="D60" s="16">
        <f t="shared" si="5"/>
        <v>0.01530670238</v>
      </c>
      <c r="E60" s="16">
        <f t="shared" si="6"/>
        <v>0.01530670238</v>
      </c>
    </row>
    <row r="61">
      <c r="A61" s="8" t="s">
        <v>19</v>
      </c>
      <c r="B61" s="11">
        <v>2018.0</v>
      </c>
      <c r="C61" s="12">
        <v>4.9288537E7</v>
      </c>
      <c r="D61" s="16">
        <f t="shared" si="5"/>
        <v>0.01449627121</v>
      </c>
      <c r="E61" s="16">
        <f t="shared" si="6"/>
        <v>0.01449627121</v>
      </c>
    </row>
    <row r="62">
      <c r="A62" s="8" t="s">
        <v>19</v>
      </c>
      <c r="B62" s="11">
        <v>2019.0</v>
      </c>
      <c r="C62" s="12">
        <v>5.0003037E7</v>
      </c>
      <c r="D62" s="16">
        <f t="shared" si="5"/>
        <v>0.01219147949</v>
      </c>
      <c r="E62" s="16">
        <f t="shared" si="6"/>
        <v>0.01219147949</v>
      </c>
    </row>
    <row r="63">
      <c r="A63" s="8" t="s">
        <v>19</v>
      </c>
      <c r="B63" s="11">
        <v>2020.0</v>
      </c>
      <c r="C63" s="12">
        <v>5.0612648E7</v>
      </c>
      <c r="D63" s="16">
        <f t="shared" si="5"/>
        <v>0.009809998481</v>
      </c>
      <c r="E63" s="16">
        <f t="shared" si="6"/>
        <v>0.009809998481</v>
      </c>
    </row>
    <row r="64">
      <c r="A64" s="8" t="s">
        <v>19</v>
      </c>
      <c r="B64" s="11">
        <v>2021.0</v>
      </c>
      <c r="C64" s="12">
        <v>5.1109158E7</v>
      </c>
      <c r="D64" s="14">
        <v>0.0</v>
      </c>
      <c r="E64" s="14">
        <v>0.0</v>
      </c>
    </row>
    <row r="65">
      <c r="A65" s="8" t="s">
        <v>20</v>
      </c>
      <c r="B65" s="11">
        <v>2001.0</v>
      </c>
      <c r="C65" s="12">
        <v>1.2798851E7</v>
      </c>
      <c r="D65" s="16">
        <f t="shared" ref="D65:D84" si="7">((C66-C65)/C65)</f>
        <v>0.0180603712</v>
      </c>
      <c r="E65" s="16">
        <f t="shared" ref="E65:E84" si="8">(C66-C65)/C65</f>
        <v>0.0180603712</v>
      </c>
    </row>
    <row r="66">
      <c r="A66" s="8" t="s">
        <v>20</v>
      </c>
      <c r="B66" s="11">
        <v>2002.0</v>
      </c>
      <c r="C66" s="12">
        <v>1.3030003E7</v>
      </c>
      <c r="D66" s="16">
        <f t="shared" si="7"/>
        <v>0.01745955085</v>
      </c>
      <c r="E66" s="16">
        <f t="shared" si="8"/>
        <v>0.01745955085</v>
      </c>
    </row>
    <row r="67">
      <c r="A67" s="8" t="s">
        <v>20</v>
      </c>
      <c r="B67" s="11">
        <v>2003.0</v>
      </c>
      <c r="C67" s="12">
        <v>1.3257501E7</v>
      </c>
      <c r="D67" s="16">
        <f t="shared" si="7"/>
        <v>0.01705841848</v>
      </c>
      <c r="E67" s="16">
        <f t="shared" si="8"/>
        <v>0.01705841848</v>
      </c>
    </row>
    <row r="68">
      <c r="A68" s="8" t="s">
        <v>20</v>
      </c>
      <c r="B68" s="11">
        <v>2004.0</v>
      </c>
      <c r="C68" s="12">
        <v>1.3483653E7</v>
      </c>
      <c r="D68" s="16">
        <f t="shared" si="7"/>
        <v>0.01693932646</v>
      </c>
      <c r="E68" s="16">
        <f t="shared" si="8"/>
        <v>0.01693932646</v>
      </c>
    </row>
    <row r="69">
      <c r="A69" s="8" t="s">
        <v>20</v>
      </c>
      <c r="B69" s="11">
        <v>2005.0</v>
      </c>
      <c r="C69" s="12">
        <v>1.3712057E7</v>
      </c>
      <c r="D69" s="16">
        <f t="shared" si="7"/>
        <v>0.01688382713</v>
      </c>
      <c r="E69" s="16">
        <f t="shared" si="8"/>
        <v>0.01688382713</v>
      </c>
    </row>
    <row r="70">
      <c r="A70" s="8" t="s">
        <v>20</v>
      </c>
      <c r="B70" s="11">
        <v>2006.0</v>
      </c>
      <c r="C70" s="12">
        <v>1.3943569E7</v>
      </c>
      <c r="D70" s="16">
        <f t="shared" si="7"/>
        <v>0.01688032669</v>
      </c>
      <c r="E70" s="16">
        <f t="shared" si="8"/>
        <v>0.01688032669</v>
      </c>
    </row>
    <row r="71">
      <c r="A71" s="8" t="s">
        <v>20</v>
      </c>
      <c r="B71" s="11">
        <v>2007.0</v>
      </c>
      <c r="C71" s="12">
        <v>1.4178941E7</v>
      </c>
      <c r="D71" s="16">
        <f t="shared" si="7"/>
        <v>0.01677558289</v>
      </c>
      <c r="E71" s="16">
        <f t="shared" si="8"/>
        <v>0.01677558289</v>
      </c>
    </row>
    <row r="72">
      <c r="A72" s="8" t="s">
        <v>20</v>
      </c>
      <c r="B72" s="11">
        <v>2008.0</v>
      </c>
      <c r="C72" s="12">
        <v>1.4416801E7</v>
      </c>
      <c r="D72" s="16">
        <f t="shared" si="7"/>
        <v>0.01659563727</v>
      </c>
      <c r="E72" s="16">
        <f t="shared" si="8"/>
        <v>0.01659563727</v>
      </c>
    </row>
    <row r="73">
      <c r="A73" s="8" t="s">
        <v>20</v>
      </c>
      <c r="B73" s="11">
        <v>2009.0</v>
      </c>
      <c r="C73" s="12">
        <v>1.4656057E7</v>
      </c>
      <c r="D73" s="16">
        <f t="shared" si="7"/>
        <v>0.01621711761</v>
      </c>
      <c r="E73" s="16">
        <f t="shared" si="8"/>
        <v>0.01621711761</v>
      </c>
    </row>
    <row r="74">
      <c r="A74" s="8" t="s">
        <v>20</v>
      </c>
      <c r="B74" s="11">
        <v>2010.0</v>
      </c>
      <c r="C74" s="12">
        <v>1.4893736E7</v>
      </c>
      <c r="D74" s="16">
        <f t="shared" si="7"/>
        <v>0.01575964553</v>
      </c>
      <c r="E74" s="16">
        <f t="shared" si="8"/>
        <v>0.01575964553</v>
      </c>
    </row>
    <row r="75">
      <c r="A75" s="8" t="s">
        <v>20</v>
      </c>
      <c r="B75" s="11">
        <v>2011.0</v>
      </c>
      <c r="C75" s="12">
        <v>1.5128456E7</v>
      </c>
      <c r="D75" s="16">
        <f t="shared" si="7"/>
        <v>0.01528014491</v>
      </c>
      <c r="E75" s="16">
        <f t="shared" si="8"/>
        <v>0.01528014491</v>
      </c>
    </row>
    <row r="76">
      <c r="A76" s="8" t="s">
        <v>20</v>
      </c>
      <c r="B76" s="11">
        <v>2012.0</v>
      </c>
      <c r="C76" s="12">
        <v>1.5359621E7</v>
      </c>
      <c r="D76" s="16">
        <f t="shared" si="7"/>
        <v>0.01511261248</v>
      </c>
      <c r="E76" s="16">
        <f t="shared" si="8"/>
        <v>0.01511261248</v>
      </c>
    </row>
    <row r="77">
      <c r="A77" s="8" t="s">
        <v>20</v>
      </c>
      <c r="B77" s="11">
        <v>2013.0</v>
      </c>
      <c r="C77" s="12">
        <v>1.5591745E7</v>
      </c>
      <c r="D77" s="16">
        <f t="shared" si="7"/>
        <v>0.01532298021</v>
      </c>
      <c r="E77" s="16">
        <f t="shared" si="8"/>
        <v>0.01532298021</v>
      </c>
    </row>
    <row r="78">
      <c r="A78" s="8" t="s">
        <v>20</v>
      </c>
      <c r="B78" s="11">
        <v>2014.0</v>
      </c>
      <c r="C78" s="12">
        <v>1.5830657E7</v>
      </c>
      <c r="D78" s="16">
        <f t="shared" si="7"/>
        <v>0.01593989435</v>
      </c>
      <c r="E78" s="16">
        <f t="shared" si="8"/>
        <v>0.01593989435</v>
      </c>
    </row>
    <row r="79">
      <c r="A79" s="8" t="s">
        <v>20</v>
      </c>
      <c r="B79" s="11">
        <v>2015.0</v>
      </c>
      <c r="C79" s="12">
        <v>1.6082996E7</v>
      </c>
      <c r="D79" s="16">
        <f t="shared" si="7"/>
        <v>0.01674663104</v>
      </c>
      <c r="E79" s="16">
        <f t="shared" si="8"/>
        <v>0.01674663104</v>
      </c>
    </row>
    <row r="80">
      <c r="A80" s="8" t="s">
        <v>20</v>
      </c>
      <c r="B80" s="11">
        <v>2016.0</v>
      </c>
      <c r="C80" s="12">
        <v>1.6352332E7</v>
      </c>
      <c r="D80" s="16">
        <f t="shared" si="7"/>
        <v>0.01755792385</v>
      </c>
      <c r="E80" s="16">
        <f t="shared" si="8"/>
        <v>0.01755792385</v>
      </c>
    </row>
    <row r="81">
      <c r="A81" s="8" t="s">
        <v>20</v>
      </c>
      <c r="B81" s="11">
        <v>2017.0</v>
      </c>
      <c r="C81" s="12">
        <v>1.6639445E7</v>
      </c>
      <c r="D81" s="16">
        <f t="shared" si="7"/>
        <v>0.01782757778</v>
      </c>
      <c r="E81" s="16">
        <f t="shared" si="8"/>
        <v>0.01782757778</v>
      </c>
    </row>
    <row r="82">
      <c r="A82" s="8" t="s">
        <v>20</v>
      </c>
      <c r="B82" s="11">
        <v>2018.0</v>
      </c>
      <c r="C82" s="12">
        <v>1.6936086E7</v>
      </c>
      <c r="D82" s="16">
        <f t="shared" si="7"/>
        <v>0.01736593685</v>
      </c>
      <c r="E82" s="16">
        <f t="shared" si="8"/>
        <v>0.01736593685</v>
      </c>
    </row>
    <row r="83">
      <c r="A83" s="8" t="s">
        <v>20</v>
      </c>
      <c r="B83" s="11">
        <v>2019.0</v>
      </c>
      <c r="C83" s="12">
        <v>1.7230197E7</v>
      </c>
      <c r="D83" s="16">
        <f t="shared" si="7"/>
        <v>0.0161865822</v>
      </c>
      <c r="E83" s="16">
        <f t="shared" si="8"/>
        <v>0.0161865822</v>
      </c>
    </row>
    <row r="84">
      <c r="A84" s="8" t="s">
        <v>20</v>
      </c>
      <c r="B84" s="11">
        <v>2020.0</v>
      </c>
      <c r="C84" s="12">
        <v>1.7509095E7</v>
      </c>
      <c r="D84" s="16">
        <f t="shared" si="7"/>
        <v>0.01556002752</v>
      </c>
      <c r="E84" s="16">
        <f t="shared" si="8"/>
        <v>0.01556002752</v>
      </c>
    </row>
    <row r="85">
      <c r="A85" s="8" t="s">
        <v>20</v>
      </c>
      <c r="B85" s="11">
        <v>2021.0</v>
      </c>
      <c r="C85" s="12">
        <v>1.7781537E7</v>
      </c>
      <c r="D85" s="14">
        <v>0.0</v>
      </c>
      <c r="E85" s="14">
        <v>0.0</v>
      </c>
    </row>
    <row r="86">
      <c r="A86" s="8" t="s">
        <v>21</v>
      </c>
      <c r="B86" s="11">
        <v>2001.0</v>
      </c>
      <c r="C86" s="12">
        <v>9.9604745E7</v>
      </c>
      <c r="D86" s="16">
        <f t="shared" ref="D86:D105" si="9">((C87-C86)/C86)</f>
        <v>0.01397936414</v>
      </c>
      <c r="E86" s="16">
        <f t="shared" ref="E86:E105" si="10">(C87-C86)/C86</f>
        <v>0.01397936414</v>
      </c>
    </row>
    <row r="87">
      <c r="A87" s="8" t="s">
        <v>21</v>
      </c>
      <c r="B87" s="11">
        <v>2002.0</v>
      </c>
      <c r="C87" s="12">
        <v>1.00997156E8</v>
      </c>
      <c r="D87" s="16">
        <f t="shared" si="9"/>
        <v>0.01377735825</v>
      </c>
      <c r="E87" s="16">
        <f t="shared" si="10"/>
        <v>0.01377735825</v>
      </c>
    </row>
    <row r="88">
      <c r="A88" s="8" t="s">
        <v>21</v>
      </c>
      <c r="B88" s="11">
        <v>2003.0</v>
      </c>
      <c r="C88" s="12">
        <v>1.0238863E8</v>
      </c>
      <c r="D88" s="16">
        <f t="shared" si="9"/>
        <v>0.01380294863</v>
      </c>
      <c r="E88" s="16">
        <f t="shared" si="10"/>
        <v>0.01380294863</v>
      </c>
    </row>
    <row r="89">
      <c r="A89" s="8" t="s">
        <v>21</v>
      </c>
      <c r="B89" s="11">
        <v>2004.0</v>
      </c>
      <c r="C89" s="12">
        <v>1.03801895E8</v>
      </c>
      <c r="D89" s="16">
        <f t="shared" si="9"/>
        <v>0.01410664035</v>
      </c>
      <c r="E89" s="16">
        <f t="shared" si="10"/>
        <v>0.01410664035</v>
      </c>
    </row>
    <row r="90">
      <c r="A90" s="8" t="s">
        <v>21</v>
      </c>
      <c r="B90" s="11">
        <v>2005.0</v>
      </c>
      <c r="C90" s="12">
        <v>1.05266191E8</v>
      </c>
      <c r="D90" s="16">
        <f t="shared" si="9"/>
        <v>0.01446690514</v>
      </c>
      <c r="E90" s="16">
        <f t="shared" si="10"/>
        <v>0.01446690514</v>
      </c>
    </row>
    <row r="91">
      <c r="A91" s="8" t="s">
        <v>21</v>
      </c>
      <c r="B91" s="11">
        <v>2006.0</v>
      </c>
      <c r="C91" s="12">
        <v>1.06789067E8</v>
      </c>
      <c r="D91" s="16">
        <f t="shared" si="9"/>
        <v>0.01482249115</v>
      </c>
      <c r="E91" s="16">
        <f t="shared" si="10"/>
        <v>0.01482249115</v>
      </c>
    </row>
    <row r="92">
      <c r="A92" s="8" t="s">
        <v>21</v>
      </c>
      <c r="B92" s="11">
        <v>2007.0</v>
      </c>
      <c r="C92" s="12">
        <v>1.08371947E8</v>
      </c>
      <c r="D92" s="16">
        <f t="shared" si="9"/>
        <v>0.01499866012</v>
      </c>
      <c r="E92" s="16">
        <f t="shared" si="10"/>
        <v>0.01499866012</v>
      </c>
    </row>
    <row r="93">
      <c r="A93" s="8" t="s">
        <v>21</v>
      </c>
      <c r="B93" s="11">
        <v>2008.0</v>
      </c>
      <c r="C93" s="12">
        <v>1.09997381E8</v>
      </c>
      <c r="D93" s="16">
        <f t="shared" si="9"/>
        <v>0.01499102056</v>
      </c>
      <c r="E93" s="16">
        <f t="shared" si="10"/>
        <v>0.01499102056</v>
      </c>
    </row>
    <row r="94">
      <c r="A94" s="8" t="s">
        <v>21</v>
      </c>
      <c r="B94" s="11">
        <v>2009.0</v>
      </c>
      <c r="C94" s="12">
        <v>1.11646354E8</v>
      </c>
      <c r="D94" s="16">
        <f t="shared" si="9"/>
        <v>0.01467816853</v>
      </c>
      <c r="E94" s="16">
        <f t="shared" si="10"/>
        <v>0.01467816853</v>
      </c>
    </row>
    <row r="95">
      <c r="A95" s="8" t="s">
        <v>21</v>
      </c>
      <c r="B95" s="11">
        <v>2010.0</v>
      </c>
      <c r="C95" s="12">
        <v>1.13285118E8</v>
      </c>
      <c r="D95" s="16">
        <f t="shared" si="9"/>
        <v>0.01426208516</v>
      </c>
      <c r="E95" s="16">
        <f t="shared" si="10"/>
        <v>0.01426208516</v>
      </c>
    </row>
    <row r="96">
      <c r="A96" s="8" t="s">
        <v>21</v>
      </c>
      <c r="B96" s="11">
        <v>2011.0</v>
      </c>
      <c r="C96" s="12">
        <v>1.149008E8</v>
      </c>
      <c r="D96" s="16">
        <f t="shared" si="9"/>
        <v>0.01382344596</v>
      </c>
      <c r="E96" s="16">
        <f t="shared" si="10"/>
        <v>0.01382344596</v>
      </c>
    </row>
    <row r="97">
      <c r="A97" s="8" t="s">
        <v>21</v>
      </c>
      <c r="B97" s="11">
        <v>2012.0</v>
      </c>
      <c r="C97" s="12">
        <v>1.16489125E8</v>
      </c>
      <c r="D97" s="16">
        <f t="shared" si="9"/>
        <v>0.01345974571</v>
      </c>
      <c r="E97" s="16">
        <f t="shared" si="10"/>
        <v>0.01345974571</v>
      </c>
    </row>
    <row r="98">
      <c r="A98" s="8" t="s">
        <v>21</v>
      </c>
      <c r="B98" s="11">
        <v>2013.0</v>
      </c>
      <c r="C98" s="12">
        <v>1.18057039E8</v>
      </c>
      <c r="D98" s="16">
        <f t="shared" si="9"/>
        <v>0.01304782852</v>
      </c>
      <c r="E98" s="16">
        <f t="shared" si="10"/>
        <v>0.01304782852</v>
      </c>
    </row>
    <row r="99">
      <c r="A99" s="8" t="s">
        <v>21</v>
      </c>
      <c r="B99" s="11">
        <v>2014.0</v>
      </c>
      <c r="C99" s="12">
        <v>1.19597427E8</v>
      </c>
      <c r="D99" s="16">
        <f t="shared" si="9"/>
        <v>0.01267120906</v>
      </c>
      <c r="E99" s="16">
        <f t="shared" si="10"/>
        <v>0.01267120906</v>
      </c>
    </row>
    <row r="100">
      <c r="A100" s="8" t="s">
        <v>21</v>
      </c>
      <c r="B100" s="11">
        <v>2015.0</v>
      </c>
      <c r="C100" s="12">
        <v>1.21112871E8</v>
      </c>
      <c r="D100" s="16">
        <f t="shared" si="9"/>
        <v>0.01227758856</v>
      </c>
      <c r="E100" s="16">
        <f t="shared" si="10"/>
        <v>0.01227758856</v>
      </c>
    </row>
    <row r="101">
      <c r="A101" s="8" t="s">
        <v>21</v>
      </c>
      <c r="B101" s="11">
        <v>2016.0</v>
      </c>
      <c r="C101" s="12">
        <v>1.22599845E8</v>
      </c>
      <c r="D101" s="16">
        <f t="shared" si="9"/>
        <v>0.0119204229</v>
      </c>
      <c r="E101" s="16">
        <f t="shared" si="10"/>
        <v>0.0119204229</v>
      </c>
    </row>
    <row r="102">
      <c r="A102" s="8" t="s">
        <v>21</v>
      </c>
      <c r="B102" s="11">
        <v>2017.0</v>
      </c>
      <c r="C102" s="12">
        <v>1.24061287E8</v>
      </c>
      <c r="D102" s="16">
        <f t="shared" si="9"/>
        <v>0.01151508286</v>
      </c>
      <c r="E102" s="16">
        <f t="shared" si="10"/>
        <v>0.01151508286</v>
      </c>
    </row>
    <row r="103">
      <c r="A103" s="8" t="s">
        <v>21</v>
      </c>
      <c r="B103" s="11">
        <v>2018.0</v>
      </c>
      <c r="C103" s="12">
        <v>1.25489863E8</v>
      </c>
      <c r="D103" s="16">
        <f t="shared" si="9"/>
        <v>0.01114817537</v>
      </c>
      <c r="E103" s="16">
        <f t="shared" si="10"/>
        <v>0.01114817537</v>
      </c>
    </row>
    <row r="104">
      <c r="A104" s="8" t="s">
        <v>21</v>
      </c>
      <c r="B104" s="11">
        <v>2019.0</v>
      </c>
      <c r="C104" s="12">
        <v>1.26888846E8</v>
      </c>
      <c r="D104" s="16">
        <f t="shared" si="9"/>
        <v>0.01078899401</v>
      </c>
      <c r="E104" s="16">
        <f t="shared" si="10"/>
        <v>0.01078899401</v>
      </c>
    </row>
    <row r="105">
      <c r="A105" s="8" t="s">
        <v>21</v>
      </c>
      <c r="B105" s="11">
        <v>2020.0</v>
      </c>
      <c r="C105" s="12">
        <v>1.28257849E8</v>
      </c>
      <c r="D105" s="16">
        <f t="shared" si="9"/>
        <v>0.01367999708</v>
      </c>
      <c r="E105" s="16">
        <f t="shared" si="10"/>
        <v>0.01367999708</v>
      </c>
    </row>
    <row r="106">
      <c r="A106" s="8" t="s">
        <v>21</v>
      </c>
      <c r="B106" s="11">
        <v>2021.0</v>
      </c>
      <c r="C106" s="12">
        <v>1.30012416E8</v>
      </c>
      <c r="D106" s="14">
        <v>0.0</v>
      </c>
      <c r="E106" s="14">
        <v>0.0</v>
      </c>
    </row>
    <row r="107">
      <c r="A107" s="8" t="s">
        <v>22</v>
      </c>
      <c r="B107" s="11">
        <v>2001.0</v>
      </c>
      <c r="C107" s="12">
        <v>2.6631011E7</v>
      </c>
      <c r="D107" s="16">
        <f t="shared" ref="D107:D126" si="11">((C108-C107)/C107)</f>
        <v>0.01202939686</v>
      </c>
      <c r="E107" s="16">
        <f t="shared" ref="E107:E126" si="12">(C108-C107)/C107</f>
        <v>0.01202939686</v>
      </c>
    </row>
    <row r="108">
      <c r="A108" s="8" t="s">
        <v>22</v>
      </c>
      <c r="B108" s="11">
        <v>2002.0</v>
      </c>
      <c r="C108" s="12">
        <v>2.6951366E7</v>
      </c>
      <c r="D108" s="16">
        <f t="shared" si="11"/>
        <v>0.01062428524</v>
      </c>
      <c r="E108" s="16">
        <f t="shared" si="12"/>
        <v>0.01062428524</v>
      </c>
    </row>
    <row r="109">
      <c r="A109" s="8" t="s">
        <v>22</v>
      </c>
      <c r="B109" s="11">
        <v>2003.0</v>
      </c>
      <c r="C109" s="12">
        <v>2.7237705E7</v>
      </c>
      <c r="D109" s="16">
        <f t="shared" si="11"/>
        <v>0.009589831449</v>
      </c>
      <c r="E109" s="16">
        <f t="shared" si="12"/>
        <v>0.009589831449</v>
      </c>
    </row>
    <row r="110">
      <c r="A110" s="8" t="s">
        <v>22</v>
      </c>
      <c r="B110" s="11">
        <v>2004.0</v>
      </c>
      <c r="C110" s="12">
        <v>2.749891E7</v>
      </c>
      <c r="D110" s="16">
        <f t="shared" si="11"/>
        <v>0.008991883678</v>
      </c>
      <c r="E110" s="16">
        <f t="shared" si="12"/>
        <v>0.008991883678</v>
      </c>
    </row>
    <row r="111">
      <c r="A111" s="8" t="s">
        <v>22</v>
      </c>
      <c r="B111" s="11">
        <v>2005.0</v>
      </c>
      <c r="C111" s="12">
        <v>2.7746177E7</v>
      </c>
      <c r="D111" s="16">
        <f t="shared" si="11"/>
        <v>0.008609834789</v>
      </c>
      <c r="E111" s="16">
        <f t="shared" si="12"/>
        <v>0.008609834789</v>
      </c>
    </row>
    <row r="112">
      <c r="A112" s="8" t="s">
        <v>22</v>
      </c>
      <c r="B112" s="11">
        <v>2006.0</v>
      </c>
      <c r="C112" s="12">
        <v>2.7985067E7</v>
      </c>
      <c r="D112" s="16">
        <f t="shared" si="11"/>
        <v>0.00834141294</v>
      </c>
      <c r="E112" s="16">
        <f t="shared" si="12"/>
        <v>0.00834141294</v>
      </c>
    </row>
    <row r="113">
      <c r="A113" s="8" t="s">
        <v>22</v>
      </c>
      <c r="B113" s="11">
        <v>2007.0</v>
      </c>
      <c r="C113" s="12">
        <v>2.8218502E7</v>
      </c>
      <c r="D113" s="16">
        <f t="shared" si="11"/>
        <v>0.008143947542</v>
      </c>
      <c r="E113" s="16">
        <f t="shared" si="12"/>
        <v>0.008143947542</v>
      </c>
    </row>
    <row r="114">
      <c r="A114" s="8" t="s">
        <v>22</v>
      </c>
      <c r="B114" s="11">
        <v>2008.0</v>
      </c>
      <c r="C114" s="12">
        <v>2.8448312E7</v>
      </c>
      <c r="D114" s="16">
        <f t="shared" si="11"/>
        <v>0.008089302451</v>
      </c>
      <c r="E114" s="16">
        <f t="shared" si="12"/>
        <v>0.008089302451</v>
      </c>
    </row>
    <row r="115">
      <c r="A115" s="8" t="s">
        <v>22</v>
      </c>
      <c r="B115" s="11">
        <v>2009.0</v>
      </c>
      <c r="C115" s="12">
        <v>2.8678439E7</v>
      </c>
      <c r="D115" s="16">
        <f t="shared" si="11"/>
        <v>0.008114039959</v>
      </c>
      <c r="E115" s="16">
        <f t="shared" si="12"/>
        <v>0.008114039959</v>
      </c>
    </row>
    <row r="116">
      <c r="A116" s="8" t="s">
        <v>22</v>
      </c>
      <c r="B116" s="11">
        <v>2010.0</v>
      </c>
      <c r="C116" s="12">
        <v>2.8911137E7</v>
      </c>
      <c r="D116" s="16">
        <f t="shared" si="11"/>
        <v>0.008157133357</v>
      </c>
      <c r="E116" s="16">
        <f t="shared" si="12"/>
        <v>0.008157133357</v>
      </c>
    </row>
    <row r="117">
      <c r="A117" s="8" t="s">
        <v>22</v>
      </c>
      <c r="B117" s="11">
        <v>2011.0</v>
      </c>
      <c r="C117" s="12">
        <v>2.9146969E7</v>
      </c>
      <c r="D117" s="16">
        <f t="shared" si="11"/>
        <v>0.008208263439</v>
      </c>
      <c r="E117" s="16">
        <f t="shared" si="12"/>
        <v>0.008208263439</v>
      </c>
    </row>
    <row r="118">
      <c r="A118" s="8" t="s">
        <v>22</v>
      </c>
      <c r="B118" s="11">
        <v>2012.0</v>
      </c>
      <c r="C118" s="12">
        <v>2.9386215E7</v>
      </c>
      <c r="D118" s="16">
        <f t="shared" si="11"/>
        <v>0.008686760102</v>
      </c>
      <c r="E118" s="16">
        <f t="shared" si="12"/>
        <v>0.008686760102</v>
      </c>
    </row>
    <row r="119">
      <c r="A119" s="8" t="s">
        <v>22</v>
      </c>
      <c r="B119" s="11">
        <v>2013.0</v>
      </c>
      <c r="C119" s="12">
        <v>2.9641486E7</v>
      </c>
      <c r="D119" s="16">
        <f t="shared" si="11"/>
        <v>0.009850821919</v>
      </c>
      <c r="E119" s="16">
        <f t="shared" si="12"/>
        <v>0.009850821919</v>
      </c>
    </row>
    <row r="120">
      <c r="A120" s="8" t="s">
        <v>22</v>
      </c>
      <c r="B120" s="11">
        <v>2014.0</v>
      </c>
      <c r="C120" s="12">
        <v>2.9933479E7</v>
      </c>
      <c r="D120" s="16">
        <f t="shared" si="11"/>
        <v>0.01164715936</v>
      </c>
      <c r="E120" s="16">
        <f t="shared" si="12"/>
        <v>0.01164715936</v>
      </c>
    </row>
    <row r="121">
      <c r="A121" s="8" t="s">
        <v>22</v>
      </c>
      <c r="B121" s="11">
        <v>2015.0</v>
      </c>
      <c r="C121" s="12">
        <v>3.0282119E7</v>
      </c>
      <c r="D121" s="16">
        <f t="shared" si="11"/>
        <v>0.01378741032</v>
      </c>
      <c r="E121" s="16">
        <f t="shared" si="12"/>
        <v>0.01378741032</v>
      </c>
    </row>
    <row r="122">
      <c r="A122" s="8" t="s">
        <v>22</v>
      </c>
      <c r="B122" s="11">
        <v>2016.0</v>
      </c>
      <c r="C122" s="12">
        <v>3.0699631E7</v>
      </c>
      <c r="D122" s="16">
        <f t="shared" si="11"/>
        <v>0.01588507692</v>
      </c>
      <c r="E122" s="16">
        <f t="shared" si="12"/>
        <v>0.01588507692</v>
      </c>
    </row>
    <row r="123">
      <c r="A123" s="8" t="s">
        <v>22</v>
      </c>
      <c r="B123" s="11">
        <v>2017.0</v>
      </c>
      <c r="C123" s="12">
        <v>3.1187297E7</v>
      </c>
      <c r="D123" s="16">
        <f t="shared" si="11"/>
        <v>0.01704940957</v>
      </c>
      <c r="E123" s="16">
        <f t="shared" si="12"/>
        <v>0.01704940957</v>
      </c>
    </row>
    <row r="124">
      <c r="A124" s="8" t="s">
        <v>22</v>
      </c>
      <c r="B124" s="11">
        <v>2018.0</v>
      </c>
      <c r="C124" s="12">
        <v>3.1719022E7</v>
      </c>
      <c r="D124" s="16">
        <f t="shared" si="11"/>
        <v>0.01680326083</v>
      </c>
      <c r="E124" s="16">
        <f t="shared" si="12"/>
        <v>0.01680326083</v>
      </c>
    </row>
    <row r="125">
      <c r="A125" s="8" t="s">
        <v>22</v>
      </c>
      <c r="B125" s="11">
        <v>2019.0</v>
      </c>
      <c r="C125" s="12">
        <v>3.2252005E7</v>
      </c>
      <c r="D125" s="16">
        <f t="shared" si="11"/>
        <v>0.01520556629</v>
      </c>
      <c r="E125" s="16">
        <f t="shared" si="12"/>
        <v>0.01520556629</v>
      </c>
    </row>
    <row r="126">
      <c r="A126" s="8" t="s">
        <v>22</v>
      </c>
      <c r="B126" s="11">
        <v>2020.0</v>
      </c>
      <c r="C126" s="12">
        <v>3.2742415E7</v>
      </c>
      <c r="D126" s="16">
        <f t="shared" si="11"/>
        <v>0.01318998614</v>
      </c>
      <c r="E126" s="16">
        <f t="shared" si="12"/>
        <v>0.01318998614</v>
      </c>
    </row>
    <row r="127">
      <c r="A127" s="8" t="s">
        <v>22</v>
      </c>
      <c r="B127" s="11">
        <v>2021.0</v>
      </c>
      <c r="C127" s="12">
        <v>3.3174287E7</v>
      </c>
      <c r="D127" s="14">
        <v>0.0</v>
      </c>
      <c r="E127" s="14">
        <v>0.0</v>
      </c>
    </row>
    <row r="128">
      <c r="A128" s="8"/>
      <c r="B128" s="8"/>
      <c r="C128" s="9"/>
      <c r="E128" s="16"/>
    </row>
    <row r="129">
      <c r="A129" s="8"/>
      <c r="B129" s="8"/>
      <c r="C129" s="9"/>
      <c r="E129" s="16"/>
    </row>
    <row r="130">
      <c r="A130" s="8"/>
      <c r="B130" s="8"/>
      <c r="C130" s="9"/>
      <c r="E130" s="16"/>
    </row>
    <row r="131">
      <c r="A131" s="8"/>
      <c r="B131" s="8"/>
      <c r="C131" s="9"/>
      <c r="E131" s="16"/>
    </row>
    <row r="132">
      <c r="A132" s="8"/>
      <c r="B132" s="8"/>
      <c r="C132" s="9"/>
      <c r="E132" s="16"/>
    </row>
    <row r="133">
      <c r="A133" s="8"/>
      <c r="B133" s="8"/>
      <c r="C133" s="9"/>
      <c r="E133" s="16"/>
    </row>
    <row r="134">
      <c r="A134" s="8"/>
      <c r="B134" s="8"/>
      <c r="C134" s="9"/>
      <c r="E134" s="16"/>
    </row>
    <row r="135">
      <c r="A135" s="8"/>
      <c r="B135" s="8"/>
      <c r="C135" s="9"/>
      <c r="E135" s="16"/>
    </row>
    <row r="136">
      <c r="A136" s="8"/>
      <c r="B136" s="8"/>
      <c r="C136" s="9"/>
      <c r="E136" s="16"/>
    </row>
    <row r="137">
      <c r="A137" s="8"/>
      <c r="B137" s="8"/>
      <c r="C137" s="9"/>
      <c r="E137" s="16"/>
    </row>
    <row r="138">
      <c r="A138" s="8"/>
      <c r="B138" s="8"/>
      <c r="C138" s="9"/>
      <c r="E138" s="16"/>
    </row>
    <row r="139">
      <c r="A139" s="8"/>
      <c r="B139" s="8"/>
      <c r="C139" s="9"/>
      <c r="E139" s="16"/>
    </row>
    <row r="140">
      <c r="A140" s="8"/>
      <c r="B140" s="8"/>
      <c r="C140" s="9"/>
      <c r="E140" s="16"/>
    </row>
    <row r="141">
      <c r="A141" s="8"/>
      <c r="B141" s="8"/>
      <c r="C141" s="9"/>
      <c r="E141" s="16"/>
    </row>
    <row r="142">
      <c r="A142" s="8"/>
      <c r="B142" s="8"/>
      <c r="C142" s="9"/>
      <c r="E142" s="16"/>
    </row>
    <row r="143">
      <c r="A143" s="8"/>
      <c r="B143" s="8"/>
      <c r="C143" s="9"/>
      <c r="E143" s="16"/>
    </row>
    <row r="144">
      <c r="A144" s="8"/>
      <c r="B144" s="8"/>
      <c r="C144" s="9"/>
      <c r="E144" s="16"/>
    </row>
    <row r="145">
      <c r="A145" s="8"/>
      <c r="B145" s="8"/>
      <c r="C145" s="9"/>
      <c r="E145" s="16"/>
    </row>
    <row r="146">
      <c r="A146" s="8"/>
      <c r="B146" s="8"/>
      <c r="C146" s="9"/>
      <c r="E146" s="16"/>
    </row>
    <row r="147">
      <c r="A147" s="8"/>
      <c r="B147" s="8"/>
      <c r="C147" s="9"/>
      <c r="E147" s="16"/>
    </row>
    <row r="148">
      <c r="A148" s="8"/>
      <c r="B148" s="8"/>
      <c r="C148" s="9"/>
      <c r="E148" s="16"/>
    </row>
    <row r="149">
      <c r="A149" s="8"/>
      <c r="B149" s="8"/>
      <c r="C149" s="9"/>
      <c r="E149" s="16"/>
    </row>
    <row r="150">
      <c r="A150" s="8"/>
      <c r="B150" s="8"/>
      <c r="C150" s="9"/>
      <c r="E150" s="16"/>
    </row>
    <row r="151">
      <c r="A151" s="8"/>
      <c r="B151" s="8"/>
      <c r="C151" s="9"/>
      <c r="E151" s="16"/>
    </row>
    <row r="152">
      <c r="A152" s="8"/>
      <c r="B152" s="8"/>
      <c r="C152" s="9"/>
      <c r="E152" s="16"/>
    </row>
    <row r="153">
      <c r="A153" s="8"/>
      <c r="B153" s="8"/>
      <c r="C153" s="9"/>
      <c r="E153" s="16"/>
    </row>
    <row r="154">
      <c r="A154" s="8"/>
      <c r="B154" s="8"/>
      <c r="C154" s="9"/>
      <c r="E154" s="16"/>
    </row>
    <row r="155">
      <c r="A155" s="8"/>
      <c r="B155" s="8"/>
      <c r="C155" s="9"/>
      <c r="E155" s="16"/>
    </row>
    <row r="156">
      <c r="A156" s="8"/>
      <c r="B156" s="8"/>
      <c r="C156" s="9"/>
      <c r="E156" s="16"/>
    </row>
    <row r="157">
      <c r="A157" s="8"/>
      <c r="B157" s="8"/>
      <c r="C157" s="9"/>
      <c r="E157" s="16"/>
    </row>
    <row r="158">
      <c r="A158" s="8"/>
      <c r="B158" s="8"/>
      <c r="C158" s="9"/>
      <c r="E158" s="16"/>
    </row>
    <row r="159">
      <c r="A159" s="8"/>
      <c r="B159" s="8"/>
      <c r="C159" s="9"/>
      <c r="E159" s="16"/>
    </row>
    <row r="160">
      <c r="A160" s="8"/>
      <c r="B160" s="8"/>
      <c r="C160" s="9"/>
      <c r="E160" s="16"/>
    </row>
    <row r="161">
      <c r="A161" s="8"/>
      <c r="B161" s="8"/>
      <c r="C161" s="9"/>
      <c r="E161" s="16"/>
    </row>
    <row r="162">
      <c r="A162" s="8"/>
      <c r="B162" s="8"/>
      <c r="C162" s="9"/>
      <c r="E162" s="16"/>
    </row>
    <row r="163">
      <c r="A163" s="8"/>
      <c r="B163" s="8"/>
      <c r="C163" s="9"/>
      <c r="E163" s="16"/>
    </row>
    <row r="164">
      <c r="A164" s="8"/>
      <c r="B164" s="8"/>
      <c r="C164" s="9"/>
      <c r="E164" s="16"/>
    </row>
    <row r="165">
      <c r="A165" s="8"/>
      <c r="B165" s="8"/>
      <c r="C165" s="9"/>
      <c r="E165" s="16"/>
    </row>
    <row r="166">
      <c r="A166" s="8"/>
      <c r="B166" s="8"/>
      <c r="C166" s="9"/>
      <c r="E166" s="16"/>
    </row>
    <row r="167">
      <c r="A167" s="8"/>
      <c r="B167" s="8"/>
      <c r="C167" s="9"/>
      <c r="E167" s="16"/>
    </row>
    <row r="168">
      <c r="A168" s="8"/>
      <c r="B168" s="8"/>
      <c r="C168" s="9"/>
      <c r="E168" s="16"/>
    </row>
    <row r="169">
      <c r="A169" s="8"/>
      <c r="B169" s="8"/>
      <c r="C169" s="9"/>
      <c r="E169" s="16"/>
    </row>
    <row r="170">
      <c r="A170" s="8"/>
      <c r="B170" s="8"/>
      <c r="C170" s="9"/>
      <c r="E170" s="16"/>
    </row>
    <row r="171">
      <c r="A171" s="8"/>
      <c r="B171" s="8"/>
      <c r="C171" s="9"/>
      <c r="E171" s="16"/>
    </row>
    <row r="172">
      <c r="A172" s="8"/>
      <c r="B172" s="8"/>
      <c r="C172" s="9"/>
      <c r="E172" s="16"/>
    </row>
    <row r="173">
      <c r="A173" s="8"/>
      <c r="B173" s="8"/>
      <c r="C173" s="9"/>
      <c r="E173" s="16"/>
    </row>
    <row r="174">
      <c r="A174" s="8"/>
      <c r="B174" s="8"/>
      <c r="C174" s="9"/>
      <c r="E174" s="16"/>
    </row>
    <row r="175">
      <c r="A175" s="8"/>
      <c r="B175" s="8"/>
      <c r="C175" s="9"/>
      <c r="E175" s="16"/>
    </row>
    <row r="176">
      <c r="A176" s="8"/>
      <c r="B176" s="8"/>
      <c r="C176" s="9"/>
      <c r="E176" s="16"/>
    </row>
    <row r="177">
      <c r="A177" s="8"/>
      <c r="B177" s="8"/>
      <c r="C177" s="9"/>
      <c r="E177" s="16"/>
    </row>
    <row r="178">
      <c r="A178" s="8"/>
      <c r="B178" s="8"/>
      <c r="C178" s="9"/>
      <c r="E178" s="16"/>
    </row>
    <row r="179">
      <c r="A179" s="8"/>
      <c r="B179" s="8"/>
      <c r="C179" s="9"/>
      <c r="E179" s="16"/>
    </row>
    <row r="180">
      <c r="A180" s="8"/>
      <c r="B180" s="8"/>
      <c r="C180" s="9"/>
      <c r="E180" s="16"/>
    </row>
    <row r="181">
      <c r="A181" s="8"/>
      <c r="B181" s="8"/>
      <c r="C181" s="9"/>
      <c r="E181" s="16"/>
    </row>
    <row r="182">
      <c r="A182" s="8"/>
      <c r="B182" s="8"/>
      <c r="C182" s="9"/>
      <c r="E182" s="16"/>
    </row>
    <row r="183">
      <c r="A183" s="8"/>
      <c r="B183" s="8"/>
      <c r="C183" s="9"/>
      <c r="E183" s="16"/>
    </row>
    <row r="184">
      <c r="A184" s="8"/>
      <c r="B184" s="8"/>
      <c r="C184" s="9"/>
      <c r="E184" s="16"/>
    </row>
    <row r="185">
      <c r="A185" s="8"/>
      <c r="B185" s="8"/>
      <c r="C185" s="9"/>
      <c r="E185" s="16"/>
    </row>
    <row r="186">
      <c r="A186" s="8"/>
      <c r="B186" s="8"/>
      <c r="C186" s="9"/>
      <c r="E186" s="16"/>
    </row>
    <row r="187">
      <c r="A187" s="8"/>
      <c r="B187" s="8"/>
      <c r="C187" s="9"/>
      <c r="E187" s="16"/>
    </row>
    <row r="188">
      <c r="A188" s="8"/>
      <c r="B188" s="8"/>
      <c r="C188" s="9"/>
      <c r="E188" s="16"/>
    </row>
    <row r="189">
      <c r="A189" s="8"/>
      <c r="B189" s="8"/>
      <c r="C189" s="9"/>
      <c r="E189" s="16"/>
    </row>
    <row r="190">
      <c r="A190" s="8"/>
      <c r="B190" s="8"/>
      <c r="C190" s="9"/>
      <c r="E190" s="16"/>
    </row>
    <row r="191">
      <c r="A191" s="8"/>
      <c r="B191" s="8"/>
      <c r="C191" s="9"/>
      <c r="E191" s="16"/>
    </row>
    <row r="192">
      <c r="A192" s="8"/>
      <c r="B192" s="8"/>
      <c r="C192" s="9"/>
      <c r="E192" s="16"/>
    </row>
    <row r="193">
      <c r="A193" s="8"/>
      <c r="B193" s="8"/>
      <c r="C193" s="9"/>
      <c r="E193" s="16"/>
    </row>
    <row r="194">
      <c r="A194" s="8"/>
      <c r="B194" s="8"/>
      <c r="C194" s="9"/>
      <c r="E194" s="16"/>
    </row>
    <row r="195">
      <c r="A195" s="8"/>
      <c r="B195" s="8"/>
      <c r="C195" s="9"/>
      <c r="E195" s="16"/>
    </row>
    <row r="196">
      <c r="A196" s="8"/>
      <c r="B196" s="8"/>
      <c r="C196" s="9"/>
      <c r="E196" s="16"/>
    </row>
    <row r="197">
      <c r="A197" s="8"/>
      <c r="B197" s="8"/>
      <c r="C197" s="9"/>
      <c r="E197" s="16"/>
    </row>
    <row r="198">
      <c r="A198" s="8"/>
      <c r="B198" s="8"/>
      <c r="C198" s="9"/>
      <c r="E198" s="16"/>
    </row>
    <row r="199">
      <c r="A199" s="8"/>
      <c r="B199" s="8"/>
      <c r="C199" s="9"/>
      <c r="E199" s="16"/>
    </row>
    <row r="200">
      <c r="A200" s="8"/>
      <c r="B200" s="8"/>
      <c r="C200" s="9"/>
      <c r="E200" s="16"/>
    </row>
    <row r="201">
      <c r="A201" s="8"/>
      <c r="B201" s="8"/>
      <c r="C201" s="9"/>
      <c r="E201" s="16"/>
    </row>
    <row r="202">
      <c r="A202" s="8"/>
      <c r="B202" s="8"/>
      <c r="C202" s="9"/>
      <c r="E202" s="16"/>
    </row>
    <row r="203">
      <c r="A203" s="8"/>
      <c r="B203" s="8"/>
      <c r="C203" s="9"/>
      <c r="E203" s="16"/>
    </row>
    <row r="204">
      <c r="A204" s="8"/>
      <c r="B204" s="8"/>
      <c r="C204" s="9"/>
      <c r="E204" s="16"/>
    </row>
    <row r="205">
      <c r="A205" s="8"/>
      <c r="B205" s="8"/>
      <c r="C205" s="9"/>
      <c r="E205" s="16"/>
    </row>
    <row r="206">
      <c r="A206" s="8"/>
      <c r="B206" s="8"/>
      <c r="C206" s="9"/>
      <c r="E206" s="16"/>
    </row>
    <row r="207">
      <c r="A207" s="8"/>
      <c r="B207" s="8"/>
      <c r="C207" s="9"/>
      <c r="E207" s="16"/>
    </row>
    <row r="208">
      <c r="A208" s="8"/>
      <c r="B208" s="8"/>
      <c r="C208" s="9"/>
      <c r="E208" s="16"/>
    </row>
    <row r="209">
      <c r="A209" s="8"/>
      <c r="B209" s="8"/>
      <c r="C209" s="9"/>
      <c r="E209" s="16"/>
    </row>
    <row r="210">
      <c r="A210" s="8"/>
      <c r="B210" s="8"/>
      <c r="C210" s="9"/>
      <c r="E210" s="16"/>
    </row>
    <row r="211">
      <c r="A211" s="8"/>
      <c r="B211" s="8"/>
      <c r="C211" s="9"/>
      <c r="E211" s="16"/>
    </row>
    <row r="212">
      <c r="A212" s="8"/>
      <c r="B212" s="8"/>
      <c r="C212" s="9"/>
      <c r="E212" s="16"/>
    </row>
    <row r="213">
      <c r="A213" s="8"/>
      <c r="B213" s="8"/>
      <c r="C213" s="9"/>
      <c r="E213" s="16"/>
    </row>
    <row r="214">
      <c r="A214" s="8"/>
      <c r="B214" s="8"/>
      <c r="C214" s="9"/>
      <c r="E214" s="16"/>
    </row>
    <row r="215">
      <c r="A215" s="8"/>
      <c r="B215" s="8"/>
      <c r="C215" s="9"/>
      <c r="E215" s="16"/>
    </row>
    <row r="216">
      <c r="A216" s="8"/>
      <c r="B216" s="8"/>
      <c r="C216" s="9"/>
      <c r="E216" s="16"/>
    </row>
    <row r="217">
      <c r="A217" s="8"/>
      <c r="B217" s="8"/>
      <c r="C217" s="9"/>
      <c r="E217" s="16"/>
    </row>
    <row r="218">
      <c r="A218" s="8"/>
      <c r="B218" s="8"/>
      <c r="C218" s="9"/>
      <c r="E218" s="16"/>
    </row>
    <row r="219">
      <c r="A219" s="8"/>
      <c r="B219" s="8"/>
      <c r="C219" s="9"/>
      <c r="E219" s="16"/>
    </row>
    <row r="220">
      <c r="A220" s="8"/>
      <c r="B220" s="8"/>
      <c r="C220" s="9"/>
      <c r="E220" s="16"/>
    </row>
    <row r="221">
      <c r="A221" s="8"/>
      <c r="B221" s="8"/>
      <c r="C221" s="9"/>
      <c r="E221" s="16"/>
    </row>
    <row r="222">
      <c r="A222" s="8"/>
      <c r="B222" s="8"/>
      <c r="C222" s="9"/>
      <c r="E222" s="16"/>
    </row>
    <row r="223">
      <c r="A223" s="8"/>
      <c r="B223" s="8"/>
      <c r="C223" s="9"/>
      <c r="E223" s="16"/>
    </row>
    <row r="224">
      <c r="A224" s="8"/>
      <c r="B224" s="8"/>
      <c r="C224" s="9"/>
      <c r="E224" s="16"/>
    </row>
    <row r="225">
      <c r="A225" s="8"/>
      <c r="B225" s="8"/>
      <c r="C225" s="9"/>
      <c r="E225" s="16"/>
    </row>
    <row r="226">
      <c r="A226" s="8"/>
      <c r="B226" s="8"/>
      <c r="C226" s="9"/>
      <c r="E226" s="16"/>
    </row>
    <row r="227">
      <c r="A227" s="8"/>
      <c r="B227" s="8"/>
      <c r="C227" s="9"/>
      <c r="E227" s="16"/>
    </row>
    <row r="228">
      <c r="A228" s="8"/>
      <c r="B228" s="8"/>
      <c r="C228" s="9"/>
      <c r="E228" s="16"/>
    </row>
    <row r="229">
      <c r="A229" s="8"/>
      <c r="B229" s="8"/>
      <c r="C229" s="9"/>
      <c r="E229" s="16"/>
    </row>
    <row r="230">
      <c r="A230" s="8"/>
      <c r="B230" s="8"/>
      <c r="C230" s="9"/>
      <c r="E230" s="16"/>
    </row>
    <row r="231">
      <c r="A231" s="8"/>
      <c r="B231" s="8"/>
      <c r="C231" s="9"/>
      <c r="E231" s="16"/>
    </row>
    <row r="232">
      <c r="A232" s="8"/>
      <c r="B232" s="8"/>
      <c r="C232" s="9"/>
      <c r="E232" s="16"/>
    </row>
    <row r="233">
      <c r="A233" s="8"/>
      <c r="B233" s="8"/>
      <c r="C233" s="9"/>
      <c r="E233" s="16"/>
    </row>
    <row r="234">
      <c r="A234" s="8"/>
      <c r="B234" s="8"/>
      <c r="C234" s="9"/>
      <c r="E234" s="16"/>
    </row>
    <row r="235">
      <c r="A235" s="8"/>
      <c r="B235" s="8"/>
      <c r="C235" s="9"/>
      <c r="E235" s="16"/>
    </row>
    <row r="236">
      <c r="A236" s="8"/>
      <c r="B236" s="8"/>
      <c r="C236" s="9"/>
      <c r="E236" s="16"/>
    </row>
    <row r="237">
      <c r="A237" s="8"/>
      <c r="B237" s="8"/>
      <c r="C237" s="9"/>
      <c r="E237" s="16"/>
    </row>
    <row r="238">
      <c r="A238" s="8"/>
      <c r="B238" s="8"/>
      <c r="C238" s="9"/>
      <c r="E238" s="16"/>
    </row>
    <row r="239">
      <c r="A239" s="8"/>
      <c r="B239" s="8"/>
      <c r="C239" s="9"/>
      <c r="E239" s="16"/>
    </row>
    <row r="240">
      <c r="A240" s="8"/>
      <c r="B240" s="8"/>
      <c r="C240" s="9"/>
      <c r="E240" s="16"/>
    </row>
    <row r="241">
      <c r="A241" s="8"/>
      <c r="B241" s="8"/>
      <c r="C241" s="9"/>
      <c r="E241" s="16"/>
    </row>
    <row r="242">
      <c r="A242" s="8"/>
      <c r="B242" s="8"/>
      <c r="C242" s="9"/>
      <c r="E242" s="16"/>
    </row>
    <row r="243">
      <c r="A243" s="8"/>
      <c r="B243" s="8"/>
      <c r="C243" s="9"/>
      <c r="E243" s="16"/>
    </row>
    <row r="244">
      <c r="A244" s="8"/>
      <c r="B244" s="8"/>
      <c r="C244" s="9"/>
      <c r="E244" s="16"/>
    </row>
    <row r="245">
      <c r="A245" s="8"/>
      <c r="B245" s="8"/>
      <c r="C245" s="9"/>
      <c r="E245" s="16"/>
    </row>
    <row r="246">
      <c r="A246" s="8"/>
      <c r="B246" s="8"/>
      <c r="C246" s="9"/>
      <c r="E246" s="16"/>
    </row>
    <row r="247">
      <c r="A247" s="8"/>
      <c r="B247" s="8"/>
      <c r="C247" s="9"/>
      <c r="E247" s="16"/>
    </row>
    <row r="248">
      <c r="A248" s="8"/>
      <c r="B248" s="8"/>
      <c r="C248" s="9"/>
      <c r="E248" s="16"/>
    </row>
    <row r="249">
      <c r="A249" s="8"/>
      <c r="B249" s="8"/>
      <c r="C249" s="9"/>
      <c r="E249" s="16"/>
    </row>
    <row r="250">
      <c r="A250" s="8"/>
      <c r="B250" s="8"/>
      <c r="C250" s="9"/>
      <c r="E250" s="16"/>
    </row>
    <row r="251">
      <c r="A251" s="8"/>
      <c r="B251" s="8"/>
      <c r="C251" s="9"/>
      <c r="E251" s="16"/>
    </row>
    <row r="252">
      <c r="A252" s="8"/>
      <c r="B252" s="8"/>
      <c r="C252" s="9"/>
      <c r="E252" s="16"/>
    </row>
    <row r="253">
      <c r="A253" s="8"/>
      <c r="B253" s="8"/>
      <c r="C253" s="9"/>
      <c r="E253" s="16"/>
    </row>
    <row r="254">
      <c r="A254" s="8"/>
      <c r="B254" s="8"/>
      <c r="C254" s="9"/>
      <c r="E254" s="16"/>
    </row>
    <row r="255">
      <c r="A255" s="8"/>
      <c r="B255" s="8"/>
      <c r="C255" s="9"/>
      <c r="E255" s="16"/>
    </row>
    <row r="256">
      <c r="A256" s="8"/>
      <c r="B256" s="8"/>
      <c r="C256" s="9"/>
      <c r="E256" s="16"/>
    </row>
    <row r="257">
      <c r="A257" s="8"/>
      <c r="B257" s="8"/>
      <c r="C257" s="9"/>
      <c r="E257" s="16"/>
    </row>
    <row r="258">
      <c r="A258" s="8"/>
      <c r="B258" s="8"/>
      <c r="C258" s="9"/>
      <c r="E258" s="16"/>
    </row>
    <row r="259">
      <c r="A259" s="8"/>
      <c r="B259" s="8"/>
      <c r="C259" s="9"/>
      <c r="E259" s="16"/>
    </row>
    <row r="260">
      <c r="A260" s="8"/>
      <c r="B260" s="8"/>
      <c r="C260" s="9"/>
      <c r="E260" s="16"/>
    </row>
    <row r="261">
      <c r="A261" s="8"/>
      <c r="B261" s="8"/>
      <c r="C261" s="9"/>
      <c r="E261" s="16"/>
    </row>
    <row r="262">
      <c r="A262" s="8"/>
      <c r="B262" s="8"/>
      <c r="C262" s="9"/>
      <c r="E262" s="16"/>
    </row>
    <row r="263">
      <c r="A263" s="8"/>
      <c r="B263" s="8"/>
      <c r="C263" s="9"/>
      <c r="E263" s="16"/>
    </row>
    <row r="264">
      <c r="A264" s="8"/>
      <c r="B264" s="8"/>
      <c r="C264" s="9"/>
      <c r="E264" s="16"/>
    </row>
    <row r="265">
      <c r="A265" s="8"/>
      <c r="B265" s="8"/>
      <c r="C265" s="9"/>
      <c r="E265" s="16"/>
    </row>
    <row r="266">
      <c r="A266" s="8"/>
      <c r="B266" s="8"/>
      <c r="C266" s="9"/>
      <c r="E266" s="16"/>
    </row>
    <row r="267">
      <c r="A267" s="8"/>
      <c r="B267" s="8"/>
      <c r="C267" s="9"/>
      <c r="E267" s="16"/>
    </row>
    <row r="268">
      <c r="A268" s="8"/>
      <c r="B268" s="8"/>
      <c r="C268" s="9"/>
      <c r="E268" s="16"/>
    </row>
    <row r="269">
      <c r="A269" s="8"/>
      <c r="B269" s="8"/>
      <c r="C269" s="9"/>
      <c r="E269" s="16"/>
    </row>
    <row r="270">
      <c r="A270" s="8"/>
      <c r="B270" s="8"/>
      <c r="C270" s="9"/>
      <c r="E270" s="16"/>
    </row>
    <row r="271">
      <c r="A271" s="8"/>
      <c r="B271" s="8"/>
      <c r="C271" s="9"/>
      <c r="E271" s="16"/>
    </row>
    <row r="272">
      <c r="A272" s="8"/>
      <c r="B272" s="8"/>
      <c r="C272" s="9"/>
      <c r="E272" s="16"/>
    </row>
    <row r="273">
      <c r="A273" s="8"/>
      <c r="B273" s="8"/>
      <c r="C273" s="9"/>
      <c r="E273" s="16"/>
    </row>
    <row r="274">
      <c r="A274" s="8"/>
      <c r="B274" s="8"/>
      <c r="C274" s="9"/>
      <c r="E274" s="16"/>
    </row>
    <row r="275">
      <c r="A275" s="8"/>
      <c r="B275" s="8"/>
      <c r="C275" s="9"/>
      <c r="E275" s="16"/>
    </row>
    <row r="276">
      <c r="A276" s="8"/>
      <c r="B276" s="8"/>
      <c r="C276" s="9"/>
      <c r="E276" s="16"/>
    </row>
    <row r="277">
      <c r="A277" s="8"/>
      <c r="B277" s="8"/>
      <c r="C277" s="9"/>
      <c r="E277" s="16"/>
    </row>
    <row r="278">
      <c r="A278" s="8"/>
      <c r="B278" s="8"/>
      <c r="C278" s="9"/>
      <c r="E278" s="16"/>
    </row>
    <row r="279">
      <c r="A279" s="8"/>
      <c r="B279" s="8"/>
      <c r="C279" s="9"/>
      <c r="E279" s="16"/>
    </row>
    <row r="280">
      <c r="A280" s="8"/>
      <c r="B280" s="8"/>
      <c r="C280" s="9"/>
      <c r="E280" s="16"/>
    </row>
    <row r="281">
      <c r="A281" s="8"/>
      <c r="B281" s="8"/>
      <c r="C281" s="9"/>
      <c r="E281" s="16"/>
    </row>
    <row r="282">
      <c r="A282" s="8"/>
      <c r="B282" s="8"/>
      <c r="C282" s="9"/>
      <c r="E282" s="16"/>
    </row>
    <row r="283">
      <c r="A283" s="8"/>
      <c r="B283" s="8"/>
      <c r="C283" s="9"/>
      <c r="E283" s="16"/>
    </row>
    <row r="284">
      <c r="A284" s="8"/>
      <c r="B284" s="8"/>
      <c r="C284" s="9"/>
      <c r="E284" s="16"/>
    </row>
    <row r="285">
      <c r="A285" s="8"/>
      <c r="B285" s="8"/>
      <c r="C285" s="9"/>
      <c r="E285" s="16"/>
    </row>
    <row r="286">
      <c r="A286" s="8"/>
      <c r="B286" s="8"/>
      <c r="C286" s="9"/>
      <c r="E286" s="16"/>
    </row>
    <row r="287">
      <c r="A287" s="8"/>
      <c r="B287" s="8"/>
      <c r="C287" s="9"/>
      <c r="E287" s="16"/>
    </row>
    <row r="288">
      <c r="A288" s="8"/>
      <c r="B288" s="8"/>
      <c r="C288" s="9"/>
      <c r="E288" s="16"/>
    </row>
    <row r="289">
      <c r="A289" s="8"/>
      <c r="B289" s="8"/>
      <c r="C289" s="9"/>
      <c r="E289" s="16"/>
    </row>
    <row r="290">
      <c r="A290" s="8"/>
      <c r="B290" s="8"/>
      <c r="C290" s="9"/>
      <c r="E290" s="16"/>
    </row>
    <row r="291">
      <c r="A291" s="8"/>
      <c r="B291" s="8"/>
      <c r="C291" s="9"/>
      <c r="E291" s="16"/>
    </row>
    <row r="292">
      <c r="A292" s="8"/>
      <c r="B292" s="8"/>
      <c r="C292" s="9"/>
      <c r="E292" s="16"/>
    </row>
    <row r="293">
      <c r="A293" s="8"/>
      <c r="B293" s="8"/>
      <c r="C293" s="9"/>
      <c r="E293" s="16"/>
    </row>
    <row r="294">
      <c r="A294" s="8"/>
      <c r="B294" s="8"/>
      <c r="C294" s="9"/>
      <c r="E294" s="16"/>
    </row>
    <row r="295">
      <c r="A295" s="8"/>
      <c r="B295" s="8"/>
      <c r="C295" s="9"/>
      <c r="E295" s="16"/>
    </row>
    <row r="296">
      <c r="A296" s="8"/>
      <c r="B296" s="8"/>
      <c r="C296" s="9"/>
      <c r="E296" s="16"/>
    </row>
    <row r="297">
      <c r="A297" s="8"/>
      <c r="B297" s="8"/>
      <c r="C297" s="9"/>
      <c r="E297" s="16"/>
    </row>
    <row r="298">
      <c r="A298" s="8"/>
      <c r="B298" s="8"/>
      <c r="C298" s="9"/>
      <c r="E298" s="16"/>
    </row>
    <row r="299">
      <c r="A299" s="8"/>
      <c r="B299" s="8"/>
      <c r="C299" s="9"/>
      <c r="E299" s="16"/>
    </row>
    <row r="300">
      <c r="A300" s="8"/>
      <c r="B300" s="8"/>
      <c r="C300" s="9"/>
      <c r="E300" s="16"/>
    </row>
    <row r="301">
      <c r="A301" s="8"/>
      <c r="B301" s="8"/>
      <c r="C301" s="9"/>
      <c r="E301" s="16"/>
    </row>
    <row r="302">
      <c r="A302" s="8"/>
      <c r="B302" s="8"/>
      <c r="C302" s="9"/>
      <c r="E302" s="16"/>
    </row>
    <row r="303">
      <c r="A303" s="8"/>
      <c r="B303" s="8"/>
      <c r="C303" s="9"/>
      <c r="E303" s="16"/>
    </row>
    <row r="304">
      <c r="A304" s="8"/>
      <c r="B304" s="8"/>
      <c r="C304" s="9"/>
      <c r="E304" s="16"/>
    </row>
    <row r="305">
      <c r="A305" s="8"/>
      <c r="B305" s="8"/>
      <c r="C305" s="9"/>
      <c r="E305" s="16"/>
    </row>
    <row r="306">
      <c r="A306" s="8"/>
      <c r="B306" s="8"/>
      <c r="C306" s="9"/>
      <c r="E306" s="16"/>
    </row>
    <row r="307">
      <c r="A307" s="8"/>
      <c r="B307" s="8"/>
      <c r="C307" s="9"/>
      <c r="E307" s="16"/>
    </row>
    <row r="308">
      <c r="A308" s="8"/>
      <c r="B308" s="8"/>
      <c r="C308" s="9"/>
      <c r="E308" s="16"/>
    </row>
    <row r="309">
      <c r="A309" s="8"/>
      <c r="B309" s="8"/>
      <c r="C309" s="9"/>
      <c r="E309" s="16"/>
    </row>
    <row r="310">
      <c r="A310" s="8"/>
      <c r="B310" s="8"/>
      <c r="C310" s="9"/>
      <c r="E310" s="16"/>
    </row>
    <row r="311">
      <c r="A311" s="8"/>
      <c r="B311" s="8"/>
      <c r="C311" s="9"/>
      <c r="E311" s="16"/>
    </row>
    <row r="312">
      <c r="A312" s="8"/>
      <c r="B312" s="8"/>
      <c r="C312" s="9"/>
      <c r="E312" s="16"/>
    </row>
    <row r="313">
      <c r="A313" s="8"/>
      <c r="B313" s="8"/>
      <c r="C313" s="9"/>
      <c r="E313" s="16"/>
    </row>
    <row r="314">
      <c r="A314" s="8"/>
      <c r="B314" s="8"/>
      <c r="C314" s="9"/>
      <c r="E314" s="16"/>
    </row>
    <row r="315">
      <c r="A315" s="8"/>
      <c r="B315" s="8"/>
      <c r="C315" s="9"/>
      <c r="E315" s="16"/>
    </row>
    <row r="316">
      <c r="A316" s="8"/>
      <c r="B316" s="8"/>
      <c r="C316" s="9"/>
      <c r="E316" s="16"/>
    </row>
    <row r="317">
      <c r="A317" s="8"/>
      <c r="B317" s="8"/>
      <c r="C317" s="9"/>
      <c r="E317" s="16"/>
    </row>
    <row r="318">
      <c r="A318" s="8"/>
      <c r="B318" s="8"/>
      <c r="C318" s="9"/>
      <c r="E318" s="16"/>
    </row>
    <row r="319">
      <c r="A319" s="8"/>
      <c r="B319" s="8"/>
      <c r="C319" s="9"/>
      <c r="E319" s="16"/>
    </row>
    <row r="320">
      <c r="A320" s="8"/>
      <c r="B320" s="8"/>
      <c r="C320" s="9"/>
      <c r="E320" s="16"/>
    </row>
    <row r="321">
      <c r="A321" s="8"/>
      <c r="B321" s="8"/>
      <c r="C321" s="9"/>
      <c r="E321" s="16"/>
    </row>
    <row r="322">
      <c r="A322" s="8"/>
      <c r="B322" s="8"/>
      <c r="C322" s="9"/>
      <c r="E322" s="16"/>
    </row>
    <row r="323">
      <c r="A323" s="8"/>
      <c r="B323" s="8"/>
      <c r="C323" s="9"/>
      <c r="E323" s="16"/>
    </row>
    <row r="324">
      <c r="A324" s="8"/>
      <c r="B324" s="8"/>
      <c r="C324" s="9"/>
      <c r="E324" s="16"/>
    </row>
    <row r="325">
      <c r="A325" s="8"/>
      <c r="B325" s="8"/>
      <c r="C325" s="9"/>
      <c r="E325" s="16"/>
    </row>
    <row r="326">
      <c r="A326" s="8"/>
      <c r="B326" s="8"/>
      <c r="C326" s="9"/>
      <c r="E326" s="16"/>
    </row>
    <row r="327">
      <c r="A327" s="8"/>
      <c r="B327" s="8"/>
      <c r="C327" s="9"/>
      <c r="E327" s="16"/>
    </row>
    <row r="328">
      <c r="A328" s="8"/>
      <c r="B328" s="8"/>
      <c r="C328" s="9"/>
      <c r="E328" s="16"/>
    </row>
    <row r="329">
      <c r="A329" s="8"/>
      <c r="B329" s="8"/>
      <c r="C329" s="9"/>
      <c r="E329" s="16"/>
    </row>
    <row r="330">
      <c r="A330" s="8"/>
      <c r="B330" s="8"/>
      <c r="C330" s="9"/>
      <c r="E330" s="16"/>
    </row>
    <row r="331">
      <c r="A331" s="8"/>
      <c r="B331" s="8"/>
      <c r="C331" s="9"/>
      <c r="E331" s="16"/>
    </row>
    <row r="332">
      <c r="A332" s="8"/>
      <c r="B332" s="8"/>
      <c r="C332" s="9"/>
      <c r="E332" s="16"/>
    </row>
    <row r="333">
      <c r="A333" s="8"/>
      <c r="B333" s="8"/>
      <c r="C333" s="9"/>
      <c r="E333" s="16"/>
    </row>
    <row r="334">
      <c r="A334" s="8"/>
      <c r="B334" s="8"/>
      <c r="C334" s="9"/>
      <c r="E334" s="16"/>
    </row>
    <row r="335">
      <c r="A335" s="8"/>
      <c r="B335" s="8"/>
      <c r="C335" s="9"/>
      <c r="E335" s="16"/>
    </row>
    <row r="336">
      <c r="A336" s="8"/>
      <c r="B336" s="8"/>
      <c r="C336" s="9"/>
      <c r="E336" s="16"/>
    </row>
    <row r="337">
      <c r="A337" s="8"/>
      <c r="B337" s="8"/>
      <c r="C337" s="9"/>
      <c r="E337" s="16"/>
    </row>
    <row r="338">
      <c r="A338" s="8"/>
      <c r="B338" s="8"/>
      <c r="C338" s="9"/>
      <c r="E338" s="16"/>
    </row>
    <row r="339">
      <c r="A339" s="8"/>
      <c r="B339" s="8"/>
      <c r="C339" s="9"/>
      <c r="E339" s="16"/>
    </row>
    <row r="340">
      <c r="A340" s="8"/>
      <c r="B340" s="8"/>
      <c r="C340" s="9"/>
      <c r="E340" s="16"/>
    </row>
    <row r="341">
      <c r="A341" s="8"/>
      <c r="B341" s="8"/>
      <c r="C341" s="9"/>
      <c r="E341" s="16"/>
    </row>
    <row r="342">
      <c r="A342" s="8"/>
      <c r="B342" s="8"/>
      <c r="C342" s="9"/>
      <c r="E342" s="16"/>
    </row>
    <row r="343">
      <c r="A343" s="8"/>
      <c r="B343" s="8"/>
      <c r="C343" s="9"/>
      <c r="E343" s="16"/>
    </row>
    <row r="344">
      <c r="A344" s="8"/>
      <c r="B344" s="8"/>
      <c r="C344" s="9"/>
      <c r="E344" s="16"/>
    </row>
    <row r="345">
      <c r="A345" s="8"/>
      <c r="B345" s="8"/>
      <c r="C345" s="9"/>
      <c r="E345" s="16"/>
    </row>
    <row r="346">
      <c r="A346" s="8"/>
      <c r="B346" s="8"/>
      <c r="C346" s="9"/>
      <c r="E346" s="16"/>
    </row>
    <row r="347">
      <c r="A347" s="8"/>
      <c r="B347" s="8"/>
      <c r="C347" s="9"/>
      <c r="E347" s="16"/>
    </row>
    <row r="348">
      <c r="A348" s="8"/>
      <c r="B348" s="8"/>
      <c r="C348" s="9"/>
      <c r="E348" s="16"/>
    </row>
    <row r="349">
      <c r="A349" s="8"/>
      <c r="B349" s="8"/>
      <c r="C349" s="9"/>
      <c r="E349" s="16"/>
    </row>
    <row r="350">
      <c r="A350" s="8"/>
      <c r="B350" s="8"/>
      <c r="C350" s="9"/>
      <c r="E350" s="16"/>
    </row>
    <row r="351">
      <c r="A351" s="8"/>
      <c r="B351" s="8"/>
      <c r="C351" s="9"/>
      <c r="E351" s="16"/>
    </row>
    <row r="352">
      <c r="A352" s="8"/>
      <c r="B352" s="8"/>
      <c r="C352" s="9"/>
      <c r="E352" s="16"/>
    </row>
    <row r="353">
      <c r="A353" s="8"/>
      <c r="B353" s="8"/>
      <c r="C353" s="9"/>
      <c r="E353" s="16"/>
    </row>
    <row r="354">
      <c r="A354" s="8"/>
      <c r="B354" s="8"/>
      <c r="C354" s="9"/>
      <c r="E354" s="16"/>
    </row>
    <row r="355">
      <c r="A355" s="8"/>
      <c r="B355" s="8"/>
      <c r="C355" s="9"/>
      <c r="E355" s="16"/>
    </row>
    <row r="356">
      <c r="A356" s="8"/>
      <c r="B356" s="8"/>
      <c r="C356" s="9"/>
      <c r="E356" s="16"/>
    </row>
    <row r="357">
      <c r="A357" s="8"/>
      <c r="B357" s="8"/>
      <c r="C357" s="9"/>
      <c r="E357" s="16"/>
    </row>
    <row r="358">
      <c r="A358" s="8"/>
      <c r="B358" s="8"/>
      <c r="C358" s="9"/>
      <c r="E358" s="16"/>
    </row>
    <row r="359">
      <c r="A359" s="8"/>
      <c r="B359" s="8"/>
      <c r="C359" s="9"/>
      <c r="E359" s="16"/>
    </row>
    <row r="360">
      <c r="A360" s="8"/>
      <c r="B360" s="8"/>
      <c r="C360" s="9"/>
      <c r="E360" s="16"/>
    </row>
    <row r="361">
      <c r="A361" s="8"/>
      <c r="B361" s="8"/>
      <c r="C361" s="9"/>
      <c r="E361" s="16"/>
    </row>
    <row r="362">
      <c r="A362" s="8"/>
      <c r="B362" s="8"/>
      <c r="C362" s="9"/>
      <c r="E362" s="16"/>
    </row>
    <row r="363">
      <c r="A363" s="8"/>
      <c r="B363" s="8"/>
      <c r="C363" s="9"/>
      <c r="E363" s="16"/>
    </row>
    <row r="364">
      <c r="A364" s="8"/>
      <c r="B364" s="8"/>
      <c r="C364" s="9"/>
      <c r="E364" s="16"/>
    </row>
    <row r="365">
      <c r="A365" s="8"/>
      <c r="B365" s="8"/>
      <c r="C365" s="9"/>
      <c r="E365" s="16"/>
    </row>
    <row r="366">
      <c r="A366" s="8"/>
      <c r="B366" s="8"/>
      <c r="C366" s="9"/>
      <c r="E366" s="16"/>
    </row>
    <row r="367">
      <c r="A367" s="8"/>
      <c r="B367" s="8"/>
      <c r="C367" s="9"/>
      <c r="E367" s="16"/>
    </row>
    <row r="368">
      <c r="A368" s="8"/>
      <c r="B368" s="8"/>
      <c r="C368" s="9"/>
      <c r="E368" s="16"/>
    </row>
    <row r="369">
      <c r="A369" s="8"/>
      <c r="B369" s="8"/>
      <c r="C369" s="9"/>
      <c r="E369" s="16"/>
    </row>
    <row r="370">
      <c r="A370" s="8"/>
      <c r="B370" s="8"/>
      <c r="C370" s="9"/>
      <c r="E370" s="16"/>
    </row>
    <row r="371">
      <c r="A371" s="8"/>
      <c r="B371" s="8"/>
      <c r="C371" s="9"/>
      <c r="E371" s="16"/>
    </row>
    <row r="372">
      <c r="A372" s="8"/>
      <c r="B372" s="8"/>
      <c r="C372" s="9"/>
      <c r="E372" s="16"/>
    </row>
    <row r="373">
      <c r="A373" s="8"/>
      <c r="B373" s="8"/>
      <c r="C373" s="9"/>
      <c r="E373" s="16"/>
    </row>
    <row r="374">
      <c r="A374" s="8"/>
      <c r="B374" s="8"/>
      <c r="C374" s="9"/>
      <c r="E374" s="16"/>
    </row>
    <row r="375">
      <c r="A375" s="8"/>
      <c r="B375" s="8"/>
      <c r="C375" s="9"/>
      <c r="E375" s="16"/>
    </row>
    <row r="376">
      <c r="A376" s="8"/>
      <c r="B376" s="8"/>
      <c r="C376" s="9"/>
      <c r="E376" s="16"/>
    </row>
    <row r="377">
      <c r="A377" s="8"/>
      <c r="B377" s="8"/>
      <c r="C377" s="9"/>
      <c r="E377" s="16"/>
    </row>
    <row r="378">
      <c r="A378" s="8"/>
      <c r="B378" s="8"/>
      <c r="C378" s="9"/>
      <c r="E378" s="16"/>
    </row>
    <row r="379">
      <c r="A379" s="8"/>
      <c r="B379" s="8"/>
      <c r="C379" s="9"/>
      <c r="E379" s="16"/>
    </row>
    <row r="380">
      <c r="A380" s="8"/>
      <c r="B380" s="8"/>
      <c r="C380" s="9"/>
      <c r="E380" s="16"/>
    </row>
    <row r="381">
      <c r="A381" s="8"/>
      <c r="B381" s="8"/>
      <c r="C381" s="9"/>
      <c r="E381" s="16"/>
    </row>
    <row r="382">
      <c r="A382" s="8"/>
      <c r="B382" s="8"/>
      <c r="C382" s="9"/>
      <c r="E382" s="16"/>
    </row>
    <row r="383">
      <c r="A383" s="8"/>
      <c r="B383" s="8"/>
      <c r="C383" s="9"/>
      <c r="E383" s="16"/>
    </row>
    <row r="384">
      <c r="A384" s="8"/>
      <c r="B384" s="8"/>
      <c r="C384" s="9"/>
      <c r="E384" s="16"/>
    </row>
    <row r="385">
      <c r="A385" s="8"/>
      <c r="B385" s="8"/>
      <c r="C385" s="9"/>
      <c r="E385" s="16"/>
    </row>
    <row r="386">
      <c r="A386" s="8"/>
      <c r="B386" s="8"/>
      <c r="C386" s="9"/>
      <c r="E386" s="16"/>
    </row>
    <row r="387">
      <c r="A387" s="8"/>
      <c r="B387" s="8"/>
      <c r="C387" s="9"/>
      <c r="E387" s="16"/>
    </row>
    <row r="388">
      <c r="A388" s="8"/>
      <c r="B388" s="8"/>
      <c r="C388" s="9"/>
      <c r="E388" s="16"/>
    </row>
    <row r="389">
      <c r="A389" s="8"/>
      <c r="B389" s="8"/>
      <c r="C389" s="9"/>
      <c r="E389" s="16"/>
    </row>
    <row r="390">
      <c r="A390" s="8"/>
      <c r="B390" s="8"/>
      <c r="C390" s="9"/>
      <c r="E390" s="16"/>
    </row>
    <row r="391">
      <c r="A391" s="8"/>
      <c r="B391" s="8"/>
      <c r="C391" s="9"/>
      <c r="E391" s="16"/>
    </row>
    <row r="392">
      <c r="A392" s="8"/>
      <c r="B392" s="8"/>
      <c r="C392" s="9"/>
      <c r="E392" s="16"/>
    </row>
    <row r="393">
      <c r="A393" s="8"/>
      <c r="B393" s="8"/>
      <c r="C393" s="9"/>
      <c r="E393" s="16"/>
    </row>
    <row r="394">
      <c r="A394" s="8"/>
      <c r="B394" s="8"/>
      <c r="C394" s="9"/>
      <c r="E394" s="16"/>
    </row>
    <row r="395">
      <c r="A395" s="8"/>
      <c r="B395" s="8"/>
      <c r="C395" s="9"/>
      <c r="E395" s="16"/>
    </row>
    <row r="396">
      <c r="A396" s="8"/>
      <c r="B396" s="8"/>
      <c r="C396" s="9"/>
      <c r="E396" s="16"/>
    </row>
    <row r="397">
      <c r="A397" s="8"/>
      <c r="B397" s="8"/>
      <c r="C397" s="9"/>
      <c r="E397" s="16"/>
    </row>
    <row r="398">
      <c r="A398" s="8"/>
      <c r="B398" s="8"/>
      <c r="C398" s="9"/>
      <c r="E398" s="16"/>
    </row>
    <row r="399">
      <c r="A399" s="8"/>
      <c r="B399" s="8"/>
      <c r="C399" s="9"/>
      <c r="E399" s="16"/>
    </row>
    <row r="400">
      <c r="A400" s="8"/>
      <c r="B400" s="8"/>
      <c r="C400" s="9"/>
      <c r="E400" s="16"/>
    </row>
    <row r="401">
      <c r="A401" s="8"/>
      <c r="B401" s="8"/>
      <c r="C401" s="9"/>
      <c r="E401" s="16"/>
    </row>
    <row r="402">
      <c r="A402" s="8"/>
      <c r="B402" s="8"/>
      <c r="C402" s="9"/>
      <c r="E402" s="16"/>
    </row>
    <row r="403">
      <c r="A403" s="8"/>
      <c r="B403" s="8"/>
      <c r="C403" s="9"/>
      <c r="E403" s="16"/>
    </row>
    <row r="404">
      <c r="A404" s="8"/>
      <c r="B404" s="8"/>
      <c r="C404" s="9"/>
      <c r="E404" s="16"/>
    </row>
    <row r="405">
      <c r="A405" s="8"/>
      <c r="B405" s="8"/>
      <c r="C405" s="9"/>
      <c r="E405" s="16"/>
    </row>
    <row r="406">
      <c r="A406" s="8"/>
      <c r="B406" s="8"/>
      <c r="C406" s="9"/>
      <c r="E406" s="16"/>
    </row>
    <row r="407">
      <c r="A407" s="8"/>
      <c r="B407" s="8"/>
      <c r="C407" s="9"/>
      <c r="E407" s="16"/>
    </row>
    <row r="408">
      <c r="A408" s="8"/>
      <c r="B408" s="8"/>
      <c r="C408" s="9"/>
      <c r="E408" s="16"/>
    </row>
    <row r="409">
      <c r="A409" s="8"/>
      <c r="B409" s="8"/>
      <c r="C409" s="9"/>
      <c r="E409" s="16"/>
    </row>
    <row r="410">
      <c r="A410" s="8"/>
      <c r="B410" s="8"/>
      <c r="C410" s="9"/>
      <c r="E410" s="16"/>
    </row>
    <row r="411">
      <c r="A411" s="8"/>
      <c r="B411" s="8"/>
      <c r="C411" s="9"/>
      <c r="E411" s="16"/>
    </row>
    <row r="412">
      <c r="A412" s="8"/>
      <c r="B412" s="8"/>
      <c r="C412" s="9"/>
      <c r="E412" s="16"/>
    </row>
    <row r="413">
      <c r="A413" s="8"/>
      <c r="B413" s="8"/>
      <c r="C413" s="9"/>
      <c r="E413" s="16"/>
    </row>
    <row r="414">
      <c r="A414" s="8"/>
      <c r="B414" s="8"/>
      <c r="C414" s="9"/>
      <c r="E414" s="16"/>
    </row>
    <row r="415">
      <c r="A415" s="8"/>
      <c r="B415" s="8"/>
      <c r="C415" s="9"/>
      <c r="E415" s="16"/>
    </row>
    <row r="416">
      <c r="A416" s="8"/>
      <c r="B416" s="8"/>
      <c r="C416" s="9"/>
      <c r="E416" s="16"/>
    </row>
    <row r="417">
      <c r="A417" s="8"/>
      <c r="B417" s="8"/>
      <c r="C417" s="9"/>
      <c r="E417" s="16"/>
    </row>
    <row r="418">
      <c r="A418" s="8"/>
      <c r="B418" s="8"/>
      <c r="C418" s="9"/>
      <c r="E418" s="16"/>
    </row>
    <row r="419">
      <c r="A419" s="8"/>
      <c r="B419" s="8"/>
      <c r="C419" s="9"/>
      <c r="E419" s="16"/>
    </row>
    <row r="420">
      <c r="A420" s="8"/>
      <c r="B420" s="8"/>
      <c r="C420" s="9"/>
      <c r="E420" s="16"/>
    </row>
    <row r="421">
      <c r="A421" s="8"/>
      <c r="B421" s="8"/>
      <c r="C421" s="9"/>
      <c r="E421" s="16"/>
    </row>
    <row r="422">
      <c r="A422" s="8"/>
      <c r="B422" s="8"/>
      <c r="C422" s="9"/>
      <c r="E422" s="16"/>
    </row>
    <row r="423">
      <c r="A423" s="8"/>
      <c r="B423" s="8"/>
      <c r="C423" s="9"/>
      <c r="E423" s="16"/>
    </row>
    <row r="424">
      <c r="A424" s="8"/>
      <c r="B424" s="8"/>
      <c r="C424" s="9"/>
      <c r="E424" s="16"/>
    </row>
    <row r="425">
      <c r="A425" s="8"/>
      <c r="B425" s="8"/>
      <c r="C425" s="9"/>
      <c r="E425" s="16"/>
    </row>
    <row r="426">
      <c r="A426" s="8"/>
      <c r="B426" s="8"/>
      <c r="C426" s="9"/>
      <c r="E426" s="16"/>
    </row>
    <row r="427">
      <c r="A427" s="8"/>
      <c r="B427" s="8"/>
      <c r="C427" s="9"/>
      <c r="E427" s="16"/>
    </row>
    <row r="428">
      <c r="A428" s="8"/>
      <c r="B428" s="8"/>
      <c r="C428" s="9"/>
      <c r="E428" s="16"/>
    </row>
    <row r="429">
      <c r="A429" s="8"/>
      <c r="B429" s="8"/>
      <c r="C429" s="9"/>
      <c r="E429" s="16"/>
    </row>
    <row r="430">
      <c r="A430" s="8"/>
      <c r="B430" s="8"/>
      <c r="C430" s="9"/>
      <c r="E430" s="16"/>
    </row>
    <row r="431">
      <c r="A431" s="8"/>
      <c r="B431" s="8"/>
      <c r="C431" s="9"/>
      <c r="E431" s="16"/>
    </row>
    <row r="432">
      <c r="A432" s="8"/>
      <c r="B432" s="8"/>
      <c r="C432" s="9"/>
      <c r="E432" s="16"/>
    </row>
    <row r="433">
      <c r="A433" s="8"/>
      <c r="B433" s="8"/>
      <c r="C433" s="9"/>
      <c r="E433" s="16"/>
    </row>
    <row r="434">
      <c r="A434" s="8"/>
      <c r="B434" s="8"/>
      <c r="C434" s="9"/>
      <c r="E434" s="16"/>
    </row>
    <row r="435">
      <c r="A435" s="8"/>
      <c r="B435" s="8"/>
      <c r="C435" s="9"/>
      <c r="E435" s="16"/>
    </row>
    <row r="436">
      <c r="A436" s="8"/>
      <c r="B436" s="8"/>
      <c r="C436" s="9"/>
      <c r="E436" s="16"/>
    </row>
    <row r="437">
      <c r="A437" s="8"/>
      <c r="B437" s="8"/>
      <c r="C437" s="9"/>
      <c r="E437" s="16"/>
    </row>
    <row r="438">
      <c r="A438" s="8"/>
      <c r="B438" s="8"/>
      <c r="C438" s="9"/>
      <c r="E438" s="16"/>
    </row>
    <row r="439">
      <c r="A439" s="8"/>
      <c r="B439" s="8"/>
      <c r="C439" s="9"/>
      <c r="E439" s="16"/>
    </row>
    <row r="440">
      <c r="A440" s="8"/>
      <c r="B440" s="8"/>
      <c r="C440" s="9"/>
      <c r="E440" s="16"/>
    </row>
    <row r="441">
      <c r="A441" s="8"/>
      <c r="B441" s="8"/>
      <c r="C441" s="9"/>
      <c r="E441" s="16"/>
    </row>
    <row r="442">
      <c r="A442" s="8"/>
      <c r="B442" s="8"/>
      <c r="C442" s="9"/>
      <c r="E442" s="16"/>
    </row>
    <row r="443">
      <c r="A443" s="8"/>
      <c r="B443" s="8"/>
      <c r="C443" s="9"/>
      <c r="E443" s="16"/>
    </row>
    <row r="444">
      <c r="A444" s="8"/>
      <c r="B444" s="8"/>
      <c r="C444" s="9"/>
      <c r="E444" s="16"/>
    </row>
    <row r="445">
      <c r="A445" s="8"/>
      <c r="B445" s="8"/>
      <c r="C445" s="9"/>
      <c r="E445" s="16"/>
    </row>
    <row r="446">
      <c r="A446" s="8"/>
      <c r="B446" s="8"/>
      <c r="C446" s="9"/>
      <c r="E446" s="16"/>
    </row>
    <row r="447">
      <c r="A447" s="8"/>
      <c r="B447" s="8"/>
      <c r="C447" s="9"/>
      <c r="E447" s="16"/>
    </row>
    <row r="448">
      <c r="A448" s="8"/>
      <c r="B448" s="8"/>
      <c r="C448" s="9"/>
      <c r="E448" s="16"/>
    </row>
    <row r="449">
      <c r="A449" s="8"/>
      <c r="B449" s="8"/>
      <c r="C449" s="9"/>
      <c r="E449" s="16"/>
    </row>
    <row r="450">
      <c r="A450" s="8"/>
      <c r="B450" s="8"/>
      <c r="C450" s="9"/>
      <c r="E450" s="16"/>
    </row>
    <row r="451">
      <c r="A451" s="8"/>
      <c r="B451" s="8"/>
      <c r="C451" s="9"/>
      <c r="E451" s="16"/>
    </row>
    <row r="452">
      <c r="A452" s="8"/>
      <c r="B452" s="8"/>
      <c r="C452" s="9"/>
      <c r="E452" s="16"/>
    </row>
    <row r="453">
      <c r="A453" s="8"/>
      <c r="B453" s="8"/>
      <c r="C453" s="9"/>
      <c r="E453" s="16"/>
    </row>
    <row r="454">
      <c r="A454" s="8"/>
      <c r="B454" s="8"/>
      <c r="C454" s="9"/>
      <c r="E454" s="16"/>
    </row>
    <row r="455">
      <c r="A455" s="8"/>
      <c r="B455" s="8"/>
      <c r="C455" s="9"/>
      <c r="E455" s="16"/>
    </row>
    <row r="456">
      <c r="A456" s="8"/>
      <c r="B456" s="8"/>
      <c r="C456" s="9"/>
      <c r="E456" s="16"/>
    </row>
    <row r="457">
      <c r="A457" s="8"/>
      <c r="B457" s="8"/>
      <c r="C457" s="9"/>
      <c r="E457" s="16"/>
    </row>
    <row r="458">
      <c r="A458" s="8"/>
      <c r="B458" s="8"/>
      <c r="C458" s="9"/>
      <c r="E458" s="16"/>
    </row>
    <row r="459">
      <c r="A459" s="8"/>
      <c r="B459" s="8"/>
      <c r="C459" s="9"/>
      <c r="E459" s="16"/>
    </row>
    <row r="460">
      <c r="A460" s="8"/>
      <c r="B460" s="8"/>
      <c r="C460" s="9"/>
      <c r="E460" s="16"/>
    </row>
    <row r="461">
      <c r="A461" s="8"/>
      <c r="B461" s="8"/>
      <c r="C461" s="9"/>
      <c r="E461" s="16"/>
    </row>
    <row r="462">
      <c r="A462" s="8"/>
      <c r="B462" s="8"/>
      <c r="C462" s="9"/>
      <c r="E462" s="16"/>
    </row>
    <row r="463">
      <c r="A463" s="8"/>
      <c r="B463" s="8"/>
      <c r="C463" s="9"/>
      <c r="E463" s="16"/>
    </row>
    <row r="464">
      <c r="A464" s="8"/>
      <c r="B464" s="8"/>
      <c r="C464" s="9"/>
      <c r="E464" s="16"/>
    </row>
    <row r="465">
      <c r="A465" s="8"/>
      <c r="B465" s="8"/>
      <c r="C465" s="9"/>
      <c r="E465" s="16"/>
    </row>
    <row r="466">
      <c r="A466" s="8"/>
      <c r="B466" s="8"/>
      <c r="C466" s="9"/>
      <c r="E466" s="16"/>
    </row>
    <row r="467">
      <c r="A467" s="8"/>
      <c r="B467" s="8"/>
      <c r="C467" s="9"/>
      <c r="E467" s="16"/>
    </row>
    <row r="468">
      <c r="A468" s="8"/>
      <c r="B468" s="8"/>
      <c r="C468" s="9"/>
      <c r="E468" s="16"/>
    </row>
    <row r="469">
      <c r="A469" s="8"/>
      <c r="B469" s="8"/>
      <c r="C469" s="9"/>
      <c r="E469" s="16"/>
    </row>
    <row r="470">
      <c r="A470" s="8"/>
      <c r="B470" s="8"/>
      <c r="C470" s="9"/>
      <c r="E470" s="16"/>
    </row>
    <row r="471">
      <c r="A471" s="8"/>
      <c r="B471" s="8"/>
      <c r="C471" s="9"/>
      <c r="E471" s="16"/>
    </row>
    <row r="472">
      <c r="A472" s="8"/>
      <c r="B472" s="8"/>
      <c r="C472" s="9"/>
      <c r="E472" s="16"/>
    </row>
    <row r="473">
      <c r="A473" s="8"/>
      <c r="B473" s="8"/>
      <c r="C473" s="9"/>
      <c r="E473" s="16"/>
    </row>
    <row r="474">
      <c r="A474" s="8"/>
      <c r="B474" s="8"/>
      <c r="C474" s="9"/>
      <c r="E474" s="16"/>
    </row>
    <row r="475">
      <c r="A475" s="8"/>
      <c r="B475" s="8"/>
      <c r="C475" s="9"/>
      <c r="E475" s="16"/>
    </row>
    <row r="476">
      <c r="A476" s="8"/>
      <c r="B476" s="8"/>
      <c r="C476" s="9"/>
      <c r="E476" s="16"/>
    </row>
    <row r="477">
      <c r="A477" s="8"/>
      <c r="B477" s="8"/>
      <c r="C477" s="9"/>
      <c r="E477" s="16"/>
    </row>
    <row r="478">
      <c r="A478" s="8"/>
      <c r="B478" s="8"/>
      <c r="C478" s="9"/>
      <c r="E478" s="16"/>
    </row>
    <row r="479">
      <c r="A479" s="8"/>
      <c r="B479" s="8"/>
      <c r="C479" s="9"/>
      <c r="E479" s="16"/>
    </row>
    <row r="480">
      <c r="A480" s="8"/>
      <c r="B480" s="8"/>
      <c r="C480" s="9"/>
      <c r="E480" s="16"/>
    </row>
    <row r="481">
      <c r="A481" s="8"/>
      <c r="B481" s="8"/>
      <c r="C481" s="9"/>
      <c r="E481" s="16"/>
    </row>
    <row r="482">
      <c r="A482" s="8"/>
      <c r="B482" s="8"/>
      <c r="C482" s="9"/>
      <c r="E482" s="16"/>
    </row>
    <row r="483">
      <c r="A483" s="8"/>
      <c r="B483" s="8"/>
      <c r="C483" s="9"/>
      <c r="E483" s="16"/>
    </row>
    <row r="484">
      <c r="A484" s="8"/>
      <c r="B484" s="8"/>
      <c r="C484" s="9"/>
      <c r="E484" s="16"/>
    </row>
    <row r="485">
      <c r="A485" s="8"/>
      <c r="B485" s="8"/>
      <c r="C485" s="9"/>
      <c r="E485" s="16"/>
    </row>
    <row r="486">
      <c r="A486" s="8"/>
      <c r="B486" s="8"/>
      <c r="C486" s="9"/>
      <c r="E486" s="16"/>
    </row>
    <row r="487">
      <c r="A487" s="8"/>
      <c r="B487" s="8"/>
      <c r="C487" s="9"/>
      <c r="E487" s="16"/>
    </row>
    <row r="488">
      <c r="A488" s="8"/>
      <c r="B488" s="8"/>
      <c r="C488" s="9"/>
      <c r="E488" s="16"/>
    </row>
    <row r="489">
      <c r="A489" s="8"/>
      <c r="B489" s="8"/>
      <c r="C489" s="9"/>
      <c r="E489" s="16"/>
    </row>
    <row r="490">
      <c r="A490" s="8"/>
      <c r="B490" s="8"/>
      <c r="C490" s="9"/>
      <c r="E490" s="16"/>
    </row>
    <row r="491">
      <c r="A491" s="8"/>
      <c r="B491" s="8"/>
      <c r="C491" s="9"/>
      <c r="E491" s="16"/>
    </row>
    <row r="492">
      <c r="A492" s="8"/>
      <c r="B492" s="8"/>
      <c r="C492" s="9"/>
      <c r="E492" s="16"/>
    </row>
    <row r="493">
      <c r="A493" s="8"/>
      <c r="B493" s="8"/>
      <c r="C493" s="9"/>
      <c r="E493" s="16"/>
    </row>
    <row r="494">
      <c r="A494" s="8"/>
      <c r="B494" s="8"/>
      <c r="C494" s="9"/>
      <c r="E494" s="16"/>
    </row>
    <row r="495">
      <c r="A495" s="8"/>
      <c r="B495" s="8"/>
      <c r="C495" s="9"/>
      <c r="E495" s="16"/>
    </row>
    <row r="496">
      <c r="A496" s="8"/>
      <c r="B496" s="8"/>
      <c r="C496" s="9"/>
      <c r="E496" s="16"/>
    </row>
    <row r="497">
      <c r="A497" s="8"/>
      <c r="B497" s="8"/>
      <c r="C497" s="9"/>
      <c r="E497" s="16"/>
    </row>
    <row r="498">
      <c r="A498" s="8"/>
      <c r="B498" s="8"/>
      <c r="C498" s="9"/>
      <c r="E498" s="16"/>
    </row>
    <row r="499">
      <c r="A499" s="8"/>
      <c r="B499" s="8"/>
      <c r="C499" s="9"/>
      <c r="E499" s="16"/>
    </row>
    <row r="500">
      <c r="A500" s="8"/>
      <c r="B500" s="8"/>
      <c r="C500" s="9"/>
      <c r="E500" s="16"/>
    </row>
    <row r="501">
      <c r="A501" s="8"/>
      <c r="B501" s="8"/>
      <c r="C501" s="9"/>
      <c r="E501" s="16"/>
    </row>
    <row r="502">
      <c r="A502" s="8"/>
      <c r="B502" s="8"/>
      <c r="C502" s="9"/>
      <c r="E502" s="16"/>
    </row>
    <row r="503">
      <c r="A503" s="8"/>
      <c r="B503" s="8"/>
      <c r="C503" s="9"/>
      <c r="E503" s="16"/>
    </row>
    <row r="504">
      <c r="A504" s="8"/>
      <c r="B504" s="8"/>
      <c r="C504" s="9"/>
      <c r="E504" s="16"/>
    </row>
    <row r="505">
      <c r="A505" s="8"/>
      <c r="B505" s="8"/>
      <c r="C505" s="9"/>
      <c r="E505" s="16"/>
    </row>
    <row r="506">
      <c r="A506" s="8"/>
      <c r="B506" s="8"/>
      <c r="C506" s="9"/>
      <c r="E506" s="16"/>
    </row>
    <row r="507">
      <c r="A507" s="8"/>
      <c r="B507" s="8"/>
      <c r="C507" s="9"/>
      <c r="E507" s="16"/>
    </row>
    <row r="508">
      <c r="A508" s="8"/>
      <c r="B508" s="8"/>
      <c r="C508" s="9"/>
      <c r="E508" s="16"/>
    </row>
    <row r="509">
      <c r="A509" s="8"/>
      <c r="B509" s="8"/>
      <c r="C509" s="9"/>
      <c r="E509" s="16"/>
    </row>
    <row r="510">
      <c r="A510" s="8"/>
      <c r="B510" s="8"/>
      <c r="C510" s="9"/>
      <c r="E510" s="16"/>
    </row>
    <row r="511">
      <c r="A511" s="8"/>
      <c r="B511" s="8"/>
      <c r="C511" s="9"/>
      <c r="E511" s="16"/>
    </row>
    <row r="512">
      <c r="A512" s="8"/>
      <c r="B512" s="8"/>
      <c r="C512" s="9"/>
      <c r="E512" s="16"/>
    </row>
    <row r="513">
      <c r="A513" s="8"/>
      <c r="B513" s="8"/>
      <c r="C513" s="9"/>
      <c r="E513" s="16"/>
    </row>
    <row r="514">
      <c r="A514" s="8"/>
      <c r="B514" s="8"/>
      <c r="C514" s="9"/>
      <c r="E514" s="16"/>
    </row>
    <row r="515">
      <c r="A515" s="8"/>
      <c r="B515" s="8"/>
      <c r="C515" s="9"/>
      <c r="E515" s="16"/>
    </row>
    <row r="516">
      <c r="A516" s="8"/>
      <c r="B516" s="8"/>
      <c r="C516" s="9"/>
      <c r="E516" s="16"/>
    </row>
    <row r="517">
      <c r="A517" s="8"/>
      <c r="B517" s="8"/>
      <c r="C517" s="9"/>
      <c r="E517" s="16"/>
    </row>
    <row r="518">
      <c r="A518" s="8"/>
      <c r="B518" s="8"/>
      <c r="C518" s="9"/>
      <c r="E518" s="16"/>
    </row>
    <row r="519">
      <c r="A519" s="8"/>
      <c r="B519" s="8"/>
      <c r="C519" s="9"/>
      <c r="E519" s="16"/>
    </row>
    <row r="520">
      <c r="A520" s="8"/>
      <c r="B520" s="8"/>
      <c r="C520" s="9"/>
      <c r="E520" s="16"/>
    </row>
    <row r="521">
      <c r="A521" s="8"/>
      <c r="B521" s="8"/>
      <c r="C521" s="9"/>
      <c r="E521" s="16"/>
    </row>
    <row r="522">
      <c r="A522" s="8"/>
      <c r="B522" s="8"/>
      <c r="C522" s="9"/>
      <c r="E522" s="16"/>
    </row>
    <row r="523">
      <c r="A523" s="8"/>
      <c r="B523" s="8"/>
      <c r="C523" s="9"/>
      <c r="E523" s="16"/>
    </row>
    <row r="524">
      <c r="A524" s="8"/>
      <c r="B524" s="8"/>
      <c r="C524" s="9"/>
      <c r="E524" s="16"/>
    </row>
    <row r="525">
      <c r="A525" s="8"/>
      <c r="B525" s="8"/>
      <c r="C525" s="9"/>
      <c r="E525" s="16"/>
    </row>
    <row r="526">
      <c r="A526" s="8"/>
      <c r="B526" s="8"/>
      <c r="C526" s="9"/>
      <c r="E526" s="16"/>
    </row>
    <row r="527">
      <c r="A527" s="8"/>
      <c r="B527" s="8"/>
      <c r="C527" s="9"/>
      <c r="E527" s="16"/>
    </row>
    <row r="528">
      <c r="A528" s="8"/>
      <c r="B528" s="8"/>
      <c r="C528" s="9"/>
      <c r="E528" s="16"/>
    </row>
    <row r="529">
      <c r="A529" s="8"/>
      <c r="B529" s="8"/>
      <c r="C529" s="9"/>
      <c r="E529" s="16"/>
    </row>
    <row r="530">
      <c r="A530" s="8"/>
      <c r="B530" s="8"/>
      <c r="C530" s="9"/>
      <c r="E530" s="16"/>
    </row>
    <row r="531">
      <c r="A531" s="8"/>
      <c r="B531" s="8"/>
      <c r="C531" s="9"/>
      <c r="E531" s="16"/>
    </row>
    <row r="532">
      <c r="A532" s="8"/>
      <c r="B532" s="8"/>
      <c r="C532" s="9"/>
      <c r="E532" s="16"/>
    </row>
    <row r="533">
      <c r="A533" s="8"/>
      <c r="B533" s="8"/>
      <c r="C533" s="9"/>
      <c r="E533" s="16"/>
    </row>
    <row r="534">
      <c r="A534" s="8"/>
      <c r="B534" s="8"/>
      <c r="C534" s="9"/>
      <c r="E534" s="16"/>
    </row>
    <row r="535">
      <c r="A535" s="8"/>
      <c r="B535" s="8"/>
      <c r="C535" s="9"/>
      <c r="E535" s="16"/>
    </row>
    <row r="536">
      <c r="A536" s="8"/>
      <c r="B536" s="8"/>
      <c r="C536" s="9"/>
      <c r="E536" s="16"/>
    </row>
    <row r="537">
      <c r="A537" s="8"/>
      <c r="B537" s="8"/>
      <c r="C537" s="9"/>
      <c r="E537" s="16"/>
    </row>
    <row r="538">
      <c r="A538" s="8"/>
      <c r="B538" s="8"/>
      <c r="C538" s="9"/>
      <c r="E538" s="16"/>
    </row>
    <row r="539">
      <c r="A539" s="8"/>
      <c r="B539" s="8"/>
      <c r="C539" s="9"/>
      <c r="E539" s="16"/>
    </row>
    <row r="540">
      <c r="A540" s="8"/>
      <c r="B540" s="8"/>
      <c r="C540" s="9"/>
      <c r="E540" s="16"/>
    </row>
    <row r="541">
      <c r="A541" s="8"/>
      <c r="B541" s="8"/>
      <c r="C541" s="9"/>
      <c r="E541" s="16"/>
    </row>
    <row r="542">
      <c r="A542" s="8"/>
      <c r="B542" s="8"/>
      <c r="C542" s="9"/>
      <c r="E542" s="16"/>
    </row>
    <row r="543">
      <c r="A543" s="8"/>
      <c r="B543" s="8"/>
      <c r="C543" s="9"/>
      <c r="E543" s="16"/>
    </row>
    <row r="544">
      <c r="A544" s="8"/>
      <c r="B544" s="8"/>
      <c r="C544" s="9"/>
      <c r="E544" s="16"/>
    </row>
    <row r="545">
      <c r="A545" s="8"/>
      <c r="B545" s="8"/>
      <c r="C545" s="9"/>
      <c r="E545" s="16"/>
    </row>
    <row r="546">
      <c r="A546" s="8"/>
      <c r="B546" s="8"/>
      <c r="C546" s="9"/>
      <c r="E546" s="16"/>
    </row>
    <row r="547">
      <c r="A547" s="8"/>
      <c r="B547" s="8"/>
      <c r="C547" s="9"/>
      <c r="E547" s="16"/>
    </row>
    <row r="548">
      <c r="A548" s="8"/>
      <c r="B548" s="8"/>
      <c r="C548" s="9"/>
      <c r="E548" s="16"/>
    </row>
    <row r="549">
      <c r="A549" s="8"/>
      <c r="B549" s="8"/>
      <c r="C549" s="9"/>
      <c r="E549" s="16"/>
    </row>
    <row r="550">
      <c r="A550" s="8"/>
      <c r="B550" s="8"/>
      <c r="C550" s="9"/>
      <c r="E550" s="16"/>
    </row>
    <row r="551">
      <c r="A551" s="8"/>
      <c r="B551" s="8"/>
      <c r="C551" s="9"/>
      <c r="E551" s="16"/>
    </row>
    <row r="552">
      <c r="A552" s="8"/>
      <c r="B552" s="8"/>
      <c r="C552" s="9"/>
      <c r="E552" s="16"/>
    </row>
    <row r="553">
      <c r="A553" s="8"/>
      <c r="B553" s="8"/>
      <c r="C553" s="9"/>
      <c r="E553" s="16"/>
    </row>
    <row r="554">
      <c r="A554" s="8"/>
      <c r="B554" s="8"/>
      <c r="C554" s="9"/>
      <c r="E554" s="16"/>
    </row>
    <row r="555">
      <c r="A555" s="8"/>
      <c r="B555" s="8"/>
      <c r="C555" s="9"/>
      <c r="E555" s="16"/>
    </row>
    <row r="556">
      <c r="A556" s="8"/>
      <c r="B556" s="8"/>
      <c r="C556" s="9"/>
      <c r="E556" s="16"/>
    </row>
    <row r="557">
      <c r="A557" s="8"/>
      <c r="B557" s="8"/>
      <c r="C557" s="9"/>
      <c r="E557" s="16"/>
    </row>
    <row r="558">
      <c r="A558" s="8"/>
      <c r="B558" s="8"/>
      <c r="C558" s="9"/>
      <c r="E558" s="16"/>
    </row>
    <row r="559">
      <c r="A559" s="8"/>
      <c r="B559" s="8"/>
      <c r="C559" s="9"/>
      <c r="E559" s="16"/>
    </row>
    <row r="560">
      <c r="A560" s="8"/>
      <c r="B560" s="8"/>
      <c r="C560" s="9"/>
      <c r="E560" s="16"/>
    </row>
    <row r="561">
      <c r="A561" s="8"/>
      <c r="B561" s="8"/>
      <c r="C561" s="9"/>
      <c r="E561" s="16"/>
    </row>
    <row r="562">
      <c r="A562" s="8"/>
      <c r="B562" s="8"/>
      <c r="C562" s="9"/>
      <c r="E562" s="16"/>
    </row>
    <row r="563">
      <c r="A563" s="8"/>
      <c r="B563" s="8"/>
      <c r="C563" s="9"/>
      <c r="E563" s="16"/>
    </row>
    <row r="564">
      <c r="A564" s="8"/>
      <c r="B564" s="8"/>
      <c r="C564" s="9"/>
      <c r="E564" s="16"/>
    </row>
    <row r="565">
      <c r="A565" s="8"/>
      <c r="B565" s="8"/>
      <c r="C565" s="9"/>
      <c r="E565" s="16"/>
    </row>
    <row r="566">
      <c r="A566" s="8"/>
      <c r="B566" s="8"/>
      <c r="C566" s="9"/>
      <c r="E566" s="16"/>
    </row>
    <row r="567">
      <c r="A567" s="8"/>
      <c r="B567" s="8"/>
      <c r="C567" s="9"/>
      <c r="E567" s="16"/>
    </row>
    <row r="568">
      <c r="A568" s="8"/>
      <c r="B568" s="8"/>
      <c r="C568" s="9"/>
      <c r="E568" s="16"/>
    </row>
    <row r="569">
      <c r="A569" s="8"/>
      <c r="B569" s="8"/>
      <c r="C569" s="9"/>
      <c r="E569" s="16"/>
    </row>
    <row r="570">
      <c r="A570" s="8"/>
      <c r="B570" s="8"/>
      <c r="C570" s="9"/>
      <c r="E570" s="16"/>
    </row>
    <row r="571">
      <c r="A571" s="8"/>
      <c r="B571" s="8"/>
      <c r="C571" s="9"/>
      <c r="E571" s="16"/>
    </row>
    <row r="572">
      <c r="A572" s="8"/>
      <c r="B572" s="8"/>
      <c r="C572" s="9"/>
      <c r="E572" s="16"/>
    </row>
    <row r="573">
      <c r="A573" s="8"/>
      <c r="B573" s="8"/>
      <c r="C573" s="9"/>
      <c r="E573" s="16"/>
    </row>
    <row r="574">
      <c r="A574" s="8"/>
      <c r="B574" s="8"/>
      <c r="C574" s="9"/>
      <c r="E574" s="16"/>
    </row>
    <row r="575">
      <c r="A575" s="8"/>
      <c r="B575" s="8"/>
      <c r="C575" s="9"/>
      <c r="E575" s="16"/>
    </row>
    <row r="576">
      <c r="A576" s="8"/>
      <c r="B576" s="8"/>
      <c r="C576" s="9"/>
      <c r="E576" s="16"/>
    </row>
    <row r="577">
      <c r="A577" s="8"/>
      <c r="B577" s="8"/>
      <c r="C577" s="9"/>
      <c r="E577" s="16"/>
    </row>
    <row r="578">
      <c r="A578" s="8"/>
      <c r="B578" s="8"/>
      <c r="C578" s="9"/>
      <c r="E578" s="16"/>
    </row>
    <row r="579">
      <c r="A579" s="8"/>
      <c r="B579" s="8"/>
      <c r="C579" s="9"/>
      <c r="E579" s="16"/>
    </row>
    <row r="580">
      <c r="A580" s="8"/>
      <c r="B580" s="8"/>
      <c r="C580" s="9"/>
      <c r="E580" s="16"/>
    </row>
    <row r="581">
      <c r="A581" s="8"/>
      <c r="B581" s="8"/>
      <c r="C581" s="9"/>
      <c r="E581" s="16"/>
    </row>
    <row r="582">
      <c r="A582" s="8"/>
      <c r="B582" s="8"/>
      <c r="C582" s="9"/>
      <c r="E582" s="16"/>
    </row>
    <row r="583">
      <c r="A583" s="8"/>
      <c r="B583" s="8"/>
      <c r="C583" s="9"/>
      <c r="E583" s="16"/>
    </row>
    <row r="584">
      <c r="A584" s="8"/>
      <c r="B584" s="8"/>
      <c r="C584" s="9"/>
      <c r="E584" s="16"/>
    </row>
    <row r="585">
      <c r="A585" s="8"/>
      <c r="B585" s="8"/>
      <c r="C585" s="9"/>
      <c r="E585" s="16"/>
    </row>
    <row r="586">
      <c r="A586" s="8"/>
      <c r="B586" s="8"/>
      <c r="C586" s="9"/>
      <c r="E586" s="16"/>
    </row>
    <row r="587">
      <c r="A587" s="8"/>
      <c r="B587" s="8"/>
      <c r="C587" s="9"/>
      <c r="E587" s="16"/>
    </row>
    <row r="588">
      <c r="A588" s="8"/>
      <c r="B588" s="8"/>
      <c r="C588" s="9"/>
      <c r="E588" s="16"/>
    </row>
    <row r="589">
      <c r="A589" s="8"/>
      <c r="B589" s="8"/>
      <c r="C589" s="9"/>
      <c r="E589" s="16"/>
    </row>
    <row r="590">
      <c r="A590" s="8"/>
      <c r="B590" s="8"/>
      <c r="C590" s="9"/>
      <c r="E590" s="16"/>
    </row>
    <row r="591">
      <c r="A591" s="8"/>
      <c r="B591" s="8"/>
      <c r="C591" s="9"/>
      <c r="E591" s="16"/>
    </row>
    <row r="592">
      <c r="A592" s="8"/>
      <c r="B592" s="8"/>
      <c r="C592" s="9"/>
      <c r="E592" s="16"/>
    </row>
    <row r="593">
      <c r="A593" s="8"/>
      <c r="B593" s="8"/>
      <c r="C593" s="9"/>
      <c r="E593" s="16"/>
    </row>
    <row r="594">
      <c r="A594" s="8"/>
      <c r="B594" s="8"/>
      <c r="C594" s="9"/>
      <c r="E594" s="16"/>
    </row>
    <row r="595">
      <c r="A595" s="8"/>
      <c r="B595" s="8"/>
      <c r="C595" s="9"/>
      <c r="E595" s="16"/>
    </row>
    <row r="596">
      <c r="A596" s="8"/>
      <c r="B596" s="8"/>
      <c r="C596" s="9"/>
      <c r="E596" s="16"/>
    </row>
    <row r="597">
      <c r="A597" s="8"/>
      <c r="B597" s="8"/>
      <c r="C597" s="9"/>
      <c r="E597" s="16"/>
    </row>
    <row r="598">
      <c r="A598" s="8"/>
      <c r="B598" s="8"/>
      <c r="C598" s="9"/>
      <c r="E598" s="16"/>
    </row>
    <row r="599">
      <c r="A599" s="8"/>
      <c r="B599" s="8"/>
      <c r="C599" s="9"/>
      <c r="E599" s="16"/>
    </row>
    <row r="600">
      <c r="A600" s="8"/>
      <c r="B600" s="8"/>
      <c r="C600" s="9"/>
      <c r="E600" s="16"/>
    </row>
    <row r="601">
      <c r="A601" s="8"/>
      <c r="B601" s="8"/>
      <c r="C601" s="9"/>
      <c r="E601" s="16"/>
    </row>
    <row r="602">
      <c r="A602" s="8"/>
      <c r="B602" s="8"/>
      <c r="C602" s="9"/>
      <c r="E602" s="16"/>
    </row>
    <row r="603">
      <c r="A603" s="8"/>
      <c r="B603" s="8"/>
      <c r="C603" s="9"/>
      <c r="E603" s="16"/>
    </row>
    <row r="604">
      <c r="A604" s="8"/>
      <c r="B604" s="8"/>
      <c r="C604" s="9"/>
      <c r="E604" s="16"/>
    </row>
    <row r="605">
      <c r="A605" s="8"/>
      <c r="B605" s="8"/>
      <c r="C605" s="9"/>
      <c r="E605" s="16"/>
    </row>
    <row r="606">
      <c r="A606" s="8"/>
      <c r="B606" s="8"/>
      <c r="C606" s="9"/>
      <c r="E606" s="16"/>
    </row>
    <row r="607">
      <c r="A607" s="8"/>
      <c r="B607" s="8"/>
      <c r="C607" s="9"/>
      <c r="E607" s="16"/>
    </row>
    <row r="608">
      <c r="A608" s="8"/>
      <c r="B608" s="8"/>
      <c r="C608" s="9"/>
      <c r="E608" s="16"/>
    </row>
    <row r="609">
      <c r="A609" s="8"/>
      <c r="B609" s="8"/>
      <c r="C609" s="9"/>
      <c r="E609" s="16"/>
    </row>
    <row r="610">
      <c r="A610" s="8"/>
      <c r="B610" s="8"/>
      <c r="C610" s="9"/>
      <c r="E610" s="16"/>
    </row>
    <row r="611">
      <c r="A611" s="8"/>
      <c r="B611" s="8"/>
      <c r="C611" s="9"/>
      <c r="E611" s="16"/>
    </row>
    <row r="612">
      <c r="A612" s="8"/>
      <c r="B612" s="8"/>
      <c r="C612" s="9"/>
      <c r="E612" s="16"/>
    </row>
    <row r="613">
      <c r="A613" s="8"/>
      <c r="B613" s="8"/>
      <c r="C613" s="9"/>
      <c r="E613" s="16"/>
    </row>
    <row r="614">
      <c r="A614" s="8"/>
      <c r="B614" s="8"/>
      <c r="C614" s="9"/>
      <c r="E614" s="16"/>
    </row>
    <row r="615">
      <c r="A615" s="8"/>
      <c r="B615" s="8"/>
      <c r="C615" s="9"/>
      <c r="E615" s="16"/>
    </row>
    <row r="616">
      <c r="A616" s="8"/>
      <c r="B616" s="8"/>
      <c r="C616" s="9"/>
      <c r="E616" s="16"/>
    </row>
    <row r="617">
      <c r="A617" s="8"/>
      <c r="B617" s="8"/>
      <c r="C617" s="9"/>
      <c r="E617" s="16"/>
    </row>
    <row r="618">
      <c r="A618" s="8"/>
      <c r="B618" s="8"/>
      <c r="C618" s="9"/>
      <c r="E618" s="16"/>
    </row>
    <row r="619">
      <c r="A619" s="8"/>
      <c r="B619" s="8"/>
      <c r="C619" s="9"/>
      <c r="E619" s="16"/>
    </row>
    <row r="620">
      <c r="A620" s="8"/>
      <c r="B620" s="8"/>
      <c r="C620" s="9"/>
      <c r="E620" s="16"/>
    </row>
    <row r="621">
      <c r="A621" s="8"/>
      <c r="B621" s="8"/>
      <c r="C621" s="9"/>
      <c r="E621" s="16"/>
    </row>
    <row r="622">
      <c r="A622" s="8"/>
      <c r="B622" s="8"/>
      <c r="C622" s="9"/>
      <c r="E622" s="16"/>
    </row>
    <row r="623">
      <c r="A623" s="8"/>
      <c r="B623" s="8"/>
      <c r="C623" s="9"/>
      <c r="E623" s="16"/>
    </row>
    <row r="624">
      <c r="A624" s="8"/>
      <c r="B624" s="8"/>
      <c r="C624" s="9"/>
      <c r="E624" s="16"/>
    </row>
    <row r="625">
      <c r="A625" s="8"/>
      <c r="B625" s="8"/>
      <c r="C625" s="9"/>
      <c r="E625" s="16"/>
    </row>
    <row r="626">
      <c r="A626" s="8"/>
      <c r="B626" s="8"/>
      <c r="C626" s="9"/>
      <c r="E626" s="16"/>
    </row>
    <row r="627">
      <c r="A627" s="8"/>
      <c r="B627" s="8"/>
      <c r="C627" s="9"/>
      <c r="E627" s="16"/>
    </row>
    <row r="628">
      <c r="A628" s="8"/>
      <c r="B628" s="8"/>
      <c r="C628" s="9"/>
      <c r="E628" s="16"/>
    </row>
    <row r="629">
      <c r="A629" s="8"/>
      <c r="B629" s="8"/>
      <c r="C629" s="9"/>
      <c r="E629" s="16"/>
    </row>
    <row r="630">
      <c r="A630" s="8"/>
      <c r="B630" s="8"/>
      <c r="C630" s="9"/>
      <c r="E630" s="16"/>
    </row>
    <row r="631">
      <c r="A631" s="8"/>
      <c r="B631" s="8"/>
      <c r="C631" s="9"/>
      <c r="E631" s="16"/>
    </row>
    <row r="632">
      <c r="A632" s="8"/>
      <c r="B632" s="8"/>
      <c r="C632" s="9"/>
      <c r="E632" s="16"/>
    </row>
    <row r="633">
      <c r="A633" s="8"/>
      <c r="B633" s="8"/>
      <c r="C633" s="9"/>
      <c r="E633" s="16"/>
    </row>
    <row r="634">
      <c r="A634" s="8"/>
      <c r="B634" s="8"/>
      <c r="C634" s="9"/>
      <c r="E634" s="16"/>
    </row>
    <row r="635">
      <c r="A635" s="8"/>
      <c r="B635" s="8"/>
      <c r="C635" s="9"/>
      <c r="E635" s="16"/>
    </row>
    <row r="636">
      <c r="A636" s="8"/>
      <c r="B636" s="8"/>
      <c r="C636" s="9"/>
      <c r="E636" s="16"/>
    </row>
    <row r="637">
      <c r="A637" s="8"/>
      <c r="B637" s="8"/>
      <c r="C637" s="9"/>
      <c r="E637" s="16"/>
    </row>
    <row r="638">
      <c r="A638" s="8"/>
      <c r="B638" s="8"/>
      <c r="C638" s="9"/>
      <c r="E638" s="16"/>
    </row>
    <row r="639">
      <c r="A639" s="8"/>
      <c r="B639" s="8"/>
      <c r="C639" s="9"/>
      <c r="E639" s="16"/>
    </row>
    <row r="640">
      <c r="A640" s="8"/>
      <c r="B640" s="8"/>
      <c r="C640" s="9"/>
      <c r="E640" s="16"/>
    </row>
    <row r="641">
      <c r="A641" s="8"/>
      <c r="B641" s="8"/>
      <c r="C641" s="9"/>
      <c r="E641" s="16"/>
    </row>
    <row r="642">
      <c r="A642" s="8"/>
      <c r="B642" s="8"/>
      <c r="C642" s="9"/>
      <c r="E642" s="16"/>
    </row>
    <row r="643">
      <c r="A643" s="8"/>
      <c r="B643" s="8"/>
      <c r="C643" s="9"/>
      <c r="E643" s="16"/>
    </row>
    <row r="644">
      <c r="A644" s="8"/>
      <c r="B644" s="8"/>
      <c r="C644" s="9"/>
      <c r="E644" s="16"/>
    </row>
    <row r="645">
      <c r="A645" s="8"/>
      <c r="B645" s="8"/>
      <c r="C645" s="9"/>
      <c r="E645" s="16"/>
    </row>
    <row r="646">
      <c r="A646" s="8"/>
      <c r="B646" s="8"/>
      <c r="C646" s="9"/>
      <c r="E646" s="16"/>
    </row>
    <row r="647">
      <c r="A647" s="8"/>
      <c r="B647" s="8"/>
      <c r="C647" s="9"/>
      <c r="E647" s="16"/>
    </row>
    <row r="648">
      <c r="A648" s="8"/>
      <c r="B648" s="8"/>
      <c r="C648" s="9"/>
      <c r="E648" s="16"/>
    </row>
    <row r="649">
      <c r="A649" s="8"/>
      <c r="B649" s="8"/>
      <c r="C649" s="9"/>
      <c r="E649" s="16"/>
    </row>
    <row r="650">
      <c r="A650" s="8"/>
      <c r="B650" s="8"/>
      <c r="C650" s="9"/>
      <c r="E650" s="16"/>
    </row>
    <row r="651">
      <c r="A651" s="8"/>
      <c r="B651" s="8"/>
      <c r="C651" s="9"/>
      <c r="E651" s="16"/>
    </row>
    <row r="652">
      <c r="A652" s="8"/>
      <c r="B652" s="8"/>
      <c r="C652" s="9"/>
      <c r="E652" s="16"/>
    </row>
    <row r="653">
      <c r="A653" s="8"/>
      <c r="B653" s="8"/>
      <c r="C653" s="9"/>
      <c r="E653" s="16"/>
    </row>
    <row r="654">
      <c r="A654" s="8"/>
      <c r="B654" s="8"/>
      <c r="C654" s="9"/>
      <c r="E654" s="16"/>
    </row>
    <row r="655">
      <c r="A655" s="8"/>
      <c r="B655" s="8"/>
      <c r="C655" s="9"/>
      <c r="E655" s="16"/>
    </row>
    <row r="656">
      <c r="A656" s="8"/>
      <c r="B656" s="8"/>
      <c r="C656" s="9"/>
      <c r="E656" s="16"/>
    </row>
    <row r="657">
      <c r="A657" s="8"/>
      <c r="B657" s="8"/>
      <c r="C657" s="9"/>
      <c r="E657" s="16"/>
    </row>
    <row r="658">
      <c r="A658" s="8"/>
      <c r="B658" s="8"/>
      <c r="C658" s="9"/>
      <c r="E658" s="16"/>
    </row>
    <row r="659">
      <c r="A659" s="8"/>
      <c r="B659" s="8"/>
      <c r="C659" s="9"/>
      <c r="E659" s="16"/>
    </row>
    <row r="660">
      <c r="A660" s="8"/>
      <c r="B660" s="8"/>
      <c r="C660" s="9"/>
      <c r="E660" s="16"/>
    </row>
    <row r="661">
      <c r="A661" s="8"/>
      <c r="B661" s="8"/>
      <c r="C661" s="9"/>
      <c r="E661" s="16"/>
    </row>
    <row r="662">
      <c r="A662" s="8"/>
      <c r="B662" s="8"/>
      <c r="C662" s="9"/>
      <c r="E662" s="16"/>
    </row>
    <row r="663">
      <c r="A663" s="8"/>
      <c r="B663" s="8"/>
      <c r="C663" s="9"/>
      <c r="E663" s="16"/>
    </row>
    <row r="664">
      <c r="A664" s="8"/>
      <c r="B664" s="8"/>
      <c r="C664" s="9"/>
      <c r="E664" s="16"/>
    </row>
    <row r="665">
      <c r="A665" s="8"/>
      <c r="B665" s="8"/>
      <c r="C665" s="9"/>
      <c r="E665" s="16"/>
    </row>
    <row r="666">
      <c r="A666" s="8"/>
      <c r="B666" s="8"/>
      <c r="C666" s="9"/>
      <c r="E666" s="16"/>
    </row>
    <row r="667">
      <c r="A667" s="8"/>
      <c r="B667" s="8"/>
      <c r="C667" s="9"/>
      <c r="E667" s="16"/>
    </row>
    <row r="668">
      <c r="A668" s="8"/>
      <c r="B668" s="8"/>
      <c r="C668" s="9"/>
      <c r="E668" s="16"/>
    </row>
    <row r="669">
      <c r="A669" s="8"/>
      <c r="B669" s="8"/>
      <c r="C669" s="9"/>
      <c r="E669" s="16"/>
    </row>
    <row r="670">
      <c r="A670" s="8"/>
      <c r="B670" s="8"/>
      <c r="C670" s="9"/>
      <c r="E670" s="16"/>
    </row>
    <row r="671">
      <c r="A671" s="8"/>
      <c r="B671" s="8"/>
      <c r="C671" s="9"/>
      <c r="E671" s="16"/>
    </row>
    <row r="672">
      <c r="A672" s="8"/>
      <c r="B672" s="8"/>
      <c r="C672" s="9"/>
      <c r="E672" s="16"/>
    </row>
    <row r="673">
      <c r="A673" s="8"/>
      <c r="B673" s="8"/>
      <c r="C673" s="9"/>
      <c r="E673" s="16"/>
    </row>
    <row r="674">
      <c r="A674" s="8"/>
      <c r="B674" s="8"/>
      <c r="C674" s="9"/>
      <c r="E674" s="16"/>
    </row>
    <row r="675">
      <c r="A675" s="8"/>
      <c r="B675" s="8"/>
      <c r="C675" s="9"/>
      <c r="E675" s="16"/>
    </row>
    <row r="676">
      <c r="A676" s="8"/>
      <c r="B676" s="8"/>
      <c r="C676" s="9"/>
      <c r="E676" s="16"/>
    </row>
    <row r="677">
      <c r="A677" s="8"/>
      <c r="B677" s="8"/>
      <c r="C677" s="9"/>
      <c r="E677" s="16"/>
    </row>
    <row r="678">
      <c r="A678" s="8"/>
      <c r="B678" s="8"/>
      <c r="C678" s="9"/>
      <c r="E678" s="16"/>
    </row>
    <row r="679">
      <c r="A679" s="8"/>
      <c r="B679" s="8"/>
      <c r="C679" s="9"/>
      <c r="E679" s="16"/>
    </row>
    <row r="680">
      <c r="A680" s="8"/>
      <c r="B680" s="8"/>
      <c r="C680" s="9"/>
      <c r="E680" s="16"/>
    </row>
    <row r="681">
      <c r="A681" s="8"/>
      <c r="B681" s="8"/>
      <c r="C681" s="9"/>
      <c r="E681" s="16"/>
    </row>
    <row r="682">
      <c r="A682" s="8"/>
      <c r="B682" s="8"/>
      <c r="C682" s="9"/>
      <c r="E682" s="16"/>
    </row>
    <row r="683">
      <c r="A683" s="8"/>
      <c r="B683" s="8"/>
      <c r="C683" s="9"/>
      <c r="E683" s="16"/>
    </row>
    <row r="684">
      <c r="A684" s="8"/>
      <c r="B684" s="8"/>
      <c r="C684" s="9"/>
      <c r="E684" s="16"/>
    </row>
    <row r="685">
      <c r="A685" s="8"/>
      <c r="B685" s="8"/>
      <c r="C685" s="9"/>
      <c r="E685" s="16"/>
    </row>
    <row r="686">
      <c r="A686" s="8"/>
      <c r="B686" s="8"/>
      <c r="C686" s="9"/>
      <c r="E686" s="16"/>
    </row>
    <row r="687">
      <c r="A687" s="8"/>
      <c r="B687" s="8"/>
      <c r="C687" s="9"/>
      <c r="E687" s="16"/>
    </row>
    <row r="688">
      <c r="A688" s="8"/>
      <c r="B688" s="8"/>
      <c r="C688" s="9"/>
      <c r="E688" s="16"/>
    </row>
    <row r="689">
      <c r="A689" s="8"/>
      <c r="B689" s="8"/>
      <c r="C689" s="9"/>
      <c r="E689" s="16"/>
    </row>
    <row r="690">
      <c r="A690" s="8"/>
      <c r="B690" s="8"/>
      <c r="C690" s="9"/>
      <c r="E690" s="16"/>
    </row>
    <row r="691">
      <c r="A691" s="8"/>
      <c r="B691" s="8"/>
      <c r="C691" s="9"/>
      <c r="E691" s="16"/>
    </row>
    <row r="692">
      <c r="A692" s="8"/>
      <c r="B692" s="8"/>
      <c r="C692" s="9"/>
      <c r="E692" s="16"/>
    </row>
    <row r="693">
      <c r="A693" s="8"/>
      <c r="B693" s="8"/>
      <c r="C693" s="9"/>
      <c r="E693" s="16"/>
    </row>
    <row r="694">
      <c r="A694" s="8"/>
      <c r="B694" s="8"/>
      <c r="C694" s="9"/>
      <c r="E694" s="16"/>
    </row>
    <row r="695">
      <c r="A695" s="8"/>
      <c r="B695" s="8"/>
      <c r="C695" s="9"/>
      <c r="E695" s="16"/>
    </row>
    <row r="696">
      <c r="A696" s="8"/>
      <c r="B696" s="8"/>
      <c r="C696" s="9"/>
      <c r="E696" s="16"/>
    </row>
    <row r="697">
      <c r="A697" s="8"/>
      <c r="B697" s="8"/>
      <c r="C697" s="9"/>
      <c r="E697" s="16"/>
    </row>
    <row r="698">
      <c r="A698" s="8"/>
      <c r="B698" s="8"/>
      <c r="C698" s="9"/>
      <c r="E698" s="16"/>
    </row>
    <row r="699">
      <c r="A699" s="8"/>
      <c r="B699" s="8"/>
      <c r="C699" s="9"/>
      <c r="E699" s="16"/>
    </row>
    <row r="700">
      <c r="A700" s="8"/>
      <c r="B700" s="8"/>
      <c r="C700" s="9"/>
      <c r="E700" s="16"/>
    </row>
    <row r="701">
      <c r="A701" s="8"/>
      <c r="B701" s="8"/>
      <c r="C701" s="9"/>
      <c r="E701" s="16"/>
    </row>
    <row r="702">
      <c r="A702" s="8"/>
      <c r="B702" s="8"/>
      <c r="C702" s="9"/>
      <c r="E702" s="16"/>
    </row>
    <row r="703">
      <c r="A703" s="8"/>
      <c r="B703" s="8"/>
      <c r="C703" s="9"/>
      <c r="E703" s="16"/>
    </row>
    <row r="704">
      <c r="A704" s="8"/>
      <c r="B704" s="8"/>
      <c r="C704" s="9"/>
      <c r="E704" s="16"/>
    </row>
    <row r="705">
      <c r="A705" s="8"/>
      <c r="B705" s="8"/>
      <c r="C705" s="9"/>
      <c r="E705" s="16"/>
    </row>
    <row r="706">
      <c r="A706" s="8"/>
      <c r="B706" s="8"/>
      <c r="C706" s="9"/>
      <c r="E706" s="16"/>
    </row>
    <row r="707">
      <c r="A707" s="8"/>
      <c r="B707" s="8"/>
      <c r="C707" s="9"/>
      <c r="E707" s="16"/>
    </row>
    <row r="708">
      <c r="A708" s="8"/>
      <c r="B708" s="8"/>
      <c r="C708" s="9"/>
      <c r="E708" s="16"/>
    </row>
    <row r="709">
      <c r="A709" s="8"/>
      <c r="B709" s="8"/>
      <c r="C709" s="9"/>
      <c r="E709" s="16"/>
    </row>
    <row r="710">
      <c r="A710" s="8"/>
      <c r="B710" s="8"/>
      <c r="C710" s="9"/>
      <c r="E710" s="16"/>
    </row>
    <row r="711">
      <c r="A711" s="8"/>
      <c r="B711" s="8"/>
      <c r="C711" s="9"/>
      <c r="E711" s="16"/>
    </row>
    <row r="712">
      <c r="A712" s="8"/>
      <c r="B712" s="8"/>
      <c r="C712" s="9"/>
      <c r="E712" s="16"/>
    </row>
    <row r="713">
      <c r="A713" s="8"/>
      <c r="B713" s="8"/>
      <c r="C713" s="9"/>
      <c r="E713" s="16"/>
    </row>
    <row r="714">
      <c r="A714" s="8"/>
      <c r="B714" s="8"/>
      <c r="C714" s="9"/>
      <c r="E714" s="16"/>
    </row>
    <row r="715">
      <c r="A715" s="8"/>
      <c r="B715" s="8"/>
      <c r="C715" s="9"/>
      <c r="E715" s="16"/>
    </row>
    <row r="716">
      <c r="A716" s="8"/>
      <c r="B716" s="8"/>
      <c r="C716" s="9"/>
      <c r="E716" s="16"/>
    </row>
    <row r="717">
      <c r="A717" s="8"/>
      <c r="B717" s="8"/>
      <c r="C717" s="9"/>
      <c r="E717" s="16"/>
    </row>
    <row r="718">
      <c r="A718" s="8"/>
      <c r="B718" s="8"/>
      <c r="C718" s="9"/>
      <c r="E718" s="16"/>
    </row>
    <row r="719">
      <c r="A719" s="8"/>
      <c r="B719" s="8"/>
      <c r="C719" s="9"/>
      <c r="E719" s="16"/>
    </row>
    <row r="720">
      <c r="A720" s="8"/>
      <c r="B720" s="8"/>
      <c r="C720" s="9"/>
      <c r="E720" s="16"/>
    </row>
    <row r="721">
      <c r="A721" s="8"/>
      <c r="B721" s="8"/>
      <c r="C721" s="9"/>
      <c r="E721" s="16"/>
    </row>
    <row r="722">
      <c r="A722" s="8"/>
      <c r="B722" s="8"/>
      <c r="C722" s="9"/>
      <c r="E722" s="16"/>
    </row>
    <row r="723">
      <c r="A723" s="8"/>
      <c r="B723" s="8"/>
      <c r="C723" s="9"/>
      <c r="E723" s="16"/>
    </row>
    <row r="724">
      <c r="A724" s="8"/>
      <c r="B724" s="8"/>
      <c r="C724" s="9"/>
      <c r="E724" s="16"/>
    </row>
    <row r="725">
      <c r="A725" s="8"/>
      <c r="B725" s="8"/>
      <c r="C725" s="9"/>
      <c r="E725" s="16"/>
    </row>
    <row r="726">
      <c r="A726" s="8"/>
      <c r="B726" s="8"/>
      <c r="C726" s="9"/>
      <c r="E726" s="16"/>
    </row>
    <row r="727">
      <c r="A727" s="8"/>
      <c r="B727" s="8"/>
      <c r="C727" s="9"/>
      <c r="E727" s="16"/>
    </row>
    <row r="728">
      <c r="A728" s="8"/>
      <c r="B728" s="8"/>
      <c r="C728" s="9"/>
      <c r="E728" s="16"/>
    </row>
    <row r="729">
      <c r="A729" s="8"/>
      <c r="B729" s="8"/>
      <c r="C729" s="9"/>
      <c r="E729" s="16"/>
    </row>
    <row r="730">
      <c r="A730" s="8"/>
      <c r="B730" s="8"/>
      <c r="C730" s="9"/>
      <c r="E730" s="16"/>
    </row>
    <row r="731">
      <c r="A731" s="8"/>
      <c r="B731" s="8"/>
      <c r="C731" s="9"/>
      <c r="E731" s="16"/>
    </row>
    <row r="732">
      <c r="A732" s="8"/>
      <c r="B732" s="8"/>
      <c r="C732" s="9"/>
      <c r="E732" s="16"/>
    </row>
    <row r="733">
      <c r="A733" s="8"/>
      <c r="B733" s="8"/>
      <c r="C733" s="9"/>
      <c r="E733" s="16"/>
    </row>
    <row r="734">
      <c r="A734" s="8"/>
      <c r="B734" s="8"/>
      <c r="C734" s="9"/>
      <c r="E734" s="16"/>
    </row>
    <row r="735">
      <c r="A735" s="8"/>
      <c r="B735" s="8"/>
      <c r="C735" s="9"/>
      <c r="E735" s="16"/>
    </row>
    <row r="736">
      <c r="A736" s="8"/>
      <c r="B736" s="8"/>
      <c r="C736" s="9"/>
      <c r="E736" s="16"/>
    </row>
    <row r="737">
      <c r="A737" s="8"/>
      <c r="B737" s="8"/>
      <c r="C737" s="9"/>
      <c r="E737" s="16"/>
    </row>
    <row r="738">
      <c r="A738" s="8"/>
      <c r="B738" s="8"/>
      <c r="C738" s="9"/>
      <c r="E738" s="16"/>
    </row>
    <row r="739">
      <c r="A739" s="8"/>
      <c r="B739" s="8"/>
      <c r="C739" s="9"/>
      <c r="E739" s="16"/>
    </row>
    <row r="740">
      <c r="A740" s="8"/>
      <c r="B740" s="8"/>
      <c r="C740" s="9"/>
      <c r="E740" s="16"/>
    </row>
    <row r="741">
      <c r="A741" s="8"/>
      <c r="B741" s="8"/>
      <c r="C741" s="9"/>
      <c r="E741" s="16"/>
    </row>
    <row r="742">
      <c r="A742" s="8"/>
      <c r="B742" s="8"/>
      <c r="C742" s="9"/>
      <c r="E742" s="16"/>
    </row>
    <row r="743">
      <c r="A743" s="8"/>
      <c r="B743" s="8"/>
      <c r="C743" s="9"/>
      <c r="E743" s="16"/>
    </row>
    <row r="744">
      <c r="A744" s="8"/>
      <c r="B744" s="8"/>
      <c r="C744" s="9"/>
      <c r="E744" s="16"/>
    </row>
    <row r="745">
      <c r="A745" s="8"/>
      <c r="B745" s="8"/>
      <c r="C745" s="9"/>
      <c r="E745" s="16"/>
    </row>
    <row r="746">
      <c r="A746" s="8"/>
      <c r="B746" s="8"/>
      <c r="C746" s="9"/>
      <c r="E746" s="16"/>
    </row>
    <row r="747">
      <c r="A747" s="8"/>
      <c r="B747" s="8"/>
      <c r="C747" s="9"/>
      <c r="E747" s="16"/>
    </row>
    <row r="748">
      <c r="A748" s="8"/>
      <c r="B748" s="8"/>
      <c r="C748" s="9"/>
      <c r="E748" s="16"/>
    </row>
    <row r="749">
      <c r="A749" s="8"/>
      <c r="B749" s="8"/>
      <c r="C749" s="9"/>
      <c r="E749" s="16"/>
    </row>
    <row r="750">
      <c r="A750" s="8"/>
      <c r="B750" s="8"/>
      <c r="C750" s="9"/>
      <c r="E750" s="16"/>
    </row>
    <row r="751">
      <c r="A751" s="8"/>
      <c r="B751" s="8"/>
      <c r="C751" s="9"/>
      <c r="E751" s="16"/>
    </row>
    <row r="752">
      <c r="A752" s="8"/>
      <c r="B752" s="8"/>
      <c r="C752" s="9"/>
      <c r="E752" s="16"/>
    </row>
    <row r="753">
      <c r="A753" s="8"/>
      <c r="B753" s="8"/>
      <c r="C753" s="9"/>
      <c r="E753" s="16"/>
    </row>
    <row r="754">
      <c r="A754" s="8"/>
      <c r="B754" s="8"/>
      <c r="C754" s="9"/>
      <c r="E754" s="16"/>
    </row>
    <row r="755">
      <c r="A755" s="8"/>
      <c r="B755" s="8"/>
      <c r="C755" s="9"/>
      <c r="E755" s="16"/>
    </row>
    <row r="756">
      <c r="A756" s="8"/>
      <c r="B756" s="8"/>
      <c r="C756" s="9"/>
      <c r="E756" s="16"/>
    </row>
    <row r="757">
      <c r="A757" s="8"/>
      <c r="B757" s="8"/>
      <c r="C757" s="9"/>
      <c r="E757" s="16"/>
    </row>
    <row r="758">
      <c r="A758" s="8"/>
      <c r="B758" s="8"/>
      <c r="C758" s="9"/>
      <c r="E758" s="16"/>
    </row>
    <row r="759">
      <c r="A759" s="8"/>
      <c r="B759" s="8"/>
      <c r="C759" s="9"/>
      <c r="E759" s="16"/>
    </row>
    <row r="760">
      <c r="A760" s="8"/>
      <c r="B760" s="8"/>
      <c r="C760" s="9"/>
      <c r="E760" s="16"/>
    </row>
    <row r="761">
      <c r="A761" s="8"/>
      <c r="B761" s="8"/>
      <c r="C761" s="9"/>
      <c r="E761" s="16"/>
    </row>
    <row r="762">
      <c r="A762" s="8"/>
      <c r="B762" s="8"/>
      <c r="C762" s="9"/>
      <c r="E762" s="16"/>
    </row>
    <row r="763">
      <c r="A763" s="8"/>
      <c r="B763" s="8"/>
      <c r="C763" s="9"/>
      <c r="E763" s="16"/>
    </row>
    <row r="764">
      <c r="A764" s="8"/>
      <c r="B764" s="8"/>
      <c r="C764" s="9"/>
      <c r="E764" s="16"/>
    </row>
    <row r="765">
      <c r="A765" s="8"/>
      <c r="B765" s="8"/>
      <c r="C765" s="9"/>
      <c r="E765" s="16"/>
    </row>
    <row r="766">
      <c r="A766" s="8"/>
      <c r="B766" s="8"/>
      <c r="C766" s="9"/>
      <c r="E766" s="16"/>
    </row>
    <row r="767">
      <c r="A767" s="8"/>
      <c r="B767" s="8"/>
      <c r="C767" s="9"/>
      <c r="E767" s="16"/>
    </row>
    <row r="768">
      <c r="A768" s="8"/>
      <c r="B768" s="8"/>
      <c r="C768" s="9"/>
      <c r="E768" s="16"/>
    </row>
    <row r="769">
      <c r="A769" s="8"/>
      <c r="B769" s="8"/>
      <c r="C769" s="9"/>
      <c r="E769" s="16"/>
    </row>
    <row r="770">
      <c r="A770" s="8"/>
      <c r="B770" s="8"/>
      <c r="C770" s="9"/>
      <c r="E770" s="16"/>
    </row>
    <row r="771">
      <c r="A771" s="8"/>
      <c r="B771" s="8"/>
      <c r="C771" s="9"/>
      <c r="E771" s="16"/>
    </row>
    <row r="772">
      <c r="A772" s="8"/>
      <c r="B772" s="8"/>
      <c r="C772" s="9"/>
      <c r="E772" s="16"/>
    </row>
    <row r="773">
      <c r="A773" s="8"/>
      <c r="B773" s="8"/>
      <c r="C773" s="9"/>
      <c r="E773" s="16"/>
    </row>
    <row r="774">
      <c r="A774" s="8"/>
      <c r="B774" s="8"/>
      <c r="C774" s="9"/>
      <c r="E774" s="16"/>
    </row>
    <row r="775">
      <c r="A775" s="8"/>
      <c r="B775" s="8"/>
      <c r="C775" s="9"/>
      <c r="E775" s="16"/>
    </row>
    <row r="776">
      <c r="A776" s="8"/>
      <c r="B776" s="8"/>
      <c r="C776" s="9"/>
      <c r="E776" s="16"/>
    </row>
    <row r="777">
      <c r="A777" s="8"/>
      <c r="B777" s="8"/>
      <c r="C777" s="9"/>
      <c r="E777" s="16"/>
    </row>
    <row r="778">
      <c r="A778" s="8"/>
      <c r="B778" s="8"/>
      <c r="C778" s="9"/>
      <c r="E778" s="16"/>
    </row>
    <row r="779">
      <c r="A779" s="8"/>
      <c r="B779" s="8"/>
      <c r="C779" s="9"/>
      <c r="E779" s="16"/>
    </row>
    <row r="780">
      <c r="A780" s="8"/>
      <c r="B780" s="8"/>
      <c r="C780" s="9"/>
      <c r="E780" s="16"/>
    </row>
    <row r="781">
      <c r="A781" s="8"/>
      <c r="B781" s="8"/>
      <c r="C781" s="9"/>
      <c r="E781" s="16"/>
    </row>
    <row r="782">
      <c r="A782" s="8"/>
      <c r="B782" s="8"/>
      <c r="C782" s="9"/>
      <c r="E782" s="16"/>
    </row>
    <row r="783">
      <c r="A783" s="8"/>
      <c r="B783" s="8"/>
      <c r="C783" s="9"/>
      <c r="E783" s="16"/>
    </row>
    <row r="784">
      <c r="A784" s="8"/>
      <c r="B784" s="8"/>
      <c r="C784" s="9"/>
      <c r="E784" s="16"/>
    </row>
    <row r="785">
      <c r="A785" s="8"/>
      <c r="B785" s="8"/>
      <c r="C785" s="9"/>
      <c r="E785" s="16"/>
    </row>
    <row r="786">
      <c r="A786" s="8"/>
      <c r="B786" s="8"/>
      <c r="C786" s="9"/>
      <c r="E786" s="16"/>
    </row>
    <row r="787">
      <c r="A787" s="8"/>
      <c r="B787" s="8"/>
      <c r="C787" s="9"/>
      <c r="E787" s="16"/>
    </row>
    <row r="788">
      <c r="A788" s="8"/>
      <c r="B788" s="8"/>
      <c r="C788" s="9"/>
      <c r="E788" s="16"/>
    </row>
    <row r="789">
      <c r="A789" s="8"/>
      <c r="B789" s="8"/>
      <c r="C789" s="9"/>
      <c r="E789" s="16"/>
    </row>
    <row r="790">
      <c r="A790" s="8"/>
      <c r="B790" s="8"/>
      <c r="C790" s="9"/>
      <c r="E790" s="16"/>
    </row>
    <row r="791">
      <c r="A791" s="8"/>
      <c r="B791" s="8"/>
      <c r="C791" s="9"/>
      <c r="E791" s="16"/>
    </row>
    <row r="792">
      <c r="A792" s="8"/>
      <c r="B792" s="8"/>
      <c r="C792" s="9"/>
      <c r="E792" s="16"/>
    </row>
    <row r="793">
      <c r="A793" s="8"/>
      <c r="B793" s="8"/>
      <c r="C793" s="9"/>
      <c r="E793" s="16"/>
    </row>
    <row r="794">
      <c r="A794" s="8"/>
      <c r="B794" s="8"/>
      <c r="C794" s="9"/>
      <c r="E794" s="16"/>
    </row>
    <row r="795">
      <c r="A795" s="8"/>
      <c r="B795" s="8"/>
      <c r="C795" s="9"/>
      <c r="E795" s="16"/>
    </row>
    <row r="796">
      <c r="A796" s="8"/>
      <c r="B796" s="8"/>
      <c r="C796" s="9"/>
      <c r="E796" s="16"/>
    </row>
    <row r="797">
      <c r="A797" s="8"/>
      <c r="B797" s="8"/>
      <c r="C797" s="9"/>
      <c r="E797" s="16"/>
    </row>
    <row r="798">
      <c r="A798" s="8"/>
      <c r="B798" s="8"/>
      <c r="C798" s="9"/>
      <c r="E798" s="16"/>
    </row>
    <row r="799">
      <c r="A799" s="8"/>
      <c r="B799" s="8"/>
      <c r="C799" s="9"/>
      <c r="E799" s="16"/>
    </row>
    <row r="800">
      <c r="A800" s="8"/>
      <c r="B800" s="8"/>
      <c r="C800" s="9"/>
      <c r="E800" s="16"/>
    </row>
    <row r="801">
      <c r="A801" s="8"/>
      <c r="B801" s="8"/>
      <c r="C801" s="9"/>
      <c r="E801" s="16"/>
    </row>
    <row r="802">
      <c r="A802" s="8"/>
      <c r="B802" s="8"/>
      <c r="C802" s="9"/>
      <c r="E802" s="16"/>
    </row>
    <row r="803">
      <c r="A803" s="8"/>
      <c r="B803" s="8"/>
      <c r="C803" s="9"/>
      <c r="E803" s="16"/>
    </row>
    <row r="804">
      <c r="A804" s="8"/>
      <c r="B804" s="8"/>
      <c r="C804" s="9"/>
      <c r="E804" s="16"/>
    </row>
    <row r="805">
      <c r="A805" s="8"/>
      <c r="B805" s="8"/>
      <c r="C805" s="9"/>
      <c r="E805" s="16"/>
    </row>
    <row r="806">
      <c r="A806" s="8"/>
      <c r="B806" s="8"/>
      <c r="C806" s="9"/>
      <c r="E806" s="16"/>
    </row>
    <row r="807">
      <c r="A807" s="8"/>
      <c r="B807" s="8"/>
      <c r="C807" s="9"/>
      <c r="E807" s="16"/>
    </row>
    <row r="808">
      <c r="A808" s="8"/>
      <c r="B808" s="8"/>
      <c r="C808" s="9"/>
      <c r="E808" s="16"/>
    </row>
    <row r="809">
      <c r="A809" s="8"/>
      <c r="B809" s="8"/>
      <c r="C809" s="9"/>
      <c r="E809" s="16"/>
    </row>
    <row r="810">
      <c r="A810" s="8"/>
      <c r="B810" s="8"/>
      <c r="C810" s="9"/>
      <c r="E810" s="16"/>
    </row>
    <row r="811">
      <c r="A811" s="8"/>
      <c r="B811" s="8"/>
      <c r="C811" s="9"/>
      <c r="E811" s="16"/>
    </row>
    <row r="812">
      <c r="A812" s="8"/>
      <c r="B812" s="8"/>
      <c r="C812" s="9"/>
      <c r="E812" s="16"/>
    </row>
    <row r="813">
      <c r="A813" s="8"/>
      <c r="B813" s="8"/>
      <c r="C813" s="9"/>
      <c r="E813" s="16"/>
    </row>
    <row r="814">
      <c r="A814" s="8"/>
      <c r="B814" s="8"/>
      <c r="C814" s="9"/>
      <c r="E814" s="16"/>
    </row>
    <row r="815">
      <c r="A815" s="8"/>
      <c r="B815" s="8"/>
      <c r="C815" s="9"/>
      <c r="E815" s="16"/>
    </row>
    <row r="816">
      <c r="A816" s="8"/>
      <c r="B816" s="8"/>
      <c r="C816" s="9"/>
      <c r="E816" s="16"/>
    </row>
    <row r="817">
      <c r="A817" s="8"/>
      <c r="B817" s="8"/>
      <c r="C817" s="9"/>
      <c r="E817" s="16"/>
    </row>
    <row r="818">
      <c r="A818" s="8"/>
      <c r="B818" s="8"/>
      <c r="C818" s="9"/>
      <c r="E818" s="16"/>
    </row>
    <row r="819">
      <c r="A819" s="8"/>
      <c r="B819" s="8"/>
      <c r="C819" s="9"/>
      <c r="E819" s="16"/>
    </row>
    <row r="820">
      <c r="A820" s="8"/>
      <c r="B820" s="8"/>
      <c r="C820" s="9"/>
      <c r="E820" s="16"/>
    </row>
    <row r="821">
      <c r="A821" s="8"/>
      <c r="B821" s="8"/>
      <c r="C821" s="9"/>
      <c r="E821" s="16"/>
    </row>
    <row r="822">
      <c r="A822" s="8"/>
      <c r="B822" s="8"/>
      <c r="C822" s="9"/>
      <c r="E822" s="16"/>
    </row>
    <row r="823">
      <c r="A823" s="8"/>
      <c r="B823" s="8"/>
      <c r="C823" s="9"/>
      <c r="E823" s="16"/>
    </row>
    <row r="824">
      <c r="A824" s="8"/>
      <c r="B824" s="8"/>
      <c r="C824" s="9"/>
      <c r="E824" s="16"/>
    </row>
    <row r="825">
      <c r="A825" s="8"/>
      <c r="B825" s="8"/>
      <c r="C825" s="9"/>
      <c r="E825" s="16"/>
    </row>
    <row r="826">
      <c r="A826" s="8"/>
      <c r="B826" s="8"/>
      <c r="C826" s="9"/>
      <c r="E826" s="16"/>
    </row>
    <row r="827">
      <c r="A827" s="8"/>
      <c r="B827" s="8"/>
      <c r="C827" s="9"/>
      <c r="E827" s="16"/>
    </row>
    <row r="828">
      <c r="A828" s="8"/>
      <c r="B828" s="8"/>
      <c r="C828" s="9"/>
      <c r="E828" s="16"/>
    </row>
    <row r="829">
      <c r="A829" s="8"/>
      <c r="B829" s="8"/>
      <c r="C829" s="9"/>
      <c r="E829" s="16"/>
    </row>
    <row r="830">
      <c r="A830" s="8"/>
      <c r="B830" s="8"/>
      <c r="C830" s="9"/>
      <c r="E830" s="16"/>
    </row>
    <row r="831">
      <c r="A831" s="8"/>
      <c r="B831" s="8"/>
      <c r="C831" s="9"/>
      <c r="E831" s="16"/>
    </row>
    <row r="832">
      <c r="A832" s="8"/>
      <c r="B832" s="8"/>
      <c r="C832" s="9"/>
      <c r="E832" s="16"/>
    </row>
    <row r="833">
      <c r="A833" s="8"/>
      <c r="B833" s="8"/>
      <c r="C833" s="9"/>
      <c r="E833" s="16"/>
    </row>
    <row r="834">
      <c r="A834" s="8"/>
      <c r="B834" s="8"/>
      <c r="C834" s="9"/>
      <c r="E834" s="16"/>
    </row>
    <row r="835">
      <c r="A835" s="8"/>
      <c r="B835" s="8"/>
      <c r="C835" s="9"/>
      <c r="E835" s="16"/>
    </row>
    <row r="836">
      <c r="A836" s="8"/>
      <c r="B836" s="8"/>
      <c r="C836" s="9"/>
      <c r="E836" s="16"/>
    </row>
    <row r="837">
      <c r="A837" s="8"/>
      <c r="B837" s="8"/>
      <c r="C837" s="9"/>
      <c r="E837" s="16"/>
    </row>
    <row r="838">
      <c r="A838" s="8"/>
      <c r="B838" s="8"/>
      <c r="C838" s="9"/>
      <c r="E838" s="16"/>
    </row>
    <row r="839">
      <c r="A839" s="8"/>
      <c r="B839" s="8"/>
      <c r="C839" s="9"/>
      <c r="E839" s="16"/>
    </row>
    <row r="840">
      <c r="A840" s="8"/>
      <c r="B840" s="8"/>
      <c r="C840" s="9"/>
      <c r="E840" s="16"/>
    </row>
    <row r="841">
      <c r="A841" s="8"/>
      <c r="B841" s="8"/>
      <c r="C841" s="9"/>
      <c r="E841" s="16"/>
    </row>
    <row r="842">
      <c r="A842" s="8"/>
      <c r="B842" s="8"/>
      <c r="C842" s="9"/>
      <c r="E842" s="16"/>
    </row>
    <row r="843">
      <c r="A843" s="8"/>
      <c r="B843" s="8"/>
      <c r="C843" s="9"/>
      <c r="E843" s="16"/>
    </row>
    <row r="844">
      <c r="A844" s="8"/>
      <c r="B844" s="8"/>
      <c r="C844" s="9"/>
      <c r="E844" s="16"/>
    </row>
    <row r="845">
      <c r="A845" s="8"/>
      <c r="B845" s="8"/>
      <c r="C845" s="9"/>
      <c r="E845" s="16"/>
    </row>
    <row r="846">
      <c r="A846" s="8"/>
      <c r="B846" s="8"/>
      <c r="C846" s="9"/>
      <c r="E846" s="16"/>
    </row>
    <row r="847">
      <c r="A847" s="8"/>
      <c r="B847" s="8"/>
      <c r="C847" s="9"/>
      <c r="E847" s="16"/>
    </row>
    <row r="848">
      <c r="A848" s="8"/>
      <c r="B848" s="8"/>
      <c r="C848" s="9"/>
      <c r="E848" s="16"/>
    </row>
    <row r="849">
      <c r="A849" s="8"/>
      <c r="B849" s="8"/>
      <c r="C849" s="9"/>
      <c r="E849" s="16"/>
    </row>
    <row r="850">
      <c r="A850" s="8"/>
      <c r="B850" s="8"/>
      <c r="C850" s="9"/>
      <c r="E850" s="16"/>
    </row>
    <row r="851">
      <c r="A851" s="8"/>
      <c r="B851" s="8"/>
      <c r="C851" s="9"/>
      <c r="E851" s="16"/>
    </row>
    <row r="852">
      <c r="A852" s="8"/>
      <c r="B852" s="8"/>
      <c r="C852" s="9"/>
      <c r="E852" s="16"/>
    </row>
    <row r="853">
      <c r="A853" s="8"/>
      <c r="B853" s="8"/>
      <c r="C853" s="9"/>
      <c r="E853" s="16"/>
    </row>
    <row r="854">
      <c r="A854" s="8"/>
      <c r="B854" s="8"/>
      <c r="C854" s="9"/>
      <c r="E854" s="16"/>
    </row>
    <row r="855">
      <c r="A855" s="8"/>
      <c r="B855" s="8"/>
      <c r="C855" s="9"/>
      <c r="E855" s="16"/>
    </row>
    <row r="856">
      <c r="A856" s="8"/>
      <c r="B856" s="8"/>
      <c r="C856" s="9"/>
      <c r="E856" s="16"/>
    </row>
    <row r="857">
      <c r="A857" s="8"/>
      <c r="B857" s="8"/>
      <c r="C857" s="9"/>
      <c r="E857" s="16"/>
    </row>
    <row r="858">
      <c r="A858" s="8"/>
      <c r="B858" s="8"/>
      <c r="C858" s="9"/>
      <c r="E858" s="16"/>
    </row>
    <row r="859">
      <c r="A859" s="8"/>
      <c r="B859" s="8"/>
      <c r="C859" s="9"/>
      <c r="E859" s="16"/>
    </row>
    <row r="860">
      <c r="A860" s="8"/>
      <c r="B860" s="8"/>
      <c r="C860" s="9"/>
      <c r="E860" s="16"/>
    </row>
    <row r="861">
      <c r="A861" s="8"/>
      <c r="B861" s="8"/>
      <c r="C861" s="9"/>
      <c r="E861" s="16"/>
    </row>
    <row r="862">
      <c r="A862" s="8"/>
      <c r="B862" s="8"/>
      <c r="C862" s="9"/>
      <c r="E862" s="16"/>
    </row>
    <row r="863">
      <c r="A863" s="8"/>
      <c r="B863" s="8"/>
      <c r="C863" s="9"/>
      <c r="E863" s="16"/>
    </row>
    <row r="864">
      <c r="A864" s="8"/>
      <c r="B864" s="8"/>
      <c r="C864" s="9"/>
      <c r="E864" s="16"/>
    </row>
    <row r="865">
      <c r="A865" s="8"/>
      <c r="B865" s="8"/>
      <c r="C865" s="9"/>
      <c r="E865" s="16"/>
    </row>
    <row r="866">
      <c r="A866" s="8"/>
      <c r="B866" s="8"/>
      <c r="C866" s="9"/>
      <c r="E866" s="16"/>
    </row>
    <row r="867">
      <c r="A867" s="8"/>
      <c r="B867" s="8"/>
      <c r="C867" s="9"/>
      <c r="E867" s="16"/>
    </row>
    <row r="868">
      <c r="A868" s="8"/>
      <c r="B868" s="8"/>
      <c r="C868" s="9"/>
      <c r="E868" s="16"/>
    </row>
    <row r="869">
      <c r="A869" s="8"/>
      <c r="B869" s="8"/>
      <c r="C869" s="9"/>
      <c r="E869" s="16"/>
    </row>
    <row r="870">
      <c r="A870" s="8"/>
      <c r="B870" s="8"/>
      <c r="C870" s="9"/>
      <c r="E870" s="16"/>
    </row>
    <row r="871">
      <c r="A871" s="8"/>
      <c r="B871" s="8"/>
      <c r="C871" s="9"/>
      <c r="E871" s="16"/>
    </row>
    <row r="872">
      <c r="A872" s="8"/>
      <c r="B872" s="8"/>
      <c r="C872" s="9"/>
      <c r="E872" s="16"/>
    </row>
    <row r="873">
      <c r="A873" s="8"/>
      <c r="B873" s="8"/>
      <c r="C873" s="9"/>
      <c r="E873" s="16"/>
    </row>
    <row r="874">
      <c r="A874" s="8"/>
      <c r="B874" s="8"/>
      <c r="C874" s="9"/>
      <c r="E874" s="16"/>
    </row>
    <row r="875">
      <c r="A875" s="8"/>
      <c r="B875" s="8"/>
      <c r="C875" s="9"/>
      <c r="E875" s="16"/>
    </row>
    <row r="876">
      <c r="A876" s="8"/>
      <c r="B876" s="8"/>
      <c r="C876" s="9"/>
      <c r="E876" s="16"/>
    </row>
    <row r="877">
      <c r="A877" s="8"/>
      <c r="B877" s="8"/>
      <c r="C877" s="9"/>
      <c r="E877" s="16"/>
    </row>
    <row r="878">
      <c r="A878" s="8"/>
      <c r="B878" s="8"/>
      <c r="C878" s="9"/>
      <c r="E878" s="16"/>
    </row>
    <row r="879">
      <c r="A879" s="8"/>
      <c r="B879" s="8"/>
      <c r="C879" s="9"/>
      <c r="E879" s="16"/>
    </row>
    <row r="880">
      <c r="A880" s="8"/>
      <c r="B880" s="8"/>
      <c r="C880" s="9"/>
      <c r="E880" s="16"/>
    </row>
    <row r="881">
      <c r="A881" s="8"/>
      <c r="B881" s="8"/>
      <c r="C881" s="9"/>
      <c r="E881" s="16"/>
    </row>
    <row r="882">
      <c r="A882" s="8"/>
      <c r="B882" s="8"/>
      <c r="C882" s="9"/>
      <c r="E882" s="16"/>
    </row>
    <row r="883">
      <c r="A883" s="8"/>
      <c r="B883" s="8"/>
      <c r="C883" s="9"/>
      <c r="E883" s="16"/>
    </row>
    <row r="884">
      <c r="A884" s="8"/>
      <c r="B884" s="8"/>
      <c r="C884" s="9"/>
      <c r="E884" s="16"/>
    </row>
    <row r="885">
      <c r="A885" s="8"/>
      <c r="B885" s="8"/>
      <c r="C885" s="9"/>
      <c r="E885" s="16"/>
    </row>
    <row r="886">
      <c r="A886" s="8"/>
      <c r="B886" s="8"/>
      <c r="C886" s="9"/>
      <c r="E886" s="16"/>
    </row>
    <row r="887">
      <c r="A887" s="8"/>
      <c r="B887" s="8"/>
      <c r="C887" s="9"/>
      <c r="E887" s="16"/>
    </row>
    <row r="888">
      <c r="A888" s="8"/>
      <c r="B888" s="8"/>
      <c r="C888" s="9"/>
      <c r="E888" s="16"/>
    </row>
    <row r="889">
      <c r="A889" s="8"/>
      <c r="B889" s="8"/>
      <c r="C889" s="9"/>
      <c r="E889" s="16"/>
    </row>
    <row r="890">
      <c r="A890" s="8"/>
      <c r="B890" s="8"/>
      <c r="C890" s="9"/>
      <c r="E890" s="16"/>
    </row>
    <row r="891">
      <c r="A891" s="8"/>
      <c r="B891" s="8"/>
      <c r="C891" s="9"/>
      <c r="E891" s="16"/>
    </row>
    <row r="892">
      <c r="A892" s="8"/>
      <c r="B892" s="8"/>
      <c r="C892" s="9"/>
      <c r="E892" s="16"/>
    </row>
    <row r="893">
      <c r="A893" s="8"/>
      <c r="B893" s="8"/>
      <c r="C893" s="9"/>
      <c r="E893" s="16"/>
    </row>
    <row r="894">
      <c r="A894" s="8"/>
      <c r="B894" s="8"/>
      <c r="C894" s="9"/>
      <c r="E894" s="16"/>
    </row>
    <row r="895">
      <c r="A895" s="8"/>
      <c r="B895" s="8"/>
      <c r="C895" s="9"/>
      <c r="E895" s="16"/>
    </row>
    <row r="896">
      <c r="A896" s="8"/>
      <c r="B896" s="8"/>
      <c r="C896" s="9"/>
      <c r="E896" s="16"/>
    </row>
    <row r="897">
      <c r="A897" s="8"/>
      <c r="B897" s="8"/>
      <c r="C897" s="9"/>
      <c r="E897" s="16"/>
    </row>
    <row r="898">
      <c r="A898" s="8"/>
      <c r="B898" s="8"/>
      <c r="C898" s="9"/>
      <c r="E898" s="16"/>
    </row>
    <row r="899">
      <c r="A899" s="8"/>
      <c r="B899" s="8"/>
      <c r="C899" s="9"/>
      <c r="E899" s="16"/>
    </row>
    <row r="900">
      <c r="A900" s="8"/>
      <c r="B900" s="8"/>
      <c r="C900" s="9"/>
      <c r="E900" s="16"/>
    </row>
    <row r="901">
      <c r="A901" s="8"/>
      <c r="B901" s="8"/>
      <c r="C901" s="9"/>
      <c r="E901" s="16"/>
    </row>
    <row r="902">
      <c r="A902" s="8"/>
      <c r="B902" s="8"/>
      <c r="C902" s="9"/>
      <c r="E902" s="16"/>
    </row>
    <row r="903">
      <c r="A903" s="8"/>
      <c r="B903" s="8"/>
      <c r="C903" s="9"/>
      <c r="E903" s="16"/>
    </row>
    <row r="904">
      <c r="A904" s="8"/>
      <c r="B904" s="8"/>
      <c r="C904" s="9"/>
      <c r="E904" s="16"/>
    </row>
    <row r="905">
      <c r="A905" s="8"/>
      <c r="B905" s="8"/>
      <c r="C905" s="9"/>
      <c r="E905" s="16"/>
    </row>
    <row r="906">
      <c r="A906" s="8"/>
      <c r="B906" s="8"/>
      <c r="C906" s="9"/>
      <c r="E906" s="16"/>
    </row>
    <row r="907">
      <c r="A907" s="8"/>
      <c r="B907" s="8"/>
      <c r="C907" s="9"/>
      <c r="E907" s="16"/>
    </row>
    <row r="908">
      <c r="A908" s="8"/>
      <c r="B908" s="8"/>
      <c r="C908" s="9"/>
      <c r="E908" s="16"/>
    </row>
    <row r="909">
      <c r="A909" s="8"/>
      <c r="B909" s="8"/>
      <c r="C909" s="9"/>
      <c r="E909" s="16"/>
    </row>
    <row r="910">
      <c r="A910" s="8"/>
      <c r="B910" s="8"/>
      <c r="C910" s="9"/>
      <c r="E910" s="16"/>
    </row>
    <row r="911">
      <c r="A911" s="8"/>
      <c r="B911" s="8"/>
      <c r="C911" s="9"/>
      <c r="E911" s="16"/>
    </row>
    <row r="912">
      <c r="A912" s="8"/>
      <c r="B912" s="8"/>
      <c r="C912" s="9"/>
      <c r="E912" s="16"/>
    </row>
    <row r="913">
      <c r="A913" s="8"/>
      <c r="B913" s="8"/>
      <c r="C913" s="9"/>
      <c r="E913" s="16"/>
    </row>
    <row r="914">
      <c r="A914" s="8"/>
      <c r="B914" s="8"/>
      <c r="C914" s="9"/>
      <c r="E914" s="16"/>
    </row>
    <row r="915">
      <c r="A915" s="8"/>
      <c r="B915" s="8"/>
      <c r="C915" s="9"/>
      <c r="E915" s="16"/>
    </row>
    <row r="916">
      <c r="A916" s="8"/>
      <c r="B916" s="8"/>
      <c r="C916" s="9"/>
      <c r="E916" s="16"/>
    </row>
    <row r="917">
      <c r="A917" s="8"/>
      <c r="B917" s="8"/>
      <c r="C917" s="9"/>
      <c r="E917" s="16"/>
    </row>
    <row r="918">
      <c r="A918" s="8"/>
      <c r="B918" s="8"/>
      <c r="C918" s="9"/>
      <c r="E918" s="16"/>
    </row>
    <row r="919">
      <c r="A919" s="8"/>
      <c r="B919" s="8"/>
      <c r="C919" s="9"/>
      <c r="E919" s="16"/>
    </row>
    <row r="920">
      <c r="A920" s="8"/>
      <c r="B920" s="8"/>
      <c r="C920" s="9"/>
      <c r="E920" s="16"/>
    </row>
    <row r="921">
      <c r="A921" s="8"/>
      <c r="B921" s="8"/>
      <c r="C921" s="9"/>
      <c r="E921" s="16"/>
    </row>
    <row r="922">
      <c r="A922" s="8"/>
      <c r="B922" s="8"/>
      <c r="C922" s="9"/>
      <c r="E922" s="16"/>
    </row>
    <row r="923">
      <c r="A923" s="8"/>
      <c r="B923" s="8"/>
      <c r="C923" s="9"/>
      <c r="E923" s="16"/>
    </row>
    <row r="924">
      <c r="A924" s="8"/>
      <c r="B924" s="8"/>
      <c r="C924" s="9"/>
      <c r="E924" s="16"/>
    </row>
    <row r="925">
      <c r="A925" s="8"/>
      <c r="B925" s="8"/>
      <c r="C925" s="9"/>
      <c r="E925" s="16"/>
    </row>
    <row r="926">
      <c r="A926" s="8"/>
      <c r="B926" s="8"/>
      <c r="C926" s="9"/>
      <c r="E926" s="16"/>
    </row>
    <row r="927">
      <c r="A927" s="8"/>
      <c r="B927" s="8"/>
      <c r="C927" s="9"/>
      <c r="E927" s="16"/>
    </row>
    <row r="928">
      <c r="A928" s="8"/>
      <c r="B928" s="8"/>
      <c r="C928" s="9"/>
      <c r="E928" s="16"/>
    </row>
    <row r="929">
      <c r="A929" s="8"/>
      <c r="B929" s="8"/>
      <c r="C929" s="9"/>
      <c r="E929" s="16"/>
    </row>
    <row r="930">
      <c r="A930" s="8"/>
      <c r="B930" s="8"/>
      <c r="C930" s="9"/>
      <c r="E930" s="16"/>
    </row>
    <row r="931">
      <c r="A931" s="8"/>
      <c r="B931" s="8"/>
      <c r="C931" s="9"/>
      <c r="E931" s="16"/>
    </row>
    <row r="932">
      <c r="A932" s="8"/>
      <c r="B932" s="8"/>
      <c r="C932" s="9"/>
      <c r="E932" s="16"/>
    </row>
    <row r="933">
      <c r="A933" s="8"/>
      <c r="B933" s="8"/>
      <c r="C933" s="9"/>
      <c r="E933" s="16"/>
    </row>
    <row r="934">
      <c r="A934" s="8"/>
      <c r="B934" s="8"/>
      <c r="C934" s="9"/>
      <c r="E934" s="16"/>
    </row>
    <row r="935">
      <c r="A935" s="8"/>
      <c r="B935" s="8"/>
      <c r="C935" s="9"/>
      <c r="E935" s="16"/>
    </row>
    <row r="936">
      <c r="A936" s="8"/>
      <c r="B936" s="8"/>
      <c r="C936" s="9"/>
      <c r="E936" s="16"/>
    </row>
    <row r="937">
      <c r="A937" s="8"/>
      <c r="B937" s="8"/>
      <c r="C937" s="9"/>
      <c r="E937" s="16"/>
    </row>
    <row r="938">
      <c r="A938" s="8"/>
      <c r="B938" s="8"/>
      <c r="C938" s="9"/>
      <c r="E938" s="16"/>
    </row>
    <row r="939">
      <c r="A939" s="8"/>
      <c r="B939" s="8"/>
      <c r="C939" s="9"/>
      <c r="E939" s="16"/>
    </row>
    <row r="940">
      <c r="A940" s="8"/>
      <c r="B940" s="8"/>
      <c r="C940" s="9"/>
      <c r="E940" s="16"/>
    </row>
    <row r="941">
      <c r="A941" s="8"/>
      <c r="B941" s="8"/>
      <c r="C941" s="9"/>
      <c r="E941" s="16"/>
    </row>
    <row r="942">
      <c r="A942" s="8"/>
      <c r="B942" s="8"/>
      <c r="C942" s="9"/>
      <c r="E942" s="16"/>
    </row>
    <row r="943">
      <c r="A943" s="8"/>
      <c r="B943" s="8"/>
      <c r="C943" s="9"/>
      <c r="E943" s="16"/>
    </row>
    <row r="944">
      <c r="A944" s="8"/>
      <c r="B944" s="8"/>
      <c r="C944" s="9"/>
      <c r="E944" s="16"/>
    </row>
    <row r="945">
      <c r="A945" s="8"/>
      <c r="B945" s="8"/>
      <c r="C945" s="9"/>
      <c r="E945" s="16"/>
    </row>
    <row r="946">
      <c r="A946" s="8"/>
      <c r="B946" s="8"/>
      <c r="C946" s="9"/>
      <c r="E946" s="16"/>
    </row>
    <row r="947">
      <c r="A947" s="8"/>
      <c r="B947" s="8"/>
      <c r="C947" s="9"/>
      <c r="E947" s="16"/>
    </row>
    <row r="948">
      <c r="A948" s="8"/>
      <c r="B948" s="8"/>
      <c r="C948" s="9"/>
      <c r="E948" s="16"/>
    </row>
    <row r="949">
      <c r="A949" s="8"/>
      <c r="B949" s="8"/>
      <c r="C949" s="9"/>
      <c r="E949" s="16"/>
    </row>
    <row r="950">
      <c r="A950" s="8"/>
      <c r="B950" s="8"/>
      <c r="C950" s="9"/>
      <c r="E950" s="16"/>
    </row>
    <row r="951">
      <c r="A951" s="8"/>
      <c r="B951" s="8"/>
      <c r="C951" s="9"/>
      <c r="E951" s="16"/>
    </row>
    <row r="952">
      <c r="A952" s="8"/>
      <c r="B952" s="8"/>
      <c r="C952" s="9"/>
      <c r="E952" s="16"/>
    </row>
    <row r="953">
      <c r="A953" s="8"/>
      <c r="B953" s="8"/>
      <c r="C953" s="9"/>
      <c r="E953" s="16"/>
    </row>
    <row r="954">
      <c r="A954" s="8"/>
      <c r="B954" s="8"/>
      <c r="C954" s="9"/>
      <c r="E954" s="16"/>
    </row>
    <row r="955">
      <c r="A955" s="8"/>
      <c r="B955" s="8"/>
      <c r="C955" s="9"/>
      <c r="E955" s="16"/>
    </row>
    <row r="956">
      <c r="A956" s="8"/>
      <c r="B956" s="8"/>
      <c r="C956" s="9"/>
      <c r="E956" s="16"/>
    </row>
    <row r="957">
      <c r="A957" s="8"/>
      <c r="B957" s="8"/>
      <c r="C957" s="9"/>
      <c r="E957" s="16"/>
    </row>
    <row r="958">
      <c r="A958" s="8"/>
      <c r="B958" s="8"/>
      <c r="C958" s="9"/>
      <c r="E958" s="16"/>
    </row>
    <row r="959">
      <c r="A959" s="8"/>
      <c r="B959" s="8"/>
      <c r="C959" s="9"/>
      <c r="E959" s="16"/>
    </row>
    <row r="960">
      <c r="A960" s="8"/>
      <c r="B960" s="8"/>
      <c r="C960" s="9"/>
      <c r="E960" s="16"/>
    </row>
    <row r="961">
      <c r="A961" s="8"/>
      <c r="B961" s="8"/>
      <c r="C961" s="9"/>
      <c r="E961" s="16"/>
    </row>
    <row r="962">
      <c r="A962" s="8"/>
      <c r="B962" s="8"/>
      <c r="C962" s="9"/>
      <c r="E962" s="16"/>
    </row>
    <row r="963">
      <c r="A963" s="8"/>
      <c r="B963" s="8"/>
      <c r="C963" s="9"/>
      <c r="E963" s="16"/>
    </row>
    <row r="964">
      <c r="A964" s="8"/>
      <c r="B964" s="8"/>
      <c r="C964" s="9"/>
      <c r="E964" s="16"/>
    </row>
    <row r="965">
      <c r="A965" s="8"/>
      <c r="B965" s="8"/>
      <c r="C965" s="9"/>
      <c r="E965" s="16"/>
    </row>
    <row r="966">
      <c r="A966" s="8"/>
      <c r="B966" s="8"/>
      <c r="C966" s="9"/>
      <c r="E966" s="16"/>
    </row>
    <row r="967">
      <c r="A967" s="8"/>
      <c r="B967" s="8"/>
      <c r="C967" s="9"/>
      <c r="E967" s="16"/>
    </row>
    <row r="968">
      <c r="A968" s="8"/>
      <c r="B968" s="8"/>
      <c r="C968" s="9"/>
      <c r="E968" s="16"/>
    </row>
    <row r="969">
      <c r="A969" s="8"/>
      <c r="B969" s="8"/>
      <c r="C969" s="9"/>
      <c r="E969" s="16"/>
    </row>
    <row r="970">
      <c r="A970" s="8"/>
      <c r="B970" s="8"/>
      <c r="C970" s="9"/>
      <c r="E970" s="16"/>
    </row>
    <row r="971">
      <c r="A971" s="8"/>
      <c r="B971" s="8"/>
      <c r="C971" s="9"/>
      <c r="E971" s="16"/>
    </row>
    <row r="972">
      <c r="A972" s="8"/>
      <c r="B972" s="8"/>
      <c r="C972" s="9"/>
      <c r="E972" s="16"/>
    </row>
    <row r="973">
      <c r="A973" s="8"/>
      <c r="B973" s="8"/>
      <c r="C973" s="9"/>
      <c r="E973" s="16"/>
    </row>
    <row r="974">
      <c r="A974" s="8"/>
      <c r="B974" s="8"/>
      <c r="C974" s="9"/>
      <c r="E974" s="16"/>
    </row>
    <row r="975">
      <c r="A975" s="8"/>
      <c r="B975" s="8"/>
      <c r="C975" s="9"/>
      <c r="E975" s="16"/>
    </row>
    <row r="976">
      <c r="A976" s="8"/>
      <c r="B976" s="8"/>
      <c r="C976" s="9"/>
      <c r="E976" s="16"/>
    </row>
    <row r="977">
      <c r="A977" s="8"/>
      <c r="B977" s="8"/>
      <c r="C977" s="9"/>
      <c r="E977" s="16"/>
    </row>
    <row r="978">
      <c r="A978" s="8"/>
      <c r="B978" s="8"/>
      <c r="C978" s="9"/>
      <c r="E978" s="16"/>
    </row>
    <row r="979">
      <c r="A979" s="8"/>
      <c r="B979" s="8"/>
      <c r="C979" s="9"/>
      <c r="E979" s="16"/>
    </row>
    <row r="980">
      <c r="A980" s="8"/>
      <c r="B980" s="8"/>
      <c r="C980" s="9"/>
      <c r="E980" s="16"/>
    </row>
    <row r="981">
      <c r="A981" s="8"/>
      <c r="B981" s="8"/>
      <c r="C981" s="9"/>
      <c r="E981" s="16"/>
    </row>
    <row r="982">
      <c r="A982" s="8"/>
      <c r="B982" s="8"/>
      <c r="C982" s="9"/>
      <c r="E982" s="16"/>
    </row>
    <row r="983">
      <c r="A983" s="8"/>
      <c r="B983" s="8"/>
      <c r="C983" s="9"/>
      <c r="E983" s="16"/>
    </row>
    <row r="984">
      <c r="A984" s="8"/>
      <c r="B984" s="8"/>
      <c r="C984" s="9"/>
      <c r="E984" s="16"/>
    </row>
    <row r="985">
      <c r="A985" s="8"/>
      <c r="B985" s="8"/>
      <c r="C985" s="9"/>
      <c r="E985" s="16"/>
    </row>
    <row r="986">
      <c r="A986" s="8"/>
      <c r="B986" s="8"/>
      <c r="C986" s="9"/>
      <c r="E986" s="16"/>
    </row>
    <row r="987">
      <c r="A987" s="8"/>
      <c r="B987" s="8"/>
      <c r="C987" s="9"/>
      <c r="E987" s="16"/>
    </row>
    <row r="988">
      <c r="A988" s="8"/>
      <c r="B988" s="8"/>
      <c r="C988" s="9"/>
      <c r="E988" s="16"/>
    </row>
    <row r="989">
      <c r="A989" s="8"/>
      <c r="B989" s="8"/>
      <c r="C989" s="9"/>
      <c r="E989" s="16"/>
    </row>
    <row r="990">
      <c r="A990" s="8"/>
      <c r="B990" s="8"/>
      <c r="C990" s="9"/>
      <c r="E99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</row>
    <row r="2">
      <c r="A2" s="8" t="s">
        <v>3</v>
      </c>
      <c r="B2" s="12">
        <v>2010.0</v>
      </c>
      <c r="C2" s="12">
        <v>4.821487605E7</v>
      </c>
      <c r="D2" s="12">
        <v>1.33131500172E8</v>
      </c>
      <c r="E2" s="12">
        <v>1.3461203777999999E7</v>
      </c>
    </row>
    <row r="3">
      <c r="A3" s="8" t="s">
        <v>3</v>
      </c>
      <c r="B3" s="12">
        <v>2015.0</v>
      </c>
      <c r="C3" s="12">
        <v>4.5815573475E7</v>
      </c>
      <c r="D3" s="12">
        <v>1.417024781389E8</v>
      </c>
      <c r="E3" s="12">
        <v>1.6106719386100002E7</v>
      </c>
    </row>
    <row r="4">
      <c r="A4" s="8" t="s">
        <v>3</v>
      </c>
      <c r="B4" s="12">
        <v>2020.0</v>
      </c>
      <c r="C4" s="12">
        <v>4.41197290887E7</v>
      </c>
      <c r="D4" s="12">
        <v>1.480118419932E8</v>
      </c>
      <c r="E4" s="12">
        <v>1.96770179181E7</v>
      </c>
    </row>
    <row r="5">
      <c r="A5" s="8" t="s">
        <v>4</v>
      </c>
      <c r="B5" s="12">
        <v>2010.0</v>
      </c>
      <c r="C5" s="12">
        <v>3646247.6136</v>
      </c>
      <c r="D5" s="12">
        <v>1.16669738586E7</v>
      </c>
      <c r="E5" s="12">
        <v>1661860.5277999998</v>
      </c>
    </row>
    <row r="6">
      <c r="A6" s="8" t="s">
        <v>4</v>
      </c>
      <c r="B6" s="12">
        <v>2015.0</v>
      </c>
      <c r="C6" s="12">
        <v>3567645.8918999997</v>
      </c>
      <c r="D6" s="12">
        <v>1.23250821273E7</v>
      </c>
      <c r="E6" s="12">
        <v>1972298.9808</v>
      </c>
    </row>
    <row r="7">
      <c r="A7" s="8" t="s">
        <v>4</v>
      </c>
      <c r="B7" s="12">
        <v>2020.0</v>
      </c>
      <c r="C7" s="12">
        <v>3544237.1202000002</v>
      </c>
      <c r="D7" s="12">
        <v>1.3130047075800002E7</v>
      </c>
      <c r="E7" s="12">
        <v>2360286.804</v>
      </c>
    </row>
    <row r="8">
      <c r="A8" s="8" t="s">
        <v>5</v>
      </c>
      <c r="B8" s="12">
        <v>2010.0</v>
      </c>
      <c r="C8" s="12">
        <v>1.2205330944699999E7</v>
      </c>
      <c r="D8" s="12">
        <v>3.0119679570499998E7</v>
      </c>
      <c r="E8" s="12">
        <v>2663308.4848</v>
      </c>
    </row>
    <row r="9">
      <c r="A9" s="8" t="s">
        <v>5</v>
      </c>
      <c r="B9" s="12">
        <v>2015.0</v>
      </c>
      <c r="C9" s="12">
        <v>1.15139620583E7</v>
      </c>
      <c r="D9" s="12">
        <v>3.2363824415000003E7</v>
      </c>
      <c r="E9" s="12">
        <v>3368672.5267000003</v>
      </c>
    </row>
    <row r="10">
      <c r="A10" s="8" t="s">
        <v>5</v>
      </c>
      <c r="B10" s="12">
        <v>2020.0</v>
      </c>
      <c r="C10" s="12">
        <v>1.10942924416E7</v>
      </c>
      <c r="D10" s="12">
        <v>3.52314642728E7</v>
      </c>
      <c r="E10" s="12">
        <v>4286891.285600001</v>
      </c>
    </row>
    <row r="11">
      <c r="A11" s="8" t="s">
        <v>6</v>
      </c>
      <c r="B11" s="12">
        <v>2010.0</v>
      </c>
      <c r="C11" s="12">
        <v>4640888.1376</v>
      </c>
      <c r="D11" s="12">
        <v>9377096.185600001</v>
      </c>
      <c r="E11" s="12">
        <v>875751.6768</v>
      </c>
    </row>
    <row r="12">
      <c r="A12" s="8" t="s">
        <v>6</v>
      </c>
      <c r="B12" s="12">
        <v>2015.0</v>
      </c>
      <c r="C12" s="12">
        <v>4667285.4392</v>
      </c>
      <c r="D12" s="12">
        <v>1.0344583027199998E7</v>
      </c>
      <c r="E12" s="12">
        <v>1071127.5336000002</v>
      </c>
    </row>
    <row r="13">
      <c r="A13" s="8" t="s">
        <v>6</v>
      </c>
      <c r="B13" s="12">
        <v>2020.0</v>
      </c>
      <c r="C13" s="12">
        <v>4638159.2655</v>
      </c>
      <c r="D13" s="12">
        <v>1.15507499715E7</v>
      </c>
      <c r="E13" s="12">
        <v>1320185.7629999998</v>
      </c>
    </row>
    <row r="14">
      <c r="A14" s="8" t="s">
        <v>7</v>
      </c>
      <c r="B14" s="12">
        <v>2010.0</v>
      </c>
      <c r="C14" s="12">
        <v>3.38609217702E7</v>
      </c>
      <c r="D14" s="12">
        <v>7.243450444919999E7</v>
      </c>
      <c r="E14" s="12">
        <v>6989691.7806</v>
      </c>
    </row>
    <row r="15">
      <c r="A15" s="8" t="s">
        <v>7</v>
      </c>
      <c r="B15" s="12">
        <v>2015.0</v>
      </c>
      <c r="C15" s="12">
        <v>3.34392636831E7</v>
      </c>
      <c r="D15" s="12">
        <v>7.92199289211E7</v>
      </c>
      <c r="E15" s="12">
        <v>8453678.3958</v>
      </c>
    </row>
    <row r="16">
      <c r="A16" s="8" t="s">
        <v>7</v>
      </c>
      <c r="B16" s="12">
        <v>2020.0</v>
      </c>
      <c r="C16" s="12">
        <v>3.2500538936600003E7</v>
      </c>
      <c r="D16" s="12">
        <v>8.54710305736E7</v>
      </c>
      <c r="E16" s="12">
        <v>1.0286279489799999E7</v>
      </c>
    </row>
    <row r="17">
      <c r="A17" s="8" t="s">
        <v>8</v>
      </c>
      <c r="B17" s="12">
        <v>2010.0</v>
      </c>
      <c r="C17" s="12">
        <v>8621301.0534</v>
      </c>
      <c r="D17" s="12">
        <v>1.82226896511E7</v>
      </c>
      <c r="E17" s="12">
        <v>2067146.2955000002</v>
      </c>
    </row>
    <row r="18">
      <c r="A18" s="8" t="s">
        <v>8</v>
      </c>
      <c r="B18" s="12">
        <v>2015.0</v>
      </c>
      <c r="C18" s="12">
        <v>8603150.007900001</v>
      </c>
      <c r="D18" s="12">
        <v>1.92836533792E7</v>
      </c>
      <c r="E18" s="12">
        <v>2395315.6129</v>
      </c>
    </row>
    <row r="19">
      <c r="A19" s="8" t="s">
        <v>8</v>
      </c>
      <c r="B19" s="12">
        <v>2020.0</v>
      </c>
      <c r="C19" s="12">
        <v>8732402.0805</v>
      </c>
      <c r="D19" s="12">
        <v>2.1308763681999996E7</v>
      </c>
      <c r="E19" s="12">
        <v>2701249.2375000003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6" max="6" width="18.75"/>
    <col customWidth="1" min="11" max="11" width="20.0"/>
    <col customWidth="1" min="12" max="12" width="17.5"/>
    <col customWidth="1" min="13" max="13" width="14.63"/>
    <col customWidth="1" min="14" max="14" width="15.38"/>
  </cols>
  <sheetData>
    <row r="1">
      <c r="A1" s="17" t="str">
        <f>IFERROR(__xludf.DUMMYFUNCTION("QUERY(nascimento!A1:D121,""select B,D where A = 'BRA'"",-1)"),"pais")</f>
        <v>pais</v>
      </c>
      <c r="B1" s="18" t="str">
        <f>IFERROR(__xludf.DUMMYFUNCTION("""COMPUTED_VALUE"""),"nascimento")</f>
        <v>nascimento</v>
      </c>
      <c r="C1" s="18" t="str">
        <f>IFERROR(__xludf.DUMMYFUNCTION("QUERY(populacao!A1:D127,""select C,B where A = 'BRA' AND B &lt;&gt; 2001"",-1)"),"populacao")</f>
        <v>populacao</v>
      </c>
      <c r="D1" s="18" t="str">
        <f>IFERROR(__xludf.DUMMYFUNCTION("""COMPUTED_VALUE"""),"ano")</f>
        <v>ano</v>
      </c>
      <c r="E1" s="19" t="s">
        <v>29</v>
      </c>
      <c r="F1" s="20" t="str">
        <f>IFERROR(__xludf.DUMMYFUNCTION("QUERY(populacao!A1:D127,""select D where A = 'BRA' AND B &lt;&gt; 2021"",-1)"),"taxa_de_crescimento")</f>
        <v>taxa_de_crescimento</v>
      </c>
      <c r="G1" s="18" t="str">
        <f>IFERROR(__xludf.DUMMYFUNCTION("QUERY(estrutura_etaria!A1:E4,""select C where A = 'Brasil'"",-1)"),"0_14_anos")</f>
        <v>0_14_anos</v>
      </c>
      <c r="H1" s="18" t="str">
        <f>IFERROR(__xludf.DUMMYFUNCTION("QUERY(estrutura_etaria!A1:E4,""select D where A = 'Brasil'"",-1)"),"15_64_anos")</f>
        <v>15_64_anos</v>
      </c>
      <c r="I1" s="18" t="str">
        <f>IFERROR(__xludf.DUMMYFUNCTION("QUERY(estrutura_etaria!A1:E4,""select E where A = 'Brasil'"",-1)"),"64_anos_mais")</f>
        <v>64_anos_mais</v>
      </c>
      <c r="J1" s="18" t="str">
        <f>IFERROR(__xludf.DUMMYFUNCTION("QUERY(estrutura_etaria!A1:E4,""select B where A = 'Brasil'"",-1)"),"ano")</f>
        <v>ano</v>
      </c>
      <c r="K1" s="13" t="s">
        <v>30</v>
      </c>
      <c r="L1" s="13" t="s">
        <v>31</v>
      </c>
      <c r="M1" s="21" t="s">
        <v>32</v>
      </c>
      <c r="N1" s="21" t="s">
        <v>33</v>
      </c>
    </row>
    <row r="2">
      <c r="A2" s="18" t="str">
        <f>IFERROR(__xludf.DUMMYFUNCTION("""COMPUTED_VALUE"""),"Brasil")</f>
        <v>Brasil</v>
      </c>
      <c r="B2" s="22">
        <f>IFERROR(__xludf.DUMMYFUNCTION("""COMPUTED_VALUE"""),3351520.0)</f>
        <v>3351520</v>
      </c>
      <c r="C2" s="22">
        <f>IFERROR(__xludf.DUMMYFUNCTION("""COMPUTED_VALUE"""),1.78376409E8)</f>
        <v>178376409</v>
      </c>
      <c r="D2" s="18">
        <f>IFERROR(__xludf.DUMMYFUNCTION("""COMPUTED_VALUE"""),2002.0)</f>
        <v>2002</v>
      </c>
      <c r="E2" s="23">
        <f t="array" ref="E2">((B2/C2)/1000)*1000</f>
        <v>0.01878903168</v>
      </c>
      <c r="F2" s="23">
        <f>IFERROR(__xludf.DUMMYFUNCTION("""COMPUTED_VALUE"""),0.01348458212501405)</f>
        <v>0.01348458213</v>
      </c>
      <c r="G2" s="22">
        <f>IFERROR(__xludf.DUMMYFUNCTION("""COMPUTED_VALUE"""),4.821487605E7)</f>
        <v>48214876.05</v>
      </c>
      <c r="H2" s="22">
        <f>IFERROR(__xludf.DUMMYFUNCTION("""COMPUTED_VALUE"""),1.33131500172E8)</f>
        <v>133131500.2</v>
      </c>
      <c r="I2" s="22">
        <f>IFERROR(__xludf.DUMMYFUNCTION("""COMPUTED_VALUE"""),1.3461203777999999E7)</f>
        <v>13461203.78</v>
      </c>
      <c r="J2" s="22">
        <f>IFERROR(__xludf.DUMMYFUNCTION("""COMPUTED_VALUE"""),2010.0)</f>
        <v>2010</v>
      </c>
      <c r="K2" s="22">
        <f>AVERAGE(B17:B21,F17:F21)</f>
        <v>1435660.604</v>
      </c>
      <c r="L2" s="16">
        <f t="shared" ref="L2:L4" si="1">G2/SUM(G2:I2)</f>
        <v>0.2475</v>
      </c>
      <c r="M2" s="23">
        <f t="shared" ref="M2:M4" si="2">H2/SUM(G2:I2)</f>
        <v>0.6834</v>
      </c>
      <c r="N2" s="23">
        <f t="shared" ref="N2:N4" si="3">I2/SUM(G2:I2)</f>
        <v>0.0691</v>
      </c>
    </row>
    <row r="3">
      <c r="A3" s="18" t="str">
        <f>IFERROR(__xludf.DUMMYFUNCTION("""COMPUTED_VALUE"""),"Brasil")</f>
        <v>Brasil</v>
      </c>
      <c r="B3" s="22">
        <f>IFERROR(__xludf.DUMMYFUNCTION("""COMPUTED_VALUE"""),3259436.0)</f>
        <v>3259436</v>
      </c>
      <c r="C3" s="22">
        <f>IFERROR(__xludf.DUMMYFUNCTION("""COMPUTED_VALUE"""),1.80682719E8)</f>
        <v>180682719</v>
      </c>
      <c r="D3" s="18">
        <f>IFERROR(__xludf.DUMMYFUNCTION("""COMPUTED_VALUE"""),2003.0)</f>
        <v>2003</v>
      </c>
      <c r="E3" s="23">
        <f t="array" ref="E3">((B3/C3)/1000)*1000</f>
        <v>0.01803955585</v>
      </c>
      <c r="F3" s="23">
        <f>IFERROR(__xludf.DUMMYFUNCTION("""COMPUTED_VALUE"""),0.012929456383439135)</f>
        <v>0.01292945638</v>
      </c>
      <c r="G3" s="22">
        <f>IFERROR(__xludf.DUMMYFUNCTION("""COMPUTED_VALUE"""),4.5815573475E7)</f>
        <v>45815573.48</v>
      </c>
      <c r="H3" s="22">
        <f>IFERROR(__xludf.DUMMYFUNCTION("""COMPUTED_VALUE"""),1.417024781389E8)</f>
        <v>141702478.1</v>
      </c>
      <c r="I3" s="22">
        <f>IFERROR(__xludf.DUMMYFUNCTION("""COMPUTED_VALUE"""),1.6106719386100002E7)</f>
        <v>16106719.39</v>
      </c>
      <c r="J3" s="22">
        <f>IFERROR(__xludf.DUMMYFUNCTION("""COMPUTED_VALUE"""),2015.0)</f>
        <v>2015</v>
      </c>
      <c r="L3" s="23">
        <f t="shared" si="1"/>
        <v>0.225</v>
      </c>
      <c r="M3" s="23">
        <f t="shared" si="2"/>
        <v>0.6959</v>
      </c>
      <c r="N3" s="16">
        <f t="shared" si="3"/>
        <v>0.0791</v>
      </c>
    </row>
    <row r="4">
      <c r="A4" s="18" t="str">
        <f>IFERROR(__xludf.DUMMYFUNCTION("""COMPUTED_VALUE"""),"Brasil")</f>
        <v>Brasil</v>
      </c>
      <c r="B4" s="22">
        <f>IFERROR(__xludf.DUMMYFUNCTION("""COMPUTED_VALUE"""),3257137.0)</f>
        <v>3257137</v>
      </c>
      <c r="C4" s="22">
        <f>IFERROR(__xludf.DUMMYFUNCTION("""COMPUTED_VALUE"""),1.82913865E8)</f>
        <v>182913865</v>
      </c>
      <c r="D4" s="18">
        <f>IFERROR(__xludf.DUMMYFUNCTION("""COMPUTED_VALUE"""),2004.0)</f>
        <v>2004</v>
      </c>
      <c r="E4" s="23">
        <f t="array" ref="E4">((B4/C4)/1000)*1000</f>
        <v>0.01780694427</v>
      </c>
      <c r="F4" s="23">
        <f>IFERROR(__xludf.DUMMYFUNCTION("""COMPUTED_VALUE"""),0.012348419441263777)</f>
        <v>0.01234841944</v>
      </c>
      <c r="G4" s="22">
        <f>IFERROR(__xludf.DUMMYFUNCTION("""COMPUTED_VALUE"""),4.41197290887E7)</f>
        <v>44119729.09</v>
      </c>
      <c r="H4" s="22">
        <f>IFERROR(__xludf.DUMMYFUNCTION("""COMPUTED_VALUE"""),1.480118419932E8)</f>
        <v>148011842</v>
      </c>
      <c r="I4" s="22">
        <f>IFERROR(__xludf.DUMMYFUNCTION("""COMPUTED_VALUE"""),1.96770179181E7)</f>
        <v>19677017.92</v>
      </c>
      <c r="J4" s="22">
        <f>IFERROR(__xludf.DUMMYFUNCTION("""COMPUTED_VALUE"""),2020.0)</f>
        <v>2020</v>
      </c>
      <c r="L4" s="23">
        <f t="shared" si="1"/>
        <v>0.2083</v>
      </c>
      <c r="M4" s="23">
        <f t="shared" si="2"/>
        <v>0.6988</v>
      </c>
      <c r="N4" s="23">
        <f t="shared" si="3"/>
        <v>0.0929</v>
      </c>
    </row>
    <row r="5">
      <c r="A5" s="18" t="str">
        <f>IFERROR(__xludf.DUMMYFUNCTION("""COMPUTED_VALUE"""),"Brasil")</f>
        <v>Brasil</v>
      </c>
      <c r="B5" s="22">
        <f>IFERROR(__xludf.DUMMYFUNCTION("""COMPUTED_VALUE"""),3238499.0)</f>
        <v>3238499</v>
      </c>
      <c r="C5" s="22">
        <f>IFERROR(__xludf.DUMMYFUNCTION("""COMPUTED_VALUE"""),1.85075508E8)</f>
        <v>185075508</v>
      </c>
      <c r="D5" s="18">
        <f>IFERROR(__xludf.DUMMYFUNCTION("""COMPUTED_VALUE"""),2005.0)</f>
        <v>2005</v>
      </c>
      <c r="E5" s="23">
        <f t="array" ref="E5">((B5/C5)/1000)*1000</f>
        <v>0.01749825806</v>
      </c>
      <c r="F5" s="23">
        <f>IFERROR(__xludf.DUMMYFUNCTION("""COMPUTED_VALUE"""),0.011817819277942654)</f>
        <v>0.01181781928</v>
      </c>
      <c r="L5" s="16"/>
      <c r="M5" s="16"/>
      <c r="N5" s="16"/>
    </row>
    <row r="6">
      <c r="A6" s="18" t="str">
        <f>IFERROR(__xludf.DUMMYFUNCTION("""COMPUTED_VALUE"""),"Brasil")</f>
        <v>Brasil</v>
      </c>
      <c r="B6" s="22">
        <f>IFERROR(__xludf.DUMMYFUNCTION("""COMPUTED_VALUE"""),3182010.0)</f>
        <v>3182010</v>
      </c>
      <c r="C6" s="22">
        <f>IFERROR(__xludf.DUMMYFUNCTION("""COMPUTED_VALUE"""),1.87155615E8)</f>
        <v>187155615</v>
      </c>
      <c r="D6" s="18">
        <f>IFERROR(__xludf.DUMMYFUNCTION("""COMPUTED_VALUE"""),2006.0)</f>
        <v>2006</v>
      </c>
      <c r="E6" s="23">
        <f t="array" ref="E6">((B6/C6)/1000)*1000</f>
        <v>0.01700194782</v>
      </c>
      <c r="F6" s="23">
        <f>IFERROR(__xludf.DUMMYFUNCTION("""COMPUTED_VALUE"""),0.011239234312948636)</f>
        <v>0.01123923431</v>
      </c>
      <c r="L6" s="16"/>
      <c r="M6" s="16"/>
      <c r="N6" s="16"/>
    </row>
    <row r="7">
      <c r="A7" s="18" t="str">
        <f>IFERROR(__xludf.DUMMYFUNCTION("""COMPUTED_VALUE"""),"Brasil")</f>
        <v>Brasil</v>
      </c>
      <c r="B7" s="22">
        <f>IFERROR(__xludf.DUMMYFUNCTION("""COMPUTED_VALUE"""),3123429.0)</f>
        <v>3123429</v>
      </c>
      <c r="C7" s="22">
        <f>IFERROR(__xludf.DUMMYFUNCTION("""COMPUTED_VALUE"""),1.89156967E8)</f>
        <v>189156967</v>
      </c>
      <c r="D7" s="18">
        <f>IFERROR(__xludf.DUMMYFUNCTION("""COMPUTED_VALUE"""),2007.0)</f>
        <v>2007</v>
      </c>
      <c r="E7" s="23">
        <f t="array" ref="E7">((B7/C7)/1000)*1000</f>
        <v>0.01651236563</v>
      </c>
      <c r="F7" s="23">
        <f>IFERROR(__xludf.DUMMYFUNCTION("""COMPUTED_VALUE"""),0.01069351833232468)</f>
        <v>0.01069351833</v>
      </c>
      <c r="L7" s="16"/>
      <c r="M7" s="16"/>
      <c r="N7" s="16"/>
    </row>
    <row r="8">
      <c r="A8" s="18" t="str">
        <f>IFERROR(__xludf.DUMMYFUNCTION("""COMPUTED_VALUE"""),"Brasil")</f>
        <v>Brasil</v>
      </c>
      <c r="B8" s="22">
        <f>IFERROR(__xludf.DUMMYFUNCTION("""COMPUTED_VALUE"""),3071834.0)</f>
        <v>3071834</v>
      </c>
      <c r="C8" s="22">
        <f>IFERROR(__xludf.DUMMYFUNCTION("""COMPUTED_VALUE"""),1.91085595E8)</f>
        <v>191085595</v>
      </c>
      <c r="D8" s="18">
        <f>IFERROR(__xludf.DUMMYFUNCTION("""COMPUTED_VALUE"""),2008.0)</f>
        <v>2008</v>
      </c>
      <c r="E8" s="23">
        <f t="array" ref="E8">((B8/C8)/1000)*1000</f>
        <v>0.01607569634</v>
      </c>
      <c r="F8" s="23">
        <f>IFERROR(__xludf.DUMMYFUNCTION("""COMPUTED_VALUE"""),0.01019591311167513)</f>
        <v>0.01019591311</v>
      </c>
      <c r="L8" s="16"/>
      <c r="M8" s="16"/>
      <c r="N8" s="16"/>
    </row>
    <row r="9">
      <c r="A9" s="18" t="str">
        <f>IFERROR(__xludf.DUMMYFUNCTION("""COMPUTED_VALUE"""),"Brasil")</f>
        <v>Brasil</v>
      </c>
      <c r="B9" s="22">
        <f>IFERROR(__xludf.DUMMYFUNCTION("""COMPUTED_VALUE"""),3057083.0)</f>
        <v>3057083</v>
      </c>
      <c r="C9" s="22">
        <f>IFERROR(__xludf.DUMMYFUNCTION("""COMPUTED_VALUE"""),1.92966061E8)</f>
        <v>192966061</v>
      </c>
      <c r="D9" s="18">
        <f>IFERROR(__xludf.DUMMYFUNCTION("""COMPUTED_VALUE"""),2009.0)</f>
        <v>2009</v>
      </c>
      <c r="E9" s="23">
        <f t="array" ref="E9">((B9/C9)/1000)*1000</f>
        <v>0.01584259421</v>
      </c>
      <c r="F9" s="23">
        <f>IFERROR(__xludf.DUMMYFUNCTION("""COMPUTED_VALUE"""),0.009840961585827545)</f>
        <v>0.009840961586</v>
      </c>
      <c r="L9" s="16"/>
      <c r="M9" s="16"/>
      <c r="N9" s="16"/>
    </row>
    <row r="10">
      <c r="A10" s="18" t="str">
        <f>IFERROR(__xludf.DUMMYFUNCTION("""COMPUTED_VALUE"""),"Brasil")</f>
        <v>Brasil</v>
      </c>
      <c r="B10" s="22">
        <f>IFERROR(__xludf.DUMMYFUNCTION("""COMPUTED_VALUE"""),3041789.0)</f>
        <v>3041789</v>
      </c>
      <c r="C10" s="22">
        <f>IFERROR(__xludf.DUMMYFUNCTION("""COMPUTED_VALUE"""),1.9480758E8)</f>
        <v>194807580</v>
      </c>
      <c r="D10" s="18">
        <f>IFERROR(__xludf.DUMMYFUNCTION("""COMPUTED_VALUE"""),2010.0)</f>
        <v>2010</v>
      </c>
      <c r="E10" s="23">
        <f t="array" ref="E10">((B10/C10)/1000)*1000</f>
        <v>0.01561432568</v>
      </c>
      <c r="F10" s="23">
        <f>IFERROR(__xludf.DUMMYFUNCTION("""COMPUTED_VALUE"""),0.009543227396863327)</f>
        <v>0.009543227397</v>
      </c>
      <c r="L10" s="16"/>
      <c r="M10" s="16"/>
      <c r="N10" s="16"/>
    </row>
    <row r="11">
      <c r="A11" s="18" t="str">
        <f>IFERROR(__xludf.DUMMYFUNCTION("""COMPUTED_VALUE"""),"Brasil")</f>
        <v>Brasil</v>
      </c>
      <c r="B11" s="22">
        <f>IFERROR(__xludf.DUMMYFUNCTION("""COMPUTED_VALUE"""),3033630.0)</f>
        <v>3033630</v>
      </c>
      <c r="C11" s="22">
        <f>IFERROR(__xludf.DUMMYFUNCTION("""COMPUTED_VALUE"""),1.9662149E8)</f>
        <v>196621490</v>
      </c>
      <c r="D11" s="18">
        <f>IFERROR(__xludf.DUMMYFUNCTION("""COMPUTED_VALUE"""),2011.0)</f>
        <v>2011</v>
      </c>
      <c r="E11" s="23">
        <f t="array" ref="E11">((B11/C11)/1000)*1000</f>
        <v>0.01542878146</v>
      </c>
      <c r="F11" s="23">
        <f>IFERROR(__xludf.DUMMYFUNCTION("""COMPUTED_VALUE"""),0.009311290659223835)</f>
        <v>0.009311290659</v>
      </c>
      <c r="L11" s="16"/>
      <c r="M11" s="16"/>
      <c r="N11" s="16"/>
    </row>
    <row r="12">
      <c r="A12" s="18" t="str">
        <f>IFERROR(__xludf.DUMMYFUNCTION("""COMPUTED_VALUE"""),"Brasil")</f>
        <v>Brasil</v>
      </c>
      <c r="B12" s="22">
        <f>IFERROR(__xludf.DUMMYFUNCTION("""COMPUTED_VALUE"""),2986828.0)</f>
        <v>2986828</v>
      </c>
      <c r="C12" s="22">
        <f>IFERROR(__xludf.DUMMYFUNCTION("""COMPUTED_VALUE"""),1.9840576E8)</f>
        <v>198405760</v>
      </c>
      <c r="D12" s="18">
        <f>IFERROR(__xludf.DUMMYFUNCTION("""COMPUTED_VALUE"""),2012.0)</f>
        <v>2012</v>
      </c>
      <c r="E12" s="23">
        <f t="array" ref="E12">((B12/C12)/1000)*1000</f>
        <v>0.01505413956</v>
      </c>
      <c r="F12" s="23">
        <f>IFERROR(__xludf.DUMMYFUNCTION("""COMPUTED_VALUE"""),0.009074643875397343)</f>
        <v>0.009074643875</v>
      </c>
      <c r="L12" s="16"/>
      <c r="M12" s="16"/>
      <c r="N12" s="16"/>
    </row>
    <row r="13">
      <c r="A13" s="18" t="str">
        <f>IFERROR(__xludf.DUMMYFUNCTION("""COMPUTED_VALUE"""),"Brasil")</f>
        <v>Brasil</v>
      </c>
      <c r="B13" s="22">
        <f>IFERROR(__xludf.DUMMYFUNCTION("""COMPUTED_VALUE"""),2962857.0)</f>
        <v>2962857</v>
      </c>
      <c r="C13" s="22">
        <f>IFERROR(__xludf.DUMMYFUNCTION("""COMPUTED_VALUE"""),2.00168784E8)</f>
        <v>200168784</v>
      </c>
      <c r="D13" s="18">
        <f>IFERROR(__xludf.DUMMYFUNCTION("""COMPUTED_VALUE"""),2013.0)</f>
        <v>2013</v>
      </c>
      <c r="E13" s="23">
        <f t="array" ref="E13">((B13/C13)/1000)*1000</f>
        <v>0.01480179347</v>
      </c>
      <c r="F13" s="23">
        <f>IFERROR(__xludf.DUMMYFUNCTION("""COMPUTED_VALUE"""),0.008885951698176504)</f>
        <v>0.008885951698</v>
      </c>
      <c r="L13" s="16"/>
      <c r="M13" s="16"/>
      <c r="N13" s="16"/>
    </row>
    <row r="14">
      <c r="A14" s="18" t="str">
        <f>IFERROR(__xludf.DUMMYFUNCTION("""COMPUTED_VALUE"""),"Brasil")</f>
        <v>Brasil</v>
      </c>
      <c r="B14" s="22">
        <f>IFERROR(__xludf.DUMMYFUNCTION("""COMPUTED_VALUE"""),3001591.0)</f>
        <v>3001591</v>
      </c>
      <c r="C14" s="22">
        <f>IFERROR(__xludf.DUMMYFUNCTION("""COMPUTED_VALUE"""),2.01906925E8)</f>
        <v>201906925</v>
      </c>
      <c r="D14" s="18">
        <f>IFERROR(__xludf.DUMMYFUNCTION("""COMPUTED_VALUE"""),2014.0)</f>
        <v>2014</v>
      </c>
      <c r="E14" s="23">
        <f t="array" ref="E14">((B14/C14)/1000)*1000</f>
        <v>0.01486621125</v>
      </c>
      <c r="F14" s="23">
        <f>IFERROR(__xludf.DUMMYFUNCTION("""COMPUTED_VALUE"""),0.008683376924545837)</f>
        <v>0.008683376925</v>
      </c>
      <c r="L14" s="16"/>
      <c r="M14" s="16"/>
      <c r="N14" s="16"/>
    </row>
    <row r="15">
      <c r="A15" s="18" t="str">
        <f>IFERROR(__xludf.DUMMYFUNCTION("""COMPUTED_VALUE"""),"Brasil")</f>
        <v>Brasil</v>
      </c>
      <c r="B15" s="22">
        <f>IFERROR(__xludf.DUMMYFUNCTION("""COMPUTED_VALUE"""),3021946.0)</f>
        <v>3021946</v>
      </c>
      <c r="C15" s="22">
        <f>IFERROR(__xludf.DUMMYFUNCTION("""COMPUTED_VALUE"""),2.03624771E8)</f>
        <v>203624771</v>
      </c>
      <c r="D15" s="18">
        <f>IFERROR(__xludf.DUMMYFUNCTION("""COMPUTED_VALUE"""),2015.0)</f>
        <v>2015</v>
      </c>
      <c r="E15" s="23">
        <f t="array" ref="E15">((B15/C15)/1000)*1000</f>
        <v>0.01484075825</v>
      </c>
      <c r="F15" s="23">
        <f>IFERROR(__xludf.DUMMYFUNCTION("""COMPUTED_VALUE"""),0.00850810837716438)</f>
        <v>0.008508108377</v>
      </c>
      <c r="L15" s="16"/>
      <c r="M15" s="16"/>
      <c r="N15" s="16"/>
    </row>
    <row r="16">
      <c r="A16" s="18" t="str">
        <f>IFERROR(__xludf.DUMMYFUNCTION("""COMPUTED_VALUE"""),"Brasil")</f>
        <v>Brasil</v>
      </c>
      <c r="B16" s="22">
        <f>IFERROR(__xludf.DUMMYFUNCTION("""COMPUTED_VALUE"""),2905301.0)</f>
        <v>2905301</v>
      </c>
      <c r="C16" s="22">
        <f>IFERROR(__xludf.DUMMYFUNCTION("""COMPUTED_VALUE"""),2.05322029E8)</f>
        <v>205322029</v>
      </c>
      <c r="D16" s="18">
        <f>IFERROR(__xludf.DUMMYFUNCTION("""COMPUTED_VALUE"""),2016.0)</f>
        <v>2016</v>
      </c>
      <c r="E16" s="23">
        <f t="array" ref="E16">((B16/C16)/1000)*1000</f>
        <v>0.01414997219</v>
      </c>
      <c r="F16" s="23">
        <f>IFERROR(__xludf.DUMMYFUNCTION("""COMPUTED_VALUE"""),0.00833522361579476)</f>
        <v>0.008335223616</v>
      </c>
      <c r="L16" s="16"/>
      <c r="M16" s="16"/>
      <c r="N16" s="16"/>
    </row>
    <row r="17">
      <c r="A17" s="18" t="str">
        <f>IFERROR(__xludf.DUMMYFUNCTION("""COMPUTED_VALUE"""),"Brasil")</f>
        <v>Brasil</v>
      </c>
      <c r="B17" s="22">
        <f>IFERROR(__xludf.DUMMYFUNCTION("""COMPUTED_VALUE"""),2952133.0)</f>
        <v>2952133</v>
      </c>
      <c r="C17" s="22">
        <f>IFERROR(__xludf.DUMMYFUNCTION("""COMPUTED_VALUE"""),2.07005307E8)</f>
        <v>207005307</v>
      </c>
      <c r="D17" s="18">
        <f>IFERROR(__xludf.DUMMYFUNCTION("""COMPUTED_VALUE"""),2017.0)</f>
        <v>2017</v>
      </c>
      <c r="E17" s="23">
        <f t="array" ref="E17">((B17/C17)/1000)*1000</f>
        <v>0.01426114645</v>
      </c>
      <c r="F17" s="23">
        <f>IFERROR(__xludf.DUMMYFUNCTION("""COMPUTED_VALUE"""),0.00819823380958309)</f>
        <v>0.00819823381</v>
      </c>
      <c r="L17" s="16"/>
      <c r="M17" s="16"/>
      <c r="N17" s="16"/>
    </row>
    <row r="18">
      <c r="A18" s="18" t="str">
        <f>IFERROR(__xludf.DUMMYFUNCTION("""COMPUTED_VALUE"""),"Brasil")</f>
        <v>Brasil</v>
      </c>
      <c r="B18" s="22">
        <f>IFERROR(__xludf.DUMMYFUNCTION("""COMPUTED_VALUE"""),2969862.0)</f>
        <v>2969862</v>
      </c>
      <c r="C18" s="22">
        <f>IFERROR(__xludf.DUMMYFUNCTION("""COMPUTED_VALUE"""),2.08658294E8)</f>
        <v>208658294</v>
      </c>
      <c r="D18" s="18">
        <f>IFERROR(__xludf.DUMMYFUNCTION("""COMPUTED_VALUE"""),2018.0)</f>
        <v>2018</v>
      </c>
      <c r="E18" s="23">
        <f t="array" ref="E18">((B18/C18)/1000)*1000</f>
        <v>0.01423313659</v>
      </c>
      <c r="F18" s="23">
        <f>IFERROR(__xludf.DUMMYFUNCTION("""COMPUTED_VALUE"""),0.007985239721414485)</f>
        <v>0.007985239721</v>
      </c>
      <c r="L18" s="16"/>
      <c r="M18" s="16"/>
      <c r="N18" s="16"/>
    </row>
    <row r="19">
      <c r="A19" s="18" t="str">
        <f>IFERROR(__xludf.DUMMYFUNCTION("""COMPUTED_VALUE"""),"Brasil")</f>
        <v>Brasil</v>
      </c>
      <c r="B19" s="22">
        <f>IFERROR(__xludf.DUMMYFUNCTION("""COMPUTED_VALUE"""),2886359.0)</f>
        <v>2886359</v>
      </c>
      <c r="C19" s="22">
        <f>IFERROR(__xludf.DUMMYFUNCTION("""COMPUTED_VALUE"""),2.10265913E8)</f>
        <v>210265913</v>
      </c>
      <c r="D19" s="18">
        <f>IFERROR(__xludf.DUMMYFUNCTION("""COMPUTED_VALUE"""),2019.0)</f>
        <v>2019</v>
      </c>
      <c r="E19" s="23">
        <f t="array" ref="E19">((B19/C19)/1000)*1000</f>
        <v>0.01372718459</v>
      </c>
      <c r="F19" s="23">
        <f>IFERROR(__xludf.DUMMYFUNCTION("""COMPUTED_VALUE"""),0.007704553551080026)</f>
        <v>0.007704553551</v>
      </c>
      <c r="L19" s="16"/>
      <c r="M19" s="16"/>
      <c r="N19" s="16"/>
    </row>
    <row r="20">
      <c r="A20" s="18" t="str">
        <f>IFERROR(__xludf.DUMMYFUNCTION("""COMPUTED_VALUE"""),"Brasil")</f>
        <v>Brasil</v>
      </c>
      <c r="B20" s="22">
        <f>IFERROR(__xludf.DUMMYFUNCTION("""COMPUTED_VALUE"""),2787294.0)</f>
        <v>2787294</v>
      </c>
      <c r="C20" s="22">
        <f>IFERROR(__xludf.DUMMYFUNCTION("""COMPUTED_VALUE"""),2.11808589E8)</f>
        <v>211808589</v>
      </c>
      <c r="D20" s="18">
        <f>IFERROR(__xludf.DUMMYFUNCTION("""COMPUTED_VALUE"""),2020.0)</f>
        <v>2020</v>
      </c>
      <c r="E20" s="23">
        <f t="array" ref="E20">((B20/C20)/1000)*1000</f>
        <v>0.01315949468</v>
      </c>
      <c r="F20" s="23">
        <f>IFERROR(__xludf.DUMMYFUNCTION("""COMPUTED_VALUE"""),0.007336785967775956)</f>
        <v>0.007336785968</v>
      </c>
      <c r="L20" s="16"/>
      <c r="M20" s="16"/>
      <c r="N20" s="16"/>
    </row>
    <row r="21">
      <c r="A21" s="18" t="str">
        <f>IFERROR(__xludf.DUMMYFUNCTION("""COMPUTED_VALUE"""),"Brasil")</f>
        <v>Brasil</v>
      </c>
      <c r="B21" s="22">
        <f>IFERROR(__xludf.DUMMYFUNCTION("""COMPUTED_VALUE"""),2760958.0)</f>
        <v>2760958</v>
      </c>
      <c r="C21" s="22">
        <f>IFERROR(__xludf.DUMMYFUNCTION("""COMPUTED_VALUE"""),2.13736047E8)</f>
        <v>213736047</v>
      </c>
      <c r="D21" s="18">
        <f>IFERROR(__xludf.DUMMYFUNCTION("""COMPUTED_VALUE"""),2021.0)</f>
        <v>2021</v>
      </c>
      <c r="E21" s="23">
        <f t="array" ref="E21">((B21/C21)/1000)*1000</f>
        <v>0.0129176058</v>
      </c>
      <c r="F21" s="23">
        <f>IFERROR(__xludf.DUMMYFUNCTION("""COMPUTED_VALUE"""),0.009099999245073107)</f>
        <v>0.009099999245</v>
      </c>
      <c r="L21" s="16"/>
      <c r="M21" s="16"/>
      <c r="N21" s="16"/>
    </row>
    <row r="22"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  <col customWidth="1" min="6" max="6" width="18.38"/>
    <col customWidth="1" min="11" max="11" width="21.5"/>
    <col customWidth="1" min="12" max="12" width="14.5"/>
    <col customWidth="1" min="13" max="13" width="16.25"/>
    <col customWidth="1" min="14" max="14" width="18.88"/>
  </cols>
  <sheetData>
    <row r="1">
      <c r="A1" s="17" t="str">
        <f>IFERROR(__xludf.DUMMYFUNCTION("QUERY(nascimento!A1:D121,""select B,D where A = 'CHL'"",-1)"),"pais")</f>
        <v>pais</v>
      </c>
      <c r="B1" s="18" t="str">
        <f>IFERROR(__xludf.DUMMYFUNCTION("""COMPUTED_VALUE"""),"nascimento")</f>
        <v>nascimento</v>
      </c>
      <c r="C1" s="18" t="str">
        <f>IFERROR(__xludf.DUMMYFUNCTION("QUERY(populacao!A1:D127,""select C,B where A = 'CHL' AND B &lt;&gt; 2001"",-1)"),"populacao")</f>
        <v>populacao</v>
      </c>
      <c r="D1" s="18" t="str">
        <f>IFERROR(__xludf.DUMMYFUNCTION("""COMPUTED_VALUE"""),"ano")</f>
        <v>ano</v>
      </c>
      <c r="E1" s="13" t="s">
        <v>29</v>
      </c>
      <c r="F1" s="17" t="str">
        <f>IFERROR(__xludf.DUMMYFUNCTION("QUERY(populacao!A1:D127,""select D where A = 'CHL' AND B &lt;&gt; 2021"",-1)"),"taxa_de_crescimento")</f>
        <v>taxa_de_crescimento</v>
      </c>
      <c r="G1" s="19" t="s">
        <v>26</v>
      </c>
      <c r="H1" s="19" t="s">
        <v>27</v>
      </c>
      <c r="I1" s="19" t="s">
        <v>28</v>
      </c>
      <c r="J1" s="13" t="s">
        <v>2</v>
      </c>
      <c r="K1" s="19" t="s">
        <v>30</v>
      </c>
      <c r="L1" s="24" t="s">
        <v>31</v>
      </c>
      <c r="M1" s="24" t="s">
        <v>32</v>
      </c>
      <c r="N1" s="24" t="s">
        <v>33</v>
      </c>
    </row>
    <row r="2">
      <c r="A2" s="25" t="str">
        <f>IFERROR(__xludf.DUMMYFUNCTION("""COMPUTED_VALUE"""),"Chile")</f>
        <v>Chile</v>
      </c>
      <c r="B2" s="26">
        <f>IFERROR(__xludf.DUMMYFUNCTION("""COMPUTED_VALUE"""),241091.0)</f>
        <v>241091</v>
      </c>
      <c r="C2" s="26">
        <f>IFERROR(__xludf.DUMMYFUNCTION("""COMPUTED_VALUE"""),1.5600954E7)</f>
        <v>15600954</v>
      </c>
      <c r="D2" s="17">
        <f>IFERROR(__xludf.DUMMYFUNCTION("""COMPUTED_VALUE"""),2002.0)</f>
        <v>2002</v>
      </c>
      <c r="E2" s="23">
        <f t="array" ref="E2">((B2/C2)/1000)*1000</f>
        <v>0.01545360623</v>
      </c>
      <c r="F2" s="23">
        <f>IFERROR(__xludf.DUMMYFUNCTION("""COMPUTED_VALUE"""),0.011082929978039455)</f>
        <v>0.01108292998</v>
      </c>
      <c r="G2" s="26">
        <f>IFERROR(__xludf.DUMMYFUNCTION("QUERY(estrutura_etaria!A5:E7,""select C where A = 'Chile'"",-1)"),3646247.6136)</f>
        <v>3646247.614</v>
      </c>
      <c r="H2" s="26">
        <f>IFERROR(__xludf.DUMMYFUNCTION("QUERY(estrutura_etaria!A5:E7,""select D where A = 'Chile'"",-1)"),1.16669738586E7)</f>
        <v>11666973.86</v>
      </c>
      <c r="I2" s="22">
        <f>IFERROR(__xludf.DUMMYFUNCTION("QUERY(estrutura_etaria!A5:E7,""select E where A = 'Chile'"",-1)"),1661860.5277999998)</f>
        <v>1661860.528</v>
      </c>
      <c r="J2" s="26">
        <f>IFERROR(__xludf.DUMMYFUNCTION("QUERY(estrutura_etaria!A5:E7,""select B where A = 'Chile'"",-1)"),2010.0)</f>
        <v>2010</v>
      </c>
      <c r="K2" s="26">
        <f>AVERAGE(B17:B21,F17:F21)</f>
        <v>112462.7062</v>
      </c>
      <c r="L2" s="23">
        <f t="shared" ref="L2:L4" si="1">G2/SUM(G2:I2)</f>
        <v>0.2148</v>
      </c>
      <c r="M2" s="23">
        <f t="shared" ref="M2:M4" si="2">H2/SUM(G2:I2)</f>
        <v>0.6873</v>
      </c>
      <c r="N2" s="23">
        <f t="shared" ref="N2:N4" si="3">I2/SUM(G2:I2)</f>
        <v>0.0979</v>
      </c>
    </row>
    <row r="3">
      <c r="A3" s="25" t="str">
        <f>IFERROR(__xludf.DUMMYFUNCTION("""COMPUTED_VALUE"""),"Chile")</f>
        <v>Chile</v>
      </c>
      <c r="B3" s="22">
        <f>IFERROR(__xludf.DUMMYFUNCTION("""COMPUTED_VALUE"""),234636.0)</f>
        <v>234636</v>
      </c>
      <c r="C3" s="22">
        <f>IFERROR(__xludf.DUMMYFUNCTION("""COMPUTED_VALUE"""),1.576771E7)</f>
        <v>15767710</v>
      </c>
      <c r="D3" s="18">
        <f>IFERROR(__xludf.DUMMYFUNCTION("""COMPUTED_VALUE"""),2003.0)</f>
        <v>2003</v>
      </c>
      <c r="E3" s="23">
        <f t="array" ref="E3">((B3/C3)/1000)*1000</f>
        <v>0.01488079119</v>
      </c>
      <c r="F3" s="16">
        <f>IFERROR(__xludf.DUMMYFUNCTION("""COMPUTED_VALUE"""),0.010688833516206765)</f>
        <v>0.01068883352</v>
      </c>
      <c r="G3" s="22">
        <f>IFERROR(__xludf.DUMMYFUNCTION("""COMPUTED_VALUE"""),3567645.8918999997)</f>
        <v>3567645.892</v>
      </c>
      <c r="H3" s="22">
        <f>IFERROR(__xludf.DUMMYFUNCTION("""COMPUTED_VALUE"""),1.23250821273E7)</f>
        <v>12325082.13</v>
      </c>
      <c r="I3" s="22">
        <f>IFERROR(__xludf.DUMMYFUNCTION("""COMPUTED_VALUE"""),1972298.9808)</f>
        <v>1972298.981</v>
      </c>
      <c r="J3" s="22">
        <f>IFERROR(__xludf.DUMMYFUNCTION("""COMPUTED_VALUE"""),2015.0)</f>
        <v>2015</v>
      </c>
      <c r="K3" s="17"/>
      <c r="L3" s="23">
        <f t="shared" si="1"/>
        <v>0.1997</v>
      </c>
      <c r="M3" s="23">
        <f t="shared" si="2"/>
        <v>0.6899</v>
      </c>
      <c r="N3" s="23">
        <f t="shared" si="3"/>
        <v>0.1104</v>
      </c>
    </row>
    <row r="4">
      <c r="A4" s="25" t="str">
        <f>IFERROR(__xludf.DUMMYFUNCTION("""COMPUTED_VALUE"""),"Chile")</f>
        <v>Chile</v>
      </c>
      <c r="B4" s="22">
        <f>IFERROR(__xludf.DUMMYFUNCTION("""COMPUTED_VALUE"""),230212.0)</f>
        <v>230212</v>
      </c>
      <c r="C4" s="22">
        <f>IFERROR(__xludf.DUMMYFUNCTION("""COMPUTED_VALUE"""),1.5932762E7)</f>
        <v>15932762</v>
      </c>
      <c r="D4" s="18">
        <f>IFERROR(__xludf.DUMMYFUNCTION("""COMPUTED_VALUE"""),2004.0)</f>
        <v>2004</v>
      </c>
      <c r="E4" s="23">
        <f t="array" ref="E4">((B4/C4)/1000)*1000</f>
        <v>0.01444896999</v>
      </c>
      <c r="F4" s="16">
        <f>IFERROR(__xludf.DUMMYFUNCTION("""COMPUTED_VALUE"""),0.010467721691989515)</f>
        <v>0.01046772169</v>
      </c>
      <c r="G4" s="22">
        <f>IFERROR(__xludf.DUMMYFUNCTION("""COMPUTED_VALUE"""),3544237.1202000002)</f>
        <v>3544237.12</v>
      </c>
      <c r="H4" s="22">
        <f>IFERROR(__xludf.DUMMYFUNCTION("""COMPUTED_VALUE"""),1.3130047075800002E7)</f>
        <v>13130047.08</v>
      </c>
      <c r="I4" s="22">
        <f>IFERROR(__xludf.DUMMYFUNCTION("""COMPUTED_VALUE"""),2360286.804)</f>
        <v>2360286.804</v>
      </c>
      <c r="J4" s="22">
        <f>IFERROR(__xludf.DUMMYFUNCTION("""COMPUTED_VALUE"""),2020.0)</f>
        <v>2020</v>
      </c>
      <c r="L4" s="23">
        <f t="shared" si="1"/>
        <v>0.1862</v>
      </c>
      <c r="M4" s="23">
        <f t="shared" si="2"/>
        <v>0.6898</v>
      </c>
      <c r="N4" s="23">
        <f t="shared" si="3"/>
        <v>0.124</v>
      </c>
    </row>
    <row r="5">
      <c r="A5" s="25" t="str">
        <f>IFERROR(__xludf.DUMMYFUNCTION("""COMPUTED_VALUE"""),"Chile")</f>
        <v>Chile</v>
      </c>
      <c r="B5" s="22">
        <f>IFERROR(__xludf.DUMMYFUNCTION("""COMPUTED_VALUE"""),229074.0)</f>
        <v>229074</v>
      </c>
      <c r="C5" s="22">
        <f>IFERROR(__xludf.DUMMYFUNCTION("""COMPUTED_VALUE"""),1.6099532E7)</f>
        <v>16099532</v>
      </c>
      <c r="D5" s="18">
        <f>IFERROR(__xludf.DUMMYFUNCTION("""COMPUTED_VALUE"""),2005.0)</f>
        <v>2005</v>
      </c>
      <c r="E5" s="23">
        <f t="array" ref="E5">((B5/C5)/1000)*1000</f>
        <v>0.01422861236</v>
      </c>
      <c r="F5" s="16">
        <f>IFERROR(__xludf.DUMMYFUNCTION("""COMPUTED_VALUE"""),0.010467111728650688)</f>
        <v>0.01046711173</v>
      </c>
      <c r="L5" s="16"/>
      <c r="M5" s="16"/>
      <c r="N5" s="16"/>
    </row>
    <row r="6">
      <c r="A6" s="25" t="str">
        <f>IFERROR(__xludf.DUMMYFUNCTION("""COMPUTED_VALUE"""),"Chile")</f>
        <v>Chile</v>
      </c>
      <c r="B6" s="22">
        <f>IFERROR(__xludf.DUMMYFUNCTION("""COMPUTED_VALUE"""),230846.0)</f>
        <v>230846</v>
      </c>
      <c r="C6" s="22">
        <f>IFERROR(__xludf.DUMMYFUNCTION("""COMPUTED_VALUE"""),1.6269316E7)</f>
        <v>16269316</v>
      </c>
      <c r="D6" s="18">
        <f>IFERROR(__xludf.DUMMYFUNCTION("""COMPUTED_VALUE"""),2006.0)</f>
        <v>2006</v>
      </c>
      <c r="E6" s="23">
        <f t="array" ref="E6">((B6/C6)/1000)*1000</f>
        <v>0.01418904151</v>
      </c>
      <c r="F6" s="16">
        <f>IFERROR(__xludf.DUMMYFUNCTION("""COMPUTED_VALUE"""),0.010545896613640695)</f>
        <v>0.01054589661</v>
      </c>
      <c r="L6" s="16"/>
      <c r="M6" s="16"/>
      <c r="N6" s="16"/>
    </row>
    <row r="7">
      <c r="A7" s="25" t="str">
        <f>IFERROR(__xludf.DUMMYFUNCTION("""COMPUTED_VALUE"""),"Chile")</f>
        <v>Chile</v>
      </c>
      <c r="B7" s="22">
        <f>IFERROR(__xludf.DUMMYFUNCTION("""COMPUTED_VALUE"""),235781.0)</f>
        <v>235781</v>
      </c>
      <c r="C7" s="22">
        <f>IFERROR(__xludf.DUMMYFUNCTION("""COMPUTED_VALUE"""),1.6443076E7)</f>
        <v>16443076</v>
      </c>
      <c r="D7" s="18">
        <f>IFERROR(__xludf.DUMMYFUNCTION("""COMPUTED_VALUE"""),2007.0)</f>
        <v>2007</v>
      </c>
      <c r="E7" s="23">
        <f t="array" ref="E7">((B7/C7)/1000)*1000</f>
        <v>0.01433922704</v>
      </c>
      <c r="F7" s="16">
        <f>IFERROR(__xludf.DUMMYFUNCTION("""COMPUTED_VALUE"""),0.01068022773667928)</f>
        <v>0.01068022774</v>
      </c>
      <c r="L7" s="16"/>
      <c r="M7" s="16"/>
      <c r="N7" s="16"/>
    </row>
    <row r="8">
      <c r="A8" s="25" t="str">
        <f>IFERROR(__xludf.DUMMYFUNCTION("""COMPUTED_VALUE"""),"Chile")</f>
        <v>Chile</v>
      </c>
      <c r="B8" s="22">
        <f>IFERROR(__xludf.DUMMYFUNCTION("""COMPUTED_VALUE"""),240764.0)</f>
        <v>240764</v>
      </c>
      <c r="C8" s="22">
        <f>IFERROR(__xludf.DUMMYFUNCTION("""COMPUTED_VALUE"""),1.6619714E7)</f>
        <v>16619714</v>
      </c>
      <c r="D8" s="18">
        <f>IFERROR(__xludf.DUMMYFUNCTION("""COMPUTED_VALUE"""),2008.0)</f>
        <v>2008</v>
      </c>
      <c r="E8" s="23">
        <f t="array" ref="E8">((B8/C8)/1000)*1000</f>
        <v>0.01448665121</v>
      </c>
      <c r="F8" s="16">
        <f>IFERROR(__xludf.DUMMYFUNCTION("""COMPUTED_VALUE"""),0.010742393941376905)</f>
        <v>0.01074239394</v>
      </c>
      <c r="L8" s="16"/>
      <c r="M8" s="16"/>
      <c r="N8" s="16"/>
    </row>
    <row r="9">
      <c r="A9" s="25" t="str">
        <f>IFERROR(__xludf.DUMMYFUNCTION("""COMPUTED_VALUE"""),"Chile")</f>
        <v>Chile</v>
      </c>
      <c r="B9" s="22">
        <f>IFERROR(__xludf.DUMMYFUNCTION("""COMPUTED_VALUE"""),243308.0)</f>
        <v>243308</v>
      </c>
      <c r="C9" s="22">
        <f>IFERROR(__xludf.DUMMYFUNCTION("""COMPUTED_VALUE"""),1.6797951E7)</f>
        <v>16797951</v>
      </c>
      <c r="D9" s="18">
        <f>IFERROR(__xludf.DUMMYFUNCTION("""COMPUTED_VALUE"""),2009.0)</f>
        <v>2009</v>
      </c>
      <c r="E9" s="23">
        <f t="array" ref="E9">((B9/C9)/1000)*1000</f>
        <v>0.01448438563</v>
      </c>
      <c r="F9" s="16">
        <f>IFERROR(__xludf.DUMMYFUNCTION("""COMPUTED_VALUE"""),0.010724432442098582)</f>
        <v>0.01072443244</v>
      </c>
      <c r="L9" s="16"/>
      <c r="M9" s="16"/>
      <c r="N9" s="16"/>
    </row>
    <row r="10">
      <c r="A10" s="25" t="str">
        <f>IFERROR(__xludf.DUMMYFUNCTION("""COMPUTED_VALUE"""),"Chile")</f>
        <v>Chile</v>
      </c>
      <c r="B10" s="22">
        <f>IFERROR(__xludf.DUMMYFUNCTION("""COMPUTED_VALUE"""),243439.0)</f>
        <v>243439</v>
      </c>
      <c r="C10" s="22">
        <f>IFERROR(__xludf.DUMMYFUNCTION("""COMPUTED_VALUE"""),1.6975082E7)</f>
        <v>16975082</v>
      </c>
      <c r="D10" s="18">
        <f>IFERROR(__xludf.DUMMYFUNCTION("""COMPUTED_VALUE"""),2010.0)</f>
        <v>2010</v>
      </c>
      <c r="E10" s="23">
        <f t="array" ref="E10">((B10/C10)/1000)*1000</f>
        <v>0.01434096165</v>
      </c>
      <c r="F10" s="16">
        <f>IFERROR(__xludf.DUMMYFUNCTION("""COMPUTED_VALUE"""),0.010544797993517185)</f>
        <v>0.01054479799</v>
      </c>
      <c r="L10" s="16"/>
      <c r="M10" s="16"/>
      <c r="N10" s="16"/>
    </row>
    <row r="11">
      <c r="A11" s="25" t="str">
        <f>IFERROR(__xludf.DUMMYFUNCTION("""COMPUTED_VALUE"""),"Chile")</f>
        <v>Chile</v>
      </c>
      <c r="B11" s="22">
        <f>IFERROR(__xludf.DUMMYFUNCTION("""COMPUTED_VALUE"""),242097.0)</f>
        <v>242097</v>
      </c>
      <c r="C11" s="22">
        <f>IFERROR(__xludf.DUMMYFUNCTION("""COMPUTED_VALUE"""),1.714876E7)</f>
        <v>17148760</v>
      </c>
      <c r="D11" s="18">
        <f>IFERROR(__xludf.DUMMYFUNCTION("""COMPUTED_VALUE"""),2011.0)</f>
        <v>2011</v>
      </c>
      <c r="E11" s="23">
        <f t="array" ref="E11">((B11/C11)/1000)*1000</f>
        <v>0.01411746389</v>
      </c>
      <c r="F11" s="16">
        <f>IFERROR(__xludf.DUMMYFUNCTION("""COMPUTED_VALUE"""),0.010231349692449203)</f>
        <v>0.01023134969</v>
      </c>
      <c r="L11" s="16"/>
      <c r="M11" s="16"/>
      <c r="N11" s="16"/>
    </row>
    <row r="12">
      <c r="A12" s="25" t="str">
        <f>IFERROR(__xludf.DUMMYFUNCTION("""COMPUTED_VALUE"""),"Chile")</f>
        <v>Chile</v>
      </c>
      <c r="B12" s="22">
        <f>IFERROR(__xludf.DUMMYFUNCTION("""COMPUTED_VALUE"""),240081.0)</f>
        <v>240081</v>
      </c>
      <c r="C12" s="22">
        <f>IFERROR(__xludf.DUMMYFUNCTION("""COMPUTED_VALUE"""),1.7317427E7)</f>
        <v>17317427</v>
      </c>
      <c r="D12" s="18">
        <f>IFERROR(__xludf.DUMMYFUNCTION("""COMPUTED_VALUE"""),2012.0)</f>
        <v>2012</v>
      </c>
      <c r="E12" s="23">
        <f t="array" ref="E12">((B12/C12)/1000)*1000</f>
        <v>0.01386354913</v>
      </c>
      <c r="F12" s="16">
        <f>IFERROR(__xludf.DUMMYFUNCTION("""COMPUTED_VALUE"""),0.00983552163538355)</f>
        <v>0.009835521635</v>
      </c>
      <c r="L12" s="16"/>
      <c r="M12" s="16"/>
      <c r="N12" s="16"/>
    </row>
    <row r="13">
      <c r="A13" s="25" t="str">
        <f>IFERROR(__xludf.DUMMYFUNCTION("""COMPUTED_VALUE"""),"Chile")</f>
        <v>Chile</v>
      </c>
      <c r="B13" s="22">
        <f>IFERROR(__xludf.DUMMYFUNCTION("""COMPUTED_VALUE"""),239570.0)</f>
        <v>239570</v>
      </c>
      <c r="C13" s="22">
        <f>IFERROR(__xludf.DUMMYFUNCTION("""COMPUTED_VALUE"""),1.7486638E7)</f>
        <v>17486638</v>
      </c>
      <c r="D13" s="18">
        <f>IFERROR(__xludf.DUMMYFUNCTION("""COMPUTED_VALUE"""),2013.0)</f>
        <v>2013</v>
      </c>
      <c r="E13" s="23">
        <f t="array" ref="E13">((B13/C13)/1000)*1000</f>
        <v>0.01370017496</v>
      </c>
      <c r="F13" s="16">
        <f>IFERROR(__xludf.DUMMYFUNCTION("""COMPUTED_VALUE"""),0.009771139788838146)</f>
        <v>0.009771139789</v>
      </c>
      <c r="L13" s="16"/>
      <c r="M13" s="16"/>
      <c r="N13" s="16"/>
    </row>
    <row r="14">
      <c r="A14" s="25" t="str">
        <f>IFERROR(__xludf.DUMMYFUNCTION("""COMPUTED_VALUE"""),"Chile")</f>
        <v>Chile</v>
      </c>
      <c r="B14" s="22">
        <f>IFERROR(__xludf.DUMMYFUNCTION("""COMPUTED_VALUE"""),239204.0)</f>
        <v>239204</v>
      </c>
      <c r="C14" s="22">
        <f>IFERROR(__xludf.DUMMYFUNCTION("""COMPUTED_VALUE"""),1.766601E7)</f>
        <v>17666010</v>
      </c>
      <c r="D14" s="18">
        <f>IFERROR(__xludf.DUMMYFUNCTION("""COMPUTED_VALUE"""),2014.0)</f>
        <v>2014</v>
      </c>
      <c r="E14" s="23">
        <f t="array" ref="E14">((B14/C14)/1000)*1000</f>
        <v>0.01354035235</v>
      </c>
      <c r="F14" s="16">
        <f>IFERROR(__xludf.DUMMYFUNCTION("""COMPUTED_VALUE"""),0.010257660735013786)</f>
        <v>0.01025766074</v>
      </c>
      <c r="L14" s="16"/>
      <c r="M14" s="16"/>
      <c r="N14" s="16"/>
    </row>
    <row r="15">
      <c r="A15" s="25" t="str">
        <f>IFERROR(__xludf.DUMMYFUNCTION("""COMPUTED_VALUE"""),"Chile")</f>
        <v>Chile</v>
      </c>
      <c r="B15" s="22">
        <f>IFERROR(__xludf.DUMMYFUNCTION("""COMPUTED_VALUE"""),235699.0)</f>
        <v>235699</v>
      </c>
      <c r="C15" s="22">
        <f>IFERROR(__xludf.DUMMYFUNCTION("""COMPUTED_VALUE"""),1.7865027E7)</f>
        <v>17865027</v>
      </c>
      <c r="D15" s="18">
        <f>IFERROR(__xludf.DUMMYFUNCTION("""COMPUTED_VALUE"""),2015.0)</f>
        <v>2015</v>
      </c>
      <c r="E15" s="23">
        <f t="array" ref="E15">((B15/C15)/1000)*1000</f>
        <v>0.01319331899</v>
      </c>
      <c r="F15" s="16">
        <f>IFERROR(__xludf.DUMMYFUNCTION("""COMPUTED_VALUE"""),0.011265531945244002)</f>
        <v>0.01126553195</v>
      </c>
      <c r="L15" s="16"/>
      <c r="M15" s="16"/>
      <c r="N15" s="16"/>
    </row>
    <row r="16">
      <c r="A16" s="25" t="str">
        <f>IFERROR(__xludf.DUMMYFUNCTION("""COMPUTED_VALUE"""),"Chile")</f>
        <v>Chile</v>
      </c>
      <c r="B16" s="22">
        <f>IFERROR(__xludf.DUMMYFUNCTION("""COMPUTED_VALUE"""),228821.0)</f>
        <v>228821</v>
      </c>
      <c r="C16" s="22">
        <f>IFERROR(__xludf.DUMMYFUNCTION("""COMPUTED_VALUE"""),1.8089869E7)</f>
        <v>18089869</v>
      </c>
      <c r="D16" s="18">
        <f>IFERROR(__xludf.DUMMYFUNCTION("""COMPUTED_VALUE"""),2016.0)</f>
        <v>2016</v>
      </c>
      <c r="E16" s="23">
        <f t="array" ref="E16">((B16/C16)/1000)*1000</f>
        <v>0.01264912421</v>
      </c>
      <c r="F16" s="16">
        <f>IFERROR(__xludf.DUMMYFUNCTION("""COMPUTED_VALUE"""),0.01258559530864409)</f>
        <v>0.01258559531</v>
      </c>
      <c r="L16" s="16"/>
      <c r="M16" s="16"/>
      <c r="N16" s="16"/>
    </row>
    <row r="17">
      <c r="A17" s="25" t="str">
        <f>IFERROR(__xludf.DUMMYFUNCTION("""COMPUTED_VALUE"""),"Chile")</f>
        <v>Chile</v>
      </c>
      <c r="B17" s="22">
        <f>IFERROR(__xludf.DUMMYFUNCTION("""COMPUTED_VALUE"""),221468.0)</f>
        <v>221468</v>
      </c>
      <c r="C17" s="22">
        <f>IFERROR(__xludf.DUMMYFUNCTION("""COMPUTED_VALUE"""),1.8340828E7)</f>
        <v>18340828</v>
      </c>
      <c r="D17" s="18">
        <f>IFERROR(__xludf.DUMMYFUNCTION("""COMPUTED_VALUE"""),2017.0)</f>
        <v>2017</v>
      </c>
      <c r="E17" s="23">
        <f t="array" ref="E17">((B17/C17)/1000)*1000</f>
        <v>0.01207513641</v>
      </c>
      <c r="F17" s="16">
        <f>IFERROR(__xludf.DUMMYFUNCTION("""COMPUTED_VALUE"""),0.013872903114997682)</f>
        <v>0.01387290311</v>
      </c>
      <c r="L17" s="16"/>
      <c r="M17" s="16"/>
      <c r="N17" s="16"/>
    </row>
    <row r="18">
      <c r="A18" s="25" t="str">
        <f>IFERROR(__xludf.DUMMYFUNCTION("""COMPUTED_VALUE"""),"Chile")</f>
        <v>Chile</v>
      </c>
      <c r="B18" s="22">
        <f>IFERROR(__xludf.DUMMYFUNCTION("""COMPUTED_VALUE"""),221872.0)</f>
        <v>221872</v>
      </c>
      <c r="C18" s="22">
        <f>IFERROR(__xludf.DUMMYFUNCTION("""COMPUTED_VALUE"""),1.8600864E7)</f>
        <v>18600864</v>
      </c>
      <c r="D18" s="18">
        <f>IFERROR(__xludf.DUMMYFUNCTION("""COMPUTED_VALUE"""),2018.0)</f>
        <v>2018</v>
      </c>
      <c r="E18" s="23">
        <f t="array" ref="E18">((B18/C18)/1000)*1000</f>
        <v>0.01192804807</v>
      </c>
      <c r="F18" s="16">
        <f>IFERROR(__xludf.DUMMYFUNCTION("""COMPUTED_VALUE"""),0.014177985857563247)</f>
        <v>0.01417798586</v>
      </c>
      <c r="L18" s="16"/>
      <c r="M18" s="16"/>
      <c r="N18" s="16"/>
    </row>
    <row r="19">
      <c r="A19" s="25" t="str">
        <f>IFERROR(__xludf.DUMMYFUNCTION("""COMPUTED_VALUE"""),"Chile")</f>
        <v>Chile</v>
      </c>
      <c r="B19" s="22">
        <f>IFERROR(__xludf.DUMMYFUNCTION("""COMPUTED_VALUE"""),224350.0)</f>
        <v>224350</v>
      </c>
      <c r="C19" s="22">
        <f>IFERROR(__xludf.DUMMYFUNCTION("""COMPUTED_VALUE"""),1.8841516E7)</f>
        <v>18841516</v>
      </c>
      <c r="D19" s="18">
        <f>IFERROR(__xludf.DUMMYFUNCTION("""COMPUTED_VALUE"""),2019.0)</f>
        <v>2019</v>
      </c>
      <c r="E19" s="23">
        <f t="array" ref="E19">((B19/C19)/1000)*1000</f>
        <v>0.01190721596</v>
      </c>
      <c r="F19" s="16">
        <f>IFERROR(__xludf.DUMMYFUNCTION("""COMPUTED_VALUE"""),0.012937678593854566)</f>
        <v>0.01293767859</v>
      </c>
      <c r="L19" s="16"/>
      <c r="M19" s="16"/>
      <c r="N19" s="16"/>
    </row>
    <row r="20">
      <c r="A20" s="25" t="str">
        <f>IFERROR(__xludf.DUMMYFUNCTION("""COMPUTED_VALUE"""),"Chile")</f>
        <v>Chile</v>
      </c>
      <c r="B20" s="22">
        <f>IFERROR(__xludf.DUMMYFUNCTION("""COMPUTED_VALUE"""),227821.0)</f>
        <v>227821</v>
      </c>
      <c r="C20" s="22">
        <f>IFERROR(__xludf.DUMMYFUNCTION("""COMPUTED_VALUE"""),1.9034571E7)</f>
        <v>19034571</v>
      </c>
      <c r="D20" s="18">
        <f>IFERROR(__xludf.DUMMYFUNCTION("""COMPUTED_VALUE"""),2020.0)</f>
        <v>2020</v>
      </c>
      <c r="E20" s="23">
        <f t="array" ref="E20">((B20/C20)/1000)*1000</f>
        <v>0.0119688014</v>
      </c>
      <c r="F20" s="16">
        <f>IFERROR(__xludf.DUMMYFUNCTION("""COMPUTED_VALUE"""),0.010246256192973008)</f>
        <v>0.01024625619</v>
      </c>
      <c r="L20" s="16"/>
      <c r="M20" s="16"/>
      <c r="N20" s="16"/>
    </row>
    <row r="21">
      <c r="A21" s="25" t="str">
        <f>IFERROR(__xludf.DUMMYFUNCTION("""COMPUTED_VALUE"""),"Chile")</f>
        <v>Chile</v>
      </c>
      <c r="B21" s="22">
        <f>IFERROR(__xludf.DUMMYFUNCTION("""COMPUTED_VALUE"""),229116.0)</f>
        <v>229116</v>
      </c>
      <c r="C21" s="22">
        <f>IFERROR(__xludf.DUMMYFUNCTION("""COMPUTED_VALUE"""),1.923767E7)</f>
        <v>19237670</v>
      </c>
      <c r="D21" s="18">
        <f>IFERROR(__xludf.DUMMYFUNCTION("""COMPUTED_VALUE"""),2021.0)</f>
        <v>2021</v>
      </c>
      <c r="E21" s="23">
        <f t="array" ref="E21">((B21/C21)/1000)*1000</f>
        <v>0.0119097583</v>
      </c>
      <c r="F21" s="16">
        <f>IFERROR(__xludf.DUMMYFUNCTION("""COMPUTED_VALUE"""),0.010670006694660993)</f>
        <v>0.01067000669</v>
      </c>
      <c r="L21" s="16"/>
      <c r="M21" s="16"/>
      <c r="N21" s="16"/>
    </row>
    <row r="22"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15.5"/>
    <col customWidth="1" min="11" max="11" width="21.38"/>
    <col customWidth="1" min="12" max="12" width="15.63"/>
    <col customWidth="1" min="13" max="13" width="16.13"/>
    <col customWidth="1" min="14" max="14" width="20.75"/>
  </cols>
  <sheetData>
    <row r="1">
      <c r="A1" s="20" t="str">
        <f>IFERROR(__xludf.DUMMYFUNCTION("QUERY(nascimento!A1:D121,""select B,D where A = 'COL'"",-1)"),"pais")</f>
        <v>pais</v>
      </c>
      <c r="B1" s="17" t="str">
        <f>IFERROR(__xludf.DUMMYFUNCTION("""COMPUTED_VALUE"""),"nascimento")</f>
        <v>nascimento</v>
      </c>
      <c r="C1" s="17" t="str">
        <f>IFERROR(__xludf.DUMMYFUNCTION("QUERY(populacao!A1:D127,""select C,B where A = 'COL' AND B &lt;&gt; 2001"",-1)"),"populacao")</f>
        <v>populacao</v>
      </c>
      <c r="D1" s="18" t="str">
        <f>IFERROR(__xludf.DUMMYFUNCTION("""COMPUTED_VALUE"""),"ano")</f>
        <v>ano</v>
      </c>
      <c r="E1" s="13" t="s">
        <v>29</v>
      </c>
      <c r="F1" s="17" t="str">
        <f>IFERROR(__xludf.DUMMYFUNCTION("QUERY(populacao!A1:D127,""select D where A = 'COL' AND B &lt;&gt; 2021"",-1)"),"taxa_de_crescimento")</f>
        <v>taxa_de_crescimento</v>
      </c>
      <c r="G1" s="19" t="s">
        <v>26</v>
      </c>
      <c r="H1" s="19" t="s">
        <v>27</v>
      </c>
      <c r="I1" s="19" t="s">
        <v>28</v>
      </c>
      <c r="J1" s="13" t="s">
        <v>2</v>
      </c>
      <c r="K1" s="19" t="s">
        <v>30</v>
      </c>
      <c r="L1" s="24" t="s">
        <v>31</v>
      </c>
      <c r="M1" s="24" t="s">
        <v>32</v>
      </c>
      <c r="N1" s="24" t="s">
        <v>33</v>
      </c>
    </row>
    <row r="2">
      <c r="A2" s="25" t="str">
        <f>IFERROR(__xludf.DUMMYFUNCTION("""COMPUTED_VALUE"""),"Colombia")</f>
        <v>Colombia</v>
      </c>
      <c r="B2" s="26">
        <f>IFERROR(__xludf.DUMMYFUNCTION("""COMPUTED_VALUE"""),850588.0)</f>
        <v>850588</v>
      </c>
      <c r="C2" s="26">
        <f>IFERROR(__xludf.DUMMYFUNCTION("""COMPUTED_VALUE"""),4.0568205E7)</f>
        <v>40568205</v>
      </c>
      <c r="D2" s="18">
        <f>IFERROR(__xludf.DUMMYFUNCTION("""COMPUTED_VALUE"""),2002.0)</f>
        <v>2002</v>
      </c>
      <c r="E2" s="23">
        <f t="array" ref="E2">((B2/C2)/1000)*1000</f>
        <v>0.02096686309</v>
      </c>
      <c r="F2" s="16">
        <f>IFERROR(__xludf.DUMMYFUNCTION("""COMPUTED_VALUE"""),0.015588025825065346)</f>
        <v>0.01558802583</v>
      </c>
      <c r="G2" s="22">
        <f>IFERROR(__xludf.DUMMYFUNCTION("QUERY(estrutura_etaria!A8:E10,""select C where A = 'Colombia'"",-1)"),1.2205330944699999E7)</f>
        <v>12205330.94</v>
      </c>
      <c r="H2" s="22">
        <f>IFERROR(__xludf.DUMMYFUNCTION("QUERY(estrutura_etaria!A8:E10,""select D where A = 'Colombia'"",-1)"),3.0119679570499998E7)</f>
        <v>30119679.57</v>
      </c>
      <c r="I2" s="22">
        <f>IFERROR(__xludf.DUMMYFUNCTION("QUERY(estrutura_etaria!A8:E10,""select E where A = 'Colombia'"",-1)"),2663308.4848)</f>
        <v>2663308.485</v>
      </c>
      <c r="J2" s="26">
        <f>IFERROR(__xludf.DUMMYFUNCTION("QUERY(estrutura_etaria!A8:E10,""select B where A = 'Colombia'"",-1)"),2010.0)</f>
        <v>2010</v>
      </c>
      <c r="K2" s="26">
        <f>AVERAGE(B17:B21,F17:F21)</f>
        <v>365129.1066</v>
      </c>
      <c r="L2" s="23">
        <f t="shared" ref="L2:L4" si="1">G2/SUM(G2:I2)</f>
        <v>0.2713</v>
      </c>
      <c r="M2" s="23">
        <f t="shared" ref="M2:M4" si="2">H2/SUM(G2:I2)</f>
        <v>0.6695</v>
      </c>
      <c r="N2" s="23">
        <f t="shared" ref="N2:N4" si="3">I2/SUM(G2:I2)</f>
        <v>0.0592</v>
      </c>
    </row>
    <row r="3">
      <c r="A3" s="25" t="str">
        <f>IFERROR(__xludf.DUMMYFUNCTION("""COMPUTED_VALUE"""),"Colombia")</f>
        <v>Colombia</v>
      </c>
      <c r="B3" s="22">
        <f>IFERROR(__xludf.DUMMYFUNCTION("""COMPUTED_VALUE"""),839623.0)</f>
        <v>839623</v>
      </c>
      <c r="C3" s="22">
        <f>IFERROR(__xludf.DUMMYFUNCTION("""COMPUTED_VALUE"""),4.1182118E7)</f>
        <v>41182118</v>
      </c>
      <c r="D3" s="18">
        <f>IFERROR(__xludf.DUMMYFUNCTION("""COMPUTED_VALUE"""),2003.0)</f>
        <v>2003</v>
      </c>
      <c r="E3" s="23">
        <f t="array" ref="E3">((B3/C3)/1000)*1000</f>
        <v>0.02038804804</v>
      </c>
      <c r="F3" s="16">
        <f>IFERROR(__xludf.DUMMYFUNCTION("""COMPUTED_VALUE"""),0.015132860820438075)</f>
        <v>0.01513286082</v>
      </c>
      <c r="G3" s="22">
        <f>IFERROR(__xludf.DUMMYFUNCTION("""COMPUTED_VALUE"""),1.15139620583E7)</f>
        <v>11513962.06</v>
      </c>
      <c r="H3" s="22">
        <f>IFERROR(__xludf.DUMMYFUNCTION("""COMPUTED_VALUE"""),3.2363824415000003E7)</f>
        <v>32363824.42</v>
      </c>
      <c r="I3" s="22">
        <f>IFERROR(__xludf.DUMMYFUNCTION("""COMPUTED_VALUE"""),3368672.5267000003)</f>
        <v>3368672.527</v>
      </c>
      <c r="J3" s="22">
        <f>IFERROR(__xludf.DUMMYFUNCTION("""COMPUTED_VALUE"""),2015.0)</f>
        <v>2015</v>
      </c>
      <c r="L3" s="23">
        <f t="shared" si="1"/>
        <v>0.2437</v>
      </c>
      <c r="M3" s="23">
        <f t="shared" si="2"/>
        <v>0.685</v>
      </c>
      <c r="N3" s="23">
        <f t="shared" si="3"/>
        <v>0.0713</v>
      </c>
    </row>
    <row r="4">
      <c r="A4" s="25" t="str">
        <f>IFERROR(__xludf.DUMMYFUNCTION("""COMPUTED_VALUE"""),"Colombia")</f>
        <v>Colombia</v>
      </c>
      <c r="B4" s="22">
        <f>IFERROR(__xludf.DUMMYFUNCTION("""COMPUTED_VALUE"""),827013.0)</f>
        <v>827013</v>
      </c>
      <c r="C4" s="22">
        <f>IFERROR(__xludf.DUMMYFUNCTION("""COMPUTED_VALUE"""),4.178153E7)</f>
        <v>41781530</v>
      </c>
      <c r="D4" s="18">
        <f>IFERROR(__xludf.DUMMYFUNCTION("""COMPUTED_VALUE"""),2004.0)</f>
        <v>2004</v>
      </c>
      <c r="E4" s="23">
        <f t="array" ref="E4">((B4/C4)/1000)*1000</f>
        <v>0.01979374618</v>
      </c>
      <c r="F4" s="16">
        <f>IFERROR(__xludf.DUMMYFUNCTION("""COMPUTED_VALUE"""),0.014555152311495975)</f>
        <v>0.01455515231</v>
      </c>
      <c r="G4" s="22">
        <f>IFERROR(__xludf.DUMMYFUNCTION("""COMPUTED_VALUE"""),1.10942924416E7)</f>
        <v>11094292.44</v>
      </c>
      <c r="H4" s="22">
        <f>IFERROR(__xludf.DUMMYFUNCTION("""COMPUTED_VALUE"""),3.52314642728E7)</f>
        <v>35231464.27</v>
      </c>
      <c r="I4" s="22">
        <f>IFERROR(__xludf.DUMMYFUNCTION("""COMPUTED_VALUE"""),4286891.285600001)</f>
        <v>4286891.286</v>
      </c>
      <c r="J4" s="22">
        <f>IFERROR(__xludf.DUMMYFUNCTION("""COMPUTED_VALUE"""),2020.0)</f>
        <v>2020</v>
      </c>
      <c r="L4" s="23">
        <f t="shared" si="1"/>
        <v>0.2192</v>
      </c>
      <c r="M4" s="23">
        <f t="shared" si="2"/>
        <v>0.6961</v>
      </c>
      <c r="N4" s="23">
        <f t="shared" si="3"/>
        <v>0.0847</v>
      </c>
    </row>
    <row r="5">
      <c r="A5" s="25" t="str">
        <f>IFERROR(__xludf.DUMMYFUNCTION("""COMPUTED_VALUE"""),"Colombia")</f>
        <v>Colombia</v>
      </c>
      <c r="B5" s="22">
        <f>IFERROR(__xludf.DUMMYFUNCTION("""COMPUTED_VALUE"""),813688.0)</f>
        <v>813688</v>
      </c>
      <c r="C5" s="22">
        <f>IFERROR(__xludf.DUMMYFUNCTION("""COMPUTED_VALUE"""),4.2364192E7)</f>
        <v>42364192</v>
      </c>
      <c r="D5" s="18">
        <f>IFERROR(__xludf.DUMMYFUNCTION("""COMPUTED_VALUE"""),2005.0)</f>
        <v>2005</v>
      </c>
      <c r="E5" s="23">
        <f t="array" ref="E5">((B5/C5)/1000)*1000</f>
        <v>0.01920697555</v>
      </c>
      <c r="F5" s="16">
        <f>IFERROR(__xludf.DUMMYFUNCTION("""COMPUTED_VALUE"""),0.013945444314748647)</f>
        <v>0.01394544431</v>
      </c>
      <c r="L5" s="16"/>
      <c r="M5" s="16"/>
      <c r="N5" s="16"/>
    </row>
    <row r="6">
      <c r="A6" s="25" t="str">
        <f>IFERROR(__xludf.DUMMYFUNCTION("""COMPUTED_VALUE"""),"Colombia")</f>
        <v>Colombia</v>
      </c>
      <c r="B6" s="22">
        <f>IFERROR(__xludf.DUMMYFUNCTION("""COMPUTED_VALUE"""),799623.0)</f>
        <v>799623</v>
      </c>
      <c r="C6" s="22">
        <f>IFERROR(__xludf.DUMMYFUNCTION("""COMPUTED_VALUE"""),4.2926589E7)</f>
        <v>42926589</v>
      </c>
      <c r="D6" s="18">
        <f>IFERROR(__xludf.DUMMYFUNCTION("""COMPUTED_VALUE"""),2006.0)</f>
        <v>2006</v>
      </c>
      <c r="E6" s="23">
        <f t="array" ref="E6">((B6/C6)/1000)*1000</f>
        <v>0.01862768551</v>
      </c>
      <c r="F6" s="16">
        <f>IFERROR(__xludf.DUMMYFUNCTION("""COMPUTED_VALUE"""),0.01327529154810742)</f>
        <v>0.01327529155</v>
      </c>
      <c r="L6" s="16"/>
      <c r="M6" s="16"/>
      <c r="N6" s="16"/>
    </row>
    <row r="7">
      <c r="A7" s="25" t="str">
        <f>IFERROR(__xludf.DUMMYFUNCTION("""COMPUTED_VALUE"""),"Colombia")</f>
        <v>Colombia</v>
      </c>
      <c r="B7" s="22">
        <f>IFERROR(__xludf.DUMMYFUNCTION("""COMPUTED_VALUE"""),787414.0)</f>
        <v>787414</v>
      </c>
      <c r="C7" s="22">
        <f>IFERROR(__xludf.DUMMYFUNCTION("""COMPUTED_VALUE"""),4.3471412E7)</f>
        <v>43471412</v>
      </c>
      <c r="D7" s="18">
        <f>IFERROR(__xludf.DUMMYFUNCTION("""COMPUTED_VALUE"""),2007.0)</f>
        <v>2007</v>
      </c>
      <c r="E7" s="23">
        <f t="array" ref="E7">((B7/C7)/1000)*1000</f>
        <v>0.01811337529</v>
      </c>
      <c r="F7" s="16">
        <f>IFERROR(__xludf.DUMMYFUNCTION("""COMPUTED_VALUE"""),0.012691970470796085)</f>
        <v>0.01269197047</v>
      </c>
      <c r="L7" s="16"/>
      <c r="M7" s="16"/>
      <c r="N7" s="16"/>
    </row>
    <row r="8">
      <c r="A8" s="25" t="str">
        <f>IFERROR(__xludf.DUMMYFUNCTION("""COMPUTED_VALUE"""),"Colombia")</f>
        <v>Colombia</v>
      </c>
      <c r="B8" s="22">
        <f>IFERROR(__xludf.DUMMYFUNCTION("""COMPUTED_VALUE"""),776110.0)</f>
        <v>776110</v>
      </c>
      <c r="C8" s="22">
        <f>IFERROR(__xludf.DUMMYFUNCTION("""COMPUTED_VALUE"""),4.3997656E7)</f>
        <v>43997656</v>
      </c>
      <c r="D8" s="18">
        <f>IFERROR(__xludf.DUMMYFUNCTION("""COMPUTED_VALUE"""),2008.0)</f>
        <v>2008</v>
      </c>
      <c r="E8" s="23">
        <f t="array" ref="E8">((B8/C8)/1000)*1000</f>
        <v>0.01763980336</v>
      </c>
      <c r="F8" s="16">
        <f>IFERROR(__xludf.DUMMYFUNCTION("""COMPUTED_VALUE"""),0.012105518909760742)</f>
        <v>0.01210551891</v>
      </c>
      <c r="L8" s="16"/>
      <c r="M8" s="16"/>
      <c r="N8" s="16"/>
    </row>
    <row r="9">
      <c r="A9" s="25" t="str">
        <f>IFERROR(__xludf.DUMMYFUNCTION("""COMPUTED_VALUE"""),"Colombia")</f>
        <v>Colombia</v>
      </c>
      <c r="B9" s="22">
        <f>IFERROR(__xludf.DUMMYFUNCTION("""COMPUTED_VALUE"""),765905.0)</f>
        <v>765905</v>
      </c>
      <c r="C9" s="22">
        <f>IFERROR(__xludf.DUMMYFUNCTION("""COMPUTED_VALUE"""),4.4504548E7)</f>
        <v>44504548</v>
      </c>
      <c r="D9" s="18">
        <f>IFERROR(__xludf.DUMMYFUNCTION("""COMPUTED_VALUE"""),2009.0)</f>
        <v>2009</v>
      </c>
      <c r="E9" s="23">
        <f t="array" ref="E9">((B9/C9)/1000)*1000</f>
        <v>0.01720958946</v>
      </c>
      <c r="F9" s="16">
        <f>IFERROR(__xludf.DUMMYFUNCTION("""COMPUTED_VALUE"""),0.01152088647631592)</f>
        <v>0.01152088648</v>
      </c>
      <c r="L9" s="16"/>
      <c r="M9" s="16"/>
      <c r="N9" s="16"/>
    </row>
    <row r="10">
      <c r="A10" s="25" t="str">
        <f>IFERROR(__xludf.DUMMYFUNCTION("""COMPUTED_VALUE"""),"Colombia")</f>
        <v>Colombia</v>
      </c>
      <c r="B10" s="22">
        <f>IFERROR(__xludf.DUMMYFUNCTION("""COMPUTED_VALUE"""),758072.0)</f>
        <v>758072</v>
      </c>
      <c r="C10" s="22">
        <f>IFERROR(__xludf.DUMMYFUNCTION("""COMPUTED_VALUE"""),4.4988319E7)</f>
        <v>44988319</v>
      </c>
      <c r="D10" s="18">
        <f>IFERROR(__xludf.DUMMYFUNCTION("""COMPUTED_VALUE"""),2010.0)</f>
        <v>2010</v>
      </c>
      <c r="E10" s="23">
        <f t="array" ref="E10">((B10/C10)/1000)*1000</f>
        <v>0.01685041844</v>
      </c>
      <c r="F10" s="16">
        <f>IFERROR(__xludf.DUMMYFUNCTION("""COMPUTED_VALUE"""),0.010870147473467207)</f>
        <v>0.01087014747</v>
      </c>
      <c r="L10" s="16"/>
      <c r="M10" s="16"/>
      <c r="N10" s="16"/>
    </row>
    <row r="11">
      <c r="A11" s="25" t="str">
        <f>IFERROR(__xludf.DUMMYFUNCTION("""COMPUTED_VALUE"""),"Colombia")</f>
        <v>Colombia</v>
      </c>
      <c r="B11" s="22">
        <f>IFERROR(__xludf.DUMMYFUNCTION("""COMPUTED_VALUE"""),752881.0)</f>
        <v>752881</v>
      </c>
      <c r="C11" s="22">
        <f>IFERROR(__xludf.DUMMYFUNCTION("""COMPUTED_VALUE"""),4.5444531E7)</f>
        <v>45444531</v>
      </c>
      <c r="D11" s="18">
        <f>IFERROR(__xludf.DUMMYFUNCTION("""COMPUTED_VALUE"""),2011.0)</f>
        <v>2011</v>
      </c>
      <c r="E11" s="23">
        <f t="array" ref="E11">((B11/C11)/1000)*1000</f>
        <v>0.01656703202</v>
      </c>
      <c r="F11" s="16">
        <f>IFERROR(__xludf.DUMMYFUNCTION("""COMPUTED_VALUE"""),0.010140676738777459)</f>
        <v>0.01014067674</v>
      </c>
      <c r="L11" s="16"/>
      <c r="M11" s="16"/>
      <c r="N11" s="16"/>
    </row>
    <row r="12">
      <c r="A12" s="25" t="str">
        <f>IFERROR(__xludf.DUMMYFUNCTION("""COMPUTED_VALUE"""),"Colombia")</f>
        <v>Colombia</v>
      </c>
      <c r="B12" s="22">
        <f>IFERROR(__xludf.DUMMYFUNCTION("""COMPUTED_VALUE"""),748734.0)</f>
        <v>748734</v>
      </c>
      <c r="C12" s="22">
        <f>IFERROR(__xludf.DUMMYFUNCTION("""COMPUTED_VALUE"""),4.5870362E7)</f>
        <v>45870362</v>
      </c>
      <c r="D12" s="18">
        <f>IFERROR(__xludf.DUMMYFUNCTION("""COMPUTED_VALUE"""),2012.0)</f>
        <v>2012</v>
      </c>
      <c r="E12" s="23">
        <f t="array" ref="E12">((B12/C12)/1000)*1000</f>
        <v>0.01632282736</v>
      </c>
      <c r="F12" s="16">
        <f>IFERROR(__xludf.DUMMYFUNCTION("""COMPUTED_VALUE"""),0.009370346455990492)</f>
        <v>0.009370346456</v>
      </c>
      <c r="L12" s="16"/>
      <c r="M12" s="16"/>
      <c r="N12" s="16"/>
    </row>
    <row r="13">
      <c r="A13" s="25" t="str">
        <f>IFERROR(__xludf.DUMMYFUNCTION("""COMPUTED_VALUE"""),"Colombia")</f>
        <v>Colombia</v>
      </c>
      <c r="B13" s="22">
        <f>IFERROR(__xludf.DUMMYFUNCTION("""COMPUTED_VALUE"""),744381.0)</f>
        <v>744381</v>
      </c>
      <c r="C13" s="22">
        <f>IFERROR(__xludf.DUMMYFUNCTION("""COMPUTED_VALUE"""),4.6287332E7)</f>
        <v>46287332</v>
      </c>
      <c r="D13" s="18">
        <f>IFERROR(__xludf.DUMMYFUNCTION("""COMPUTED_VALUE"""),2013.0)</f>
        <v>2013</v>
      </c>
      <c r="E13" s="23">
        <f t="array" ref="E13">((B13/C13)/1000)*1000</f>
        <v>0.01608174349</v>
      </c>
      <c r="F13" s="16">
        <f>IFERROR(__xludf.DUMMYFUNCTION("""COMPUTED_VALUE"""),0.009090183330142457)</f>
        <v>0.00909018333</v>
      </c>
      <c r="L13" s="16"/>
      <c r="M13" s="16"/>
      <c r="N13" s="16"/>
    </row>
    <row r="14">
      <c r="A14" s="25" t="str">
        <f>IFERROR(__xludf.DUMMYFUNCTION("""COMPUTED_VALUE"""),"Colombia")</f>
        <v>Colombia</v>
      </c>
      <c r="B14" s="22">
        <f>IFERROR(__xludf.DUMMYFUNCTION("""COMPUTED_VALUE"""),739615.0)</f>
        <v>739615</v>
      </c>
      <c r="C14" s="22">
        <f>IFERROR(__xludf.DUMMYFUNCTION("""COMPUTED_VALUE"""),4.673354E7)</f>
        <v>46733540</v>
      </c>
      <c r="D14" s="18">
        <f>IFERROR(__xludf.DUMMYFUNCTION("""COMPUTED_VALUE"""),2014.0)</f>
        <v>2014</v>
      </c>
      <c r="E14" s="23">
        <f t="array" ref="E14">((B14/C14)/1000)*1000</f>
        <v>0.01582621389</v>
      </c>
      <c r="F14" s="16">
        <f>IFERROR(__xludf.DUMMYFUNCTION("""COMPUTED_VALUE"""),0.009639959373765591)</f>
        <v>0.009639959374</v>
      </c>
      <c r="L14" s="16"/>
      <c r="M14" s="16"/>
      <c r="N14" s="16"/>
    </row>
    <row r="15">
      <c r="A15" s="25" t="str">
        <f>IFERROR(__xludf.DUMMYFUNCTION("""COMPUTED_VALUE"""),"Colombia")</f>
        <v>Colombia</v>
      </c>
      <c r="B15" s="22">
        <f>IFERROR(__xludf.DUMMYFUNCTION("""COMPUTED_VALUE"""),734664.0)</f>
        <v>734664</v>
      </c>
      <c r="C15" s="22">
        <f>IFERROR(__xludf.DUMMYFUNCTION("""COMPUTED_VALUE"""),4.7246459E7)</f>
        <v>47246459</v>
      </c>
      <c r="D15" s="18">
        <f>IFERROR(__xludf.DUMMYFUNCTION("""COMPUTED_VALUE"""),2015.0)</f>
        <v>2015</v>
      </c>
      <c r="E15" s="23">
        <f t="array" ref="E15">((B15/C15)/1000)*1000</f>
        <v>0.01554960976</v>
      </c>
      <c r="F15" s="16">
        <f>IFERROR(__xludf.DUMMYFUNCTION("""COMPUTED_VALUE"""),0.010975393689414498)</f>
        <v>0.01097539369</v>
      </c>
      <c r="L15" s="16"/>
      <c r="M15" s="16"/>
      <c r="N15" s="16"/>
    </row>
    <row r="16">
      <c r="A16" s="25" t="str">
        <f>IFERROR(__xludf.DUMMYFUNCTION("""COMPUTED_VALUE"""),"Colombia")</f>
        <v>Colombia</v>
      </c>
      <c r="B16" s="22">
        <f>IFERROR(__xludf.DUMMYFUNCTION("""COMPUTED_VALUE"""),730565.0)</f>
        <v>730565</v>
      </c>
      <c r="C16" s="22">
        <f>IFERROR(__xludf.DUMMYFUNCTION("""COMPUTED_VALUE"""),4.7849645E7)</f>
        <v>47849645</v>
      </c>
      <c r="D16" s="18">
        <f>IFERROR(__xludf.DUMMYFUNCTION("""COMPUTED_VALUE"""),2016.0)</f>
        <v>2016</v>
      </c>
      <c r="E16" s="23">
        <f t="array" ref="E16">((B16/C16)/1000)*1000</f>
        <v>0.01526792936</v>
      </c>
      <c r="F16" s="16">
        <f>IFERROR(__xludf.DUMMYFUNCTION("""COMPUTED_VALUE"""),0.012766798036652862)</f>
        <v>0.01276679804</v>
      </c>
      <c r="L16" s="16"/>
      <c r="M16" s="16"/>
      <c r="N16" s="16"/>
    </row>
    <row r="17">
      <c r="A17" s="25" t="str">
        <f>IFERROR(__xludf.DUMMYFUNCTION("""COMPUTED_VALUE"""),"Colombia")</f>
        <v>Colombia</v>
      </c>
      <c r="B17" s="22">
        <f>IFERROR(__xludf.DUMMYFUNCTION("""COMPUTED_VALUE"""),726008.0)</f>
        <v>726008</v>
      </c>
      <c r="C17" s="22">
        <f>IFERROR(__xludf.DUMMYFUNCTION("""COMPUTED_VALUE"""),4.8545466E7)</f>
        <v>48545466</v>
      </c>
      <c r="D17" s="18">
        <f>IFERROR(__xludf.DUMMYFUNCTION("""COMPUTED_VALUE"""),2017.0)</f>
        <v>2017</v>
      </c>
      <c r="E17" s="23">
        <f t="array" ref="E17">((B17/C17)/1000)*1000</f>
        <v>0.01495521745</v>
      </c>
      <c r="F17" s="16">
        <f>IFERROR(__xludf.DUMMYFUNCTION("""COMPUTED_VALUE"""),0.014541821574642821)</f>
        <v>0.01454182157</v>
      </c>
      <c r="L17" s="16"/>
      <c r="M17" s="16"/>
      <c r="N17" s="16"/>
    </row>
    <row r="18">
      <c r="A18" s="25" t="str">
        <f>IFERROR(__xludf.DUMMYFUNCTION("""COMPUTED_VALUE"""),"Colombia")</f>
        <v>Colombia</v>
      </c>
      <c r="B18" s="22">
        <f>IFERROR(__xludf.DUMMYFUNCTION("""COMPUTED_VALUE"""),727649.0)</f>
        <v>727649</v>
      </c>
      <c r="C18" s="22">
        <f>IFERROR(__xludf.DUMMYFUNCTION("""COMPUTED_VALUE"""),4.9288537E7)</f>
        <v>49288537</v>
      </c>
      <c r="D18" s="18">
        <f>IFERROR(__xludf.DUMMYFUNCTION("""COMPUTED_VALUE"""),2018.0)</f>
        <v>2018</v>
      </c>
      <c r="E18" s="23">
        <f t="array" ref="E18">((B18/C18)/1000)*1000</f>
        <v>0.01476304724</v>
      </c>
      <c r="F18" s="16">
        <f>IFERROR(__xludf.DUMMYFUNCTION("""COMPUTED_VALUE"""),0.015306702380815542)</f>
        <v>0.01530670238</v>
      </c>
      <c r="L18" s="16"/>
      <c r="M18" s="16"/>
      <c r="N18" s="16"/>
    </row>
    <row r="19">
      <c r="A19" s="25" t="str">
        <f>IFERROR(__xludf.DUMMYFUNCTION("""COMPUTED_VALUE"""),"Colombia")</f>
        <v>Colombia</v>
      </c>
      <c r="B19" s="22">
        <f>IFERROR(__xludf.DUMMYFUNCTION("""COMPUTED_VALUE"""),733940.0)</f>
        <v>733940</v>
      </c>
      <c r="C19" s="22">
        <f>IFERROR(__xludf.DUMMYFUNCTION("""COMPUTED_VALUE"""),5.0003037E7)</f>
        <v>50003037</v>
      </c>
      <c r="D19" s="18">
        <f>IFERROR(__xludf.DUMMYFUNCTION("""COMPUTED_VALUE"""),2019.0)</f>
        <v>2019</v>
      </c>
      <c r="E19" s="23">
        <f t="array" ref="E19">((B19/C19)/1000)*1000</f>
        <v>0.01467790846</v>
      </c>
      <c r="F19" s="16">
        <f>IFERROR(__xludf.DUMMYFUNCTION("""COMPUTED_VALUE"""),0.014496271212107593)</f>
        <v>0.01449627121</v>
      </c>
      <c r="L19" s="16"/>
      <c r="M19" s="16"/>
      <c r="N19" s="16"/>
    </row>
    <row r="20">
      <c r="A20" s="25" t="str">
        <f>IFERROR(__xludf.DUMMYFUNCTION("""COMPUTED_VALUE"""),"Colombia")</f>
        <v>Colombia</v>
      </c>
      <c r="B20" s="22">
        <f>IFERROR(__xludf.DUMMYFUNCTION("""COMPUTED_VALUE"""),733491.0)</f>
        <v>733491</v>
      </c>
      <c r="C20" s="22">
        <f>IFERROR(__xludf.DUMMYFUNCTION("""COMPUTED_VALUE"""),5.0612648E7)</f>
        <v>50612648</v>
      </c>
      <c r="D20" s="18">
        <f>IFERROR(__xludf.DUMMYFUNCTION("""COMPUTED_VALUE"""),2020.0)</f>
        <v>2020</v>
      </c>
      <c r="E20" s="23">
        <f t="array" ref="E20">((B20/C20)/1000)*1000</f>
        <v>0.01449224708</v>
      </c>
      <c r="F20" s="16">
        <f>IFERROR(__xludf.DUMMYFUNCTION("""COMPUTED_VALUE"""),0.012191479489535806)</f>
        <v>0.01219147949</v>
      </c>
      <c r="L20" s="16"/>
      <c r="M20" s="16"/>
      <c r="N20" s="16"/>
    </row>
    <row r="21">
      <c r="A21" s="25" t="str">
        <f>IFERROR(__xludf.DUMMYFUNCTION("""COMPUTED_VALUE"""),"Colombia")</f>
        <v>Colombia</v>
      </c>
      <c r="B21" s="22">
        <f>IFERROR(__xludf.DUMMYFUNCTION("""COMPUTED_VALUE"""),730203.0)</f>
        <v>730203</v>
      </c>
      <c r="C21" s="22">
        <f>IFERROR(__xludf.DUMMYFUNCTION("""COMPUTED_VALUE"""),5.1109158E7)</f>
        <v>51109158</v>
      </c>
      <c r="D21" s="18">
        <f>IFERROR(__xludf.DUMMYFUNCTION("""COMPUTED_VALUE"""),2021.0)</f>
        <v>2021</v>
      </c>
      <c r="E21" s="23">
        <f t="array" ref="E21">((B21/C21)/1000)*1000</f>
        <v>0.01428712639</v>
      </c>
      <c r="F21" s="16">
        <f>IFERROR(__xludf.DUMMYFUNCTION("""COMPUTED_VALUE"""),0.009809998481012099)</f>
        <v>0.009809998481</v>
      </c>
      <c r="L21" s="16"/>
      <c r="M21" s="16"/>
      <c r="N21" s="16"/>
    </row>
    <row r="22"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6" max="6" width="14.25"/>
    <col customWidth="1" min="11" max="11" width="22.5"/>
    <col customWidth="1" min="12" max="12" width="16.5"/>
    <col customWidth="1" min="13" max="13" width="20.13"/>
    <col customWidth="1" min="14" max="14" width="19.63"/>
  </cols>
  <sheetData>
    <row r="1">
      <c r="A1" s="17" t="str">
        <f>IFERROR(__xludf.DUMMYFUNCTION("QUERY(nascimento!A1:D121,""select B,D where A = 'ECU'"",-1)"),"pais")</f>
        <v>pais</v>
      </c>
      <c r="B1" s="18" t="str">
        <f>IFERROR(__xludf.DUMMYFUNCTION("""COMPUTED_VALUE"""),"nascimento")</f>
        <v>nascimento</v>
      </c>
      <c r="C1" s="17" t="str">
        <f>IFERROR(__xludf.DUMMYFUNCTION("QUERY(populacao!A1:D127,""select C,B where A = 'ECU' AND B &lt;&gt; 2001"",-1)"),"populacao")</f>
        <v>populacao</v>
      </c>
      <c r="D1" s="18" t="str">
        <f>IFERROR(__xludf.DUMMYFUNCTION("""COMPUTED_VALUE"""),"ano")</f>
        <v>ano</v>
      </c>
      <c r="E1" s="13" t="s">
        <v>29</v>
      </c>
      <c r="F1" s="13" t="str">
        <f>IFERROR(__xludf.DUMMYFUNCTION("QUERY(populacao!A1:D127,""select D where A = 'ECU' AND B &lt;&gt; 2021"",-1)"),"taxa_de_crescimento")</f>
        <v>taxa_de_crescimento</v>
      </c>
      <c r="G1" s="19" t="s">
        <v>26</v>
      </c>
      <c r="H1" s="19" t="s">
        <v>27</v>
      </c>
      <c r="I1" s="19" t="s">
        <v>28</v>
      </c>
      <c r="J1" s="13" t="s">
        <v>2</v>
      </c>
      <c r="K1" s="19" t="s">
        <v>30</v>
      </c>
      <c r="L1" s="24" t="s">
        <v>31</v>
      </c>
      <c r="M1" s="24" t="s">
        <v>32</v>
      </c>
      <c r="N1" s="24" t="s">
        <v>33</v>
      </c>
    </row>
    <row r="2">
      <c r="A2" s="18" t="str">
        <f>IFERROR(__xludf.DUMMYFUNCTION("""COMPUTED_VALUE"""),"Ecuador")</f>
        <v>Ecuador</v>
      </c>
      <c r="B2" s="22">
        <f>IFERROR(__xludf.DUMMYFUNCTION("""COMPUTED_VALUE"""),320056.0)</f>
        <v>320056</v>
      </c>
      <c r="C2" s="26">
        <f>IFERROR(__xludf.DUMMYFUNCTION("""COMPUTED_VALUE"""),1.3030003E7)</f>
        <v>13030003</v>
      </c>
      <c r="D2" s="17">
        <f>IFERROR(__xludf.DUMMYFUNCTION("""COMPUTED_VALUE"""),2002.0)</f>
        <v>2002</v>
      </c>
      <c r="E2" s="23">
        <f t="array" ref="E2">((B2/C2)/1000)*1000</f>
        <v>0.02456300279</v>
      </c>
      <c r="F2" s="23">
        <f>IFERROR(__xludf.DUMMYFUNCTION("""COMPUTED_VALUE"""),0.018060371200508546)</f>
        <v>0.0180603712</v>
      </c>
      <c r="G2" s="22">
        <f>IFERROR(__xludf.DUMMYFUNCTION("QUERY(estrutura_etaria!A11:E13,""select C where A = 'Ecuador'"",-1)"),4640888.1376)</f>
        <v>4640888.138</v>
      </c>
      <c r="H2" s="22">
        <f>IFERROR(__xludf.DUMMYFUNCTION("QUERY(estrutura_etaria!A11:E13,""select D where A = 'Ecuador'"",-1)"),9377096.185600001)</f>
        <v>9377096.186</v>
      </c>
      <c r="I2" s="22">
        <f>IFERROR(__xludf.DUMMYFUNCTION("QUERY(estrutura_etaria!A11:E13,""select E where A = 'Ecuador'"",-1)"),875751.6768)</f>
        <v>875751.6768</v>
      </c>
      <c r="J2" s="26">
        <f>IFERROR(__xludf.DUMMYFUNCTION("QUERY(estrutura_etaria!A11:E13,""select B where A = 'Ecuador'"",-1)"),2010.0)</f>
        <v>2010</v>
      </c>
      <c r="K2" s="26">
        <f>AVERAGE(B17:B21,F17:F21)</f>
        <v>149753.9084</v>
      </c>
      <c r="L2" s="23">
        <f t="shared" ref="L2:L4" si="1">G2/SUM(G2:I2)</f>
        <v>0.3116</v>
      </c>
      <c r="M2" s="23">
        <f t="shared" ref="M2:M4" si="2">H2/SUM(G2:I2)</f>
        <v>0.6296</v>
      </c>
      <c r="N2" s="23">
        <f t="shared" ref="N2:N4" si="3">I2/SUM(G2:I2)</f>
        <v>0.0588</v>
      </c>
    </row>
    <row r="3">
      <c r="A3" s="18" t="str">
        <f>IFERROR(__xludf.DUMMYFUNCTION("""COMPUTED_VALUE"""),"Ecuador")</f>
        <v>Ecuador</v>
      </c>
      <c r="B3" s="22">
        <f>IFERROR(__xludf.DUMMYFUNCTION("""COMPUTED_VALUE"""),319753.0)</f>
        <v>319753</v>
      </c>
      <c r="C3" s="22">
        <f>IFERROR(__xludf.DUMMYFUNCTION("""COMPUTED_VALUE"""),1.3257501E7)</f>
        <v>13257501</v>
      </c>
      <c r="D3" s="18">
        <f>IFERROR(__xludf.DUMMYFUNCTION("""COMPUTED_VALUE"""),2003.0)</f>
        <v>2003</v>
      </c>
      <c r="E3" s="23">
        <f t="array" ref="E3">((B3/C3)/1000)*1000</f>
        <v>0.024118648</v>
      </c>
      <c r="F3" s="16">
        <f>IFERROR(__xludf.DUMMYFUNCTION("""COMPUTED_VALUE"""),0.017459550853518607)</f>
        <v>0.01745955085</v>
      </c>
      <c r="G3" s="22">
        <f>IFERROR(__xludf.DUMMYFUNCTION("""COMPUTED_VALUE"""),4667285.4392)</f>
        <v>4667285.439</v>
      </c>
      <c r="H3" s="22">
        <f>IFERROR(__xludf.DUMMYFUNCTION("""COMPUTED_VALUE"""),1.0344583027199998E7)</f>
        <v>10344583.03</v>
      </c>
      <c r="I3" s="22">
        <f>IFERROR(__xludf.DUMMYFUNCTION("""COMPUTED_VALUE"""),1071127.5336000002)</f>
        <v>1071127.534</v>
      </c>
      <c r="J3" s="22">
        <f>IFERROR(__xludf.DUMMYFUNCTION("""COMPUTED_VALUE"""),2015.0)</f>
        <v>2015</v>
      </c>
      <c r="L3" s="23">
        <f t="shared" si="1"/>
        <v>0.2902</v>
      </c>
      <c r="M3" s="23">
        <f t="shared" si="2"/>
        <v>0.6432</v>
      </c>
      <c r="N3" s="23">
        <f t="shared" si="3"/>
        <v>0.0666</v>
      </c>
    </row>
    <row r="4">
      <c r="A4" s="18" t="str">
        <f>IFERROR(__xludf.DUMMYFUNCTION("""COMPUTED_VALUE"""),"Ecuador")</f>
        <v>Ecuador</v>
      </c>
      <c r="B4" s="22">
        <f>IFERROR(__xludf.DUMMYFUNCTION("""COMPUTED_VALUE"""),319624.0)</f>
        <v>319624</v>
      </c>
      <c r="C4" s="22">
        <f>IFERROR(__xludf.DUMMYFUNCTION("""COMPUTED_VALUE"""),1.3483653E7)</f>
        <v>13483653</v>
      </c>
      <c r="D4" s="18">
        <f>IFERROR(__xludf.DUMMYFUNCTION("""COMPUTED_VALUE"""),2004.0)</f>
        <v>2004</v>
      </c>
      <c r="E4" s="23">
        <f t="array" ref="E4">((B4/C4)/1000)*1000</f>
        <v>0.02370455543</v>
      </c>
      <c r="F4" s="16">
        <f>IFERROR(__xludf.DUMMYFUNCTION("""COMPUTED_VALUE"""),0.017058418475699152)</f>
        <v>0.01705841848</v>
      </c>
      <c r="G4" s="22">
        <f>IFERROR(__xludf.DUMMYFUNCTION("""COMPUTED_VALUE"""),4638159.2655)</f>
        <v>4638159.266</v>
      </c>
      <c r="H4" s="22">
        <f>IFERROR(__xludf.DUMMYFUNCTION("""COMPUTED_VALUE"""),1.15507499715E7)</f>
        <v>11550749.97</v>
      </c>
      <c r="I4" s="22">
        <f>IFERROR(__xludf.DUMMYFUNCTION("""COMPUTED_VALUE"""),1320185.7629999998)</f>
        <v>1320185.763</v>
      </c>
      <c r="J4" s="22">
        <f>IFERROR(__xludf.DUMMYFUNCTION("""COMPUTED_VALUE"""),2020.0)</f>
        <v>2020</v>
      </c>
      <c r="L4" s="23">
        <f t="shared" si="1"/>
        <v>0.2649</v>
      </c>
      <c r="M4" s="23">
        <f t="shared" si="2"/>
        <v>0.6597</v>
      </c>
      <c r="N4" s="23">
        <f t="shared" si="3"/>
        <v>0.0754</v>
      </c>
    </row>
    <row r="5">
      <c r="A5" s="18" t="str">
        <f>IFERROR(__xludf.DUMMYFUNCTION("""COMPUTED_VALUE"""),"Ecuador")</f>
        <v>Ecuador</v>
      </c>
      <c r="B5" s="22">
        <f>IFERROR(__xludf.DUMMYFUNCTION("""COMPUTED_VALUE"""),319659.0)</f>
        <v>319659</v>
      </c>
      <c r="C5" s="22">
        <f>IFERROR(__xludf.DUMMYFUNCTION("""COMPUTED_VALUE"""),1.3712057E7)</f>
        <v>13712057</v>
      </c>
      <c r="D5" s="18">
        <f>IFERROR(__xludf.DUMMYFUNCTION("""COMPUTED_VALUE"""),2005.0)</f>
        <v>2005</v>
      </c>
      <c r="E5" s="23">
        <f t="array" ref="E5">((B5/C5)/1000)*1000</f>
        <v>0.02331225723</v>
      </c>
      <c r="F5" s="16">
        <f>IFERROR(__xludf.DUMMYFUNCTION("""COMPUTED_VALUE"""),0.016939326457006867)</f>
        <v>0.01693932646</v>
      </c>
      <c r="L5" s="16"/>
      <c r="M5" s="16"/>
      <c r="N5" s="16"/>
    </row>
    <row r="6">
      <c r="A6" s="18" t="str">
        <f>IFERROR(__xludf.DUMMYFUNCTION("""COMPUTED_VALUE"""),"Ecuador")</f>
        <v>Ecuador</v>
      </c>
      <c r="B6" s="22">
        <f>IFERROR(__xludf.DUMMYFUNCTION("""COMPUTED_VALUE"""),320941.0)</f>
        <v>320941</v>
      </c>
      <c r="C6" s="22">
        <f>IFERROR(__xludf.DUMMYFUNCTION("""COMPUTED_VALUE"""),1.3943569E7)</f>
        <v>13943569</v>
      </c>
      <c r="D6" s="18">
        <f>IFERROR(__xludf.DUMMYFUNCTION("""COMPUTED_VALUE"""),2006.0)</f>
        <v>2006</v>
      </c>
      <c r="E6" s="23">
        <f t="array" ref="E6">((B6/C6)/1000)*1000</f>
        <v>0.02301713428</v>
      </c>
      <c r="F6" s="16">
        <f>IFERROR(__xludf.DUMMYFUNCTION("""COMPUTED_VALUE"""),0.016883827131115338)</f>
        <v>0.01688382713</v>
      </c>
      <c r="L6" s="16"/>
      <c r="M6" s="16"/>
      <c r="N6" s="16"/>
    </row>
    <row r="7">
      <c r="A7" s="18" t="str">
        <f>IFERROR(__xludf.DUMMYFUNCTION("""COMPUTED_VALUE"""),"Ecuador")</f>
        <v>Ecuador</v>
      </c>
      <c r="B7" s="22">
        <f>IFERROR(__xludf.DUMMYFUNCTION("""COMPUTED_VALUE"""),322742.0)</f>
        <v>322742</v>
      </c>
      <c r="C7" s="22">
        <f>IFERROR(__xludf.DUMMYFUNCTION("""COMPUTED_VALUE"""),1.4178941E7)</f>
        <v>14178941</v>
      </c>
      <c r="D7" s="18">
        <f>IFERROR(__xludf.DUMMYFUNCTION("""COMPUTED_VALUE"""),2007.0)</f>
        <v>2007</v>
      </c>
      <c r="E7" s="23">
        <f t="array" ref="E7">((B7/C7)/1000)*1000</f>
        <v>0.02276206665</v>
      </c>
      <c r="F7" s="16">
        <f>IFERROR(__xludf.DUMMYFUNCTION("""COMPUTED_VALUE"""),0.01688032669397627)</f>
        <v>0.01688032669</v>
      </c>
      <c r="L7" s="16"/>
      <c r="M7" s="16"/>
      <c r="N7" s="16"/>
    </row>
    <row r="8">
      <c r="A8" s="18" t="str">
        <f>IFERROR(__xludf.DUMMYFUNCTION("""COMPUTED_VALUE"""),"Ecuador")</f>
        <v>Ecuador</v>
      </c>
      <c r="B8" s="22">
        <f>IFERROR(__xludf.DUMMYFUNCTION("""COMPUTED_VALUE"""),324545.0)</f>
        <v>324545</v>
      </c>
      <c r="C8" s="22">
        <f>IFERROR(__xludf.DUMMYFUNCTION("""COMPUTED_VALUE"""),1.4416801E7)</f>
        <v>14416801</v>
      </c>
      <c r="D8" s="18">
        <f>IFERROR(__xludf.DUMMYFUNCTION("""COMPUTED_VALUE"""),2008.0)</f>
        <v>2008</v>
      </c>
      <c r="E8" s="23">
        <f t="array" ref="E8">((B8/C8)/1000)*1000</f>
        <v>0.02251158215</v>
      </c>
      <c r="F8" s="16">
        <f>IFERROR(__xludf.DUMMYFUNCTION("""COMPUTED_VALUE"""),0.016775582887325648)</f>
        <v>0.01677558289</v>
      </c>
      <c r="L8" s="16"/>
      <c r="M8" s="16"/>
      <c r="N8" s="16"/>
    </row>
    <row r="9">
      <c r="A9" s="18" t="str">
        <f>IFERROR(__xludf.DUMMYFUNCTION("""COMPUTED_VALUE"""),"Ecuador")</f>
        <v>Ecuador</v>
      </c>
      <c r="B9" s="22">
        <f>IFERROR(__xludf.DUMMYFUNCTION("""COMPUTED_VALUE"""),326551.0)</f>
        <v>326551</v>
      </c>
      <c r="C9" s="22">
        <f>IFERROR(__xludf.DUMMYFUNCTION("""COMPUTED_VALUE"""),1.4656057E7)</f>
        <v>14656057</v>
      </c>
      <c r="D9" s="18">
        <f>IFERROR(__xludf.DUMMYFUNCTION("""COMPUTED_VALUE"""),2009.0)</f>
        <v>2009</v>
      </c>
      <c r="E9" s="23">
        <f t="array" ref="E9">((B9/C9)/1000)*1000</f>
        <v>0.02228095865</v>
      </c>
      <c r="F9" s="16">
        <f>IFERROR(__xludf.DUMMYFUNCTION("""COMPUTED_VALUE"""),0.01659563727070936)</f>
        <v>0.01659563727</v>
      </c>
      <c r="L9" s="16"/>
      <c r="M9" s="16"/>
      <c r="N9" s="16"/>
    </row>
    <row r="10">
      <c r="A10" s="18" t="str">
        <f>IFERROR(__xludf.DUMMYFUNCTION("""COMPUTED_VALUE"""),"Ecuador")</f>
        <v>Ecuador</v>
      </c>
      <c r="B10" s="22">
        <f>IFERROR(__xludf.DUMMYFUNCTION("""COMPUTED_VALUE"""),328258.0)</f>
        <v>328258</v>
      </c>
      <c r="C10" s="22">
        <f>IFERROR(__xludf.DUMMYFUNCTION("""COMPUTED_VALUE"""),1.4893736E7)</f>
        <v>14893736</v>
      </c>
      <c r="D10" s="18">
        <f>IFERROR(__xludf.DUMMYFUNCTION("""COMPUTED_VALUE"""),2010.0)</f>
        <v>2010</v>
      </c>
      <c r="E10" s="23">
        <f t="array" ref="E10">((B10/C10)/1000)*1000</f>
        <v>0.02204000393</v>
      </c>
      <c r="F10" s="16">
        <f>IFERROR(__xludf.DUMMYFUNCTION("""COMPUTED_VALUE"""),0.016217117605369574)</f>
        <v>0.01621711761</v>
      </c>
      <c r="L10" s="16"/>
      <c r="M10" s="16"/>
      <c r="N10" s="16"/>
    </row>
    <row r="11">
      <c r="A11" s="18" t="str">
        <f>IFERROR(__xludf.DUMMYFUNCTION("""COMPUTED_VALUE"""),"Ecuador")</f>
        <v>Ecuador</v>
      </c>
      <c r="B11" s="22">
        <f>IFERROR(__xludf.DUMMYFUNCTION("""COMPUTED_VALUE"""),330798.0)</f>
        <v>330798</v>
      </c>
      <c r="C11" s="22">
        <f>IFERROR(__xludf.DUMMYFUNCTION("""COMPUTED_VALUE"""),1.5128456E7)</f>
        <v>15128456</v>
      </c>
      <c r="D11" s="18">
        <f>IFERROR(__xludf.DUMMYFUNCTION("""COMPUTED_VALUE"""),2011.0)</f>
        <v>2011</v>
      </c>
      <c r="E11" s="23">
        <f t="array" ref="E11">((B11/C11)/1000)*1000</f>
        <v>0.02186594587</v>
      </c>
      <c r="F11" s="16">
        <f>IFERROR(__xludf.DUMMYFUNCTION("""COMPUTED_VALUE"""),0.015759645531517413)</f>
        <v>0.01575964553</v>
      </c>
      <c r="L11" s="16"/>
      <c r="M11" s="16"/>
      <c r="N11" s="16"/>
    </row>
    <row r="12">
      <c r="A12" s="18" t="str">
        <f>IFERROR(__xludf.DUMMYFUNCTION("""COMPUTED_VALUE"""),"Ecuador")</f>
        <v>Ecuador</v>
      </c>
      <c r="B12" s="22">
        <f>IFERROR(__xludf.DUMMYFUNCTION("""COMPUTED_VALUE"""),325267.0)</f>
        <v>325267</v>
      </c>
      <c r="C12" s="22">
        <f>IFERROR(__xludf.DUMMYFUNCTION("""COMPUTED_VALUE"""),1.5359621E7)</f>
        <v>15359621</v>
      </c>
      <c r="D12" s="18">
        <f>IFERROR(__xludf.DUMMYFUNCTION("""COMPUTED_VALUE"""),2012.0)</f>
        <v>2012</v>
      </c>
      <c r="E12" s="23">
        <f t="array" ref="E12">((B12/C12)/1000)*1000</f>
        <v>0.0211767595</v>
      </c>
      <c r="F12" s="16">
        <f>IFERROR(__xludf.DUMMYFUNCTION("""COMPUTED_VALUE"""),0.015280144913664686)</f>
        <v>0.01528014491</v>
      </c>
      <c r="L12" s="16"/>
      <c r="M12" s="16"/>
      <c r="N12" s="16"/>
    </row>
    <row r="13">
      <c r="A13" s="18" t="str">
        <f>IFERROR(__xludf.DUMMYFUNCTION("""COMPUTED_VALUE"""),"Ecuador")</f>
        <v>Ecuador</v>
      </c>
      <c r="B13" s="22">
        <f>IFERROR(__xludf.DUMMYFUNCTION("""COMPUTED_VALUE"""),316029.0)</f>
        <v>316029</v>
      </c>
      <c r="C13" s="22">
        <f>IFERROR(__xludf.DUMMYFUNCTION("""COMPUTED_VALUE"""),1.5591745E7)</f>
        <v>15591745</v>
      </c>
      <c r="D13" s="18">
        <f>IFERROR(__xludf.DUMMYFUNCTION("""COMPUTED_VALUE"""),2013.0)</f>
        <v>2013</v>
      </c>
      <c r="E13" s="23">
        <f t="array" ref="E13">((B13/C13)/1000)*1000</f>
        <v>0.02026899491</v>
      </c>
      <c r="F13" s="16">
        <f>IFERROR(__xludf.DUMMYFUNCTION("""COMPUTED_VALUE"""),0.015112612479175105)</f>
        <v>0.01511261248</v>
      </c>
      <c r="L13" s="16"/>
      <c r="M13" s="16"/>
      <c r="N13" s="16"/>
    </row>
    <row r="14">
      <c r="A14" s="18" t="str">
        <f>IFERROR(__xludf.DUMMYFUNCTION("""COMPUTED_VALUE"""),"Ecuador")</f>
        <v>Ecuador</v>
      </c>
      <c r="B14" s="22">
        <f>IFERROR(__xludf.DUMMYFUNCTION("""COMPUTED_VALUE"""),308532.0)</f>
        <v>308532</v>
      </c>
      <c r="C14" s="22">
        <f>IFERROR(__xludf.DUMMYFUNCTION("""COMPUTED_VALUE"""),1.5830657E7)</f>
        <v>15830657</v>
      </c>
      <c r="D14" s="18">
        <f>IFERROR(__xludf.DUMMYFUNCTION("""COMPUTED_VALUE"""),2014.0)</f>
        <v>2014</v>
      </c>
      <c r="E14" s="23">
        <f t="array" ref="E14">((B14/C14)/1000)*1000</f>
        <v>0.01948952592</v>
      </c>
      <c r="F14" s="16">
        <f>IFERROR(__xludf.DUMMYFUNCTION("""COMPUTED_VALUE"""),0.015322980205230395)</f>
        <v>0.01532298021</v>
      </c>
      <c r="L14" s="16"/>
      <c r="M14" s="16"/>
      <c r="N14" s="16"/>
    </row>
    <row r="15">
      <c r="A15" s="18" t="str">
        <f>IFERROR(__xludf.DUMMYFUNCTION("""COMPUTED_VALUE"""),"Ecuador")</f>
        <v>Ecuador</v>
      </c>
      <c r="B15" s="22">
        <f>IFERROR(__xludf.DUMMYFUNCTION("""COMPUTED_VALUE"""),303340.0)</f>
        <v>303340</v>
      </c>
      <c r="C15" s="22">
        <f>IFERROR(__xludf.DUMMYFUNCTION("""COMPUTED_VALUE"""),1.6082996E7)</f>
        <v>16082996</v>
      </c>
      <c r="D15" s="18">
        <f>IFERROR(__xludf.DUMMYFUNCTION("""COMPUTED_VALUE"""),2015.0)</f>
        <v>2015</v>
      </c>
      <c r="E15" s="23">
        <f t="array" ref="E15">((B15/C15)/1000)*1000</f>
        <v>0.01886091373</v>
      </c>
      <c r="F15" s="16">
        <f>IFERROR(__xludf.DUMMYFUNCTION("""COMPUTED_VALUE"""),0.015939894345509475)</f>
        <v>0.01593989435</v>
      </c>
      <c r="L15" s="16"/>
      <c r="M15" s="16"/>
      <c r="N15" s="16"/>
    </row>
    <row r="16">
      <c r="A16" s="18" t="str">
        <f>IFERROR(__xludf.DUMMYFUNCTION("""COMPUTED_VALUE"""),"Ecuador")</f>
        <v>Ecuador</v>
      </c>
      <c r="B16" s="22">
        <f>IFERROR(__xludf.DUMMYFUNCTION("""COMPUTED_VALUE"""),299318.0)</f>
        <v>299318</v>
      </c>
      <c r="C16" s="22">
        <f>IFERROR(__xludf.DUMMYFUNCTION("""COMPUTED_VALUE"""),1.6352332E7)</f>
        <v>16352332</v>
      </c>
      <c r="D16" s="18">
        <f>IFERROR(__xludf.DUMMYFUNCTION("""COMPUTED_VALUE"""),2016.0)</f>
        <v>2016</v>
      </c>
      <c r="E16" s="23">
        <f t="array" ref="E16">((B16/C16)/1000)*1000</f>
        <v>0.01830430057</v>
      </c>
      <c r="F16" s="16">
        <f>IFERROR(__xludf.DUMMYFUNCTION("""COMPUTED_VALUE"""),0.01674663103814737)</f>
        <v>0.01674663104</v>
      </c>
      <c r="L16" s="16"/>
      <c r="M16" s="16"/>
      <c r="N16" s="16"/>
    </row>
    <row r="17">
      <c r="A17" s="18" t="str">
        <f>IFERROR(__xludf.DUMMYFUNCTION("""COMPUTED_VALUE"""),"Ecuador")</f>
        <v>Ecuador</v>
      </c>
      <c r="B17" s="22">
        <f>IFERROR(__xludf.DUMMYFUNCTION("""COMPUTED_VALUE"""),300031.0)</f>
        <v>300031</v>
      </c>
      <c r="C17" s="22">
        <f>IFERROR(__xludf.DUMMYFUNCTION("""COMPUTED_VALUE"""),1.6639445E7)</f>
        <v>16639445</v>
      </c>
      <c r="D17" s="18">
        <f>IFERROR(__xludf.DUMMYFUNCTION("""COMPUTED_VALUE"""),2017.0)</f>
        <v>2017</v>
      </c>
      <c r="E17" s="23">
        <f t="array" ref="E17">((B17/C17)/1000)*1000</f>
        <v>0.01803131054</v>
      </c>
      <c r="F17" s="16">
        <f>IFERROR(__xludf.DUMMYFUNCTION("""COMPUTED_VALUE"""),0.017557923848415015)</f>
        <v>0.01755792385</v>
      </c>
      <c r="L17" s="16"/>
      <c r="M17" s="16"/>
      <c r="N17" s="16"/>
    </row>
    <row r="18">
      <c r="A18" s="18" t="str">
        <f>IFERROR(__xludf.DUMMYFUNCTION("""COMPUTED_VALUE"""),"Ecuador")</f>
        <v>Ecuador</v>
      </c>
      <c r="B18" s="22">
        <f>IFERROR(__xludf.DUMMYFUNCTION("""COMPUTED_VALUE"""),299106.0)</f>
        <v>299106</v>
      </c>
      <c r="C18" s="22">
        <f>IFERROR(__xludf.DUMMYFUNCTION("""COMPUTED_VALUE"""),1.6936086E7)</f>
        <v>16936086</v>
      </c>
      <c r="D18" s="18">
        <f>IFERROR(__xludf.DUMMYFUNCTION("""COMPUTED_VALUE"""),2018.0)</f>
        <v>2018</v>
      </c>
      <c r="E18" s="23">
        <f t="array" ref="E18">((B18/C18)/1000)*1000</f>
        <v>0.01766086922</v>
      </c>
      <c r="F18" s="16">
        <f>IFERROR(__xludf.DUMMYFUNCTION("""COMPUTED_VALUE"""),0.017827577782792633)</f>
        <v>0.01782757778</v>
      </c>
      <c r="L18" s="16"/>
      <c r="M18" s="16"/>
      <c r="N18" s="16"/>
    </row>
    <row r="19">
      <c r="A19" s="18" t="str">
        <f>IFERROR(__xludf.DUMMYFUNCTION("""COMPUTED_VALUE"""),"Ecuador")</f>
        <v>Ecuador</v>
      </c>
      <c r="B19" s="22">
        <f>IFERROR(__xludf.DUMMYFUNCTION("""COMPUTED_VALUE"""),300075.0)</f>
        <v>300075</v>
      </c>
      <c r="C19" s="22">
        <f>IFERROR(__xludf.DUMMYFUNCTION("""COMPUTED_VALUE"""),1.7230197E7)</f>
        <v>17230197</v>
      </c>
      <c r="D19" s="18">
        <f>IFERROR(__xludf.DUMMYFUNCTION("""COMPUTED_VALUE"""),2019.0)</f>
        <v>2019</v>
      </c>
      <c r="E19" s="23">
        <f t="array" ref="E19">((B19/C19)/1000)*1000</f>
        <v>0.01741564533</v>
      </c>
      <c r="F19" s="16">
        <f>IFERROR(__xludf.DUMMYFUNCTION("""COMPUTED_VALUE"""),0.017365936852233744)</f>
        <v>0.01736593685</v>
      </c>
      <c r="L19" s="16"/>
      <c r="M19" s="16"/>
      <c r="N19" s="16"/>
    </row>
    <row r="20">
      <c r="A20" s="18" t="str">
        <f>IFERROR(__xludf.DUMMYFUNCTION("""COMPUTED_VALUE"""),"Ecuador")</f>
        <v>Ecuador</v>
      </c>
      <c r="B20" s="22">
        <f>IFERROR(__xludf.DUMMYFUNCTION("""COMPUTED_VALUE"""),299338.0)</f>
        <v>299338</v>
      </c>
      <c r="C20" s="22">
        <f>IFERROR(__xludf.DUMMYFUNCTION("""COMPUTED_VALUE"""),1.7509095E7)</f>
        <v>17509095</v>
      </c>
      <c r="D20" s="18">
        <f>IFERROR(__xludf.DUMMYFUNCTION("""COMPUTED_VALUE"""),2020.0)</f>
        <v>2020</v>
      </c>
      <c r="E20" s="23">
        <f t="array" ref="E20">((B20/C20)/1000)*1000</f>
        <v>0.01709614346</v>
      </c>
      <c r="F20" s="16">
        <f>IFERROR(__xludf.DUMMYFUNCTION("""COMPUTED_VALUE"""),0.01618658219636142)</f>
        <v>0.0161865822</v>
      </c>
      <c r="L20" s="16"/>
      <c r="M20" s="16"/>
      <c r="N20" s="16"/>
    </row>
    <row r="21">
      <c r="A21" s="18" t="str">
        <f>IFERROR(__xludf.DUMMYFUNCTION("""COMPUTED_VALUE"""),"Ecuador")</f>
        <v>Ecuador</v>
      </c>
      <c r="B21" s="22">
        <f>IFERROR(__xludf.DUMMYFUNCTION("""COMPUTED_VALUE"""),298989.0)</f>
        <v>298989</v>
      </c>
      <c r="C21" s="22">
        <f>IFERROR(__xludf.DUMMYFUNCTION("""COMPUTED_VALUE"""),1.7781537E7)</f>
        <v>17781537</v>
      </c>
      <c r="D21" s="18">
        <f>IFERROR(__xludf.DUMMYFUNCTION("""COMPUTED_VALUE"""),2021.0)</f>
        <v>2021</v>
      </c>
      <c r="E21" s="23">
        <f t="array" ref="E21">((B21/C21)/1000)*1000</f>
        <v>0.0168145757</v>
      </c>
      <c r="F21" s="16">
        <f>IFERROR(__xludf.DUMMYFUNCTION("""COMPUTED_VALUE"""),0.015560027517127527)</f>
        <v>0.01556002752</v>
      </c>
      <c r="L21" s="16"/>
      <c r="M21" s="16"/>
      <c r="N21" s="16"/>
    </row>
    <row r="22"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16.88"/>
    <col customWidth="1" min="11" max="11" width="21.63"/>
    <col customWidth="1" min="12" max="12" width="17.25"/>
    <col customWidth="1" min="13" max="13" width="22.0"/>
    <col customWidth="1" min="14" max="14" width="19.25"/>
  </cols>
  <sheetData>
    <row r="1">
      <c r="A1" s="20" t="str">
        <f>IFERROR(__xludf.DUMMYFUNCTION("QUERY(nascimento!A1:D121,""select B,D where A = 'MEX'"",-1)"),"pais")</f>
        <v>pais</v>
      </c>
      <c r="B1" s="17" t="str">
        <f>IFERROR(__xludf.DUMMYFUNCTION("""COMPUTED_VALUE"""),"nascimento")</f>
        <v>nascimento</v>
      </c>
      <c r="C1" s="17" t="str">
        <f>IFERROR(__xludf.DUMMYFUNCTION("QUERY(populacao!A1:D127,""select C,B where A = 'MEX' AND B &lt;&gt; 2001"",-1)"),"populacao")</f>
        <v>populacao</v>
      </c>
      <c r="D1" s="18" t="str">
        <f>IFERROR(__xludf.DUMMYFUNCTION("""COMPUTED_VALUE"""),"ano")</f>
        <v>ano</v>
      </c>
      <c r="E1" s="13" t="s">
        <v>29</v>
      </c>
      <c r="F1" s="13" t="str">
        <f>IFERROR(__xludf.DUMMYFUNCTION("QUERY(populacao!A1:D127,""select D where A = 'MEX' AND B &lt;&gt; 2021"",-1)"),"taxa_de_crescimento")</f>
        <v>taxa_de_crescimento</v>
      </c>
      <c r="G1" s="19" t="s">
        <v>26</v>
      </c>
      <c r="H1" s="19" t="s">
        <v>27</v>
      </c>
      <c r="I1" s="19" t="s">
        <v>28</v>
      </c>
      <c r="J1" s="13" t="s">
        <v>2</v>
      </c>
      <c r="K1" s="19" t="s">
        <v>30</v>
      </c>
      <c r="L1" s="24" t="s">
        <v>31</v>
      </c>
      <c r="M1" s="24" t="s">
        <v>32</v>
      </c>
      <c r="N1" s="24" t="s">
        <v>33</v>
      </c>
    </row>
    <row r="2">
      <c r="A2" s="18" t="str">
        <f>IFERROR(__xludf.DUMMYFUNCTION("""COMPUTED_VALUE"""),"Mexico")</f>
        <v>Mexico</v>
      </c>
      <c r="B2" s="22">
        <f>IFERROR(__xludf.DUMMYFUNCTION("""COMPUTED_VALUE"""),2350590.0)</f>
        <v>2350590</v>
      </c>
      <c r="C2" s="22">
        <f>IFERROR(__xludf.DUMMYFUNCTION("""COMPUTED_VALUE"""),1.00997156E8)</f>
        <v>100997156</v>
      </c>
      <c r="D2" s="18">
        <f>IFERROR(__xludf.DUMMYFUNCTION("""COMPUTED_VALUE"""),2002.0)</f>
        <v>2002</v>
      </c>
      <c r="E2" s="23">
        <f t="array" ref="E2">((B2/C2)/1000)*1000</f>
        <v>0.02327382367</v>
      </c>
      <c r="F2" s="16">
        <f>IFERROR(__xludf.DUMMYFUNCTION("""COMPUTED_VALUE"""),0.01397936413571462)</f>
        <v>0.01397936414</v>
      </c>
      <c r="G2" s="22">
        <f>IFERROR(__xludf.DUMMYFUNCTION("QUERY(estrutura_etaria!A14:E16,""select C where A = 'Mexico'"",-1)"),3.38609217702E7)</f>
        <v>33860921.77</v>
      </c>
      <c r="H2" s="26">
        <f>IFERROR(__xludf.DUMMYFUNCTION("QUERY(estrutura_etaria!A14:E16,""select D where A = 'Mexico'"",-1)"),7.243450444919999E7)</f>
        <v>72434504.45</v>
      </c>
      <c r="I2" s="22">
        <f>IFERROR(__xludf.DUMMYFUNCTION("QUERY(estrutura_etaria!A14:E16,""select E where A = 'Mexico'"",-1)"),6989691.7806)</f>
        <v>6989691.781</v>
      </c>
      <c r="J2" s="22">
        <f>IFERROR(__xludf.DUMMYFUNCTION("QUERY(estrutura_etaria!A14:E16,""select B where A = 'Mexico'"",-1)"),2010.0)</f>
        <v>2010</v>
      </c>
      <c r="K2" s="26">
        <f>AVERAGE(B17:B21,F17:F21)</f>
        <v>993277.4159</v>
      </c>
      <c r="L2" s="23">
        <f t="shared" ref="L2:L4" si="1">G2/SUM(G2:I2)</f>
        <v>0.2989</v>
      </c>
      <c r="M2" s="23">
        <f t="shared" ref="M2:M4" si="2">H2/SUM(G2:I2)</f>
        <v>0.6394</v>
      </c>
      <c r="N2" s="23">
        <f t="shared" ref="N2:N4" si="3">I2/SUM(G2:I2)</f>
        <v>0.0617</v>
      </c>
    </row>
    <row r="3">
      <c r="A3" s="18" t="str">
        <f>IFERROR(__xludf.DUMMYFUNCTION("""COMPUTED_VALUE"""),"Mexico")</f>
        <v>Mexico</v>
      </c>
      <c r="B3" s="22">
        <f>IFERROR(__xludf.DUMMYFUNCTION("""COMPUTED_VALUE"""),2339268.0)</f>
        <v>2339268</v>
      </c>
      <c r="C3" s="22">
        <f>IFERROR(__xludf.DUMMYFUNCTION("""COMPUTED_VALUE"""),1.0238863E8)</f>
        <v>102388630</v>
      </c>
      <c r="D3" s="18">
        <f>IFERROR(__xludf.DUMMYFUNCTION("""COMPUTED_VALUE"""),2003.0)</f>
        <v>2003</v>
      </c>
      <c r="E3" s="23">
        <f t="array" ref="E3">((B3/C3)/1000)*1000</f>
        <v>0.02284695088</v>
      </c>
      <c r="F3" s="16">
        <f>IFERROR(__xludf.DUMMYFUNCTION("""COMPUTED_VALUE"""),0.013777358245612381)</f>
        <v>0.01377735825</v>
      </c>
      <c r="G3" s="22">
        <f>IFERROR(__xludf.DUMMYFUNCTION("""COMPUTED_VALUE"""),3.34392636831E7)</f>
        <v>33439263.68</v>
      </c>
      <c r="H3" s="22">
        <f>IFERROR(__xludf.DUMMYFUNCTION("""COMPUTED_VALUE"""),7.92199289211E7)</f>
        <v>79219928.92</v>
      </c>
      <c r="I3" s="22">
        <f>IFERROR(__xludf.DUMMYFUNCTION("""COMPUTED_VALUE"""),8453678.3958)</f>
        <v>8453678.396</v>
      </c>
      <c r="J3" s="22">
        <f>IFERROR(__xludf.DUMMYFUNCTION("""COMPUTED_VALUE"""),2015.0)</f>
        <v>2015</v>
      </c>
      <c r="L3" s="23">
        <f t="shared" si="1"/>
        <v>0.2761</v>
      </c>
      <c r="M3" s="23">
        <f t="shared" si="2"/>
        <v>0.6541</v>
      </c>
      <c r="N3" s="23">
        <f t="shared" si="3"/>
        <v>0.0698</v>
      </c>
    </row>
    <row r="4">
      <c r="A4" s="18" t="str">
        <f>IFERROR(__xludf.DUMMYFUNCTION("""COMPUTED_VALUE"""),"Mexico")</f>
        <v>Mexico</v>
      </c>
      <c r="B4" s="22">
        <f>IFERROR(__xludf.DUMMYFUNCTION("""COMPUTED_VALUE"""),2326284.0)</f>
        <v>2326284</v>
      </c>
      <c r="C4" s="22">
        <f>IFERROR(__xludf.DUMMYFUNCTION("""COMPUTED_VALUE"""),1.03801895E8)</f>
        <v>103801895</v>
      </c>
      <c r="D4" s="18">
        <f>IFERROR(__xludf.DUMMYFUNCTION("""COMPUTED_VALUE"""),2004.0)</f>
        <v>2004</v>
      </c>
      <c r="E4" s="23">
        <f t="array" ref="E4">((B4/C4)/1000)*1000</f>
        <v>0.02241080474</v>
      </c>
      <c r="F4" s="16">
        <f>IFERROR(__xludf.DUMMYFUNCTION("""COMPUTED_VALUE"""),0.01380294862818264)</f>
        <v>0.01380294863</v>
      </c>
      <c r="G4" s="22">
        <f>IFERROR(__xludf.DUMMYFUNCTION("""COMPUTED_VALUE"""),3.2500538936600003E7)</f>
        <v>32500538.94</v>
      </c>
      <c r="H4" s="22">
        <f>IFERROR(__xludf.DUMMYFUNCTION("""COMPUTED_VALUE"""),8.54710305736E7)</f>
        <v>85471030.57</v>
      </c>
      <c r="I4" s="22">
        <f>IFERROR(__xludf.DUMMYFUNCTION("""COMPUTED_VALUE"""),1.0286279489799999E7)</f>
        <v>10286279.49</v>
      </c>
      <c r="J4" s="22">
        <f>IFERROR(__xludf.DUMMYFUNCTION("""COMPUTED_VALUE"""),2020.0)</f>
        <v>2020</v>
      </c>
      <c r="L4" s="23">
        <f t="shared" si="1"/>
        <v>0.2534</v>
      </c>
      <c r="M4" s="23">
        <f t="shared" si="2"/>
        <v>0.6664</v>
      </c>
      <c r="N4" s="23">
        <f t="shared" si="3"/>
        <v>0.0802</v>
      </c>
    </row>
    <row r="5">
      <c r="A5" s="18" t="str">
        <f>IFERROR(__xludf.DUMMYFUNCTION("""COMPUTED_VALUE"""),"Mexico")</f>
        <v>Mexico</v>
      </c>
      <c r="B5" s="22">
        <f>IFERROR(__xludf.DUMMYFUNCTION("""COMPUTED_VALUE"""),2312543.0)</f>
        <v>2312543</v>
      </c>
      <c r="C5" s="22">
        <f>IFERROR(__xludf.DUMMYFUNCTION("""COMPUTED_VALUE"""),1.05266191E8)</f>
        <v>105266191</v>
      </c>
      <c r="D5" s="18">
        <f>IFERROR(__xludf.DUMMYFUNCTION("""COMPUTED_VALUE"""),2005.0)</f>
        <v>2005</v>
      </c>
      <c r="E5" s="23">
        <f t="array" ref="E5">((B5/C5)/1000)*1000</f>
        <v>0.02196852549</v>
      </c>
      <c r="F5" s="16">
        <f>IFERROR(__xludf.DUMMYFUNCTION("""COMPUTED_VALUE"""),0.014106640346016804)</f>
        <v>0.01410664035</v>
      </c>
      <c r="L5" s="16"/>
      <c r="M5" s="16"/>
      <c r="N5" s="16"/>
    </row>
    <row r="6">
      <c r="A6" s="18" t="str">
        <f>IFERROR(__xludf.DUMMYFUNCTION("""COMPUTED_VALUE"""),"Mexico")</f>
        <v>Mexico</v>
      </c>
      <c r="B6" s="22">
        <f>IFERROR(__xludf.DUMMYFUNCTION("""COMPUTED_VALUE"""),2296928.0)</f>
        <v>2296928</v>
      </c>
      <c r="C6" s="22">
        <f>IFERROR(__xludf.DUMMYFUNCTION("""COMPUTED_VALUE"""),1.06789067E8)</f>
        <v>106789067</v>
      </c>
      <c r="D6" s="18">
        <f>IFERROR(__xludf.DUMMYFUNCTION("""COMPUTED_VALUE"""),2006.0)</f>
        <v>2006</v>
      </c>
      <c r="E6" s="23">
        <f t="array" ref="E6">((B6/C6)/1000)*1000</f>
        <v>0.02150901833</v>
      </c>
      <c r="F6" s="16">
        <f>IFERROR(__xludf.DUMMYFUNCTION("""COMPUTED_VALUE"""),0.014466905143361746)</f>
        <v>0.01446690514</v>
      </c>
      <c r="L6" s="16"/>
      <c r="M6" s="16"/>
      <c r="N6" s="16"/>
    </row>
    <row r="7">
      <c r="A7" s="18" t="str">
        <f>IFERROR(__xludf.DUMMYFUNCTION("""COMPUTED_VALUE"""),"Mexico")</f>
        <v>Mexico</v>
      </c>
      <c r="B7" s="22">
        <f>IFERROR(__xludf.DUMMYFUNCTION("""COMPUTED_VALUE"""),2286462.0)</f>
        <v>2286462</v>
      </c>
      <c r="C7" s="22">
        <f>IFERROR(__xludf.DUMMYFUNCTION("""COMPUTED_VALUE"""),1.08371947E8)</f>
        <v>108371947</v>
      </c>
      <c r="D7" s="18">
        <f>IFERROR(__xludf.DUMMYFUNCTION("""COMPUTED_VALUE"""),2007.0)</f>
        <v>2007</v>
      </c>
      <c r="E7" s="23">
        <f t="array" ref="E7">((B7/C7)/1000)*1000</f>
        <v>0.02109828293</v>
      </c>
      <c r="F7" s="16">
        <f>IFERROR(__xludf.DUMMYFUNCTION("""COMPUTED_VALUE"""),0.014822491145090724)</f>
        <v>0.01482249115</v>
      </c>
      <c r="L7" s="16"/>
      <c r="M7" s="16"/>
      <c r="N7" s="16"/>
    </row>
    <row r="8">
      <c r="A8" s="18" t="str">
        <f>IFERROR(__xludf.DUMMYFUNCTION("""COMPUTED_VALUE"""),"Mexico")</f>
        <v>Mexico</v>
      </c>
      <c r="B8" s="22">
        <f>IFERROR(__xludf.DUMMYFUNCTION("""COMPUTED_VALUE"""),2279101.0)</f>
        <v>2279101</v>
      </c>
      <c r="C8" s="22">
        <f>IFERROR(__xludf.DUMMYFUNCTION("""COMPUTED_VALUE"""),1.09997381E8)</f>
        <v>109997381</v>
      </c>
      <c r="D8" s="18">
        <f>IFERROR(__xludf.DUMMYFUNCTION("""COMPUTED_VALUE"""),2008.0)</f>
        <v>2008</v>
      </c>
      <c r="E8" s="23">
        <f t="array" ref="E8">((B8/C8)/1000)*1000</f>
        <v>0.02071959331</v>
      </c>
      <c r="F8" s="16">
        <f>IFERROR(__xludf.DUMMYFUNCTION("""COMPUTED_VALUE"""),0.014998660123731099)</f>
        <v>0.01499866012</v>
      </c>
      <c r="L8" s="16"/>
      <c r="M8" s="16"/>
      <c r="N8" s="16"/>
    </row>
    <row r="9">
      <c r="A9" s="18" t="str">
        <f>IFERROR(__xludf.DUMMYFUNCTION("""COMPUTED_VALUE"""),"Mexico")</f>
        <v>Mexico</v>
      </c>
      <c r="B9" s="22">
        <f>IFERROR(__xludf.DUMMYFUNCTION("""COMPUTED_VALUE"""),2273032.0)</f>
        <v>2273032</v>
      </c>
      <c r="C9" s="22">
        <f>IFERROR(__xludf.DUMMYFUNCTION("""COMPUTED_VALUE"""),1.11646354E8)</f>
        <v>111646354</v>
      </c>
      <c r="D9" s="18">
        <f>IFERROR(__xludf.DUMMYFUNCTION("""COMPUTED_VALUE"""),2009.0)</f>
        <v>2009</v>
      </c>
      <c r="E9" s="23">
        <f t="array" ref="E9">((B9/C9)/1000)*1000</f>
        <v>0.02035921388</v>
      </c>
      <c r="F9" s="16">
        <f>IFERROR(__xludf.DUMMYFUNCTION("""COMPUTED_VALUE"""),0.014991020558934944)</f>
        <v>0.01499102056</v>
      </c>
      <c r="L9" s="16"/>
      <c r="M9" s="16"/>
      <c r="N9" s="16"/>
    </row>
    <row r="10">
      <c r="A10" s="18" t="str">
        <f>IFERROR(__xludf.DUMMYFUNCTION("""COMPUTED_VALUE"""),"Mexico")</f>
        <v>Mexico</v>
      </c>
      <c r="B10" s="22">
        <f>IFERROR(__xludf.DUMMYFUNCTION("""COMPUTED_VALUE"""),2268110.0)</f>
        <v>2268110</v>
      </c>
      <c r="C10" s="22">
        <f>IFERROR(__xludf.DUMMYFUNCTION("""COMPUTED_VALUE"""),1.13285118E8)</f>
        <v>113285118</v>
      </c>
      <c r="D10" s="18">
        <f>IFERROR(__xludf.DUMMYFUNCTION("""COMPUTED_VALUE"""),2010.0)</f>
        <v>2010</v>
      </c>
      <c r="E10" s="23">
        <f t="array" ref="E10">((B10/C10)/1000)*1000</f>
        <v>0.02002125292</v>
      </c>
      <c r="F10" s="16">
        <f>IFERROR(__xludf.DUMMYFUNCTION("""COMPUTED_VALUE"""),0.014678168532041808)</f>
        <v>0.01467816853</v>
      </c>
      <c r="L10" s="16"/>
      <c r="M10" s="16"/>
      <c r="N10" s="16"/>
    </row>
    <row r="11">
      <c r="A11" s="18" t="str">
        <f>IFERROR(__xludf.DUMMYFUNCTION("""COMPUTED_VALUE"""),"Mexico")</f>
        <v>Mexico</v>
      </c>
      <c r="B11" s="22">
        <f>IFERROR(__xludf.DUMMYFUNCTION("""COMPUTED_VALUE"""),2273571.0)</f>
        <v>2273571</v>
      </c>
      <c r="C11" s="22">
        <f>IFERROR(__xludf.DUMMYFUNCTION("""COMPUTED_VALUE"""),1.149008E8)</f>
        <v>114900800</v>
      </c>
      <c r="D11" s="18">
        <f>IFERROR(__xludf.DUMMYFUNCTION("""COMPUTED_VALUE"""),2011.0)</f>
        <v>2011</v>
      </c>
      <c r="E11" s="23">
        <f t="array" ref="E11">((B11/C11)/1000)*1000</f>
        <v>0.01978725126</v>
      </c>
      <c r="F11" s="16">
        <f>IFERROR(__xludf.DUMMYFUNCTION("""COMPUTED_VALUE"""),0.014262085157557941)</f>
        <v>0.01426208516</v>
      </c>
      <c r="L11" s="16"/>
      <c r="M11" s="16"/>
      <c r="N11" s="16"/>
    </row>
    <row r="12">
      <c r="A12" s="18" t="str">
        <f>IFERROR(__xludf.DUMMYFUNCTION("""COMPUTED_VALUE"""),"Mexico")</f>
        <v>Mexico</v>
      </c>
      <c r="B12" s="22">
        <f>IFERROR(__xludf.DUMMYFUNCTION("""COMPUTED_VALUE"""),2273326.0)</f>
        <v>2273326</v>
      </c>
      <c r="C12" s="22">
        <f>IFERROR(__xludf.DUMMYFUNCTION("""COMPUTED_VALUE"""),1.16489125E8)</f>
        <v>116489125</v>
      </c>
      <c r="D12" s="18">
        <f>IFERROR(__xludf.DUMMYFUNCTION("""COMPUTED_VALUE"""),2012.0)</f>
        <v>2012</v>
      </c>
      <c r="E12" s="23">
        <f t="array" ref="E12">((B12/C12)/1000)*1000</f>
        <v>0.01951534961</v>
      </c>
      <c r="F12" s="16">
        <f>IFERROR(__xludf.DUMMYFUNCTION("""COMPUTED_VALUE"""),0.013823445963822706)</f>
        <v>0.01382344596</v>
      </c>
      <c r="L12" s="16"/>
      <c r="M12" s="16"/>
      <c r="N12" s="16"/>
    </row>
    <row r="13">
      <c r="A13" s="18" t="str">
        <f>IFERROR(__xludf.DUMMYFUNCTION("""COMPUTED_VALUE"""),"Mexico")</f>
        <v>Mexico</v>
      </c>
      <c r="B13" s="22">
        <f>IFERROR(__xludf.DUMMYFUNCTION("""COMPUTED_VALUE"""),2267699.0)</f>
        <v>2267699</v>
      </c>
      <c r="C13" s="22">
        <f>IFERROR(__xludf.DUMMYFUNCTION("""COMPUTED_VALUE"""),1.18057039E8)</f>
        <v>118057039</v>
      </c>
      <c r="D13" s="18">
        <f>IFERROR(__xludf.DUMMYFUNCTION("""COMPUTED_VALUE"""),2013.0)</f>
        <v>2013</v>
      </c>
      <c r="E13" s="23">
        <f t="array" ref="E13">((B13/C13)/1000)*1000</f>
        <v>0.0192085031</v>
      </c>
      <c r="F13" s="16">
        <f>IFERROR(__xludf.DUMMYFUNCTION("""COMPUTED_VALUE"""),0.013459745705875978)</f>
        <v>0.01345974571</v>
      </c>
      <c r="L13" s="16"/>
      <c r="M13" s="16"/>
      <c r="N13" s="16"/>
    </row>
    <row r="14">
      <c r="A14" s="18" t="str">
        <f>IFERROR(__xludf.DUMMYFUNCTION("""COMPUTED_VALUE"""),"Mexico")</f>
        <v>Mexico</v>
      </c>
      <c r="B14" s="22">
        <f>IFERROR(__xludf.DUMMYFUNCTION("""COMPUTED_VALUE"""),2222905.0)</f>
        <v>2222905</v>
      </c>
      <c r="C14" s="22">
        <f>IFERROR(__xludf.DUMMYFUNCTION("""COMPUTED_VALUE"""),1.19597427E8)</f>
        <v>119597427</v>
      </c>
      <c r="D14" s="18">
        <f>IFERROR(__xludf.DUMMYFUNCTION("""COMPUTED_VALUE"""),2014.0)</f>
        <v>2014</v>
      </c>
      <c r="E14" s="23">
        <f t="array" ref="E14">((B14/C14)/1000)*1000</f>
        <v>0.01858656207</v>
      </c>
      <c r="F14" s="16">
        <f>IFERROR(__xludf.DUMMYFUNCTION("""COMPUTED_VALUE"""),0.013047828516180218)</f>
        <v>0.01304782852</v>
      </c>
      <c r="L14" s="16"/>
      <c r="M14" s="16"/>
      <c r="N14" s="16"/>
    </row>
    <row r="15">
      <c r="A15" s="18" t="str">
        <f>IFERROR(__xludf.DUMMYFUNCTION("""COMPUTED_VALUE"""),"Mexico")</f>
        <v>Mexico</v>
      </c>
      <c r="B15" s="22">
        <f>IFERROR(__xludf.DUMMYFUNCTION("""COMPUTED_VALUE"""),2159314.0)</f>
        <v>2159314</v>
      </c>
      <c r="C15" s="22">
        <f>IFERROR(__xludf.DUMMYFUNCTION("""COMPUTED_VALUE"""),1.21112871E8)</f>
        <v>121112871</v>
      </c>
      <c r="D15" s="18">
        <f>IFERROR(__xludf.DUMMYFUNCTION("""COMPUTED_VALUE"""),2015.0)</f>
        <v>2015</v>
      </c>
      <c r="E15" s="23">
        <f t="array" ref="E15">((B15/C15)/1000)*1000</f>
        <v>0.01782893909</v>
      </c>
      <c r="F15" s="16">
        <f>IFERROR(__xludf.DUMMYFUNCTION("""COMPUTED_VALUE"""),0.01267120905535869)</f>
        <v>0.01267120906</v>
      </c>
      <c r="L15" s="16"/>
      <c r="M15" s="16"/>
      <c r="N15" s="16"/>
    </row>
    <row r="16">
      <c r="A16" s="18" t="str">
        <f>IFERROR(__xludf.DUMMYFUNCTION("""COMPUTED_VALUE"""),"Mexico")</f>
        <v>Mexico</v>
      </c>
      <c r="B16" s="22">
        <f>IFERROR(__xludf.DUMMYFUNCTION("""COMPUTED_VALUE"""),2116264.0)</f>
        <v>2116264</v>
      </c>
      <c r="C16" s="22">
        <f>IFERROR(__xludf.DUMMYFUNCTION("""COMPUTED_VALUE"""),1.22599845E8)</f>
        <v>122599845</v>
      </c>
      <c r="D16" s="18">
        <f>IFERROR(__xludf.DUMMYFUNCTION("""COMPUTED_VALUE"""),2016.0)</f>
        <v>2016</v>
      </c>
      <c r="E16" s="23">
        <f t="array" ref="E16">((B16/C16)/1000)*1000</f>
        <v>0.01726155527</v>
      </c>
      <c r="F16" s="16">
        <f>IFERROR(__xludf.DUMMYFUNCTION("""COMPUTED_VALUE"""),0.012277588564472227)</f>
        <v>0.01227758856</v>
      </c>
      <c r="L16" s="16"/>
      <c r="M16" s="16"/>
      <c r="N16" s="16"/>
    </row>
    <row r="17">
      <c r="A17" s="18" t="str">
        <f>IFERROR(__xludf.DUMMYFUNCTION("""COMPUTED_VALUE"""),"Mexico")</f>
        <v>Mexico</v>
      </c>
      <c r="B17" s="22">
        <f>IFERROR(__xludf.DUMMYFUNCTION("""COMPUTED_VALUE"""),2081548.1)</f>
        <v>2081548.1</v>
      </c>
      <c r="C17" s="22">
        <f>IFERROR(__xludf.DUMMYFUNCTION("""COMPUTED_VALUE"""),1.24061287E8)</f>
        <v>124061287</v>
      </c>
      <c r="D17" s="18">
        <f>IFERROR(__xludf.DUMMYFUNCTION("""COMPUTED_VALUE"""),2017.0)</f>
        <v>2017</v>
      </c>
      <c r="E17" s="23">
        <f t="array" ref="E17">((B17/C17)/1000)*1000</f>
        <v>0.01677838551</v>
      </c>
      <c r="F17" s="16">
        <f>IFERROR(__xludf.DUMMYFUNCTION("""COMPUTED_VALUE"""),0.01192042290102406)</f>
        <v>0.0119204229</v>
      </c>
      <c r="L17" s="16"/>
      <c r="M17" s="16"/>
      <c r="N17" s="16"/>
    </row>
    <row r="18">
      <c r="A18" s="18" t="str">
        <f>IFERROR(__xludf.DUMMYFUNCTION("""COMPUTED_VALUE"""),"Mexico")</f>
        <v>Mexico</v>
      </c>
      <c r="B18" s="22">
        <f>IFERROR(__xludf.DUMMYFUNCTION("""COMPUTED_VALUE"""),2042458.0)</f>
        <v>2042458</v>
      </c>
      <c r="C18" s="22">
        <f>IFERROR(__xludf.DUMMYFUNCTION("""COMPUTED_VALUE"""),1.25489863E8)</f>
        <v>125489863</v>
      </c>
      <c r="D18" s="18">
        <f>IFERROR(__xludf.DUMMYFUNCTION("""COMPUTED_VALUE"""),2018.0)</f>
        <v>2018</v>
      </c>
      <c r="E18" s="23">
        <f t="array" ref="E18">((B18/C18)/1000)*1000</f>
        <v>0.01627588039</v>
      </c>
      <c r="F18" s="16">
        <f>IFERROR(__xludf.DUMMYFUNCTION("""COMPUTED_VALUE"""),0.011515082863842932)</f>
        <v>0.01151508286</v>
      </c>
      <c r="L18" s="16"/>
      <c r="M18" s="16"/>
      <c r="N18" s="16"/>
    </row>
    <row r="19">
      <c r="A19" s="18" t="str">
        <f>IFERROR(__xludf.DUMMYFUNCTION("""COMPUTED_VALUE"""),"Mexico")</f>
        <v>Mexico</v>
      </c>
      <c r="B19" s="22">
        <f>IFERROR(__xludf.DUMMYFUNCTION("""COMPUTED_VALUE"""),1965139.0)</f>
        <v>1965139</v>
      </c>
      <c r="C19" s="22">
        <f>IFERROR(__xludf.DUMMYFUNCTION("""COMPUTED_VALUE"""),1.26888846E8)</f>
        <v>126888846</v>
      </c>
      <c r="D19" s="18">
        <f>IFERROR(__xludf.DUMMYFUNCTION("""COMPUTED_VALUE"""),2019.0)</f>
        <v>2019</v>
      </c>
      <c r="E19" s="23">
        <f t="array" ref="E19">((B19/C19)/1000)*1000</f>
        <v>0.01548709017</v>
      </c>
      <c r="F19" s="16">
        <f>IFERROR(__xludf.DUMMYFUNCTION("""COMPUTED_VALUE"""),0.011148175370946098)</f>
        <v>0.01114817537</v>
      </c>
      <c r="L19" s="16"/>
      <c r="M19" s="16"/>
      <c r="N19" s="16"/>
    </row>
    <row r="20">
      <c r="A20" s="18" t="str">
        <f>IFERROR(__xludf.DUMMYFUNCTION("""COMPUTED_VALUE"""),"Mexico")</f>
        <v>Mexico</v>
      </c>
      <c r="B20" s="22">
        <f>IFERROR(__xludf.DUMMYFUNCTION("""COMPUTED_VALUE"""),1961267.0)</f>
        <v>1961267</v>
      </c>
      <c r="C20" s="22">
        <f>IFERROR(__xludf.DUMMYFUNCTION("""COMPUTED_VALUE"""),1.28257849E8)</f>
        <v>128257849</v>
      </c>
      <c r="D20" s="18">
        <f>IFERROR(__xludf.DUMMYFUNCTION("""COMPUTED_VALUE"""),2020.0)</f>
        <v>2020</v>
      </c>
      <c r="E20" s="23">
        <f t="array" ref="E20">((B20/C20)/1000)*1000</f>
        <v>0.01529159436</v>
      </c>
      <c r="F20" s="16">
        <f>IFERROR(__xludf.DUMMYFUNCTION("""COMPUTED_VALUE"""),0.010788994014493599)</f>
        <v>0.01078899401</v>
      </c>
      <c r="L20" s="16"/>
      <c r="M20" s="16"/>
      <c r="N20" s="16"/>
    </row>
    <row r="21">
      <c r="A21" s="18" t="str">
        <f>IFERROR(__xludf.DUMMYFUNCTION("""COMPUTED_VALUE"""),"Mexico")</f>
        <v>Mexico</v>
      </c>
      <c r="B21" s="22">
        <f>IFERROR(__xludf.DUMMYFUNCTION("""COMPUTED_VALUE"""),1882362.0)</f>
        <v>1882362</v>
      </c>
      <c r="C21" s="22">
        <f>IFERROR(__xludf.DUMMYFUNCTION("""COMPUTED_VALUE"""),1.30012416E8)</f>
        <v>130012416</v>
      </c>
      <c r="D21" s="18">
        <f>IFERROR(__xludf.DUMMYFUNCTION("""COMPUTED_VALUE"""),2021.0)</f>
        <v>2021</v>
      </c>
      <c r="E21" s="23">
        <f t="array" ref="E21">((B21/C21)/1000)*1000</f>
        <v>0.0144783249</v>
      </c>
      <c r="F21" s="16">
        <f>IFERROR(__xludf.DUMMYFUNCTION("""COMPUTED_VALUE"""),0.01367999708150415)</f>
        <v>0.01367999708</v>
      </c>
      <c r="L21" s="16"/>
      <c r="M21" s="16"/>
      <c r="N21" s="16"/>
    </row>
    <row r="22"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11" max="11" width="22.75"/>
    <col customWidth="1" min="12" max="12" width="22.0"/>
    <col customWidth="1" min="13" max="13" width="20.25"/>
    <col customWidth="1" min="14" max="14" width="19.25"/>
  </cols>
  <sheetData>
    <row r="1">
      <c r="A1" s="20" t="str">
        <f>IFERROR(__xludf.DUMMYFUNCTION("QUERY(nascimento!A1:D121,""select B,D where A = 'PER'"",-1)"),"pais")</f>
        <v>pais</v>
      </c>
      <c r="B1" s="17" t="str">
        <f>IFERROR(__xludf.DUMMYFUNCTION("""COMPUTED_VALUE"""),"nascimento")</f>
        <v>nascimento</v>
      </c>
      <c r="C1" s="17" t="str">
        <f>IFERROR(__xludf.DUMMYFUNCTION("QUERY(populacao!A1:D127,""select C,B where A = 'PER' AND B &lt;&gt; 2001"",-1)"),"populacao")</f>
        <v>populacao</v>
      </c>
      <c r="D1" s="18" t="str">
        <f>IFERROR(__xludf.DUMMYFUNCTION("""COMPUTED_VALUE"""),"ano")</f>
        <v>ano</v>
      </c>
      <c r="E1" s="13" t="s">
        <v>29</v>
      </c>
      <c r="F1" s="13" t="str">
        <f>IFERROR(__xludf.DUMMYFUNCTION("QUERY(populacao!A1:D127,""select D where A = 'PER' AND B &lt;&gt; 2021"",-1)"),"taxa_de_crescimento")</f>
        <v>taxa_de_crescimento</v>
      </c>
      <c r="G1" s="19" t="s">
        <v>26</v>
      </c>
      <c r="H1" s="19" t="s">
        <v>27</v>
      </c>
      <c r="I1" s="19" t="s">
        <v>28</v>
      </c>
      <c r="J1" s="13" t="s">
        <v>2</v>
      </c>
      <c r="K1" s="19" t="s">
        <v>30</v>
      </c>
      <c r="L1" s="24" t="s">
        <v>31</v>
      </c>
      <c r="M1" s="24" t="s">
        <v>32</v>
      </c>
      <c r="N1" s="24" t="s">
        <v>33</v>
      </c>
    </row>
    <row r="2">
      <c r="A2" s="18" t="str">
        <f>IFERROR(__xludf.DUMMYFUNCTION("""COMPUTED_VALUE"""),"Peru")</f>
        <v>Peru</v>
      </c>
      <c r="B2" s="22">
        <f>IFERROR(__xludf.DUMMYFUNCTION("""COMPUTED_VALUE"""),616261.0)</f>
        <v>616261</v>
      </c>
      <c r="C2" s="22">
        <f>IFERROR(__xludf.DUMMYFUNCTION("""COMPUTED_VALUE"""),2.6951366E7)</f>
        <v>26951366</v>
      </c>
      <c r="D2" s="18">
        <f>IFERROR(__xludf.DUMMYFUNCTION("""COMPUTED_VALUE"""),2002.0)</f>
        <v>2002</v>
      </c>
      <c r="E2" s="16">
        <f t="array" ref="E2">((B2/C2)/1000)*1000</f>
        <v>0.02286566848</v>
      </c>
      <c r="F2" s="16">
        <f>IFERROR(__xludf.DUMMYFUNCTION("""COMPUTED_VALUE"""),0.012029396856168923)</f>
        <v>0.01202939686</v>
      </c>
      <c r="G2" s="22">
        <f>IFERROR(__xludf.DUMMYFUNCTION("QUERY(estrutura_etaria!A17:E19,""select C where A = 'Peru'"",-1)"),8621301.0534)</f>
        <v>8621301.053</v>
      </c>
      <c r="H2" s="26">
        <f>IFERROR(__xludf.DUMMYFUNCTION("QUERY(estrutura_etaria!A17:E19,""select D where A = 'Peru'"",-1)"),1.82226896511E7)</f>
        <v>18222689.65</v>
      </c>
      <c r="I2" s="22">
        <f>IFERROR(__xludf.DUMMYFUNCTION("QUERY(estrutura_etaria!A17:E19,""select E where A = 'Peru'"",-1)"),2067146.2955000002)</f>
        <v>2067146.296</v>
      </c>
      <c r="J2" s="22">
        <f>IFERROR(__xludf.DUMMYFUNCTION("QUERY(estrutura_etaria!A17:E19,""select B where A = 'Peru'"",-1)"),2010.0)</f>
        <v>2010</v>
      </c>
      <c r="K2" s="26">
        <f>AVERAGE(B17:B21,F17:F21)</f>
        <v>293391.3078</v>
      </c>
      <c r="L2" s="23">
        <f t="shared" ref="L2:L4" si="1">G2/SUM(G2:I2)</f>
        <v>0.2982</v>
      </c>
      <c r="M2" s="23">
        <f t="shared" ref="M2:M4" si="2">H2/SUM(G2:I2)</f>
        <v>0.6303</v>
      </c>
      <c r="N2" s="23">
        <f t="shared" ref="N2:N4" si="3">I2/SUM(G2:I2)</f>
        <v>0.0715</v>
      </c>
    </row>
    <row r="3">
      <c r="A3" s="18" t="str">
        <f>IFERROR(__xludf.DUMMYFUNCTION("""COMPUTED_VALUE"""),"Peru")</f>
        <v>Peru</v>
      </c>
      <c r="B3" s="22">
        <f>IFERROR(__xludf.DUMMYFUNCTION("""COMPUTED_VALUE"""),615508.0)</f>
        <v>615508</v>
      </c>
      <c r="C3" s="22">
        <f>IFERROR(__xludf.DUMMYFUNCTION("""COMPUTED_VALUE"""),2.7237705E7)</f>
        <v>27237705</v>
      </c>
      <c r="D3" s="18">
        <f>IFERROR(__xludf.DUMMYFUNCTION("""COMPUTED_VALUE"""),2003.0)</f>
        <v>2003</v>
      </c>
      <c r="E3" s="16">
        <f t="array" ref="E3">((B3/C3)/1000)*1000</f>
        <v>0.02259764543</v>
      </c>
      <c r="F3" s="16">
        <f>IFERROR(__xludf.DUMMYFUNCTION("""COMPUTED_VALUE"""),0.010624285240310269)</f>
        <v>0.01062428524</v>
      </c>
      <c r="G3" s="22">
        <f>IFERROR(__xludf.DUMMYFUNCTION("""COMPUTED_VALUE"""),8603150.007900001)</f>
        <v>8603150.008</v>
      </c>
      <c r="H3" s="22">
        <f>IFERROR(__xludf.DUMMYFUNCTION("""COMPUTED_VALUE"""),1.92836533792E7)</f>
        <v>19283653.38</v>
      </c>
      <c r="I3" s="22">
        <f>IFERROR(__xludf.DUMMYFUNCTION("""COMPUTED_VALUE"""),2395315.6129)</f>
        <v>2395315.613</v>
      </c>
      <c r="J3" s="22">
        <f>IFERROR(__xludf.DUMMYFUNCTION("""COMPUTED_VALUE"""),2015.0)</f>
        <v>2015</v>
      </c>
      <c r="L3" s="23">
        <f t="shared" si="1"/>
        <v>0.2841</v>
      </c>
      <c r="M3" s="23">
        <f t="shared" si="2"/>
        <v>0.6368</v>
      </c>
      <c r="N3" s="23">
        <f t="shared" si="3"/>
        <v>0.0791</v>
      </c>
    </row>
    <row r="4">
      <c r="A4" s="18" t="str">
        <f>IFERROR(__xludf.DUMMYFUNCTION("""COMPUTED_VALUE"""),"Peru")</f>
        <v>Peru</v>
      </c>
      <c r="B4" s="22">
        <f>IFERROR(__xludf.DUMMYFUNCTION("""COMPUTED_VALUE"""),623674.0)</f>
        <v>623674</v>
      </c>
      <c r="C4" s="22">
        <f>IFERROR(__xludf.DUMMYFUNCTION("""COMPUTED_VALUE"""),2.749891E7)</f>
        <v>27498910</v>
      </c>
      <c r="D4" s="18">
        <f>IFERROR(__xludf.DUMMYFUNCTION("""COMPUTED_VALUE"""),2004.0)</f>
        <v>2004</v>
      </c>
      <c r="E4" s="16">
        <f t="array" ref="E4">((B4/C4)/1000)*1000</f>
        <v>0.0226799535</v>
      </c>
      <c r="F4" s="16">
        <f>IFERROR(__xludf.DUMMYFUNCTION("""COMPUTED_VALUE"""),0.009589831448721543)</f>
        <v>0.009589831449</v>
      </c>
      <c r="G4" s="22">
        <f>IFERROR(__xludf.DUMMYFUNCTION("""COMPUTED_VALUE"""),8732402.0805)</f>
        <v>8732402.081</v>
      </c>
      <c r="H4" s="22">
        <f>IFERROR(__xludf.DUMMYFUNCTION("""COMPUTED_VALUE"""),2.1308763681999996E7)</f>
        <v>21308763.68</v>
      </c>
      <c r="I4" s="22">
        <f>IFERROR(__xludf.DUMMYFUNCTION("""COMPUTED_VALUE"""),2701249.2375000003)</f>
        <v>2701249.238</v>
      </c>
      <c r="J4" s="22">
        <f>IFERROR(__xludf.DUMMYFUNCTION("""COMPUTED_VALUE"""),2020.0)</f>
        <v>2020</v>
      </c>
      <c r="L4" s="23">
        <f t="shared" si="1"/>
        <v>0.2667</v>
      </c>
      <c r="M4" s="23">
        <f t="shared" si="2"/>
        <v>0.6508</v>
      </c>
      <c r="N4" s="23">
        <f t="shared" si="3"/>
        <v>0.0825</v>
      </c>
    </row>
    <row r="5">
      <c r="A5" s="18" t="str">
        <f>IFERROR(__xludf.DUMMYFUNCTION("""COMPUTED_VALUE"""),"Peru")</f>
        <v>Peru</v>
      </c>
      <c r="B5" s="22">
        <f>IFERROR(__xludf.DUMMYFUNCTION("""COMPUTED_VALUE"""),631197.0)</f>
        <v>631197</v>
      </c>
      <c r="C5" s="22">
        <f>IFERROR(__xludf.DUMMYFUNCTION("""COMPUTED_VALUE"""),2.7746177E7)</f>
        <v>27746177</v>
      </c>
      <c r="D5" s="18">
        <f>IFERROR(__xludf.DUMMYFUNCTION("""COMPUTED_VALUE"""),2005.0)</f>
        <v>2005</v>
      </c>
      <c r="E5" s="16">
        <f t="array" ref="E5">((B5/C5)/1000)*1000</f>
        <v>0.02274897187</v>
      </c>
      <c r="F5" s="16">
        <f>IFERROR(__xludf.DUMMYFUNCTION("""COMPUTED_VALUE"""),0.008991883678298522)</f>
        <v>0.008991883678</v>
      </c>
      <c r="L5" s="16"/>
      <c r="M5" s="16"/>
      <c r="N5" s="16"/>
    </row>
    <row r="6">
      <c r="A6" s="18" t="str">
        <f>IFERROR(__xludf.DUMMYFUNCTION("""COMPUTED_VALUE"""),"Peru")</f>
        <v>Peru</v>
      </c>
      <c r="B6" s="22">
        <f>IFERROR(__xludf.DUMMYFUNCTION("""COMPUTED_VALUE"""),634801.0)</f>
        <v>634801</v>
      </c>
      <c r="C6" s="22">
        <f>IFERROR(__xludf.DUMMYFUNCTION("""COMPUTED_VALUE"""),2.7985067E7)</f>
        <v>27985067</v>
      </c>
      <c r="D6" s="18">
        <f>IFERROR(__xludf.DUMMYFUNCTION("""COMPUTED_VALUE"""),2006.0)</f>
        <v>2006</v>
      </c>
      <c r="E6" s="16">
        <f t="array" ref="E6">((B6/C6)/1000)*1000</f>
        <v>0.02268356192</v>
      </c>
      <c r="F6" s="16">
        <f>IFERROR(__xludf.DUMMYFUNCTION("""COMPUTED_VALUE"""),0.00860983478913149)</f>
        <v>0.008609834789</v>
      </c>
      <c r="L6" s="16"/>
      <c r="M6" s="16"/>
      <c r="N6" s="16"/>
    </row>
    <row r="7">
      <c r="A7" s="18" t="str">
        <f>IFERROR(__xludf.DUMMYFUNCTION("""COMPUTED_VALUE"""),"Peru")</f>
        <v>Peru</v>
      </c>
      <c r="B7" s="22">
        <f>IFERROR(__xludf.DUMMYFUNCTION("""COMPUTED_VALUE"""),632563.0)</f>
        <v>632563</v>
      </c>
      <c r="C7" s="22">
        <f>IFERROR(__xludf.DUMMYFUNCTION("""COMPUTED_VALUE"""),2.8218502E7)</f>
        <v>28218502</v>
      </c>
      <c r="D7" s="18">
        <f>IFERROR(__xludf.DUMMYFUNCTION("""COMPUTED_VALUE"""),2007.0)</f>
        <v>2007</v>
      </c>
      <c r="E7" s="16">
        <f t="array" ref="E7">((B7/C7)/1000)*1000</f>
        <v>0.02241660454</v>
      </c>
      <c r="F7" s="16">
        <f>IFERROR(__xludf.DUMMYFUNCTION("""COMPUTED_VALUE"""),0.00834141293997974)</f>
        <v>0.00834141294</v>
      </c>
      <c r="L7" s="16"/>
      <c r="M7" s="16"/>
      <c r="N7" s="16"/>
    </row>
    <row r="8">
      <c r="A8" s="18" t="str">
        <f>IFERROR(__xludf.DUMMYFUNCTION("""COMPUTED_VALUE"""),"Peru")</f>
        <v>Peru</v>
      </c>
      <c r="B8" s="22">
        <f>IFERROR(__xludf.DUMMYFUNCTION("""COMPUTED_VALUE"""),626301.0)</f>
        <v>626301</v>
      </c>
      <c r="C8" s="22">
        <f>IFERROR(__xludf.DUMMYFUNCTION("""COMPUTED_VALUE"""),2.8448312E7)</f>
        <v>28448312</v>
      </c>
      <c r="D8" s="18">
        <f>IFERROR(__xludf.DUMMYFUNCTION("""COMPUTED_VALUE"""),2008.0)</f>
        <v>2008</v>
      </c>
      <c r="E8" s="16">
        <f t="array" ref="E8">((B8/C8)/1000)*1000</f>
        <v>0.02201540112</v>
      </c>
      <c r="F8" s="16">
        <f>IFERROR(__xludf.DUMMYFUNCTION("""COMPUTED_VALUE"""),0.00814394754193543)</f>
        <v>0.008143947542</v>
      </c>
      <c r="L8" s="16"/>
      <c r="M8" s="16"/>
      <c r="N8" s="16"/>
    </row>
    <row r="9">
      <c r="A9" s="18" t="str">
        <f>IFERROR(__xludf.DUMMYFUNCTION("""COMPUTED_VALUE"""),"Peru")</f>
        <v>Peru</v>
      </c>
      <c r="B9" s="22">
        <f>IFERROR(__xludf.DUMMYFUNCTION("""COMPUTED_VALUE"""),623635.0)</f>
        <v>623635</v>
      </c>
      <c r="C9" s="22">
        <f>IFERROR(__xludf.DUMMYFUNCTION("""COMPUTED_VALUE"""),2.8678439E7)</f>
        <v>28678439</v>
      </c>
      <c r="D9" s="18">
        <f>IFERROR(__xludf.DUMMYFUNCTION("""COMPUTED_VALUE"""),2009.0)</f>
        <v>2009</v>
      </c>
      <c r="E9" s="16">
        <f t="array" ref="E9">((B9/C9)/1000)*1000</f>
        <v>0.02174577912</v>
      </c>
      <c r="F9" s="16">
        <f>IFERROR(__xludf.DUMMYFUNCTION("""COMPUTED_VALUE"""),0.00808930245140731)</f>
        <v>0.008089302451</v>
      </c>
      <c r="L9" s="16"/>
      <c r="M9" s="16"/>
      <c r="N9" s="16"/>
    </row>
    <row r="10">
      <c r="A10" s="18" t="str">
        <f>IFERROR(__xludf.DUMMYFUNCTION("""COMPUTED_VALUE"""),"Peru")</f>
        <v>Peru</v>
      </c>
      <c r="B10" s="22">
        <f>IFERROR(__xludf.DUMMYFUNCTION("""COMPUTED_VALUE"""),617632.0)</f>
        <v>617632</v>
      </c>
      <c r="C10" s="22">
        <f>IFERROR(__xludf.DUMMYFUNCTION("""COMPUTED_VALUE"""),2.8911137E7)</f>
        <v>28911137</v>
      </c>
      <c r="D10" s="18">
        <f>IFERROR(__xludf.DUMMYFUNCTION("""COMPUTED_VALUE"""),2010.0)</f>
        <v>2010</v>
      </c>
      <c r="E10" s="16">
        <f t="array" ref="E10">((B10/C10)/1000)*1000</f>
        <v>0.02136311692</v>
      </c>
      <c r="F10" s="16">
        <f>IFERROR(__xludf.DUMMYFUNCTION("""COMPUTED_VALUE"""),0.008114039958729972)</f>
        <v>0.008114039959</v>
      </c>
      <c r="L10" s="16"/>
      <c r="M10" s="16"/>
      <c r="N10" s="16"/>
    </row>
    <row r="11">
      <c r="A11" s="18" t="str">
        <f>IFERROR(__xludf.DUMMYFUNCTION("""COMPUTED_VALUE"""),"Peru")</f>
        <v>Peru</v>
      </c>
      <c r="B11" s="22">
        <f>IFERROR(__xludf.DUMMYFUNCTION("""COMPUTED_VALUE"""),613180.0)</f>
        <v>613180</v>
      </c>
      <c r="C11" s="22">
        <f>IFERROR(__xludf.DUMMYFUNCTION("""COMPUTED_VALUE"""),2.9146969E7)</f>
        <v>29146969</v>
      </c>
      <c r="D11" s="18">
        <f>IFERROR(__xludf.DUMMYFUNCTION("""COMPUTED_VALUE"""),2011.0)</f>
        <v>2011</v>
      </c>
      <c r="E11" s="16">
        <f t="array" ref="E11">((B11/C11)/1000)*1000</f>
        <v>0.02103752195</v>
      </c>
      <c r="F11" s="16">
        <f>IFERROR(__xludf.DUMMYFUNCTION("""COMPUTED_VALUE"""),0.008157133356602337)</f>
        <v>0.008157133357</v>
      </c>
      <c r="L11" s="16"/>
      <c r="M11" s="16"/>
      <c r="N11" s="16"/>
    </row>
    <row r="12">
      <c r="A12" s="18" t="str">
        <f>IFERROR(__xludf.DUMMYFUNCTION("""COMPUTED_VALUE"""),"Peru")</f>
        <v>Peru</v>
      </c>
      <c r="B12" s="22">
        <f>IFERROR(__xludf.DUMMYFUNCTION("""COMPUTED_VALUE"""),602813.0)</f>
        <v>602813</v>
      </c>
      <c r="C12" s="22">
        <f>IFERROR(__xludf.DUMMYFUNCTION("""COMPUTED_VALUE"""),2.9386215E7)</f>
        <v>29386215</v>
      </c>
      <c r="D12" s="18">
        <f>IFERROR(__xludf.DUMMYFUNCTION("""COMPUTED_VALUE"""),2012.0)</f>
        <v>2012</v>
      </c>
      <c r="E12" s="16">
        <f t="array" ref="E12">((B12/C12)/1000)*1000</f>
        <v>0.02051346184</v>
      </c>
      <c r="F12" s="16">
        <f>IFERROR(__xludf.DUMMYFUNCTION("""COMPUTED_VALUE"""),0.00820826343898743)</f>
        <v>0.008208263439</v>
      </c>
      <c r="L12" s="16"/>
      <c r="M12" s="16"/>
      <c r="N12" s="16"/>
    </row>
    <row r="13">
      <c r="A13" s="18" t="str">
        <f>IFERROR(__xludf.DUMMYFUNCTION("""COMPUTED_VALUE"""),"Peru")</f>
        <v>Peru</v>
      </c>
      <c r="B13" s="22">
        <f>IFERROR(__xludf.DUMMYFUNCTION("""COMPUTED_VALUE"""),592938.0)</f>
        <v>592938</v>
      </c>
      <c r="C13" s="22">
        <f>IFERROR(__xludf.DUMMYFUNCTION("""COMPUTED_VALUE"""),2.9641486E7)</f>
        <v>29641486</v>
      </c>
      <c r="D13" s="18">
        <f>IFERROR(__xludf.DUMMYFUNCTION("""COMPUTED_VALUE"""),2013.0)</f>
        <v>2013</v>
      </c>
      <c r="E13" s="16">
        <f t="array" ref="E13">((B13/C13)/1000)*1000</f>
        <v>0.02000365299</v>
      </c>
      <c r="F13" s="16">
        <f>IFERROR(__xludf.DUMMYFUNCTION("""COMPUTED_VALUE"""),0.008686760101632687)</f>
        <v>0.008686760102</v>
      </c>
      <c r="L13" s="16"/>
      <c r="M13" s="16"/>
      <c r="N13" s="16"/>
    </row>
    <row r="14">
      <c r="A14" s="18" t="str">
        <f>IFERROR(__xludf.DUMMYFUNCTION("""COMPUTED_VALUE"""),"Peru")</f>
        <v>Peru</v>
      </c>
      <c r="B14" s="22">
        <f>IFERROR(__xludf.DUMMYFUNCTION("""COMPUTED_VALUE"""),584699.0)</f>
        <v>584699</v>
      </c>
      <c r="C14" s="22">
        <f>IFERROR(__xludf.DUMMYFUNCTION("""COMPUTED_VALUE"""),2.9933479E7)</f>
        <v>29933479</v>
      </c>
      <c r="D14" s="18">
        <f>IFERROR(__xludf.DUMMYFUNCTION("""COMPUTED_VALUE"""),2014.0)</f>
        <v>2014</v>
      </c>
      <c r="E14" s="16">
        <f t="array" ref="E14">((B14/C14)/1000)*1000</f>
        <v>0.01953327911</v>
      </c>
      <c r="F14" s="16">
        <f>IFERROR(__xludf.DUMMYFUNCTION("""COMPUTED_VALUE"""),0.009850821918982065)</f>
        <v>0.009850821919</v>
      </c>
      <c r="L14" s="16"/>
      <c r="M14" s="16"/>
      <c r="N14" s="16"/>
    </row>
    <row r="15">
      <c r="A15" s="18" t="str">
        <f>IFERROR(__xludf.DUMMYFUNCTION("""COMPUTED_VALUE"""),"Peru")</f>
        <v>Peru</v>
      </c>
      <c r="B15" s="22">
        <f>IFERROR(__xludf.DUMMYFUNCTION("""COMPUTED_VALUE"""),577568.0)</f>
        <v>577568</v>
      </c>
      <c r="C15" s="22">
        <f>IFERROR(__xludf.DUMMYFUNCTION("""COMPUTED_VALUE"""),3.0282119E7)</f>
        <v>30282119</v>
      </c>
      <c r="D15" s="18">
        <f>IFERROR(__xludf.DUMMYFUNCTION("""COMPUTED_VALUE"""),2015.0)</f>
        <v>2015</v>
      </c>
      <c r="E15" s="16">
        <f t="array" ref="E15">((B15/C15)/1000)*1000</f>
        <v>0.0190729057</v>
      </c>
      <c r="F15" s="16">
        <f>IFERROR(__xludf.DUMMYFUNCTION("""COMPUTED_VALUE"""),0.01164715935625124)</f>
        <v>0.01164715936</v>
      </c>
      <c r="L15" s="16"/>
      <c r="M15" s="16"/>
      <c r="N15" s="16"/>
    </row>
    <row r="16">
      <c r="A16" s="18" t="str">
        <f>IFERROR(__xludf.DUMMYFUNCTION("""COMPUTED_VALUE"""),"Peru")</f>
        <v>Peru</v>
      </c>
      <c r="B16" s="22">
        <f>IFERROR(__xludf.DUMMYFUNCTION("""COMPUTED_VALUE"""),575208.0)</f>
        <v>575208</v>
      </c>
      <c r="C16" s="22">
        <f>IFERROR(__xludf.DUMMYFUNCTION("""COMPUTED_VALUE"""),3.0699631E7)</f>
        <v>30699631</v>
      </c>
      <c r="D16" s="18">
        <f>IFERROR(__xludf.DUMMYFUNCTION("""COMPUTED_VALUE"""),2016.0)</f>
        <v>2016</v>
      </c>
      <c r="E16" s="16">
        <f t="array" ref="E16">((B16/C16)/1000)*1000</f>
        <v>0.01873664214</v>
      </c>
      <c r="F16" s="16">
        <f>IFERROR(__xludf.DUMMYFUNCTION("""COMPUTED_VALUE"""),0.013787410319601479)</f>
        <v>0.01378741032</v>
      </c>
      <c r="L16" s="16"/>
      <c r="M16" s="16"/>
      <c r="N16" s="16"/>
    </row>
    <row r="17">
      <c r="A17" s="18" t="str">
        <f>IFERROR(__xludf.DUMMYFUNCTION("""COMPUTED_VALUE"""),"Peru")</f>
        <v>Peru</v>
      </c>
      <c r="B17" s="22">
        <f>IFERROR(__xludf.DUMMYFUNCTION("""COMPUTED_VALUE"""),576461.0)</f>
        <v>576461</v>
      </c>
      <c r="C17" s="22">
        <f>IFERROR(__xludf.DUMMYFUNCTION("""COMPUTED_VALUE"""),3.1187297E7)</f>
        <v>31187297</v>
      </c>
      <c r="D17" s="18">
        <f>IFERROR(__xludf.DUMMYFUNCTION("""COMPUTED_VALUE"""),2017.0)</f>
        <v>2017</v>
      </c>
      <c r="E17" s="16">
        <f t="array" ref="E17">((B17/C17)/1000)*1000</f>
        <v>0.01848383975</v>
      </c>
      <c r="F17" s="16">
        <f>IFERROR(__xludf.DUMMYFUNCTION("""COMPUTED_VALUE"""),0.01588507692486597)</f>
        <v>0.01588507692</v>
      </c>
      <c r="L17" s="16"/>
      <c r="M17" s="16"/>
      <c r="N17" s="16"/>
    </row>
    <row r="18">
      <c r="A18" s="18" t="str">
        <f>IFERROR(__xludf.DUMMYFUNCTION("""COMPUTED_VALUE"""),"Peru")</f>
        <v>Peru</v>
      </c>
      <c r="B18" s="22">
        <f>IFERROR(__xludf.DUMMYFUNCTION("""COMPUTED_VALUE"""),579697.0)</f>
        <v>579697</v>
      </c>
      <c r="C18" s="22">
        <f>IFERROR(__xludf.DUMMYFUNCTION("""COMPUTED_VALUE"""),3.1719022E7)</f>
        <v>31719022</v>
      </c>
      <c r="D18" s="18">
        <f>IFERROR(__xludf.DUMMYFUNCTION("""COMPUTED_VALUE"""),2018.0)</f>
        <v>2018</v>
      </c>
      <c r="E18" s="16">
        <f t="array" ref="E18">((B18/C18)/1000)*1000</f>
        <v>0.01827600485</v>
      </c>
      <c r="F18" s="16">
        <f>IFERROR(__xludf.DUMMYFUNCTION("""COMPUTED_VALUE"""),0.0170494095721088)</f>
        <v>0.01704940957</v>
      </c>
      <c r="L18" s="16"/>
      <c r="M18" s="16"/>
      <c r="N18" s="16"/>
    </row>
    <row r="19">
      <c r="A19" s="18" t="str">
        <f>IFERROR(__xludf.DUMMYFUNCTION("""COMPUTED_VALUE"""),"Peru")</f>
        <v>Peru</v>
      </c>
      <c r="B19" s="22">
        <f>IFERROR(__xludf.DUMMYFUNCTION("""COMPUTED_VALUE"""),591025.0)</f>
        <v>591025</v>
      </c>
      <c r="C19" s="22">
        <f>IFERROR(__xludf.DUMMYFUNCTION("""COMPUTED_VALUE"""),3.2252005E7)</f>
        <v>32252005</v>
      </c>
      <c r="D19" s="18">
        <f>IFERROR(__xludf.DUMMYFUNCTION("""COMPUTED_VALUE"""),2019.0)</f>
        <v>2019</v>
      </c>
      <c r="E19" s="16">
        <f t="array" ref="E19">((B19/C19)/1000)*1000</f>
        <v>0.0183252173</v>
      </c>
      <c r="F19" s="16">
        <f>IFERROR(__xludf.DUMMYFUNCTION("""COMPUTED_VALUE"""),0.01680326083193864)</f>
        <v>0.01680326083</v>
      </c>
      <c r="L19" s="16"/>
      <c r="M19" s="16"/>
      <c r="N19" s="16"/>
    </row>
    <row r="20">
      <c r="A20" s="18" t="str">
        <f>IFERROR(__xludf.DUMMYFUNCTION("""COMPUTED_VALUE"""),"Peru")</f>
        <v>Peru</v>
      </c>
      <c r="B20" s="22">
        <f>IFERROR(__xludf.DUMMYFUNCTION("""COMPUTED_VALUE"""),593207.0)</f>
        <v>593207</v>
      </c>
      <c r="C20" s="22">
        <f>IFERROR(__xludf.DUMMYFUNCTION("""COMPUTED_VALUE"""),3.2742415E7)</f>
        <v>32742415</v>
      </c>
      <c r="D20" s="18">
        <f>IFERROR(__xludf.DUMMYFUNCTION("""COMPUTED_VALUE"""),2020.0)</f>
        <v>2020</v>
      </c>
      <c r="E20" s="16">
        <f t="array" ref="E20">((B20/C20)/1000)*1000</f>
        <v>0.01811738688</v>
      </c>
      <c r="F20" s="16">
        <f>IFERROR(__xludf.DUMMYFUNCTION("""COMPUTED_VALUE"""),0.015205566289599669)</f>
        <v>0.01520556629</v>
      </c>
      <c r="L20" s="16"/>
      <c r="M20" s="16"/>
      <c r="N20" s="16"/>
    </row>
    <row r="21">
      <c r="A21" s="18" t="str">
        <f>IFERROR(__xludf.DUMMYFUNCTION("""COMPUTED_VALUE"""),"Peru")</f>
        <v>Peru</v>
      </c>
      <c r="B21" s="22">
        <f>IFERROR(__xludf.DUMMYFUNCTION("""COMPUTED_VALUE"""),593523.0)</f>
        <v>593523</v>
      </c>
      <c r="C21" s="22">
        <f>IFERROR(__xludf.DUMMYFUNCTION("""COMPUTED_VALUE"""),3.3174287E7)</f>
        <v>33174287</v>
      </c>
      <c r="D21" s="18">
        <f>IFERROR(__xludf.DUMMYFUNCTION("""COMPUTED_VALUE"""),2021.0)</f>
        <v>2021</v>
      </c>
      <c r="E21" s="16">
        <f t="array" ref="E21">((B21/C21)/1000)*1000</f>
        <v>0.0178910552</v>
      </c>
      <c r="F21" s="16">
        <f>IFERROR(__xludf.DUMMYFUNCTION("""COMPUTED_VALUE"""),0.01318998613877443)</f>
        <v>0.01318998614</v>
      </c>
      <c r="L21" s="16"/>
      <c r="M21" s="16"/>
      <c r="N21" s="16"/>
    </row>
    <row r="22">
      <c r="E22" s="16"/>
      <c r="L22" s="16"/>
      <c r="M22" s="16"/>
      <c r="N22" s="16"/>
    </row>
    <row r="23">
      <c r="L23" s="16"/>
      <c r="M23" s="16"/>
      <c r="N23" s="16"/>
    </row>
    <row r="24">
      <c r="L24" s="16"/>
      <c r="M24" s="16"/>
      <c r="N24" s="16"/>
    </row>
    <row r="25">
      <c r="L25" s="16"/>
      <c r="M25" s="16"/>
      <c r="N25" s="16"/>
    </row>
    <row r="26">
      <c r="L26" s="16"/>
      <c r="M26" s="16"/>
      <c r="N26" s="16"/>
    </row>
    <row r="27">
      <c r="L27" s="16"/>
      <c r="M27" s="16"/>
      <c r="N27" s="16"/>
    </row>
    <row r="28">
      <c r="L28" s="16"/>
      <c r="M28" s="16"/>
      <c r="N28" s="16"/>
    </row>
    <row r="29">
      <c r="L29" s="16"/>
      <c r="M29" s="16"/>
      <c r="N29" s="16"/>
    </row>
    <row r="30">
      <c r="L30" s="16"/>
      <c r="M30" s="16"/>
      <c r="N30" s="16"/>
    </row>
    <row r="31">
      <c r="L31" s="16"/>
      <c r="M31" s="16"/>
      <c r="N31" s="16"/>
    </row>
    <row r="32">
      <c r="L32" s="16"/>
      <c r="M32" s="16"/>
      <c r="N32" s="16"/>
    </row>
    <row r="33">
      <c r="L33" s="16"/>
      <c r="M33" s="16"/>
      <c r="N33" s="16"/>
    </row>
    <row r="34">
      <c r="L34" s="16"/>
      <c r="M34" s="16"/>
      <c r="N34" s="16"/>
    </row>
    <row r="35">
      <c r="L35" s="16"/>
      <c r="M35" s="16"/>
      <c r="N35" s="16"/>
    </row>
    <row r="36">
      <c r="L36" s="16"/>
      <c r="M36" s="16"/>
      <c r="N36" s="16"/>
    </row>
    <row r="37">
      <c r="L37" s="16"/>
      <c r="M37" s="16"/>
      <c r="N37" s="16"/>
    </row>
    <row r="38">
      <c r="L38" s="16"/>
      <c r="M38" s="16"/>
      <c r="N38" s="16"/>
    </row>
    <row r="39">
      <c r="L39" s="16"/>
      <c r="M39" s="16"/>
      <c r="N39" s="16"/>
    </row>
    <row r="40">
      <c r="L40" s="16"/>
      <c r="M40" s="16"/>
      <c r="N40" s="16"/>
    </row>
    <row r="41">
      <c r="L41" s="16"/>
      <c r="M41" s="16"/>
      <c r="N41" s="16"/>
    </row>
    <row r="42">
      <c r="L42" s="16"/>
      <c r="M42" s="16"/>
      <c r="N42" s="16"/>
    </row>
    <row r="43">
      <c r="L43" s="16"/>
      <c r="M43" s="16"/>
      <c r="N43" s="16"/>
    </row>
    <row r="44">
      <c r="L44" s="16"/>
      <c r="M44" s="16"/>
      <c r="N44" s="16"/>
    </row>
    <row r="45">
      <c r="L45" s="16"/>
      <c r="M45" s="16"/>
      <c r="N45" s="16"/>
    </row>
    <row r="46">
      <c r="L46" s="16"/>
      <c r="M46" s="16"/>
      <c r="N46" s="16"/>
    </row>
    <row r="47">
      <c r="L47" s="16"/>
      <c r="M47" s="16"/>
      <c r="N47" s="16"/>
    </row>
    <row r="48">
      <c r="L48" s="16"/>
      <c r="M48" s="16"/>
      <c r="N48" s="16"/>
    </row>
    <row r="49">
      <c r="L49" s="16"/>
      <c r="M49" s="16"/>
      <c r="N49" s="16"/>
    </row>
    <row r="50">
      <c r="L50" s="16"/>
      <c r="M50" s="16"/>
      <c r="N50" s="16"/>
    </row>
    <row r="51">
      <c r="L51" s="16"/>
      <c r="M51" s="16"/>
      <c r="N51" s="16"/>
    </row>
    <row r="52">
      <c r="L52" s="16"/>
      <c r="M52" s="16"/>
      <c r="N52" s="16"/>
    </row>
    <row r="53">
      <c r="L53" s="16"/>
      <c r="M53" s="16"/>
      <c r="N53" s="16"/>
    </row>
    <row r="54">
      <c r="L54" s="16"/>
      <c r="M54" s="16"/>
      <c r="N54" s="16"/>
    </row>
    <row r="55">
      <c r="L55" s="16"/>
      <c r="M55" s="16"/>
      <c r="N55" s="16"/>
    </row>
    <row r="56">
      <c r="L56" s="16"/>
      <c r="M56" s="16"/>
      <c r="N56" s="16"/>
    </row>
    <row r="57">
      <c r="L57" s="16"/>
      <c r="M57" s="16"/>
      <c r="N57" s="16"/>
    </row>
    <row r="58">
      <c r="L58" s="16"/>
      <c r="M58" s="16"/>
      <c r="N58" s="16"/>
    </row>
    <row r="59">
      <c r="L59" s="16"/>
      <c r="M59" s="16"/>
      <c r="N59" s="16"/>
    </row>
    <row r="60">
      <c r="L60" s="16"/>
      <c r="M60" s="16"/>
      <c r="N60" s="16"/>
    </row>
    <row r="61">
      <c r="L61" s="16"/>
      <c r="M61" s="16"/>
      <c r="N61" s="16"/>
    </row>
    <row r="62">
      <c r="L62" s="16"/>
      <c r="M62" s="16"/>
      <c r="N62" s="16"/>
    </row>
    <row r="63">
      <c r="L63" s="16"/>
      <c r="M63" s="16"/>
      <c r="N63" s="16"/>
    </row>
    <row r="64">
      <c r="L64" s="16"/>
      <c r="M64" s="16"/>
      <c r="N64" s="16"/>
    </row>
    <row r="65">
      <c r="L65" s="16"/>
      <c r="M65" s="16"/>
      <c r="N65" s="16"/>
    </row>
    <row r="66">
      <c r="L66" s="16"/>
      <c r="M66" s="16"/>
      <c r="N66" s="16"/>
    </row>
    <row r="67">
      <c r="L67" s="16"/>
      <c r="M67" s="16"/>
      <c r="N67" s="16"/>
    </row>
    <row r="68">
      <c r="L68" s="16"/>
      <c r="M68" s="16"/>
      <c r="N68" s="16"/>
    </row>
    <row r="69">
      <c r="L69" s="16"/>
      <c r="M69" s="16"/>
      <c r="N69" s="16"/>
    </row>
    <row r="70">
      <c r="L70" s="16"/>
      <c r="M70" s="16"/>
      <c r="N70" s="16"/>
    </row>
    <row r="71">
      <c r="L71" s="16"/>
      <c r="M71" s="16"/>
      <c r="N71" s="16"/>
    </row>
    <row r="72">
      <c r="L72" s="16"/>
      <c r="M72" s="16"/>
      <c r="N72" s="16"/>
    </row>
    <row r="73">
      <c r="L73" s="16"/>
      <c r="M73" s="16"/>
      <c r="N73" s="16"/>
    </row>
    <row r="74">
      <c r="L74" s="16"/>
      <c r="M74" s="16"/>
      <c r="N74" s="16"/>
    </row>
    <row r="75">
      <c r="L75" s="16"/>
      <c r="M75" s="16"/>
      <c r="N75" s="16"/>
    </row>
    <row r="76">
      <c r="L76" s="16"/>
      <c r="M76" s="16"/>
      <c r="N76" s="16"/>
    </row>
    <row r="77">
      <c r="L77" s="16"/>
      <c r="M77" s="16"/>
      <c r="N77" s="16"/>
    </row>
    <row r="78">
      <c r="L78" s="16"/>
      <c r="M78" s="16"/>
      <c r="N78" s="16"/>
    </row>
    <row r="79">
      <c r="L79" s="16"/>
      <c r="M79" s="16"/>
      <c r="N79" s="16"/>
    </row>
    <row r="80">
      <c r="L80" s="16"/>
      <c r="M80" s="16"/>
      <c r="N80" s="16"/>
    </row>
    <row r="81">
      <c r="L81" s="16"/>
      <c r="M81" s="16"/>
      <c r="N81" s="16"/>
    </row>
    <row r="82">
      <c r="L82" s="16"/>
      <c r="M82" s="16"/>
      <c r="N82" s="16"/>
    </row>
    <row r="83">
      <c r="L83" s="16"/>
      <c r="M83" s="16"/>
      <c r="N83" s="16"/>
    </row>
    <row r="84">
      <c r="L84" s="16"/>
      <c r="M84" s="16"/>
      <c r="N84" s="16"/>
    </row>
    <row r="85">
      <c r="L85" s="16"/>
      <c r="M85" s="16"/>
      <c r="N85" s="16"/>
    </row>
    <row r="86">
      <c r="L86" s="16"/>
      <c r="M86" s="16"/>
      <c r="N86" s="16"/>
    </row>
    <row r="87">
      <c r="L87" s="16"/>
      <c r="M87" s="16"/>
      <c r="N87" s="16"/>
    </row>
    <row r="88">
      <c r="L88" s="16"/>
      <c r="M88" s="16"/>
      <c r="N88" s="16"/>
    </row>
    <row r="89">
      <c r="L89" s="16"/>
      <c r="M89" s="16"/>
      <c r="N89" s="16"/>
    </row>
    <row r="90">
      <c r="L90" s="16"/>
      <c r="M90" s="16"/>
      <c r="N90" s="16"/>
    </row>
    <row r="91">
      <c r="L91" s="16"/>
      <c r="M91" s="16"/>
      <c r="N91" s="16"/>
    </row>
    <row r="92">
      <c r="L92" s="16"/>
      <c r="M92" s="16"/>
      <c r="N92" s="16"/>
    </row>
    <row r="93">
      <c r="L93" s="16"/>
      <c r="M93" s="16"/>
      <c r="N93" s="16"/>
    </row>
    <row r="94">
      <c r="L94" s="16"/>
      <c r="M94" s="16"/>
      <c r="N94" s="16"/>
    </row>
    <row r="95">
      <c r="L95" s="16"/>
      <c r="M95" s="16"/>
      <c r="N95" s="16"/>
    </row>
    <row r="96">
      <c r="L96" s="16"/>
      <c r="M96" s="16"/>
      <c r="N96" s="16"/>
    </row>
    <row r="97">
      <c r="L97" s="16"/>
      <c r="M97" s="16"/>
      <c r="N97" s="16"/>
    </row>
    <row r="98">
      <c r="L98" s="16"/>
      <c r="M98" s="16"/>
      <c r="N98" s="16"/>
    </row>
    <row r="99">
      <c r="L99" s="16"/>
      <c r="M99" s="16"/>
      <c r="N99" s="16"/>
    </row>
    <row r="100">
      <c r="L100" s="16"/>
      <c r="M100" s="16"/>
      <c r="N100" s="16"/>
    </row>
    <row r="101">
      <c r="L101" s="16"/>
      <c r="M101" s="16"/>
      <c r="N101" s="16"/>
    </row>
    <row r="102">
      <c r="L102" s="16"/>
      <c r="M102" s="16"/>
      <c r="N102" s="16"/>
    </row>
    <row r="103">
      <c r="L103" s="16"/>
      <c r="M103" s="16"/>
      <c r="N103" s="16"/>
    </row>
    <row r="104">
      <c r="L104" s="16"/>
      <c r="M104" s="16"/>
      <c r="N104" s="16"/>
    </row>
    <row r="105">
      <c r="L105" s="16"/>
      <c r="M105" s="16"/>
      <c r="N105" s="16"/>
    </row>
    <row r="106">
      <c r="L106" s="16"/>
      <c r="M106" s="16"/>
      <c r="N106" s="16"/>
    </row>
    <row r="107">
      <c r="L107" s="16"/>
      <c r="M107" s="16"/>
      <c r="N107" s="16"/>
    </row>
    <row r="108">
      <c r="L108" s="16"/>
      <c r="M108" s="16"/>
      <c r="N108" s="16"/>
    </row>
    <row r="109">
      <c r="L109" s="16"/>
      <c r="M109" s="16"/>
      <c r="N109" s="16"/>
    </row>
    <row r="110">
      <c r="L110" s="16"/>
      <c r="M110" s="16"/>
      <c r="N110" s="16"/>
    </row>
    <row r="111">
      <c r="L111" s="16"/>
      <c r="M111" s="16"/>
      <c r="N111" s="16"/>
    </row>
    <row r="112">
      <c r="L112" s="16"/>
      <c r="M112" s="16"/>
      <c r="N112" s="16"/>
    </row>
    <row r="113">
      <c r="L113" s="16"/>
      <c r="M113" s="16"/>
      <c r="N113" s="16"/>
    </row>
    <row r="114">
      <c r="L114" s="16"/>
      <c r="M114" s="16"/>
      <c r="N114" s="16"/>
    </row>
    <row r="115">
      <c r="L115" s="16"/>
      <c r="M115" s="16"/>
      <c r="N115" s="16"/>
    </row>
    <row r="116">
      <c r="L116" s="16"/>
      <c r="M116" s="16"/>
      <c r="N116" s="16"/>
    </row>
    <row r="117">
      <c r="L117" s="16"/>
      <c r="M117" s="16"/>
      <c r="N117" s="16"/>
    </row>
    <row r="118">
      <c r="L118" s="16"/>
      <c r="M118" s="16"/>
      <c r="N118" s="16"/>
    </row>
    <row r="119">
      <c r="L119" s="16"/>
      <c r="M119" s="16"/>
      <c r="N119" s="16"/>
    </row>
    <row r="120">
      <c r="L120" s="16"/>
      <c r="M120" s="16"/>
      <c r="N120" s="16"/>
    </row>
    <row r="121">
      <c r="L121" s="16"/>
      <c r="M121" s="16"/>
      <c r="N121" s="16"/>
    </row>
    <row r="122">
      <c r="L122" s="16"/>
      <c r="M122" s="16"/>
      <c r="N122" s="16"/>
    </row>
    <row r="123">
      <c r="L123" s="16"/>
      <c r="M123" s="16"/>
      <c r="N123" s="16"/>
    </row>
    <row r="124">
      <c r="L124" s="16"/>
      <c r="M124" s="16"/>
      <c r="N124" s="16"/>
    </row>
    <row r="125">
      <c r="L125" s="16"/>
      <c r="M125" s="16"/>
      <c r="N125" s="16"/>
    </row>
    <row r="126">
      <c r="L126" s="16"/>
      <c r="M126" s="16"/>
      <c r="N126" s="16"/>
    </row>
    <row r="127">
      <c r="L127" s="16"/>
      <c r="M127" s="16"/>
      <c r="N127" s="16"/>
    </row>
    <row r="128">
      <c r="L128" s="16"/>
      <c r="M128" s="16"/>
      <c r="N128" s="16"/>
    </row>
    <row r="129">
      <c r="L129" s="16"/>
      <c r="M129" s="16"/>
      <c r="N129" s="16"/>
    </row>
    <row r="130">
      <c r="L130" s="16"/>
      <c r="M130" s="16"/>
      <c r="N130" s="16"/>
    </row>
    <row r="131">
      <c r="L131" s="16"/>
      <c r="M131" s="16"/>
      <c r="N131" s="16"/>
    </row>
    <row r="132">
      <c r="L132" s="16"/>
      <c r="M132" s="16"/>
      <c r="N132" s="16"/>
    </row>
    <row r="133">
      <c r="L133" s="16"/>
      <c r="M133" s="16"/>
      <c r="N133" s="16"/>
    </row>
    <row r="134">
      <c r="L134" s="16"/>
      <c r="M134" s="16"/>
      <c r="N134" s="16"/>
    </row>
    <row r="135">
      <c r="L135" s="16"/>
      <c r="M135" s="16"/>
      <c r="N135" s="16"/>
    </row>
    <row r="136">
      <c r="L136" s="16"/>
      <c r="M136" s="16"/>
      <c r="N136" s="16"/>
    </row>
    <row r="137">
      <c r="L137" s="16"/>
      <c r="M137" s="16"/>
      <c r="N137" s="16"/>
    </row>
    <row r="138">
      <c r="L138" s="16"/>
      <c r="M138" s="16"/>
      <c r="N138" s="16"/>
    </row>
    <row r="139">
      <c r="L139" s="16"/>
      <c r="M139" s="16"/>
      <c r="N139" s="16"/>
    </row>
    <row r="140">
      <c r="L140" s="16"/>
      <c r="M140" s="16"/>
      <c r="N140" s="16"/>
    </row>
    <row r="141">
      <c r="L141" s="16"/>
      <c r="M141" s="16"/>
      <c r="N141" s="16"/>
    </row>
    <row r="142">
      <c r="L142" s="16"/>
      <c r="M142" s="16"/>
      <c r="N142" s="16"/>
    </row>
    <row r="143">
      <c r="L143" s="16"/>
      <c r="M143" s="16"/>
      <c r="N143" s="16"/>
    </row>
    <row r="144">
      <c r="L144" s="16"/>
      <c r="M144" s="16"/>
      <c r="N144" s="16"/>
    </row>
    <row r="145">
      <c r="L145" s="16"/>
      <c r="M145" s="16"/>
      <c r="N145" s="16"/>
    </row>
    <row r="146">
      <c r="L146" s="16"/>
      <c r="M146" s="16"/>
      <c r="N146" s="16"/>
    </row>
    <row r="147">
      <c r="L147" s="16"/>
      <c r="M147" s="16"/>
      <c r="N147" s="16"/>
    </row>
    <row r="148">
      <c r="L148" s="16"/>
      <c r="M148" s="16"/>
      <c r="N148" s="16"/>
    </row>
    <row r="149">
      <c r="L149" s="16"/>
      <c r="M149" s="16"/>
      <c r="N149" s="16"/>
    </row>
    <row r="150">
      <c r="L150" s="16"/>
      <c r="M150" s="16"/>
      <c r="N150" s="16"/>
    </row>
    <row r="151">
      <c r="L151" s="16"/>
      <c r="M151" s="16"/>
      <c r="N151" s="16"/>
    </row>
    <row r="152">
      <c r="L152" s="16"/>
      <c r="M152" s="16"/>
      <c r="N152" s="16"/>
    </row>
    <row r="153">
      <c r="L153" s="16"/>
      <c r="M153" s="16"/>
      <c r="N153" s="16"/>
    </row>
    <row r="154">
      <c r="L154" s="16"/>
      <c r="M154" s="16"/>
      <c r="N154" s="16"/>
    </row>
    <row r="155">
      <c r="L155" s="16"/>
      <c r="M155" s="16"/>
      <c r="N155" s="16"/>
    </row>
    <row r="156">
      <c r="L156" s="16"/>
      <c r="M156" s="16"/>
      <c r="N156" s="16"/>
    </row>
    <row r="157">
      <c r="L157" s="16"/>
      <c r="M157" s="16"/>
      <c r="N157" s="16"/>
    </row>
    <row r="158">
      <c r="L158" s="16"/>
      <c r="M158" s="16"/>
      <c r="N158" s="16"/>
    </row>
    <row r="159">
      <c r="L159" s="16"/>
      <c r="M159" s="16"/>
      <c r="N159" s="16"/>
    </row>
    <row r="160">
      <c r="L160" s="16"/>
      <c r="M160" s="16"/>
      <c r="N160" s="16"/>
    </row>
    <row r="161">
      <c r="L161" s="16"/>
      <c r="M161" s="16"/>
      <c r="N161" s="16"/>
    </row>
    <row r="162">
      <c r="L162" s="16"/>
      <c r="M162" s="16"/>
      <c r="N162" s="16"/>
    </row>
    <row r="163">
      <c r="L163" s="16"/>
      <c r="M163" s="16"/>
      <c r="N163" s="16"/>
    </row>
    <row r="164">
      <c r="L164" s="16"/>
      <c r="M164" s="16"/>
      <c r="N164" s="16"/>
    </row>
    <row r="165">
      <c r="L165" s="16"/>
      <c r="M165" s="16"/>
      <c r="N165" s="16"/>
    </row>
    <row r="166">
      <c r="L166" s="16"/>
      <c r="M166" s="16"/>
      <c r="N166" s="16"/>
    </row>
    <row r="167">
      <c r="L167" s="16"/>
      <c r="M167" s="16"/>
      <c r="N167" s="16"/>
    </row>
    <row r="168">
      <c r="L168" s="16"/>
      <c r="M168" s="16"/>
      <c r="N168" s="16"/>
    </row>
    <row r="169">
      <c r="L169" s="16"/>
      <c r="M169" s="16"/>
      <c r="N169" s="16"/>
    </row>
    <row r="170">
      <c r="L170" s="16"/>
      <c r="M170" s="16"/>
      <c r="N170" s="16"/>
    </row>
    <row r="171">
      <c r="L171" s="16"/>
      <c r="M171" s="16"/>
      <c r="N171" s="16"/>
    </row>
    <row r="172">
      <c r="L172" s="16"/>
      <c r="M172" s="16"/>
      <c r="N172" s="16"/>
    </row>
    <row r="173">
      <c r="L173" s="16"/>
      <c r="M173" s="16"/>
      <c r="N173" s="16"/>
    </row>
    <row r="174">
      <c r="L174" s="16"/>
      <c r="M174" s="16"/>
      <c r="N174" s="16"/>
    </row>
    <row r="175">
      <c r="L175" s="16"/>
      <c r="M175" s="16"/>
      <c r="N175" s="16"/>
    </row>
    <row r="176">
      <c r="L176" s="16"/>
      <c r="M176" s="16"/>
      <c r="N176" s="16"/>
    </row>
    <row r="177">
      <c r="L177" s="16"/>
      <c r="M177" s="16"/>
      <c r="N177" s="16"/>
    </row>
    <row r="178">
      <c r="L178" s="16"/>
      <c r="M178" s="16"/>
      <c r="N178" s="16"/>
    </row>
    <row r="179">
      <c r="L179" s="16"/>
      <c r="M179" s="16"/>
      <c r="N179" s="16"/>
    </row>
    <row r="180">
      <c r="L180" s="16"/>
      <c r="M180" s="16"/>
      <c r="N180" s="16"/>
    </row>
    <row r="181">
      <c r="L181" s="16"/>
      <c r="M181" s="16"/>
      <c r="N181" s="16"/>
    </row>
    <row r="182">
      <c r="L182" s="16"/>
      <c r="M182" s="16"/>
      <c r="N182" s="16"/>
    </row>
    <row r="183">
      <c r="L183" s="16"/>
      <c r="M183" s="16"/>
      <c r="N183" s="16"/>
    </row>
    <row r="184">
      <c r="L184" s="16"/>
      <c r="M184" s="16"/>
      <c r="N184" s="16"/>
    </row>
    <row r="185">
      <c r="L185" s="16"/>
      <c r="M185" s="16"/>
      <c r="N185" s="16"/>
    </row>
    <row r="186">
      <c r="L186" s="16"/>
      <c r="M186" s="16"/>
      <c r="N186" s="16"/>
    </row>
    <row r="187">
      <c r="L187" s="16"/>
      <c r="M187" s="16"/>
      <c r="N187" s="16"/>
    </row>
    <row r="188">
      <c r="L188" s="16"/>
      <c r="M188" s="16"/>
      <c r="N188" s="16"/>
    </row>
    <row r="189">
      <c r="L189" s="16"/>
      <c r="M189" s="16"/>
      <c r="N189" s="16"/>
    </row>
    <row r="190">
      <c r="L190" s="16"/>
      <c r="M190" s="16"/>
      <c r="N190" s="16"/>
    </row>
    <row r="191">
      <c r="L191" s="16"/>
      <c r="M191" s="16"/>
      <c r="N191" s="16"/>
    </row>
    <row r="192">
      <c r="L192" s="16"/>
      <c r="M192" s="16"/>
      <c r="N192" s="16"/>
    </row>
    <row r="193">
      <c r="L193" s="16"/>
      <c r="M193" s="16"/>
      <c r="N193" s="16"/>
    </row>
    <row r="194">
      <c r="L194" s="16"/>
      <c r="M194" s="16"/>
      <c r="N194" s="16"/>
    </row>
    <row r="195">
      <c r="L195" s="16"/>
      <c r="M195" s="16"/>
      <c r="N195" s="16"/>
    </row>
    <row r="196">
      <c r="L196" s="16"/>
      <c r="M196" s="16"/>
      <c r="N196" s="16"/>
    </row>
    <row r="197">
      <c r="L197" s="16"/>
      <c r="M197" s="16"/>
      <c r="N197" s="16"/>
    </row>
    <row r="198">
      <c r="L198" s="16"/>
      <c r="M198" s="16"/>
      <c r="N198" s="16"/>
    </row>
    <row r="199">
      <c r="L199" s="16"/>
      <c r="M199" s="16"/>
      <c r="N199" s="16"/>
    </row>
    <row r="200">
      <c r="L200" s="16"/>
      <c r="M200" s="16"/>
      <c r="N200" s="16"/>
    </row>
    <row r="201">
      <c r="L201" s="16"/>
      <c r="M201" s="16"/>
      <c r="N201" s="16"/>
    </row>
    <row r="202">
      <c r="L202" s="16"/>
      <c r="M202" s="16"/>
      <c r="N202" s="16"/>
    </row>
    <row r="203">
      <c r="L203" s="16"/>
      <c r="M203" s="16"/>
      <c r="N203" s="16"/>
    </row>
    <row r="204">
      <c r="L204" s="16"/>
      <c r="M204" s="16"/>
      <c r="N204" s="16"/>
    </row>
    <row r="205">
      <c r="L205" s="16"/>
      <c r="M205" s="16"/>
      <c r="N205" s="16"/>
    </row>
    <row r="206">
      <c r="L206" s="16"/>
      <c r="M206" s="16"/>
      <c r="N206" s="16"/>
    </row>
    <row r="207">
      <c r="L207" s="16"/>
      <c r="M207" s="16"/>
      <c r="N207" s="16"/>
    </row>
    <row r="208">
      <c r="L208" s="16"/>
      <c r="M208" s="16"/>
      <c r="N208" s="16"/>
    </row>
    <row r="209">
      <c r="L209" s="16"/>
      <c r="M209" s="16"/>
      <c r="N209" s="16"/>
    </row>
    <row r="210">
      <c r="L210" s="16"/>
      <c r="M210" s="16"/>
      <c r="N210" s="16"/>
    </row>
    <row r="211">
      <c r="L211" s="16"/>
      <c r="M211" s="16"/>
      <c r="N211" s="16"/>
    </row>
    <row r="212">
      <c r="L212" s="16"/>
      <c r="M212" s="16"/>
      <c r="N212" s="16"/>
    </row>
    <row r="213">
      <c r="L213" s="16"/>
      <c r="M213" s="16"/>
      <c r="N213" s="16"/>
    </row>
    <row r="214">
      <c r="L214" s="16"/>
      <c r="M214" s="16"/>
      <c r="N214" s="16"/>
    </row>
    <row r="215">
      <c r="L215" s="16"/>
      <c r="M215" s="16"/>
      <c r="N215" s="16"/>
    </row>
    <row r="216">
      <c r="L216" s="16"/>
      <c r="M216" s="16"/>
      <c r="N216" s="16"/>
    </row>
    <row r="217">
      <c r="L217" s="16"/>
      <c r="M217" s="16"/>
      <c r="N217" s="16"/>
    </row>
    <row r="218">
      <c r="L218" s="16"/>
      <c r="M218" s="16"/>
      <c r="N218" s="16"/>
    </row>
    <row r="219">
      <c r="L219" s="16"/>
      <c r="M219" s="16"/>
      <c r="N219" s="16"/>
    </row>
    <row r="220">
      <c r="L220" s="16"/>
      <c r="M220" s="16"/>
      <c r="N220" s="16"/>
    </row>
    <row r="221">
      <c r="L221" s="16"/>
      <c r="M221" s="16"/>
      <c r="N221" s="16"/>
    </row>
    <row r="222">
      <c r="L222" s="16"/>
      <c r="M222" s="16"/>
      <c r="N222" s="16"/>
    </row>
    <row r="223">
      <c r="L223" s="16"/>
      <c r="M223" s="16"/>
      <c r="N223" s="16"/>
    </row>
    <row r="224">
      <c r="L224" s="16"/>
      <c r="M224" s="16"/>
      <c r="N224" s="16"/>
    </row>
    <row r="225">
      <c r="L225" s="16"/>
      <c r="M225" s="16"/>
      <c r="N225" s="16"/>
    </row>
    <row r="226">
      <c r="L226" s="16"/>
      <c r="M226" s="16"/>
      <c r="N226" s="16"/>
    </row>
    <row r="227">
      <c r="L227" s="16"/>
      <c r="M227" s="16"/>
      <c r="N227" s="16"/>
    </row>
    <row r="228">
      <c r="L228" s="16"/>
      <c r="M228" s="16"/>
      <c r="N228" s="16"/>
    </row>
    <row r="229">
      <c r="L229" s="16"/>
      <c r="M229" s="16"/>
      <c r="N229" s="16"/>
    </row>
    <row r="230">
      <c r="L230" s="16"/>
      <c r="M230" s="16"/>
      <c r="N230" s="16"/>
    </row>
    <row r="231">
      <c r="L231" s="16"/>
      <c r="M231" s="16"/>
      <c r="N231" s="16"/>
    </row>
    <row r="232">
      <c r="L232" s="16"/>
      <c r="M232" s="16"/>
      <c r="N232" s="16"/>
    </row>
    <row r="233">
      <c r="L233" s="16"/>
      <c r="M233" s="16"/>
      <c r="N233" s="16"/>
    </row>
    <row r="234">
      <c r="L234" s="16"/>
      <c r="M234" s="16"/>
      <c r="N234" s="16"/>
    </row>
    <row r="235">
      <c r="L235" s="16"/>
      <c r="M235" s="16"/>
      <c r="N235" s="16"/>
    </row>
    <row r="236">
      <c r="L236" s="16"/>
      <c r="M236" s="16"/>
      <c r="N236" s="16"/>
    </row>
    <row r="237">
      <c r="L237" s="16"/>
      <c r="M237" s="16"/>
      <c r="N237" s="16"/>
    </row>
    <row r="238">
      <c r="L238" s="16"/>
      <c r="M238" s="16"/>
      <c r="N238" s="16"/>
    </row>
    <row r="239">
      <c r="L239" s="16"/>
      <c r="M239" s="16"/>
      <c r="N239" s="16"/>
    </row>
    <row r="240">
      <c r="L240" s="16"/>
      <c r="M240" s="16"/>
      <c r="N240" s="16"/>
    </row>
    <row r="241">
      <c r="L241" s="16"/>
      <c r="M241" s="16"/>
      <c r="N241" s="16"/>
    </row>
    <row r="242">
      <c r="L242" s="16"/>
      <c r="M242" s="16"/>
      <c r="N242" s="16"/>
    </row>
    <row r="243">
      <c r="L243" s="16"/>
      <c r="M243" s="16"/>
      <c r="N243" s="16"/>
    </row>
    <row r="244">
      <c r="L244" s="16"/>
      <c r="M244" s="16"/>
      <c r="N244" s="16"/>
    </row>
    <row r="245">
      <c r="L245" s="16"/>
      <c r="M245" s="16"/>
      <c r="N245" s="16"/>
    </row>
    <row r="246">
      <c r="L246" s="16"/>
      <c r="M246" s="16"/>
      <c r="N246" s="16"/>
    </row>
    <row r="247">
      <c r="L247" s="16"/>
      <c r="M247" s="16"/>
      <c r="N247" s="16"/>
    </row>
    <row r="248">
      <c r="L248" s="16"/>
      <c r="M248" s="16"/>
      <c r="N248" s="16"/>
    </row>
    <row r="249">
      <c r="L249" s="16"/>
      <c r="M249" s="16"/>
      <c r="N249" s="16"/>
    </row>
    <row r="250">
      <c r="L250" s="16"/>
      <c r="M250" s="16"/>
      <c r="N250" s="16"/>
    </row>
    <row r="251">
      <c r="L251" s="16"/>
      <c r="M251" s="16"/>
      <c r="N251" s="16"/>
    </row>
    <row r="252">
      <c r="L252" s="16"/>
      <c r="M252" s="16"/>
      <c r="N252" s="16"/>
    </row>
    <row r="253">
      <c r="L253" s="16"/>
      <c r="M253" s="16"/>
      <c r="N253" s="16"/>
    </row>
    <row r="254">
      <c r="L254" s="16"/>
      <c r="M254" s="16"/>
      <c r="N254" s="16"/>
    </row>
    <row r="255">
      <c r="L255" s="16"/>
      <c r="M255" s="16"/>
      <c r="N255" s="16"/>
    </row>
    <row r="256">
      <c r="L256" s="16"/>
      <c r="M256" s="16"/>
      <c r="N256" s="16"/>
    </row>
    <row r="257">
      <c r="L257" s="16"/>
      <c r="M257" s="16"/>
      <c r="N257" s="16"/>
    </row>
    <row r="258">
      <c r="L258" s="16"/>
      <c r="M258" s="16"/>
      <c r="N258" s="16"/>
    </row>
    <row r="259">
      <c r="L259" s="16"/>
      <c r="M259" s="16"/>
      <c r="N259" s="16"/>
    </row>
    <row r="260">
      <c r="L260" s="16"/>
      <c r="M260" s="16"/>
      <c r="N260" s="16"/>
    </row>
    <row r="261">
      <c r="L261" s="16"/>
      <c r="M261" s="16"/>
      <c r="N261" s="16"/>
    </row>
    <row r="262">
      <c r="L262" s="16"/>
      <c r="M262" s="16"/>
      <c r="N262" s="16"/>
    </row>
    <row r="263">
      <c r="L263" s="16"/>
      <c r="M263" s="16"/>
      <c r="N263" s="16"/>
    </row>
    <row r="264">
      <c r="L264" s="16"/>
      <c r="M264" s="16"/>
      <c r="N264" s="16"/>
    </row>
    <row r="265">
      <c r="L265" s="16"/>
      <c r="M265" s="16"/>
      <c r="N265" s="16"/>
    </row>
    <row r="266">
      <c r="L266" s="16"/>
      <c r="M266" s="16"/>
      <c r="N266" s="16"/>
    </row>
    <row r="267">
      <c r="L267" s="16"/>
      <c r="M267" s="16"/>
      <c r="N267" s="16"/>
    </row>
    <row r="268">
      <c r="L268" s="16"/>
      <c r="M268" s="16"/>
      <c r="N268" s="16"/>
    </row>
    <row r="269">
      <c r="L269" s="16"/>
      <c r="M269" s="16"/>
      <c r="N269" s="16"/>
    </row>
    <row r="270">
      <c r="L270" s="16"/>
      <c r="M270" s="16"/>
      <c r="N270" s="16"/>
    </row>
    <row r="271">
      <c r="L271" s="16"/>
      <c r="M271" s="16"/>
      <c r="N271" s="16"/>
    </row>
    <row r="272">
      <c r="L272" s="16"/>
      <c r="M272" s="16"/>
      <c r="N272" s="16"/>
    </row>
    <row r="273">
      <c r="L273" s="16"/>
      <c r="M273" s="16"/>
      <c r="N273" s="16"/>
    </row>
    <row r="274">
      <c r="L274" s="16"/>
      <c r="M274" s="16"/>
      <c r="N274" s="16"/>
    </row>
    <row r="275">
      <c r="L275" s="16"/>
      <c r="M275" s="16"/>
      <c r="N275" s="16"/>
    </row>
    <row r="276">
      <c r="L276" s="16"/>
      <c r="M276" s="16"/>
      <c r="N276" s="16"/>
    </row>
    <row r="277">
      <c r="L277" s="16"/>
      <c r="M277" s="16"/>
      <c r="N277" s="16"/>
    </row>
    <row r="278">
      <c r="L278" s="16"/>
      <c r="M278" s="16"/>
      <c r="N278" s="16"/>
    </row>
    <row r="279">
      <c r="L279" s="16"/>
      <c r="M279" s="16"/>
      <c r="N279" s="16"/>
    </row>
    <row r="280">
      <c r="L280" s="16"/>
      <c r="M280" s="16"/>
      <c r="N280" s="16"/>
    </row>
    <row r="281">
      <c r="L281" s="16"/>
      <c r="M281" s="16"/>
      <c r="N281" s="16"/>
    </row>
    <row r="282">
      <c r="L282" s="16"/>
      <c r="M282" s="16"/>
      <c r="N282" s="16"/>
    </row>
    <row r="283">
      <c r="L283" s="16"/>
      <c r="M283" s="16"/>
      <c r="N283" s="16"/>
    </row>
    <row r="284">
      <c r="L284" s="16"/>
      <c r="M284" s="16"/>
      <c r="N284" s="16"/>
    </row>
    <row r="285">
      <c r="L285" s="16"/>
      <c r="M285" s="16"/>
      <c r="N285" s="16"/>
    </row>
    <row r="286">
      <c r="L286" s="16"/>
      <c r="M286" s="16"/>
      <c r="N286" s="16"/>
    </row>
    <row r="287">
      <c r="L287" s="16"/>
      <c r="M287" s="16"/>
      <c r="N287" s="16"/>
    </row>
    <row r="288">
      <c r="L288" s="16"/>
      <c r="M288" s="16"/>
      <c r="N288" s="16"/>
    </row>
    <row r="289">
      <c r="L289" s="16"/>
      <c r="M289" s="16"/>
      <c r="N289" s="16"/>
    </row>
    <row r="290">
      <c r="L290" s="16"/>
      <c r="M290" s="16"/>
      <c r="N290" s="16"/>
    </row>
    <row r="291">
      <c r="L291" s="16"/>
      <c r="M291" s="16"/>
      <c r="N291" s="16"/>
    </row>
    <row r="292">
      <c r="L292" s="16"/>
      <c r="M292" s="16"/>
      <c r="N292" s="16"/>
    </row>
    <row r="293">
      <c r="L293" s="16"/>
      <c r="M293" s="16"/>
      <c r="N293" s="16"/>
    </row>
    <row r="294">
      <c r="L294" s="16"/>
      <c r="M294" s="16"/>
      <c r="N294" s="16"/>
    </row>
    <row r="295">
      <c r="L295" s="16"/>
      <c r="M295" s="16"/>
      <c r="N295" s="16"/>
    </row>
    <row r="296">
      <c r="L296" s="16"/>
      <c r="M296" s="16"/>
      <c r="N296" s="16"/>
    </row>
    <row r="297">
      <c r="L297" s="16"/>
      <c r="M297" s="16"/>
      <c r="N297" s="16"/>
    </row>
    <row r="298">
      <c r="L298" s="16"/>
      <c r="M298" s="16"/>
      <c r="N298" s="16"/>
    </row>
    <row r="299">
      <c r="L299" s="16"/>
      <c r="M299" s="16"/>
      <c r="N299" s="16"/>
    </row>
    <row r="300">
      <c r="L300" s="16"/>
      <c r="M300" s="16"/>
      <c r="N300" s="16"/>
    </row>
    <row r="301">
      <c r="L301" s="16"/>
      <c r="M301" s="16"/>
      <c r="N301" s="16"/>
    </row>
    <row r="302">
      <c r="L302" s="16"/>
      <c r="M302" s="16"/>
      <c r="N302" s="16"/>
    </row>
    <row r="303">
      <c r="L303" s="16"/>
      <c r="M303" s="16"/>
      <c r="N303" s="16"/>
    </row>
    <row r="304">
      <c r="L304" s="16"/>
      <c r="M304" s="16"/>
      <c r="N304" s="16"/>
    </row>
    <row r="305">
      <c r="L305" s="16"/>
      <c r="M305" s="16"/>
      <c r="N305" s="16"/>
    </row>
    <row r="306">
      <c r="L306" s="16"/>
      <c r="M306" s="16"/>
      <c r="N306" s="16"/>
    </row>
    <row r="307">
      <c r="L307" s="16"/>
      <c r="M307" s="16"/>
      <c r="N307" s="16"/>
    </row>
    <row r="308">
      <c r="L308" s="16"/>
      <c r="M308" s="16"/>
      <c r="N308" s="16"/>
    </row>
    <row r="309">
      <c r="L309" s="16"/>
      <c r="M309" s="16"/>
      <c r="N309" s="16"/>
    </row>
    <row r="310">
      <c r="L310" s="16"/>
      <c r="M310" s="16"/>
      <c r="N310" s="16"/>
    </row>
    <row r="311">
      <c r="L311" s="16"/>
      <c r="M311" s="16"/>
      <c r="N311" s="16"/>
    </row>
    <row r="312">
      <c r="L312" s="16"/>
      <c r="M312" s="16"/>
      <c r="N312" s="16"/>
    </row>
    <row r="313">
      <c r="L313" s="16"/>
      <c r="M313" s="16"/>
      <c r="N313" s="16"/>
    </row>
    <row r="314">
      <c r="L314" s="16"/>
      <c r="M314" s="16"/>
      <c r="N314" s="16"/>
    </row>
    <row r="315">
      <c r="L315" s="16"/>
      <c r="M315" s="16"/>
      <c r="N315" s="16"/>
    </row>
    <row r="316">
      <c r="L316" s="16"/>
      <c r="M316" s="16"/>
      <c r="N316" s="16"/>
    </row>
    <row r="317">
      <c r="L317" s="16"/>
      <c r="M317" s="16"/>
      <c r="N317" s="16"/>
    </row>
    <row r="318">
      <c r="L318" s="16"/>
      <c r="M318" s="16"/>
      <c r="N318" s="16"/>
    </row>
    <row r="319">
      <c r="L319" s="16"/>
      <c r="M319" s="16"/>
      <c r="N319" s="16"/>
    </row>
    <row r="320">
      <c r="L320" s="16"/>
      <c r="M320" s="16"/>
      <c r="N320" s="16"/>
    </row>
    <row r="321">
      <c r="L321" s="16"/>
      <c r="M321" s="16"/>
      <c r="N321" s="16"/>
    </row>
    <row r="322">
      <c r="L322" s="16"/>
      <c r="M322" s="16"/>
      <c r="N322" s="16"/>
    </row>
    <row r="323">
      <c r="L323" s="16"/>
      <c r="M323" s="16"/>
      <c r="N323" s="16"/>
    </row>
    <row r="324">
      <c r="L324" s="16"/>
      <c r="M324" s="16"/>
      <c r="N324" s="16"/>
    </row>
    <row r="325">
      <c r="L325" s="16"/>
      <c r="M325" s="16"/>
      <c r="N325" s="16"/>
    </row>
    <row r="326">
      <c r="L326" s="16"/>
      <c r="M326" s="16"/>
      <c r="N326" s="16"/>
    </row>
    <row r="327">
      <c r="L327" s="16"/>
      <c r="M327" s="16"/>
      <c r="N327" s="16"/>
    </row>
    <row r="328">
      <c r="L328" s="16"/>
      <c r="M328" s="16"/>
      <c r="N328" s="16"/>
    </row>
    <row r="329">
      <c r="L329" s="16"/>
      <c r="M329" s="16"/>
      <c r="N329" s="16"/>
    </row>
    <row r="330">
      <c r="L330" s="16"/>
      <c r="M330" s="16"/>
      <c r="N330" s="16"/>
    </row>
    <row r="331">
      <c r="L331" s="16"/>
      <c r="M331" s="16"/>
      <c r="N331" s="16"/>
    </row>
    <row r="332">
      <c r="L332" s="16"/>
      <c r="M332" s="16"/>
      <c r="N332" s="16"/>
    </row>
    <row r="333">
      <c r="L333" s="16"/>
      <c r="M333" s="16"/>
      <c r="N333" s="16"/>
    </row>
    <row r="334">
      <c r="L334" s="16"/>
      <c r="M334" s="16"/>
      <c r="N334" s="16"/>
    </row>
    <row r="335">
      <c r="L335" s="16"/>
      <c r="M335" s="16"/>
      <c r="N335" s="16"/>
    </row>
    <row r="336">
      <c r="L336" s="16"/>
      <c r="M336" s="16"/>
      <c r="N336" s="16"/>
    </row>
    <row r="337">
      <c r="L337" s="16"/>
      <c r="M337" s="16"/>
      <c r="N337" s="16"/>
    </row>
    <row r="338">
      <c r="L338" s="16"/>
      <c r="M338" s="16"/>
      <c r="N338" s="16"/>
    </row>
    <row r="339">
      <c r="L339" s="16"/>
      <c r="M339" s="16"/>
      <c r="N339" s="16"/>
    </row>
    <row r="340">
      <c r="L340" s="16"/>
      <c r="M340" s="16"/>
      <c r="N340" s="16"/>
    </row>
    <row r="341">
      <c r="L341" s="16"/>
      <c r="M341" s="16"/>
      <c r="N341" s="16"/>
    </row>
    <row r="342">
      <c r="L342" s="16"/>
      <c r="M342" s="16"/>
      <c r="N342" s="16"/>
    </row>
    <row r="343">
      <c r="L343" s="16"/>
      <c r="M343" s="16"/>
      <c r="N343" s="16"/>
    </row>
    <row r="344">
      <c r="L344" s="16"/>
      <c r="M344" s="16"/>
      <c r="N344" s="16"/>
    </row>
    <row r="345">
      <c r="L345" s="16"/>
      <c r="M345" s="16"/>
      <c r="N345" s="16"/>
    </row>
    <row r="346">
      <c r="L346" s="16"/>
      <c r="M346" s="16"/>
      <c r="N346" s="16"/>
    </row>
    <row r="347">
      <c r="L347" s="16"/>
      <c r="M347" s="16"/>
      <c r="N347" s="16"/>
    </row>
    <row r="348">
      <c r="L348" s="16"/>
      <c r="M348" s="16"/>
      <c r="N348" s="16"/>
    </row>
    <row r="349">
      <c r="L349" s="16"/>
      <c r="M349" s="16"/>
      <c r="N349" s="16"/>
    </row>
    <row r="350">
      <c r="L350" s="16"/>
      <c r="M350" s="16"/>
      <c r="N350" s="16"/>
    </row>
    <row r="351">
      <c r="L351" s="16"/>
      <c r="M351" s="16"/>
      <c r="N351" s="16"/>
    </row>
    <row r="352">
      <c r="L352" s="16"/>
      <c r="M352" s="16"/>
      <c r="N352" s="16"/>
    </row>
    <row r="353">
      <c r="L353" s="16"/>
      <c r="M353" s="16"/>
      <c r="N353" s="16"/>
    </row>
    <row r="354">
      <c r="L354" s="16"/>
      <c r="M354" s="16"/>
      <c r="N354" s="16"/>
    </row>
    <row r="355">
      <c r="L355" s="16"/>
      <c r="M355" s="16"/>
      <c r="N355" s="16"/>
    </row>
    <row r="356">
      <c r="L356" s="16"/>
      <c r="M356" s="16"/>
      <c r="N356" s="16"/>
    </row>
    <row r="357">
      <c r="L357" s="16"/>
      <c r="M357" s="16"/>
      <c r="N357" s="16"/>
    </row>
    <row r="358">
      <c r="L358" s="16"/>
      <c r="M358" s="16"/>
      <c r="N358" s="16"/>
    </row>
    <row r="359">
      <c r="L359" s="16"/>
      <c r="M359" s="16"/>
      <c r="N359" s="16"/>
    </row>
    <row r="360">
      <c r="L360" s="16"/>
      <c r="M360" s="16"/>
      <c r="N360" s="16"/>
    </row>
    <row r="361">
      <c r="L361" s="16"/>
      <c r="M361" s="16"/>
      <c r="N361" s="16"/>
    </row>
    <row r="362">
      <c r="L362" s="16"/>
      <c r="M362" s="16"/>
      <c r="N362" s="16"/>
    </row>
    <row r="363">
      <c r="L363" s="16"/>
      <c r="M363" s="16"/>
      <c r="N363" s="16"/>
    </row>
    <row r="364">
      <c r="L364" s="16"/>
      <c r="M364" s="16"/>
      <c r="N364" s="16"/>
    </row>
    <row r="365">
      <c r="L365" s="16"/>
      <c r="M365" s="16"/>
      <c r="N365" s="16"/>
    </row>
    <row r="366">
      <c r="L366" s="16"/>
      <c r="M366" s="16"/>
      <c r="N366" s="16"/>
    </row>
    <row r="367">
      <c r="L367" s="16"/>
      <c r="M367" s="16"/>
      <c r="N367" s="16"/>
    </row>
    <row r="368">
      <c r="L368" s="16"/>
      <c r="M368" s="16"/>
      <c r="N368" s="16"/>
    </row>
    <row r="369">
      <c r="L369" s="16"/>
      <c r="M369" s="16"/>
      <c r="N369" s="16"/>
    </row>
    <row r="370">
      <c r="L370" s="16"/>
      <c r="M370" s="16"/>
      <c r="N370" s="16"/>
    </row>
    <row r="371">
      <c r="L371" s="16"/>
      <c r="M371" s="16"/>
      <c r="N371" s="16"/>
    </row>
    <row r="372">
      <c r="L372" s="16"/>
      <c r="M372" s="16"/>
      <c r="N372" s="16"/>
    </row>
    <row r="373">
      <c r="L373" s="16"/>
      <c r="M373" s="16"/>
      <c r="N373" s="16"/>
    </row>
    <row r="374">
      <c r="L374" s="16"/>
      <c r="M374" s="16"/>
      <c r="N374" s="16"/>
    </row>
    <row r="375">
      <c r="L375" s="16"/>
      <c r="M375" s="16"/>
      <c r="N375" s="16"/>
    </row>
    <row r="376">
      <c r="L376" s="16"/>
      <c r="M376" s="16"/>
      <c r="N376" s="16"/>
    </row>
    <row r="377">
      <c r="L377" s="16"/>
      <c r="M377" s="16"/>
      <c r="N377" s="16"/>
    </row>
    <row r="378">
      <c r="L378" s="16"/>
      <c r="M378" s="16"/>
      <c r="N378" s="16"/>
    </row>
    <row r="379">
      <c r="L379" s="16"/>
      <c r="M379" s="16"/>
      <c r="N379" s="16"/>
    </row>
    <row r="380">
      <c r="L380" s="16"/>
      <c r="M380" s="16"/>
      <c r="N380" s="16"/>
    </row>
    <row r="381">
      <c r="L381" s="16"/>
      <c r="M381" s="16"/>
      <c r="N381" s="16"/>
    </row>
    <row r="382">
      <c r="L382" s="16"/>
      <c r="M382" s="16"/>
      <c r="N382" s="16"/>
    </row>
    <row r="383">
      <c r="L383" s="16"/>
      <c r="M383" s="16"/>
      <c r="N383" s="16"/>
    </row>
    <row r="384">
      <c r="L384" s="16"/>
      <c r="M384" s="16"/>
      <c r="N384" s="16"/>
    </row>
    <row r="385">
      <c r="L385" s="16"/>
      <c r="M385" s="16"/>
      <c r="N385" s="16"/>
    </row>
    <row r="386">
      <c r="L386" s="16"/>
      <c r="M386" s="16"/>
      <c r="N386" s="16"/>
    </row>
    <row r="387">
      <c r="L387" s="16"/>
      <c r="M387" s="16"/>
      <c r="N387" s="16"/>
    </row>
    <row r="388">
      <c r="L388" s="16"/>
      <c r="M388" s="16"/>
      <c r="N388" s="16"/>
    </row>
    <row r="389">
      <c r="L389" s="16"/>
      <c r="M389" s="16"/>
      <c r="N389" s="16"/>
    </row>
    <row r="390">
      <c r="L390" s="16"/>
      <c r="M390" s="16"/>
      <c r="N390" s="16"/>
    </row>
    <row r="391">
      <c r="L391" s="16"/>
      <c r="M391" s="16"/>
      <c r="N391" s="16"/>
    </row>
    <row r="392">
      <c r="L392" s="16"/>
      <c r="M392" s="16"/>
      <c r="N392" s="16"/>
    </row>
    <row r="393">
      <c r="L393" s="16"/>
      <c r="M393" s="16"/>
      <c r="N393" s="16"/>
    </row>
    <row r="394">
      <c r="L394" s="16"/>
      <c r="M394" s="16"/>
      <c r="N394" s="16"/>
    </row>
    <row r="395">
      <c r="L395" s="16"/>
      <c r="M395" s="16"/>
      <c r="N395" s="16"/>
    </row>
    <row r="396">
      <c r="L396" s="16"/>
      <c r="M396" s="16"/>
      <c r="N396" s="16"/>
    </row>
    <row r="397">
      <c r="L397" s="16"/>
      <c r="M397" s="16"/>
      <c r="N397" s="16"/>
    </row>
    <row r="398">
      <c r="L398" s="16"/>
      <c r="M398" s="16"/>
      <c r="N398" s="16"/>
    </row>
    <row r="399">
      <c r="L399" s="16"/>
      <c r="M399" s="16"/>
      <c r="N399" s="16"/>
    </row>
    <row r="400">
      <c r="L400" s="16"/>
      <c r="M400" s="16"/>
      <c r="N400" s="16"/>
    </row>
    <row r="401">
      <c r="L401" s="16"/>
      <c r="M401" s="16"/>
      <c r="N401" s="16"/>
    </row>
    <row r="402">
      <c r="L402" s="16"/>
      <c r="M402" s="16"/>
      <c r="N402" s="16"/>
    </row>
    <row r="403">
      <c r="L403" s="16"/>
      <c r="M403" s="16"/>
      <c r="N403" s="16"/>
    </row>
    <row r="404">
      <c r="L404" s="16"/>
      <c r="M404" s="16"/>
      <c r="N404" s="16"/>
    </row>
    <row r="405">
      <c r="L405" s="16"/>
      <c r="M405" s="16"/>
      <c r="N405" s="16"/>
    </row>
    <row r="406">
      <c r="L406" s="16"/>
      <c r="M406" s="16"/>
      <c r="N406" s="16"/>
    </row>
    <row r="407">
      <c r="L407" s="16"/>
      <c r="M407" s="16"/>
      <c r="N407" s="16"/>
    </row>
    <row r="408">
      <c r="L408" s="16"/>
      <c r="M408" s="16"/>
      <c r="N408" s="16"/>
    </row>
    <row r="409">
      <c r="L409" s="16"/>
      <c r="M409" s="16"/>
      <c r="N409" s="16"/>
    </row>
    <row r="410">
      <c r="L410" s="16"/>
      <c r="M410" s="16"/>
      <c r="N410" s="16"/>
    </row>
    <row r="411">
      <c r="L411" s="16"/>
      <c r="M411" s="16"/>
      <c r="N411" s="16"/>
    </row>
    <row r="412">
      <c r="L412" s="16"/>
      <c r="M412" s="16"/>
      <c r="N412" s="16"/>
    </row>
    <row r="413">
      <c r="L413" s="16"/>
      <c r="M413" s="16"/>
      <c r="N413" s="16"/>
    </row>
    <row r="414">
      <c r="L414" s="16"/>
      <c r="M414" s="16"/>
      <c r="N414" s="16"/>
    </row>
    <row r="415">
      <c r="L415" s="16"/>
      <c r="M415" s="16"/>
      <c r="N415" s="16"/>
    </row>
    <row r="416">
      <c r="L416" s="16"/>
      <c r="M416" s="16"/>
      <c r="N416" s="16"/>
    </row>
    <row r="417">
      <c r="L417" s="16"/>
      <c r="M417" s="16"/>
      <c r="N417" s="16"/>
    </row>
    <row r="418">
      <c r="L418" s="16"/>
      <c r="M418" s="16"/>
      <c r="N418" s="16"/>
    </row>
    <row r="419">
      <c r="L419" s="16"/>
      <c r="M419" s="16"/>
      <c r="N419" s="16"/>
    </row>
    <row r="420">
      <c r="L420" s="16"/>
      <c r="M420" s="16"/>
      <c r="N420" s="16"/>
    </row>
    <row r="421">
      <c r="L421" s="16"/>
      <c r="M421" s="16"/>
      <c r="N421" s="16"/>
    </row>
    <row r="422">
      <c r="L422" s="16"/>
      <c r="M422" s="16"/>
      <c r="N422" s="16"/>
    </row>
    <row r="423">
      <c r="L423" s="16"/>
      <c r="M423" s="16"/>
      <c r="N423" s="16"/>
    </row>
    <row r="424">
      <c r="L424" s="16"/>
      <c r="M424" s="16"/>
      <c r="N424" s="16"/>
    </row>
    <row r="425">
      <c r="L425" s="16"/>
      <c r="M425" s="16"/>
      <c r="N425" s="16"/>
    </row>
    <row r="426">
      <c r="L426" s="16"/>
      <c r="M426" s="16"/>
      <c r="N426" s="16"/>
    </row>
    <row r="427">
      <c r="L427" s="16"/>
      <c r="M427" s="16"/>
      <c r="N427" s="16"/>
    </row>
    <row r="428">
      <c r="L428" s="16"/>
      <c r="M428" s="16"/>
      <c r="N428" s="16"/>
    </row>
    <row r="429">
      <c r="L429" s="16"/>
      <c r="M429" s="16"/>
      <c r="N429" s="16"/>
    </row>
    <row r="430">
      <c r="L430" s="16"/>
      <c r="M430" s="16"/>
      <c r="N430" s="16"/>
    </row>
    <row r="431">
      <c r="L431" s="16"/>
      <c r="M431" s="16"/>
      <c r="N431" s="16"/>
    </row>
    <row r="432">
      <c r="L432" s="16"/>
      <c r="M432" s="16"/>
      <c r="N432" s="16"/>
    </row>
    <row r="433">
      <c r="L433" s="16"/>
      <c r="M433" s="16"/>
      <c r="N433" s="16"/>
    </row>
    <row r="434">
      <c r="L434" s="16"/>
      <c r="M434" s="16"/>
      <c r="N434" s="16"/>
    </row>
    <row r="435">
      <c r="L435" s="16"/>
      <c r="M435" s="16"/>
      <c r="N435" s="16"/>
    </row>
    <row r="436">
      <c r="L436" s="16"/>
      <c r="M436" s="16"/>
      <c r="N436" s="16"/>
    </row>
    <row r="437">
      <c r="L437" s="16"/>
      <c r="M437" s="16"/>
      <c r="N437" s="16"/>
    </row>
    <row r="438">
      <c r="L438" s="16"/>
      <c r="M438" s="16"/>
      <c r="N438" s="16"/>
    </row>
    <row r="439">
      <c r="L439" s="16"/>
      <c r="M439" s="16"/>
      <c r="N439" s="16"/>
    </row>
    <row r="440">
      <c r="L440" s="16"/>
      <c r="M440" s="16"/>
      <c r="N440" s="16"/>
    </row>
    <row r="441">
      <c r="L441" s="16"/>
      <c r="M441" s="16"/>
      <c r="N441" s="16"/>
    </row>
    <row r="442">
      <c r="L442" s="16"/>
      <c r="M442" s="16"/>
      <c r="N442" s="16"/>
    </row>
    <row r="443">
      <c r="L443" s="16"/>
      <c r="M443" s="16"/>
      <c r="N443" s="16"/>
    </row>
    <row r="444">
      <c r="L444" s="16"/>
      <c r="M444" s="16"/>
      <c r="N444" s="16"/>
    </row>
    <row r="445">
      <c r="L445" s="16"/>
      <c r="M445" s="16"/>
      <c r="N445" s="16"/>
    </row>
    <row r="446">
      <c r="L446" s="16"/>
      <c r="M446" s="16"/>
      <c r="N446" s="16"/>
    </row>
    <row r="447">
      <c r="L447" s="16"/>
      <c r="M447" s="16"/>
      <c r="N447" s="16"/>
    </row>
    <row r="448">
      <c r="L448" s="16"/>
      <c r="M448" s="16"/>
      <c r="N448" s="16"/>
    </row>
    <row r="449">
      <c r="L449" s="16"/>
      <c r="M449" s="16"/>
      <c r="N449" s="16"/>
    </row>
    <row r="450">
      <c r="L450" s="16"/>
      <c r="M450" s="16"/>
      <c r="N450" s="16"/>
    </row>
    <row r="451">
      <c r="L451" s="16"/>
      <c r="M451" s="16"/>
      <c r="N451" s="16"/>
    </row>
    <row r="452">
      <c r="L452" s="16"/>
      <c r="M452" s="16"/>
      <c r="N452" s="16"/>
    </row>
    <row r="453">
      <c r="L453" s="16"/>
      <c r="M453" s="16"/>
      <c r="N453" s="16"/>
    </row>
    <row r="454">
      <c r="L454" s="16"/>
      <c r="M454" s="16"/>
      <c r="N454" s="16"/>
    </row>
    <row r="455">
      <c r="L455" s="16"/>
      <c r="M455" s="16"/>
      <c r="N455" s="16"/>
    </row>
    <row r="456">
      <c r="L456" s="16"/>
      <c r="M456" s="16"/>
      <c r="N456" s="16"/>
    </row>
    <row r="457">
      <c r="L457" s="16"/>
      <c r="M457" s="16"/>
      <c r="N457" s="16"/>
    </row>
    <row r="458">
      <c r="L458" s="16"/>
      <c r="M458" s="16"/>
      <c r="N458" s="16"/>
    </row>
    <row r="459">
      <c r="L459" s="16"/>
      <c r="M459" s="16"/>
      <c r="N459" s="16"/>
    </row>
    <row r="460">
      <c r="L460" s="16"/>
      <c r="M460" s="16"/>
      <c r="N460" s="16"/>
    </row>
    <row r="461">
      <c r="L461" s="16"/>
      <c r="M461" s="16"/>
      <c r="N461" s="16"/>
    </row>
    <row r="462">
      <c r="L462" s="16"/>
      <c r="M462" s="16"/>
      <c r="N462" s="16"/>
    </row>
    <row r="463">
      <c r="L463" s="16"/>
      <c r="M463" s="16"/>
      <c r="N463" s="16"/>
    </row>
    <row r="464">
      <c r="L464" s="16"/>
      <c r="M464" s="16"/>
      <c r="N464" s="16"/>
    </row>
    <row r="465">
      <c r="L465" s="16"/>
      <c r="M465" s="16"/>
      <c r="N465" s="16"/>
    </row>
    <row r="466">
      <c r="L466" s="16"/>
      <c r="M466" s="16"/>
      <c r="N466" s="16"/>
    </row>
    <row r="467">
      <c r="L467" s="16"/>
      <c r="M467" s="16"/>
      <c r="N467" s="16"/>
    </row>
    <row r="468">
      <c r="L468" s="16"/>
      <c r="M468" s="16"/>
      <c r="N468" s="16"/>
    </row>
    <row r="469">
      <c r="L469" s="16"/>
      <c r="M469" s="16"/>
      <c r="N469" s="16"/>
    </row>
    <row r="470">
      <c r="L470" s="16"/>
      <c r="M470" s="16"/>
      <c r="N470" s="16"/>
    </row>
    <row r="471">
      <c r="L471" s="16"/>
      <c r="M471" s="16"/>
      <c r="N471" s="16"/>
    </row>
    <row r="472">
      <c r="L472" s="16"/>
      <c r="M472" s="16"/>
      <c r="N472" s="16"/>
    </row>
    <row r="473">
      <c r="L473" s="16"/>
      <c r="M473" s="16"/>
      <c r="N473" s="16"/>
    </row>
    <row r="474">
      <c r="L474" s="16"/>
      <c r="M474" s="16"/>
      <c r="N474" s="16"/>
    </row>
    <row r="475">
      <c r="L475" s="16"/>
      <c r="M475" s="16"/>
      <c r="N475" s="16"/>
    </row>
    <row r="476">
      <c r="L476" s="16"/>
      <c r="M476" s="16"/>
      <c r="N476" s="16"/>
    </row>
    <row r="477">
      <c r="L477" s="16"/>
      <c r="M477" s="16"/>
      <c r="N477" s="16"/>
    </row>
    <row r="478">
      <c r="L478" s="16"/>
      <c r="M478" s="16"/>
      <c r="N478" s="16"/>
    </row>
    <row r="479">
      <c r="L479" s="16"/>
      <c r="M479" s="16"/>
      <c r="N479" s="16"/>
    </row>
    <row r="480">
      <c r="L480" s="16"/>
      <c r="M480" s="16"/>
      <c r="N480" s="16"/>
    </row>
    <row r="481">
      <c r="L481" s="16"/>
      <c r="M481" s="16"/>
      <c r="N481" s="16"/>
    </row>
    <row r="482">
      <c r="L482" s="16"/>
      <c r="M482" s="16"/>
      <c r="N482" s="16"/>
    </row>
    <row r="483">
      <c r="L483" s="16"/>
      <c r="M483" s="16"/>
      <c r="N483" s="16"/>
    </row>
    <row r="484">
      <c r="L484" s="16"/>
      <c r="M484" s="16"/>
      <c r="N484" s="16"/>
    </row>
    <row r="485">
      <c r="L485" s="16"/>
      <c r="M485" s="16"/>
      <c r="N485" s="16"/>
    </row>
    <row r="486">
      <c r="L486" s="16"/>
      <c r="M486" s="16"/>
      <c r="N486" s="16"/>
    </row>
    <row r="487">
      <c r="L487" s="16"/>
      <c r="M487" s="16"/>
      <c r="N487" s="16"/>
    </row>
    <row r="488">
      <c r="L488" s="16"/>
      <c r="M488" s="16"/>
      <c r="N488" s="16"/>
    </row>
    <row r="489">
      <c r="L489" s="16"/>
      <c r="M489" s="16"/>
      <c r="N489" s="16"/>
    </row>
    <row r="490">
      <c r="L490" s="16"/>
      <c r="M490" s="16"/>
      <c r="N490" s="16"/>
    </row>
    <row r="491">
      <c r="L491" s="16"/>
      <c r="M491" s="16"/>
      <c r="N491" s="16"/>
    </row>
    <row r="492">
      <c r="L492" s="16"/>
      <c r="M492" s="16"/>
      <c r="N492" s="16"/>
    </row>
    <row r="493">
      <c r="L493" s="16"/>
      <c r="M493" s="16"/>
      <c r="N493" s="16"/>
    </row>
    <row r="494">
      <c r="L494" s="16"/>
      <c r="M494" s="16"/>
      <c r="N494" s="16"/>
    </row>
    <row r="495">
      <c r="L495" s="16"/>
      <c r="M495" s="16"/>
      <c r="N495" s="16"/>
    </row>
    <row r="496">
      <c r="L496" s="16"/>
      <c r="M496" s="16"/>
      <c r="N496" s="16"/>
    </row>
    <row r="497">
      <c r="L497" s="16"/>
      <c r="M497" s="16"/>
      <c r="N497" s="16"/>
    </row>
    <row r="498">
      <c r="L498" s="16"/>
      <c r="M498" s="16"/>
      <c r="N498" s="16"/>
    </row>
    <row r="499">
      <c r="L499" s="16"/>
      <c r="M499" s="16"/>
      <c r="N499" s="16"/>
    </row>
    <row r="500">
      <c r="L500" s="16"/>
      <c r="M500" s="16"/>
      <c r="N500" s="16"/>
    </row>
    <row r="501">
      <c r="L501" s="16"/>
      <c r="M501" s="16"/>
      <c r="N501" s="16"/>
    </row>
    <row r="502">
      <c r="L502" s="16"/>
      <c r="M502" s="16"/>
      <c r="N502" s="16"/>
    </row>
    <row r="503">
      <c r="L503" s="16"/>
      <c r="M503" s="16"/>
      <c r="N503" s="16"/>
    </row>
    <row r="504">
      <c r="L504" s="16"/>
      <c r="M504" s="16"/>
      <c r="N504" s="16"/>
    </row>
    <row r="505">
      <c r="L505" s="16"/>
      <c r="M505" s="16"/>
      <c r="N505" s="16"/>
    </row>
    <row r="506">
      <c r="L506" s="16"/>
      <c r="M506" s="16"/>
      <c r="N506" s="16"/>
    </row>
    <row r="507">
      <c r="L507" s="16"/>
      <c r="M507" s="16"/>
      <c r="N507" s="16"/>
    </row>
    <row r="508">
      <c r="L508" s="16"/>
      <c r="M508" s="16"/>
      <c r="N508" s="16"/>
    </row>
    <row r="509">
      <c r="L509" s="16"/>
      <c r="M509" s="16"/>
      <c r="N509" s="16"/>
    </row>
    <row r="510">
      <c r="L510" s="16"/>
      <c r="M510" s="16"/>
      <c r="N510" s="16"/>
    </row>
    <row r="511">
      <c r="L511" s="16"/>
      <c r="M511" s="16"/>
      <c r="N511" s="16"/>
    </row>
    <row r="512">
      <c r="L512" s="16"/>
      <c r="M512" s="16"/>
      <c r="N512" s="16"/>
    </row>
    <row r="513">
      <c r="L513" s="16"/>
      <c r="M513" s="16"/>
      <c r="N513" s="16"/>
    </row>
    <row r="514">
      <c r="L514" s="16"/>
      <c r="M514" s="16"/>
      <c r="N514" s="16"/>
    </row>
    <row r="515">
      <c r="L515" s="16"/>
      <c r="M515" s="16"/>
      <c r="N515" s="16"/>
    </row>
    <row r="516">
      <c r="L516" s="16"/>
      <c r="M516" s="16"/>
      <c r="N516" s="16"/>
    </row>
    <row r="517">
      <c r="L517" s="16"/>
      <c r="M517" s="16"/>
      <c r="N517" s="16"/>
    </row>
    <row r="518">
      <c r="L518" s="16"/>
      <c r="M518" s="16"/>
      <c r="N518" s="16"/>
    </row>
    <row r="519">
      <c r="L519" s="16"/>
      <c r="M519" s="16"/>
      <c r="N519" s="16"/>
    </row>
    <row r="520">
      <c r="L520" s="16"/>
      <c r="M520" s="16"/>
      <c r="N520" s="16"/>
    </row>
    <row r="521">
      <c r="L521" s="16"/>
      <c r="M521" s="16"/>
      <c r="N521" s="16"/>
    </row>
    <row r="522">
      <c r="L522" s="16"/>
      <c r="M522" s="16"/>
      <c r="N522" s="16"/>
    </row>
    <row r="523">
      <c r="L523" s="16"/>
      <c r="M523" s="16"/>
      <c r="N523" s="16"/>
    </row>
    <row r="524">
      <c r="L524" s="16"/>
      <c r="M524" s="16"/>
      <c r="N524" s="16"/>
    </row>
    <row r="525">
      <c r="L525" s="16"/>
      <c r="M525" s="16"/>
      <c r="N525" s="16"/>
    </row>
    <row r="526">
      <c r="L526" s="16"/>
      <c r="M526" s="16"/>
      <c r="N526" s="16"/>
    </row>
    <row r="527">
      <c r="L527" s="16"/>
      <c r="M527" s="16"/>
      <c r="N527" s="16"/>
    </row>
    <row r="528">
      <c r="L528" s="16"/>
      <c r="M528" s="16"/>
      <c r="N528" s="16"/>
    </row>
    <row r="529">
      <c r="L529" s="16"/>
      <c r="M529" s="16"/>
      <c r="N529" s="16"/>
    </row>
    <row r="530">
      <c r="L530" s="16"/>
      <c r="M530" s="16"/>
      <c r="N530" s="16"/>
    </row>
    <row r="531">
      <c r="L531" s="16"/>
      <c r="M531" s="16"/>
      <c r="N531" s="16"/>
    </row>
    <row r="532">
      <c r="L532" s="16"/>
      <c r="M532" s="16"/>
      <c r="N532" s="16"/>
    </row>
    <row r="533">
      <c r="L533" s="16"/>
      <c r="M533" s="16"/>
      <c r="N533" s="16"/>
    </row>
    <row r="534">
      <c r="L534" s="16"/>
      <c r="M534" s="16"/>
      <c r="N534" s="16"/>
    </row>
    <row r="535">
      <c r="L535" s="16"/>
      <c r="M535" s="16"/>
      <c r="N535" s="16"/>
    </row>
    <row r="536">
      <c r="L536" s="16"/>
      <c r="M536" s="16"/>
      <c r="N536" s="16"/>
    </row>
    <row r="537">
      <c r="L537" s="16"/>
      <c r="M537" s="16"/>
      <c r="N537" s="16"/>
    </row>
    <row r="538">
      <c r="L538" s="16"/>
      <c r="M538" s="16"/>
      <c r="N538" s="16"/>
    </row>
    <row r="539">
      <c r="L539" s="16"/>
      <c r="M539" s="16"/>
      <c r="N539" s="16"/>
    </row>
    <row r="540">
      <c r="L540" s="16"/>
      <c r="M540" s="16"/>
      <c r="N540" s="16"/>
    </row>
    <row r="541">
      <c r="L541" s="16"/>
      <c r="M541" s="16"/>
      <c r="N541" s="16"/>
    </row>
    <row r="542">
      <c r="L542" s="16"/>
      <c r="M542" s="16"/>
      <c r="N542" s="16"/>
    </row>
    <row r="543">
      <c r="L543" s="16"/>
      <c r="M543" s="16"/>
      <c r="N543" s="16"/>
    </row>
    <row r="544">
      <c r="L544" s="16"/>
      <c r="M544" s="16"/>
      <c r="N544" s="16"/>
    </row>
    <row r="545">
      <c r="L545" s="16"/>
      <c r="M545" s="16"/>
      <c r="N545" s="16"/>
    </row>
    <row r="546">
      <c r="L546" s="16"/>
      <c r="M546" s="16"/>
      <c r="N546" s="16"/>
    </row>
    <row r="547">
      <c r="L547" s="16"/>
      <c r="M547" s="16"/>
      <c r="N547" s="16"/>
    </row>
    <row r="548">
      <c r="L548" s="16"/>
      <c r="M548" s="16"/>
      <c r="N548" s="16"/>
    </row>
    <row r="549">
      <c r="L549" s="16"/>
      <c r="M549" s="16"/>
      <c r="N549" s="16"/>
    </row>
    <row r="550">
      <c r="L550" s="16"/>
      <c r="M550" s="16"/>
      <c r="N550" s="16"/>
    </row>
    <row r="551">
      <c r="L551" s="16"/>
      <c r="M551" s="16"/>
      <c r="N551" s="16"/>
    </row>
    <row r="552">
      <c r="L552" s="16"/>
      <c r="M552" s="16"/>
      <c r="N552" s="16"/>
    </row>
    <row r="553">
      <c r="L553" s="16"/>
      <c r="M553" s="16"/>
      <c r="N553" s="16"/>
    </row>
    <row r="554">
      <c r="L554" s="16"/>
      <c r="M554" s="16"/>
      <c r="N554" s="16"/>
    </row>
    <row r="555">
      <c r="L555" s="16"/>
      <c r="M555" s="16"/>
      <c r="N555" s="16"/>
    </row>
    <row r="556">
      <c r="L556" s="16"/>
      <c r="M556" s="16"/>
      <c r="N556" s="16"/>
    </row>
    <row r="557">
      <c r="L557" s="16"/>
      <c r="M557" s="16"/>
      <c r="N557" s="16"/>
    </row>
    <row r="558">
      <c r="L558" s="16"/>
      <c r="M558" s="16"/>
      <c r="N558" s="16"/>
    </row>
    <row r="559">
      <c r="L559" s="16"/>
      <c r="M559" s="16"/>
      <c r="N559" s="16"/>
    </row>
    <row r="560">
      <c r="L560" s="16"/>
      <c r="M560" s="16"/>
      <c r="N560" s="16"/>
    </row>
    <row r="561">
      <c r="L561" s="16"/>
      <c r="M561" s="16"/>
      <c r="N561" s="16"/>
    </row>
    <row r="562">
      <c r="L562" s="16"/>
      <c r="M562" s="16"/>
      <c r="N562" s="16"/>
    </row>
    <row r="563">
      <c r="L563" s="16"/>
      <c r="M563" s="16"/>
      <c r="N563" s="16"/>
    </row>
    <row r="564">
      <c r="L564" s="16"/>
      <c r="M564" s="16"/>
      <c r="N564" s="16"/>
    </row>
    <row r="565">
      <c r="L565" s="16"/>
      <c r="M565" s="16"/>
      <c r="N565" s="16"/>
    </row>
    <row r="566">
      <c r="L566" s="16"/>
      <c r="M566" s="16"/>
      <c r="N566" s="16"/>
    </row>
    <row r="567">
      <c r="L567" s="16"/>
      <c r="M567" s="16"/>
      <c r="N567" s="16"/>
    </row>
    <row r="568">
      <c r="L568" s="16"/>
      <c r="M568" s="16"/>
      <c r="N568" s="16"/>
    </row>
    <row r="569">
      <c r="L569" s="16"/>
      <c r="M569" s="16"/>
      <c r="N569" s="16"/>
    </row>
    <row r="570">
      <c r="L570" s="16"/>
      <c r="M570" s="16"/>
      <c r="N570" s="16"/>
    </row>
    <row r="571">
      <c r="L571" s="16"/>
      <c r="M571" s="16"/>
      <c r="N571" s="16"/>
    </row>
    <row r="572">
      <c r="L572" s="16"/>
      <c r="M572" s="16"/>
      <c r="N572" s="16"/>
    </row>
    <row r="573">
      <c r="L573" s="16"/>
      <c r="M573" s="16"/>
      <c r="N573" s="16"/>
    </row>
    <row r="574">
      <c r="L574" s="16"/>
      <c r="M574" s="16"/>
      <c r="N574" s="16"/>
    </row>
    <row r="575">
      <c r="L575" s="16"/>
      <c r="M575" s="16"/>
      <c r="N575" s="16"/>
    </row>
    <row r="576">
      <c r="L576" s="16"/>
      <c r="M576" s="16"/>
      <c r="N576" s="16"/>
    </row>
    <row r="577">
      <c r="L577" s="16"/>
      <c r="M577" s="16"/>
      <c r="N577" s="16"/>
    </row>
    <row r="578">
      <c r="L578" s="16"/>
      <c r="M578" s="16"/>
      <c r="N578" s="16"/>
    </row>
    <row r="579">
      <c r="L579" s="16"/>
      <c r="M579" s="16"/>
      <c r="N579" s="16"/>
    </row>
    <row r="580">
      <c r="L580" s="16"/>
      <c r="M580" s="16"/>
      <c r="N580" s="16"/>
    </row>
    <row r="581">
      <c r="L581" s="16"/>
      <c r="M581" s="16"/>
      <c r="N581" s="16"/>
    </row>
    <row r="582">
      <c r="L582" s="16"/>
      <c r="M582" s="16"/>
      <c r="N582" s="16"/>
    </row>
    <row r="583">
      <c r="L583" s="16"/>
      <c r="M583" s="16"/>
      <c r="N583" s="16"/>
    </row>
    <row r="584">
      <c r="L584" s="16"/>
      <c r="M584" s="16"/>
      <c r="N584" s="16"/>
    </row>
    <row r="585">
      <c r="L585" s="16"/>
      <c r="M585" s="16"/>
      <c r="N585" s="16"/>
    </row>
    <row r="586">
      <c r="L586" s="16"/>
      <c r="M586" s="16"/>
      <c r="N586" s="16"/>
    </row>
    <row r="587">
      <c r="L587" s="16"/>
      <c r="M587" s="16"/>
      <c r="N587" s="16"/>
    </row>
    <row r="588">
      <c r="L588" s="16"/>
      <c r="M588" s="16"/>
      <c r="N588" s="16"/>
    </row>
    <row r="589">
      <c r="L589" s="16"/>
      <c r="M589" s="16"/>
      <c r="N589" s="16"/>
    </row>
    <row r="590">
      <c r="L590" s="16"/>
      <c r="M590" s="16"/>
      <c r="N590" s="16"/>
    </row>
    <row r="591">
      <c r="L591" s="16"/>
      <c r="M591" s="16"/>
      <c r="N591" s="16"/>
    </row>
    <row r="592">
      <c r="L592" s="16"/>
      <c r="M592" s="16"/>
      <c r="N592" s="16"/>
    </row>
    <row r="593">
      <c r="L593" s="16"/>
      <c r="M593" s="16"/>
      <c r="N593" s="16"/>
    </row>
    <row r="594">
      <c r="L594" s="16"/>
      <c r="M594" s="16"/>
      <c r="N594" s="16"/>
    </row>
    <row r="595">
      <c r="L595" s="16"/>
      <c r="M595" s="16"/>
      <c r="N595" s="16"/>
    </row>
    <row r="596">
      <c r="L596" s="16"/>
      <c r="M596" s="16"/>
      <c r="N596" s="16"/>
    </row>
    <row r="597">
      <c r="L597" s="16"/>
      <c r="M597" s="16"/>
      <c r="N597" s="16"/>
    </row>
    <row r="598">
      <c r="L598" s="16"/>
      <c r="M598" s="16"/>
      <c r="N598" s="16"/>
    </row>
    <row r="599">
      <c r="L599" s="16"/>
      <c r="M599" s="16"/>
      <c r="N599" s="16"/>
    </row>
    <row r="600">
      <c r="L600" s="16"/>
      <c r="M600" s="16"/>
      <c r="N600" s="16"/>
    </row>
    <row r="601">
      <c r="L601" s="16"/>
      <c r="M601" s="16"/>
      <c r="N601" s="16"/>
    </row>
    <row r="602">
      <c r="L602" s="16"/>
      <c r="M602" s="16"/>
      <c r="N602" s="16"/>
    </row>
    <row r="603">
      <c r="L603" s="16"/>
      <c r="M603" s="16"/>
      <c r="N603" s="16"/>
    </row>
    <row r="604">
      <c r="L604" s="16"/>
      <c r="M604" s="16"/>
      <c r="N604" s="16"/>
    </row>
    <row r="605">
      <c r="L605" s="16"/>
      <c r="M605" s="16"/>
      <c r="N605" s="16"/>
    </row>
    <row r="606">
      <c r="L606" s="16"/>
      <c r="M606" s="16"/>
      <c r="N606" s="16"/>
    </row>
    <row r="607">
      <c r="L607" s="16"/>
      <c r="M607" s="16"/>
      <c r="N607" s="16"/>
    </row>
    <row r="608">
      <c r="L608" s="16"/>
      <c r="M608" s="16"/>
      <c r="N608" s="16"/>
    </row>
    <row r="609">
      <c r="L609" s="16"/>
      <c r="M609" s="16"/>
      <c r="N609" s="16"/>
    </row>
    <row r="610">
      <c r="L610" s="16"/>
      <c r="M610" s="16"/>
      <c r="N610" s="16"/>
    </row>
    <row r="611">
      <c r="L611" s="16"/>
      <c r="M611" s="16"/>
      <c r="N611" s="16"/>
    </row>
    <row r="612">
      <c r="L612" s="16"/>
      <c r="M612" s="16"/>
      <c r="N612" s="16"/>
    </row>
    <row r="613">
      <c r="L613" s="16"/>
      <c r="M613" s="16"/>
      <c r="N613" s="16"/>
    </row>
    <row r="614">
      <c r="L614" s="16"/>
      <c r="M614" s="16"/>
      <c r="N614" s="16"/>
    </row>
    <row r="615">
      <c r="L615" s="16"/>
      <c r="M615" s="16"/>
      <c r="N615" s="16"/>
    </row>
    <row r="616">
      <c r="L616" s="16"/>
      <c r="M616" s="16"/>
      <c r="N616" s="16"/>
    </row>
    <row r="617">
      <c r="L617" s="16"/>
      <c r="M617" s="16"/>
      <c r="N617" s="16"/>
    </row>
    <row r="618">
      <c r="L618" s="16"/>
      <c r="M618" s="16"/>
      <c r="N618" s="16"/>
    </row>
    <row r="619">
      <c r="L619" s="16"/>
      <c r="M619" s="16"/>
      <c r="N619" s="16"/>
    </row>
    <row r="620">
      <c r="L620" s="16"/>
      <c r="M620" s="16"/>
      <c r="N620" s="16"/>
    </row>
    <row r="621">
      <c r="L621" s="16"/>
      <c r="M621" s="16"/>
      <c r="N621" s="16"/>
    </row>
    <row r="622">
      <c r="L622" s="16"/>
      <c r="M622" s="16"/>
      <c r="N622" s="16"/>
    </row>
    <row r="623">
      <c r="L623" s="16"/>
      <c r="M623" s="16"/>
      <c r="N623" s="16"/>
    </row>
    <row r="624">
      <c r="L624" s="16"/>
      <c r="M624" s="16"/>
      <c r="N624" s="16"/>
    </row>
    <row r="625">
      <c r="L625" s="16"/>
      <c r="M625" s="16"/>
      <c r="N625" s="16"/>
    </row>
    <row r="626">
      <c r="L626" s="16"/>
      <c r="M626" s="16"/>
      <c r="N626" s="16"/>
    </row>
    <row r="627">
      <c r="L627" s="16"/>
      <c r="M627" s="16"/>
      <c r="N627" s="16"/>
    </row>
    <row r="628">
      <c r="L628" s="16"/>
      <c r="M628" s="16"/>
      <c r="N628" s="16"/>
    </row>
    <row r="629">
      <c r="L629" s="16"/>
      <c r="M629" s="16"/>
      <c r="N629" s="16"/>
    </row>
    <row r="630">
      <c r="L630" s="16"/>
      <c r="M630" s="16"/>
      <c r="N630" s="16"/>
    </row>
    <row r="631">
      <c r="L631" s="16"/>
      <c r="M631" s="16"/>
      <c r="N631" s="16"/>
    </row>
    <row r="632">
      <c r="L632" s="16"/>
      <c r="M632" s="16"/>
      <c r="N632" s="16"/>
    </row>
    <row r="633">
      <c r="L633" s="16"/>
      <c r="M633" s="16"/>
      <c r="N633" s="16"/>
    </row>
    <row r="634">
      <c r="L634" s="16"/>
      <c r="M634" s="16"/>
      <c r="N634" s="16"/>
    </row>
    <row r="635">
      <c r="L635" s="16"/>
      <c r="M635" s="16"/>
      <c r="N635" s="16"/>
    </row>
    <row r="636">
      <c r="L636" s="16"/>
      <c r="M636" s="16"/>
      <c r="N636" s="16"/>
    </row>
    <row r="637">
      <c r="L637" s="16"/>
      <c r="M637" s="16"/>
      <c r="N637" s="16"/>
    </row>
    <row r="638">
      <c r="L638" s="16"/>
      <c r="M638" s="16"/>
      <c r="N638" s="16"/>
    </row>
    <row r="639">
      <c r="L639" s="16"/>
      <c r="M639" s="16"/>
      <c r="N639" s="16"/>
    </row>
    <row r="640">
      <c r="L640" s="16"/>
      <c r="M640" s="16"/>
      <c r="N640" s="16"/>
    </row>
    <row r="641">
      <c r="L641" s="16"/>
      <c r="M641" s="16"/>
      <c r="N641" s="16"/>
    </row>
    <row r="642">
      <c r="L642" s="16"/>
      <c r="M642" s="16"/>
      <c r="N642" s="16"/>
    </row>
    <row r="643">
      <c r="L643" s="16"/>
      <c r="M643" s="16"/>
      <c r="N643" s="16"/>
    </row>
    <row r="644">
      <c r="L644" s="16"/>
      <c r="M644" s="16"/>
      <c r="N644" s="16"/>
    </row>
    <row r="645">
      <c r="L645" s="16"/>
      <c r="M645" s="16"/>
      <c r="N645" s="16"/>
    </row>
    <row r="646">
      <c r="L646" s="16"/>
      <c r="M646" s="16"/>
      <c r="N646" s="16"/>
    </row>
    <row r="647">
      <c r="L647" s="16"/>
      <c r="M647" s="16"/>
      <c r="N647" s="16"/>
    </row>
    <row r="648">
      <c r="L648" s="16"/>
      <c r="M648" s="16"/>
      <c r="N648" s="16"/>
    </row>
    <row r="649">
      <c r="L649" s="16"/>
      <c r="M649" s="16"/>
      <c r="N649" s="16"/>
    </row>
    <row r="650">
      <c r="L650" s="16"/>
      <c r="M650" s="16"/>
      <c r="N650" s="16"/>
    </row>
    <row r="651">
      <c r="L651" s="16"/>
      <c r="M651" s="16"/>
      <c r="N651" s="16"/>
    </row>
    <row r="652">
      <c r="L652" s="16"/>
      <c r="M652" s="16"/>
      <c r="N652" s="16"/>
    </row>
    <row r="653">
      <c r="L653" s="16"/>
      <c r="M653" s="16"/>
      <c r="N653" s="16"/>
    </row>
    <row r="654">
      <c r="L654" s="16"/>
      <c r="M654" s="16"/>
      <c r="N654" s="16"/>
    </row>
    <row r="655">
      <c r="L655" s="16"/>
      <c r="M655" s="16"/>
      <c r="N655" s="16"/>
    </row>
    <row r="656">
      <c r="L656" s="16"/>
      <c r="M656" s="16"/>
      <c r="N656" s="16"/>
    </row>
    <row r="657">
      <c r="L657" s="16"/>
      <c r="M657" s="16"/>
      <c r="N657" s="16"/>
    </row>
    <row r="658">
      <c r="L658" s="16"/>
      <c r="M658" s="16"/>
      <c r="N658" s="16"/>
    </row>
    <row r="659">
      <c r="L659" s="16"/>
      <c r="M659" s="16"/>
      <c r="N659" s="16"/>
    </row>
    <row r="660">
      <c r="L660" s="16"/>
      <c r="M660" s="16"/>
      <c r="N660" s="16"/>
    </row>
    <row r="661">
      <c r="L661" s="16"/>
      <c r="M661" s="16"/>
      <c r="N661" s="16"/>
    </row>
    <row r="662">
      <c r="L662" s="16"/>
      <c r="M662" s="16"/>
      <c r="N662" s="16"/>
    </row>
    <row r="663">
      <c r="L663" s="16"/>
      <c r="M663" s="16"/>
      <c r="N663" s="16"/>
    </row>
    <row r="664">
      <c r="L664" s="16"/>
      <c r="M664" s="16"/>
      <c r="N664" s="16"/>
    </row>
    <row r="665">
      <c r="L665" s="16"/>
      <c r="M665" s="16"/>
      <c r="N665" s="16"/>
    </row>
    <row r="666">
      <c r="L666" s="16"/>
      <c r="M666" s="16"/>
      <c r="N666" s="16"/>
    </row>
    <row r="667">
      <c r="L667" s="16"/>
      <c r="M667" s="16"/>
      <c r="N667" s="16"/>
    </row>
    <row r="668">
      <c r="L668" s="16"/>
      <c r="M668" s="16"/>
      <c r="N668" s="16"/>
    </row>
    <row r="669">
      <c r="L669" s="16"/>
      <c r="M669" s="16"/>
      <c r="N669" s="16"/>
    </row>
    <row r="670">
      <c r="L670" s="16"/>
      <c r="M670" s="16"/>
      <c r="N670" s="16"/>
    </row>
    <row r="671">
      <c r="L671" s="16"/>
      <c r="M671" s="16"/>
      <c r="N671" s="16"/>
    </row>
    <row r="672">
      <c r="L672" s="16"/>
      <c r="M672" s="16"/>
      <c r="N672" s="16"/>
    </row>
    <row r="673">
      <c r="L673" s="16"/>
      <c r="M673" s="16"/>
      <c r="N673" s="16"/>
    </row>
    <row r="674">
      <c r="L674" s="16"/>
      <c r="M674" s="16"/>
      <c r="N674" s="16"/>
    </row>
    <row r="675">
      <c r="L675" s="16"/>
      <c r="M675" s="16"/>
      <c r="N675" s="16"/>
    </row>
    <row r="676">
      <c r="L676" s="16"/>
      <c r="M676" s="16"/>
      <c r="N676" s="16"/>
    </row>
    <row r="677">
      <c r="L677" s="16"/>
      <c r="M677" s="16"/>
      <c r="N677" s="16"/>
    </row>
    <row r="678">
      <c r="L678" s="16"/>
      <c r="M678" s="16"/>
      <c r="N678" s="16"/>
    </row>
    <row r="679">
      <c r="L679" s="16"/>
      <c r="M679" s="16"/>
      <c r="N679" s="16"/>
    </row>
    <row r="680">
      <c r="L680" s="16"/>
      <c r="M680" s="16"/>
      <c r="N680" s="16"/>
    </row>
    <row r="681">
      <c r="L681" s="16"/>
      <c r="M681" s="16"/>
      <c r="N681" s="16"/>
    </row>
    <row r="682">
      <c r="L682" s="16"/>
      <c r="M682" s="16"/>
      <c r="N682" s="16"/>
    </row>
    <row r="683">
      <c r="L683" s="16"/>
      <c r="M683" s="16"/>
      <c r="N683" s="16"/>
    </row>
    <row r="684">
      <c r="L684" s="16"/>
      <c r="M684" s="16"/>
      <c r="N684" s="16"/>
    </row>
    <row r="685">
      <c r="L685" s="16"/>
      <c r="M685" s="16"/>
      <c r="N685" s="16"/>
    </row>
    <row r="686">
      <c r="L686" s="16"/>
      <c r="M686" s="16"/>
      <c r="N686" s="16"/>
    </row>
    <row r="687">
      <c r="L687" s="16"/>
      <c r="M687" s="16"/>
      <c r="N687" s="16"/>
    </row>
    <row r="688">
      <c r="L688" s="16"/>
      <c r="M688" s="16"/>
      <c r="N688" s="16"/>
    </row>
    <row r="689">
      <c r="L689" s="16"/>
      <c r="M689" s="16"/>
      <c r="N689" s="16"/>
    </row>
    <row r="690">
      <c r="L690" s="16"/>
      <c r="M690" s="16"/>
      <c r="N690" s="16"/>
    </row>
    <row r="691">
      <c r="L691" s="16"/>
      <c r="M691" s="16"/>
      <c r="N691" s="16"/>
    </row>
    <row r="692">
      <c r="L692" s="16"/>
      <c r="M692" s="16"/>
      <c r="N692" s="16"/>
    </row>
    <row r="693">
      <c r="L693" s="16"/>
      <c r="M693" s="16"/>
      <c r="N693" s="16"/>
    </row>
    <row r="694">
      <c r="L694" s="16"/>
      <c r="M694" s="16"/>
      <c r="N694" s="16"/>
    </row>
    <row r="695">
      <c r="L695" s="16"/>
      <c r="M695" s="16"/>
      <c r="N695" s="16"/>
    </row>
    <row r="696">
      <c r="L696" s="16"/>
      <c r="M696" s="16"/>
      <c r="N696" s="16"/>
    </row>
    <row r="697">
      <c r="L697" s="16"/>
      <c r="M697" s="16"/>
      <c r="N697" s="16"/>
    </row>
    <row r="698">
      <c r="L698" s="16"/>
      <c r="M698" s="16"/>
      <c r="N698" s="16"/>
    </row>
    <row r="699">
      <c r="L699" s="16"/>
      <c r="M699" s="16"/>
      <c r="N699" s="16"/>
    </row>
    <row r="700">
      <c r="L700" s="16"/>
      <c r="M700" s="16"/>
      <c r="N700" s="16"/>
    </row>
    <row r="701">
      <c r="L701" s="16"/>
      <c r="M701" s="16"/>
      <c r="N701" s="16"/>
    </row>
    <row r="702">
      <c r="L702" s="16"/>
      <c r="M702" s="16"/>
      <c r="N702" s="16"/>
    </row>
    <row r="703">
      <c r="L703" s="16"/>
      <c r="M703" s="16"/>
      <c r="N703" s="16"/>
    </row>
    <row r="704">
      <c r="L704" s="16"/>
      <c r="M704" s="16"/>
      <c r="N704" s="16"/>
    </row>
    <row r="705">
      <c r="L705" s="16"/>
      <c r="M705" s="16"/>
      <c r="N705" s="16"/>
    </row>
    <row r="706">
      <c r="L706" s="16"/>
      <c r="M706" s="16"/>
      <c r="N706" s="16"/>
    </row>
    <row r="707">
      <c r="L707" s="16"/>
      <c r="M707" s="16"/>
      <c r="N707" s="16"/>
    </row>
    <row r="708">
      <c r="L708" s="16"/>
      <c r="M708" s="16"/>
      <c r="N708" s="16"/>
    </row>
    <row r="709">
      <c r="L709" s="16"/>
      <c r="M709" s="16"/>
      <c r="N709" s="16"/>
    </row>
    <row r="710">
      <c r="L710" s="16"/>
      <c r="M710" s="16"/>
      <c r="N710" s="16"/>
    </row>
    <row r="711">
      <c r="L711" s="16"/>
      <c r="M711" s="16"/>
      <c r="N711" s="16"/>
    </row>
    <row r="712">
      <c r="L712" s="16"/>
      <c r="M712" s="16"/>
      <c r="N712" s="16"/>
    </row>
    <row r="713">
      <c r="L713" s="16"/>
      <c r="M713" s="16"/>
      <c r="N713" s="16"/>
    </row>
    <row r="714">
      <c r="L714" s="16"/>
      <c r="M714" s="16"/>
      <c r="N714" s="16"/>
    </row>
    <row r="715">
      <c r="L715" s="16"/>
      <c r="M715" s="16"/>
      <c r="N715" s="16"/>
    </row>
    <row r="716">
      <c r="L716" s="16"/>
      <c r="M716" s="16"/>
      <c r="N716" s="16"/>
    </row>
    <row r="717">
      <c r="L717" s="16"/>
      <c r="M717" s="16"/>
      <c r="N717" s="16"/>
    </row>
    <row r="718">
      <c r="L718" s="16"/>
      <c r="M718" s="16"/>
      <c r="N718" s="16"/>
    </row>
    <row r="719">
      <c r="L719" s="16"/>
      <c r="M719" s="16"/>
      <c r="N719" s="16"/>
    </row>
    <row r="720">
      <c r="L720" s="16"/>
      <c r="M720" s="16"/>
      <c r="N720" s="16"/>
    </row>
    <row r="721">
      <c r="L721" s="16"/>
      <c r="M721" s="16"/>
      <c r="N721" s="16"/>
    </row>
    <row r="722">
      <c r="L722" s="16"/>
      <c r="M722" s="16"/>
      <c r="N722" s="16"/>
    </row>
    <row r="723">
      <c r="L723" s="16"/>
      <c r="M723" s="16"/>
      <c r="N723" s="16"/>
    </row>
    <row r="724">
      <c r="L724" s="16"/>
      <c r="M724" s="16"/>
      <c r="N724" s="16"/>
    </row>
    <row r="725">
      <c r="L725" s="16"/>
      <c r="M725" s="16"/>
      <c r="N725" s="16"/>
    </row>
    <row r="726">
      <c r="L726" s="16"/>
      <c r="M726" s="16"/>
      <c r="N726" s="16"/>
    </row>
    <row r="727">
      <c r="L727" s="16"/>
      <c r="M727" s="16"/>
      <c r="N727" s="16"/>
    </row>
    <row r="728">
      <c r="L728" s="16"/>
      <c r="M728" s="16"/>
      <c r="N728" s="16"/>
    </row>
    <row r="729">
      <c r="L729" s="16"/>
      <c r="M729" s="16"/>
      <c r="N729" s="16"/>
    </row>
    <row r="730">
      <c r="L730" s="16"/>
      <c r="M730" s="16"/>
      <c r="N730" s="16"/>
    </row>
    <row r="731">
      <c r="L731" s="16"/>
      <c r="M731" s="16"/>
      <c r="N731" s="16"/>
    </row>
    <row r="732">
      <c r="L732" s="16"/>
      <c r="M732" s="16"/>
      <c r="N732" s="16"/>
    </row>
    <row r="733">
      <c r="L733" s="16"/>
      <c r="M733" s="16"/>
      <c r="N733" s="16"/>
    </row>
    <row r="734">
      <c r="L734" s="16"/>
      <c r="M734" s="16"/>
      <c r="N734" s="16"/>
    </row>
    <row r="735">
      <c r="L735" s="16"/>
      <c r="M735" s="16"/>
      <c r="N735" s="16"/>
    </row>
    <row r="736">
      <c r="L736" s="16"/>
      <c r="M736" s="16"/>
      <c r="N736" s="16"/>
    </row>
    <row r="737">
      <c r="L737" s="16"/>
      <c r="M737" s="16"/>
      <c r="N737" s="16"/>
    </row>
    <row r="738">
      <c r="L738" s="16"/>
      <c r="M738" s="16"/>
      <c r="N738" s="16"/>
    </row>
    <row r="739">
      <c r="L739" s="16"/>
      <c r="M739" s="16"/>
      <c r="N739" s="16"/>
    </row>
    <row r="740">
      <c r="L740" s="16"/>
      <c r="M740" s="16"/>
      <c r="N740" s="16"/>
    </row>
    <row r="741">
      <c r="L741" s="16"/>
      <c r="M741" s="16"/>
      <c r="N741" s="16"/>
    </row>
    <row r="742">
      <c r="L742" s="16"/>
      <c r="M742" s="16"/>
      <c r="N742" s="16"/>
    </row>
    <row r="743">
      <c r="L743" s="16"/>
      <c r="M743" s="16"/>
      <c r="N743" s="16"/>
    </row>
    <row r="744">
      <c r="L744" s="16"/>
      <c r="M744" s="16"/>
      <c r="N744" s="16"/>
    </row>
    <row r="745">
      <c r="L745" s="16"/>
      <c r="M745" s="16"/>
      <c r="N745" s="16"/>
    </row>
    <row r="746">
      <c r="L746" s="16"/>
      <c r="M746" s="16"/>
      <c r="N746" s="16"/>
    </row>
    <row r="747">
      <c r="L747" s="16"/>
      <c r="M747" s="16"/>
      <c r="N747" s="16"/>
    </row>
    <row r="748">
      <c r="L748" s="16"/>
      <c r="M748" s="16"/>
      <c r="N748" s="16"/>
    </row>
    <row r="749">
      <c r="L749" s="16"/>
      <c r="M749" s="16"/>
      <c r="N749" s="16"/>
    </row>
    <row r="750">
      <c r="L750" s="16"/>
      <c r="M750" s="16"/>
      <c r="N750" s="16"/>
    </row>
    <row r="751">
      <c r="L751" s="16"/>
      <c r="M751" s="16"/>
      <c r="N751" s="16"/>
    </row>
    <row r="752">
      <c r="L752" s="16"/>
      <c r="M752" s="16"/>
      <c r="N752" s="16"/>
    </row>
    <row r="753">
      <c r="L753" s="16"/>
      <c r="M753" s="16"/>
      <c r="N753" s="16"/>
    </row>
    <row r="754">
      <c r="L754" s="16"/>
      <c r="M754" s="16"/>
      <c r="N754" s="16"/>
    </row>
    <row r="755">
      <c r="L755" s="16"/>
      <c r="M755" s="16"/>
      <c r="N755" s="16"/>
    </row>
    <row r="756">
      <c r="L756" s="16"/>
      <c r="M756" s="16"/>
      <c r="N756" s="16"/>
    </row>
    <row r="757">
      <c r="L757" s="16"/>
      <c r="M757" s="16"/>
      <c r="N757" s="16"/>
    </row>
    <row r="758">
      <c r="L758" s="16"/>
      <c r="M758" s="16"/>
      <c r="N758" s="16"/>
    </row>
    <row r="759">
      <c r="L759" s="16"/>
      <c r="M759" s="16"/>
      <c r="N759" s="16"/>
    </row>
    <row r="760">
      <c r="L760" s="16"/>
      <c r="M760" s="16"/>
      <c r="N760" s="16"/>
    </row>
    <row r="761">
      <c r="L761" s="16"/>
      <c r="M761" s="16"/>
      <c r="N761" s="16"/>
    </row>
    <row r="762">
      <c r="L762" s="16"/>
      <c r="M762" s="16"/>
      <c r="N762" s="16"/>
    </row>
    <row r="763">
      <c r="L763" s="16"/>
      <c r="M763" s="16"/>
      <c r="N763" s="16"/>
    </row>
    <row r="764">
      <c r="L764" s="16"/>
      <c r="M764" s="16"/>
      <c r="N764" s="16"/>
    </row>
    <row r="765">
      <c r="L765" s="16"/>
      <c r="M765" s="16"/>
      <c r="N765" s="16"/>
    </row>
    <row r="766">
      <c r="L766" s="16"/>
      <c r="M766" s="16"/>
      <c r="N766" s="16"/>
    </row>
    <row r="767">
      <c r="L767" s="16"/>
      <c r="M767" s="16"/>
      <c r="N767" s="16"/>
    </row>
    <row r="768">
      <c r="L768" s="16"/>
      <c r="M768" s="16"/>
      <c r="N768" s="16"/>
    </row>
    <row r="769">
      <c r="L769" s="16"/>
      <c r="M769" s="16"/>
      <c r="N769" s="16"/>
    </row>
    <row r="770">
      <c r="L770" s="16"/>
      <c r="M770" s="16"/>
      <c r="N770" s="16"/>
    </row>
    <row r="771">
      <c r="L771" s="16"/>
      <c r="M771" s="16"/>
      <c r="N771" s="16"/>
    </row>
    <row r="772">
      <c r="L772" s="16"/>
      <c r="M772" s="16"/>
      <c r="N772" s="16"/>
    </row>
    <row r="773">
      <c r="L773" s="16"/>
      <c r="M773" s="16"/>
      <c r="N773" s="16"/>
    </row>
    <row r="774">
      <c r="L774" s="16"/>
      <c r="M774" s="16"/>
      <c r="N774" s="16"/>
    </row>
    <row r="775">
      <c r="L775" s="16"/>
      <c r="M775" s="16"/>
      <c r="N775" s="16"/>
    </row>
    <row r="776">
      <c r="L776" s="16"/>
      <c r="M776" s="16"/>
      <c r="N776" s="16"/>
    </row>
    <row r="777">
      <c r="L777" s="16"/>
      <c r="M777" s="16"/>
      <c r="N777" s="16"/>
    </row>
    <row r="778">
      <c r="L778" s="16"/>
      <c r="M778" s="16"/>
      <c r="N778" s="16"/>
    </row>
    <row r="779">
      <c r="L779" s="16"/>
      <c r="M779" s="16"/>
      <c r="N779" s="16"/>
    </row>
    <row r="780">
      <c r="L780" s="16"/>
      <c r="M780" s="16"/>
      <c r="N780" s="16"/>
    </row>
    <row r="781">
      <c r="L781" s="16"/>
      <c r="M781" s="16"/>
      <c r="N781" s="16"/>
    </row>
    <row r="782">
      <c r="L782" s="16"/>
      <c r="M782" s="16"/>
      <c r="N782" s="16"/>
    </row>
    <row r="783">
      <c r="L783" s="16"/>
      <c r="M783" s="16"/>
      <c r="N783" s="16"/>
    </row>
    <row r="784">
      <c r="L784" s="16"/>
      <c r="M784" s="16"/>
      <c r="N784" s="16"/>
    </row>
    <row r="785">
      <c r="L785" s="16"/>
      <c r="M785" s="16"/>
      <c r="N785" s="16"/>
    </row>
    <row r="786">
      <c r="L786" s="16"/>
      <c r="M786" s="16"/>
      <c r="N786" s="16"/>
    </row>
    <row r="787">
      <c r="L787" s="16"/>
      <c r="M787" s="16"/>
      <c r="N787" s="16"/>
    </row>
    <row r="788">
      <c r="L788" s="16"/>
      <c r="M788" s="16"/>
      <c r="N788" s="16"/>
    </row>
    <row r="789">
      <c r="L789" s="16"/>
      <c r="M789" s="16"/>
      <c r="N789" s="16"/>
    </row>
    <row r="790">
      <c r="L790" s="16"/>
      <c r="M790" s="16"/>
      <c r="N790" s="16"/>
    </row>
    <row r="791">
      <c r="L791" s="16"/>
      <c r="M791" s="16"/>
      <c r="N791" s="16"/>
    </row>
    <row r="792">
      <c r="L792" s="16"/>
      <c r="M792" s="16"/>
      <c r="N792" s="16"/>
    </row>
    <row r="793">
      <c r="L793" s="16"/>
      <c r="M793" s="16"/>
      <c r="N793" s="16"/>
    </row>
    <row r="794">
      <c r="L794" s="16"/>
      <c r="M794" s="16"/>
      <c r="N794" s="16"/>
    </row>
    <row r="795">
      <c r="L795" s="16"/>
      <c r="M795" s="16"/>
      <c r="N795" s="16"/>
    </row>
    <row r="796">
      <c r="L796" s="16"/>
      <c r="M796" s="16"/>
      <c r="N796" s="16"/>
    </row>
    <row r="797">
      <c r="L797" s="16"/>
      <c r="M797" s="16"/>
      <c r="N797" s="16"/>
    </row>
    <row r="798">
      <c r="L798" s="16"/>
      <c r="M798" s="16"/>
      <c r="N798" s="16"/>
    </row>
    <row r="799">
      <c r="L799" s="16"/>
      <c r="M799" s="16"/>
      <c r="N799" s="16"/>
    </row>
    <row r="800">
      <c r="L800" s="16"/>
      <c r="M800" s="16"/>
      <c r="N800" s="16"/>
    </row>
    <row r="801">
      <c r="L801" s="16"/>
      <c r="M801" s="16"/>
      <c r="N801" s="16"/>
    </row>
    <row r="802">
      <c r="L802" s="16"/>
      <c r="M802" s="16"/>
      <c r="N802" s="16"/>
    </row>
    <row r="803">
      <c r="L803" s="16"/>
      <c r="M803" s="16"/>
      <c r="N803" s="16"/>
    </row>
    <row r="804">
      <c r="L804" s="16"/>
      <c r="M804" s="16"/>
      <c r="N804" s="16"/>
    </row>
    <row r="805">
      <c r="L805" s="16"/>
      <c r="M805" s="16"/>
      <c r="N805" s="16"/>
    </row>
    <row r="806">
      <c r="L806" s="16"/>
      <c r="M806" s="16"/>
      <c r="N806" s="16"/>
    </row>
    <row r="807">
      <c r="L807" s="16"/>
      <c r="M807" s="16"/>
      <c r="N807" s="16"/>
    </row>
    <row r="808">
      <c r="L808" s="16"/>
      <c r="M808" s="16"/>
      <c r="N808" s="16"/>
    </row>
    <row r="809">
      <c r="L809" s="16"/>
      <c r="M809" s="16"/>
      <c r="N809" s="16"/>
    </row>
    <row r="810">
      <c r="L810" s="16"/>
      <c r="M810" s="16"/>
      <c r="N810" s="16"/>
    </row>
    <row r="811">
      <c r="L811" s="16"/>
      <c r="M811" s="16"/>
      <c r="N811" s="16"/>
    </row>
    <row r="812">
      <c r="L812" s="16"/>
      <c r="M812" s="16"/>
      <c r="N812" s="16"/>
    </row>
    <row r="813">
      <c r="L813" s="16"/>
      <c r="M813" s="16"/>
      <c r="N813" s="16"/>
    </row>
    <row r="814">
      <c r="L814" s="16"/>
      <c r="M814" s="16"/>
      <c r="N814" s="16"/>
    </row>
    <row r="815">
      <c r="L815" s="16"/>
      <c r="M815" s="16"/>
      <c r="N815" s="16"/>
    </row>
    <row r="816">
      <c r="L816" s="16"/>
      <c r="M816" s="16"/>
      <c r="N816" s="16"/>
    </row>
    <row r="817">
      <c r="L817" s="16"/>
      <c r="M817" s="16"/>
      <c r="N817" s="16"/>
    </row>
    <row r="818">
      <c r="L818" s="16"/>
      <c r="M818" s="16"/>
      <c r="N818" s="16"/>
    </row>
    <row r="819">
      <c r="L819" s="16"/>
      <c r="M819" s="16"/>
      <c r="N819" s="16"/>
    </row>
    <row r="820">
      <c r="L820" s="16"/>
      <c r="M820" s="16"/>
      <c r="N820" s="16"/>
    </row>
    <row r="821">
      <c r="L821" s="16"/>
      <c r="M821" s="16"/>
      <c r="N821" s="16"/>
    </row>
    <row r="822">
      <c r="L822" s="16"/>
      <c r="M822" s="16"/>
      <c r="N822" s="16"/>
    </row>
    <row r="823">
      <c r="L823" s="16"/>
      <c r="M823" s="16"/>
      <c r="N823" s="16"/>
    </row>
    <row r="824">
      <c r="L824" s="16"/>
      <c r="M824" s="16"/>
      <c r="N824" s="16"/>
    </row>
    <row r="825">
      <c r="L825" s="16"/>
      <c r="M825" s="16"/>
      <c r="N825" s="16"/>
    </row>
    <row r="826">
      <c r="L826" s="16"/>
      <c r="M826" s="16"/>
      <c r="N826" s="16"/>
    </row>
    <row r="827">
      <c r="L827" s="16"/>
      <c r="M827" s="16"/>
      <c r="N827" s="16"/>
    </row>
    <row r="828">
      <c r="L828" s="16"/>
      <c r="M828" s="16"/>
      <c r="N828" s="16"/>
    </row>
    <row r="829">
      <c r="L829" s="16"/>
      <c r="M829" s="16"/>
      <c r="N829" s="16"/>
    </row>
    <row r="830">
      <c r="L830" s="16"/>
      <c r="M830" s="16"/>
      <c r="N830" s="16"/>
    </row>
    <row r="831">
      <c r="L831" s="16"/>
      <c r="M831" s="16"/>
      <c r="N831" s="16"/>
    </row>
    <row r="832">
      <c r="L832" s="16"/>
      <c r="M832" s="16"/>
      <c r="N832" s="16"/>
    </row>
    <row r="833">
      <c r="L833" s="16"/>
      <c r="M833" s="16"/>
      <c r="N833" s="16"/>
    </row>
    <row r="834">
      <c r="L834" s="16"/>
      <c r="M834" s="16"/>
      <c r="N834" s="16"/>
    </row>
    <row r="835">
      <c r="L835" s="16"/>
      <c r="M835" s="16"/>
      <c r="N835" s="16"/>
    </row>
    <row r="836">
      <c r="L836" s="16"/>
      <c r="M836" s="16"/>
      <c r="N836" s="16"/>
    </row>
    <row r="837">
      <c r="L837" s="16"/>
      <c r="M837" s="16"/>
      <c r="N837" s="16"/>
    </row>
    <row r="838">
      <c r="L838" s="16"/>
      <c r="M838" s="16"/>
      <c r="N838" s="16"/>
    </row>
    <row r="839">
      <c r="L839" s="16"/>
      <c r="M839" s="16"/>
      <c r="N839" s="16"/>
    </row>
    <row r="840">
      <c r="L840" s="16"/>
      <c r="M840" s="16"/>
      <c r="N840" s="16"/>
    </row>
    <row r="841">
      <c r="L841" s="16"/>
      <c r="M841" s="16"/>
      <c r="N841" s="16"/>
    </row>
    <row r="842">
      <c r="L842" s="16"/>
      <c r="M842" s="16"/>
      <c r="N842" s="16"/>
    </row>
    <row r="843">
      <c r="L843" s="16"/>
      <c r="M843" s="16"/>
      <c r="N843" s="16"/>
    </row>
    <row r="844">
      <c r="L844" s="16"/>
      <c r="M844" s="16"/>
      <c r="N844" s="16"/>
    </row>
    <row r="845">
      <c r="L845" s="16"/>
      <c r="M845" s="16"/>
      <c r="N845" s="16"/>
    </row>
    <row r="846">
      <c r="L846" s="16"/>
      <c r="M846" s="16"/>
      <c r="N846" s="16"/>
    </row>
    <row r="847">
      <c r="L847" s="16"/>
      <c r="M847" s="16"/>
      <c r="N847" s="16"/>
    </row>
    <row r="848">
      <c r="L848" s="16"/>
      <c r="M848" s="16"/>
      <c r="N848" s="16"/>
    </row>
    <row r="849">
      <c r="L849" s="16"/>
      <c r="M849" s="16"/>
      <c r="N849" s="16"/>
    </row>
    <row r="850">
      <c r="L850" s="16"/>
      <c r="M850" s="16"/>
      <c r="N850" s="16"/>
    </row>
    <row r="851">
      <c r="L851" s="16"/>
      <c r="M851" s="16"/>
      <c r="N851" s="16"/>
    </row>
    <row r="852">
      <c r="L852" s="16"/>
      <c r="M852" s="16"/>
      <c r="N852" s="16"/>
    </row>
    <row r="853">
      <c r="L853" s="16"/>
      <c r="M853" s="16"/>
      <c r="N853" s="16"/>
    </row>
    <row r="854">
      <c r="L854" s="16"/>
      <c r="M854" s="16"/>
      <c r="N854" s="16"/>
    </row>
    <row r="855">
      <c r="L855" s="16"/>
      <c r="M855" s="16"/>
      <c r="N855" s="16"/>
    </row>
    <row r="856">
      <c r="L856" s="16"/>
      <c r="M856" s="16"/>
      <c r="N856" s="16"/>
    </row>
    <row r="857">
      <c r="L857" s="16"/>
      <c r="M857" s="16"/>
      <c r="N857" s="16"/>
    </row>
    <row r="858">
      <c r="L858" s="16"/>
      <c r="M858" s="16"/>
      <c r="N858" s="16"/>
    </row>
    <row r="859">
      <c r="L859" s="16"/>
      <c r="M859" s="16"/>
      <c r="N859" s="16"/>
    </row>
    <row r="860">
      <c r="L860" s="16"/>
      <c r="M860" s="16"/>
      <c r="N860" s="16"/>
    </row>
    <row r="861">
      <c r="L861" s="16"/>
      <c r="M861" s="16"/>
      <c r="N861" s="16"/>
    </row>
    <row r="862">
      <c r="L862" s="16"/>
      <c r="M862" s="16"/>
      <c r="N862" s="16"/>
    </row>
    <row r="863">
      <c r="L863" s="16"/>
      <c r="M863" s="16"/>
      <c r="N863" s="16"/>
    </row>
    <row r="864">
      <c r="L864" s="16"/>
      <c r="M864" s="16"/>
      <c r="N864" s="16"/>
    </row>
    <row r="865">
      <c r="L865" s="16"/>
      <c r="M865" s="16"/>
      <c r="N865" s="16"/>
    </row>
    <row r="866">
      <c r="L866" s="16"/>
      <c r="M866" s="16"/>
      <c r="N866" s="16"/>
    </row>
    <row r="867">
      <c r="L867" s="16"/>
      <c r="M867" s="16"/>
      <c r="N867" s="16"/>
    </row>
    <row r="868">
      <c r="L868" s="16"/>
      <c r="M868" s="16"/>
      <c r="N868" s="16"/>
    </row>
    <row r="869">
      <c r="L869" s="16"/>
      <c r="M869" s="16"/>
      <c r="N869" s="16"/>
    </row>
    <row r="870">
      <c r="L870" s="16"/>
      <c r="M870" s="16"/>
      <c r="N870" s="16"/>
    </row>
    <row r="871">
      <c r="L871" s="16"/>
      <c r="M871" s="16"/>
      <c r="N871" s="16"/>
    </row>
    <row r="872">
      <c r="L872" s="16"/>
      <c r="M872" s="16"/>
      <c r="N872" s="16"/>
    </row>
    <row r="873">
      <c r="L873" s="16"/>
      <c r="M873" s="16"/>
      <c r="N873" s="16"/>
    </row>
    <row r="874">
      <c r="L874" s="16"/>
      <c r="M874" s="16"/>
      <c r="N874" s="16"/>
    </row>
    <row r="875">
      <c r="L875" s="16"/>
      <c r="M875" s="16"/>
      <c r="N875" s="16"/>
    </row>
    <row r="876">
      <c r="L876" s="16"/>
      <c r="M876" s="16"/>
      <c r="N876" s="16"/>
    </row>
    <row r="877">
      <c r="L877" s="16"/>
      <c r="M877" s="16"/>
      <c r="N877" s="16"/>
    </row>
    <row r="878">
      <c r="L878" s="16"/>
      <c r="M878" s="16"/>
      <c r="N878" s="16"/>
    </row>
    <row r="879">
      <c r="L879" s="16"/>
      <c r="M879" s="16"/>
      <c r="N879" s="16"/>
    </row>
    <row r="880">
      <c r="L880" s="16"/>
      <c r="M880" s="16"/>
      <c r="N880" s="16"/>
    </row>
    <row r="881">
      <c r="L881" s="16"/>
      <c r="M881" s="16"/>
      <c r="N881" s="16"/>
    </row>
    <row r="882">
      <c r="L882" s="16"/>
      <c r="M882" s="16"/>
      <c r="N882" s="16"/>
    </row>
    <row r="883">
      <c r="L883" s="16"/>
      <c r="M883" s="16"/>
      <c r="N883" s="16"/>
    </row>
    <row r="884">
      <c r="L884" s="16"/>
      <c r="M884" s="16"/>
      <c r="N884" s="16"/>
    </row>
    <row r="885">
      <c r="L885" s="16"/>
      <c r="M885" s="16"/>
      <c r="N885" s="16"/>
    </row>
    <row r="886">
      <c r="L886" s="16"/>
      <c r="M886" s="16"/>
      <c r="N886" s="16"/>
    </row>
    <row r="887">
      <c r="L887" s="16"/>
      <c r="M887" s="16"/>
      <c r="N887" s="16"/>
    </row>
    <row r="888">
      <c r="L888" s="16"/>
      <c r="M888" s="16"/>
      <c r="N888" s="16"/>
    </row>
    <row r="889">
      <c r="L889" s="16"/>
      <c r="M889" s="16"/>
      <c r="N889" s="16"/>
    </row>
    <row r="890">
      <c r="L890" s="16"/>
      <c r="M890" s="16"/>
      <c r="N890" s="16"/>
    </row>
    <row r="891">
      <c r="L891" s="16"/>
      <c r="M891" s="16"/>
      <c r="N891" s="16"/>
    </row>
    <row r="892">
      <c r="L892" s="16"/>
      <c r="M892" s="16"/>
      <c r="N892" s="16"/>
    </row>
    <row r="893">
      <c r="L893" s="16"/>
      <c r="M893" s="16"/>
      <c r="N893" s="16"/>
    </row>
    <row r="894">
      <c r="L894" s="16"/>
      <c r="M894" s="16"/>
      <c r="N894" s="16"/>
    </row>
    <row r="895">
      <c r="L895" s="16"/>
      <c r="M895" s="16"/>
      <c r="N895" s="16"/>
    </row>
    <row r="896">
      <c r="L896" s="16"/>
      <c r="M896" s="16"/>
      <c r="N896" s="16"/>
    </row>
    <row r="897">
      <c r="L897" s="16"/>
      <c r="M897" s="16"/>
      <c r="N897" s="16"/>
    </row>
    <row r="898">
      <c r="L898" s="16"/>
      <c r="M898" s="16"/>
      <c r="N898" s="16"/>
    </row>
    <row r="899">
      <c r="L899" s="16"/>
      <c r="M899" s="16"/>
      <c r="N899" s="16"/>
    </row>
    <row r="900">
      <c r="L900" s="16"/>
      <c r="M900" s="16"/>
      <c r="N900" s="16"/>
    </row>
    <row r="901">
      <c r="L901" s="16"/>
      <c r="M901" s="16"/>
      <c r="N901" s="16"/>
    </row>
    <row r="902">
      <c r="L902" s="16"/>
      <c r="M902" s="16"/>
      <c r="N902" s="16"/>
    </row>
    <row r="903">
      <c r="L903" s="16"/>
      <c r="M903" s="16"/>
      <c r="N903" s="16"/>
    </row>
    <row r="904">
      <c r="L904" s="16"/>
      <c r="M904" s="16"/>
      <c r="N904" s="16"/>
    </row>
    <row r="905">
      <c r="L905" s="16"/>
      <c r="M905" s="16"/>
      <c r="N905" s="16"/>
    </row>
    <row r="906">
      <c r="L906" s="16"/>
      <c r="M906" s="16"/>
      <c r="N906" s="16"/>
    </row>
    <row r="907">
      <c r="L907" s="16"/>
      <c r="M907" s="16"/>
      <c r="N907" s="16"/>
    </row>
    <row r="908">
      <c r="L908" s="16"/>
      <c r="M908" s="16"/>
      <c r="N908" s="16"/>
    </row>
    <row r="909">
      <c r="L909" s="16"/>
      <c r="M909" s="16"/>
      <c r="N909" s="16"/>
    </row>
    <row r="910">
      <c r="L910" s="16"/>
      <c r="M910" s="16"/>
      <c r="N910" s="16"/>
    </row>
    <row r="911">
      <c r="L911" s="16"/>
      <c r="M911" s="16"/>
      <c r="N911" s="16"/>
    </row>
    <row r="912">
      <c r="L912" s="16"/>
      <c r="M912" s="16"/>
      <c r="N912" s="16"/>
    </row>
    <row r="913">
      <c r="L913" s="16"/>
      <c r="M913" s="16"/>
      <c r="N913" s="16"/>
    </row>
    <row r="914">
      <c r="L914" s="16"/>
      <c r="M914" s="16"/>
      <c r="N914" s="16"/>
    </row>
    <row r="915">
      <c r="L915" s="16"/>
      <c r="M915" s="16"/>
      <c r="N915" s="16"/>
    </row>
    <row r="916">
      <c r="L916" s="16"/>
      <c r="M916" s="16"/>
      <c r="N916" s="16"/>
    </row>
    <row r="917">
      <c r="L917" s="16"/>
      <c r="M917" s="16"/>
      <c r="N917" s="16"/>
    </row>
    <row r="918">
      <c r="L918" s="16"/>
      <c r="M918" s="16"/>
      <c r="N918" s="16"/>
    </row>
    <row r="919">
      <c r="L919" s="16"/>
      <c r="M919" s="16"/>
      <c r="N919" s="16"/>
    </row>
    <row r="920">
      <c r="L920" s="16"/>
      <c r="M920" s="16"/>
      <c r="N920" s="16"/>
    </row>
    <row r="921">
      <c r="L921" s="16"/>
      <c r="M921" s="16"/>
      <c r="N921" s="16"/>
    </row>
    <row r="922">
      <c r="L922" s="16"/>
      <c r="M922" s="16"/>
      <c r="N922" s="16"/>
    </row>
    <row r="923">
      <c r="L923" s="16"/>
      <c r="M923" s="16"/>
      <c r="N923" s="16"/>
    </row>
    <row r="924">
      <c r="L924" s="16"/>
      <c r="M924" s="16"/>
      <c r="N924" s="16"/>
    </row>
    <row r="925">
      <c r="L925" s="16"/>
      <c r="M925" s="16"/>
      <c r="N925" s="16"/>
    </row>
    <row r="926">
      <c r="L926" s="16"/>
      <c r="M926" s="16"/>
      <c r="N926" s="16"/>
    </row>
    <row r="927">
      <c r="L927" s="16"/>
      <c r="M927" s="16"/>
      <c r="N927" s="16"/>
    </row>
    <row r="928">
      <c r="L928" s="16"/>
      <c r="M928" s="16"/>
      <c r="N928" s="16"/>
    </row>
    <row r="929">
      <c r="L929" s="16"/>
      <c r="M929" s="16"/>
      <c r="N929" s="16"/>
    </row>
    <row r="930">
      <c r="L930" s="16"/>
      <c r="M930" s="16"/>
      <c r="N930" s="16"/>
    </row>
    <row r="931">
      <c r="L931" s="16"/>
      <c r="M931" s="16"/>
      <c r="N931" s="16"/>
    </row>
    <row r="932">
      <c r="L932" s="16"/>
      <c r="M932" s="16"/>
      <c r="N932" s="16"/>
    </row>
    <row r="933">
      <c r="L933" s="16"/>
      <c r="M933" s="16"/>
      <c r="N933" s="16"/>
    </row>
    <row r="934">
      <c r="L934" s="16"/>
      <c r="M934" s="16"/>
      <c r="N934" s="16"/>
    </row>
    <row r="935">
      <c r="L935" s="16"/>
      <c r="M935" s="16"/>
      <c r="N935" s="16"/>
    </row>
    <row r="936">
      <c r="L936" s="16"/>
      <c r="M936" s="16"/>
      <c r="N936" s="16"/>
    </row>
    <row r="937">
      <c r="L937" s="16"/>
      <c r="M937" s="16"/>
      <c r="N937" s="16"/>
    </row>
    <row r="938">
      <c r="L938" s="16"/>
      <c r="M938" s="16"/>
      <c r="N938" s="16"/>
    </row>
    <row r="939">
      <c r="L939" s="16"/>
      <c r="M939" s="16"/>
      <c r="N939" s="16"/>
    </row>
    <row r="940">
      <c r="L940" s="16"/>
      <c r="M940" s="16"/>
      <c r="N940" s="16"/>
    </row>
    <row r="941">
      <c r="L941" s="16"/>
      <c r="M941" s="16"/>
      <c r="N941" s="16"/>
    </row>
    <row r="942">
      <c r="L942" s="16"/>
      <c r="M942" s="16"/>
      <c r="N942" s="16"/>
    </row>
    <row r="943">
      <c r="L943" s="16"/>
      <c r="M943" s="16"/>
      <c r="N943" s="16"/>
    </row>
    <row r="944">
      <c r="L944" s="16"/>
      <c r="M944" s="16"/>
      <c r="N944" s="16"/>
    </row>
    <row r="945">
      <c r="L945" s="16"/>
      <c r="M945" s="16"/>
      <c r="N945" s="16"/>
    </row>
    <row r="946">
      <c r="L946" s="16"/>
      <c r="M946" s="16"/>
      <c r="N946" s="16"/>
    </row>
    <row r="947">
      <c r="L947" s="16"/>
      <c r="M947" s="16"/>
      <c r="N947" s="16"/>
    </row>
    <row r="948">
      <c r="L948" s="16"/>
      <c r="M948" s="16"/>
      <c r="N948" s="16"/>
    </row>
    <row r="949">
      <c r="L949" s="16"/>
      <c r="M949" s="16"/>
      <c r="N949" s="16"/>
    </row>
    <row r="950">
      <c r="L950" s="16"/>
      <c r="M950" s="16"/>
      <c r="N950" s="16"/>
    </row>
    <row r="951">
      <c r="L951" s="16"/>
      <c r="M951" s="16"/>
      <c r="N951" s="16"/>
    </row>
    <row r="952">
      <c r="L952" s="16"/>
      <c r="M952" s="16"/>
      <c r="N952" s="16"/>
    </row>
    <row r="953">
      <c r="L953" s="16"/>
      <c r="M953" s="16"/>
      <c r="N953" s="16"/>
    </row>
    <row r="954">
      <c r="L954" s="16"/>
      <c r="M954" s="16"/>
      <c r="N954" s="16"/>
    </row>
    <row r="955">
      <c r="L955" s="16"/>
      <c r="M955" s="16"/>
      <c r="N955" s="16"/>
    </row>
    <row r="956">
      <c r="L956" s="16"/>
      <c r="M956" s="16"/>
      <c r="N956" s="16"/>
    </row>
    <row r="957">
      <c r="L957" s="16"/>
      <c r="M957" s="16"/>
      <c r="N957" s="16"/>
    </row>
    <row r="958">
      <c r="L958" s="16"/>
      <c r="M958" s="16"/>
      <c r="N958" s="16"/>
    </row>
    <row r="959">
      <c r="L959" s="16"/>
      <c r="M959" s="16"/>
      <c r="N959" s="16"/>
    </row>
    <row r="960">
      <c r="L960" s="16"/>
      <c r="M960" s="16"/>
      <c r="N960" s="16"/>
    </row>
    <row r="961">
      <c r="L961" s="16"/>
      <c r="M961" s="16"/>
      <c r="N961" s="16"/>
    </row>
    <row r="962">
      <c r="L962" s="16"/>
      <c r="M962" s="16"/>
      <c r="N962" s="16"/>
    </row>
    <row r="963">
      <c r="L963" s="16"/>
      <c r="M963" s="16"/>
      <c r="N963" s="16"/>
    </row>
    <row r="964">
      <c r="L964" s="16"/>
      <c r="M964" s="16"/>
      <c r="N964" s="16"/>
    </row>
    <row r="965">
      <c r="L965" s="16"/>
      <c r="M965" s="16"/>
      <c r="N965" s="16"/>
    </row>
    <row r="966">
      <c r="L966" s="16"/>
      <c r="M966" s="16"/>
      <c r="N966" s="16"/>
    </row>
    <row r="967">
      <c r="L967" s="16"/>
      <c r="M967" s="16"/>
      <c r="N967" s="16"/>
    </row>
    <row r="968">
      <c r="L968" s="16"/>
      <c r="M968" s="16"/>
      <c r="N968" s="16"/>
    </row>
    <row r="969">
      <c r="L969" s="16"/>
      <c r="M969" s="16"/>
      <c r="N969" s="16"/>
    </row>
    <row r="970">
      <c r="L970" s="16"/>
      <c r="M970" s="16"/>
      <c r="N970" s="16"/>
    </row>
    <row r="971">
      <c r="L971" s="16"/>
      <c r="M971" s="16"/>
      <c r="N971" s="16"/>
    </row>
    <row r="972">
      <c r="L972" s="16"/>
      <c r="M972" s="16"/>
      <c r="N972" s="16"/>
    </row>
    <row r="973">
      <c r="L973" s="16"/>
      <c r="M973" s="16"/>
      <c r="N973" s="16"/>
    </row>
    <row r="974">
      <c r="L974" s="16"/>
      <c r="M974" s="16"/>
      <c r="N974" s="16"/>
    </row>
    <row r="975">
      <c r="L975" s="16"/>
      <c r="M975" s="16"/>
      <c r="N975" s="16"/>
    </row>
    <row r="976">
      <c r="L976" s="16"/>
      <c r="M976" s="16"/>
      <c r="N976" s="16"/>
    </row>
    <row r="977">
      <c r="L977" s="16"/>
      <c r="M977" s="16"/>
      <c r="N977" s="16"/>
    </row>
    <row r="978">
      <c r="L978" s="16"/>
      <c r="M978" s="16"/>
      <c r="N978" s="16"/>
    </row>
    <row r="979">
      <c r="L979" s="16"/>
      <c r="M979" s="16"/>
      <c r="N979" s="16"/>
    </row>
    <row r="980">
      <c r="L980" s="16"/>
      <c r="M980" s="16"/>
      <c r="N980" s="16"/>
    </row>
    <row r="981">
      <c r="L981" s="16"/>
      <c r="M981" s="16"/>
      <c r="N981" s="16"/>
    </row>
    <row r="982">
      <c r="L982" s="16"/>
      <c r="M982" s="16"/>
      <c r="N982" s="16"/>
    </row>
    <row r="983">
      <c r="L983" s="16"/>
      <c r="M983" s="16"/>
      <c r="N983" s="16"/>
    </row>
    <row r="984">
      <c r="L984" s="16"/>
      <c r="M984" s="16"/>
      <c r="N984" s="16"/>
    </row>
    <row r="985">
      <c r="L985" s="16"/>
      <c r="M985" s="16"/>
      <c r="N985" s="16"/>
    </row>
    <row r="986">
      <c r="L986" s="16"/>
      <c r="M986" s="16"/>
      <c r="N986" s="16"/>
    </row>
    <row r="987">
      <c r="L987" s="16"/>
      <c r="M987" s="16"/>
      <c r="N987" s="16"/>
    </row>
    <row r="988">
      <c r="L988" s="16"/>
      <c r="M988" s="16"/>
      <c r="N988" s="16"/>
    </row>
    <row r="989">
      <c r="L989" s="16"/>
      <c r="M989" s="16"/>
      <c r="N989" s="16"/>
    </row>
    <row r="990">
      <c r="L990" s="16"/>
      <c r="M990" s="16"/>
      <c r="N990" s="16"/>
    </row>
    <row r="991">
      <c r="L991" s="16"/>
      <c r="M991" s="16"/>
      <c r="N991" s="16"/>
    </row>
    <row r="992">
      <c r="L992" s="16"/>
      <c r="M992" s="16"/>
      <c r="N992" s="16"/>
    </row>
    <row r="993">
      <c r="L993" s="16"/>
      <c r="M993" s="16"/>
      <c r="N993" s="16"/>
    </row>
    <row r="994">
      <c r="L994" s="16"/>
      <c r="M994" s="16"/>
      <c r="N994" s="16"/>
    </row>
    <row r="995">
      <c r="L995" s="16"/>
      <c r="M995" s="16"/>
      <c r="N995" s="16"/>
    </row>
    <row r="996">
      <c r="L996" s="16"/>
      <c r="M996" s="16"/>
      <c r="N996" s="16"/>
    </row>
    <row r="997">
      <c r="L997" s="16"/>
      <c r="M997" s="16"/>
      <c r="N997" s="16"/>
    </row>
    <row r="998">
      <c r="L998" s="16"/>
      <c r="M998" s="16"/>
      <c r="N998" s="16"/>
    </row>
    <row r="999">
      <c r="L999" s="16"/>
      <c r="M999" s="16"/>
      <c r="N999" s="16"/>
    </row>
    <row r="1000">
      <c r="L1000" s="16"/>
      <c r="M1000" s="16"/>
      <c r="N100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5" max="5" width="18.63"/>
    <col customWidth="1" min="6" max="6" width="19.5"/>
    <col customWidth="1" min="7" max="7" width="12.63"/>
    <col customWidth="1" min="9" max="9" width="16.5"/>
    <col customWidth="1" min="11" max="14" width="19.13"/>
  </cols>
  <sheetData>
    <row r="1">
      <c r="A1" s="27" t="str">
        <f>IFERROR(__xludf.DUMMYFUNCTION("QUERY({brasil!A:N; chile!A:N; colombia!A:N; equador!A:N; mexico!A:N; peru!A:N}, ""select * where Col1 is not null"", -1)"),"pais")</f>
        <v>pais</v>
      </c>
      <c r="B1" s="28" t="str">
        <f>IFERROR(__xludf.DUMMYFUNCTION("""COMPUTED_VALUE"""),"nascimento")</f>
        <v>nascimento</v>
      </c>
      <c r="C1" s="28" t="str">
        <f>IFERROR(__xludf.DUMMYFUNCTION("""COMPUTED_VALUE"""),"populacao")</f>
        <v>populacao</v>
      </c>
      <c r="D1" s="28" t="str">
        <f>IFERROR(__xludf.DUMMYFUNCTION("""COMPUTED_VALUE"""),"ano")</f>
        <v>ano</v>
      </c>
      <c r="E1" s="28" t="str">
        <f>IFERROR(__xludf.DUMMYFUNCTION("""COMPUTED_VALUE"""),"taxa_de_natalidade")</f>
        <v>taxa_de_natalidade</v>
      </c>
      <c r="F1" s="28" t="str">
        <f>IFERROR(__xludf.DUMMYFUNCTION("""COMPUTED_VALUE"""),"taxa_de_crescimento")</f>
        <v>taxa_de_crescimento</v>
      </c>
      <c r="G1" s="28" t="str">
        <f>IFERROR(__xludf.DUMMYFUNCTION("""COMPUTED_VALUE"""),"0_14_anos")</f>
        <v>0_14_anos</v>
      </c>
      <c r="H1" s="28" t="str">
        <f>IFERROR(__xludf.DUMMYFUNCTION("""COMPUTED_VALUE"""),"15_64_anos")</f>
        <v>15_64_anos</v>
      </c>
      <c r="I1" s="28" t="str">
        <f>IFERROR(__xludf.DUMMYFUNCTION("""COMPUTED_VALUE"""),"64_anos_mais")</f>
        <v>64_anos_mais</v>
      </c>
      <c r="J1" s="28" t="str">
        <f>IFERROR(__xludf.DUMMYFUNCTION("""COMPUTED_VALUE"""),"ano")</f>
        <v>ano</v>
      </c>
      <c r="K1" s="29" t="str">
        <f>IFERROR(__xludf.DUMMYFUNCTION("""COMPUTED_VALUE"""),"valor_estimado_de_2022")</f>
        <v>valor_estimado_de_2022</v>
      </c>
      <c r="L1" s="29" t="str">
        <f>IFERROR(__xludf.DUMMYFUNCTION("""COMPUTED_VALUE"""),"percentual_de_14")</f>
        <v>percentual_de_14</v>
      </c>
      <c r="M1" s="29" t="str">
        <f>IFERROR(__xludf.DUMMYFUNCTION("""COMPUTED_VALUE"""),"percentual_de_15")</f>
        <v>percentual_de_15</v>
      </c>
      <c r="N1" s="29" t="str">
        <f>IFERROR(__xludf.DUMMYFUNCTION("""COMPUTED_VALUE"""),"percentual_de_64")</f>
        <v>percentual_de_64</v>
      </c>
    </row>
    <row r="2">
      <c r="A2" s="30" t="str">
        <f>IFERROR(__xludf.DUMMYFUNCTION("""COMPUTED_VALUE"""),"Brasil")</f>
        <v>Brasil</v>
      </c>
      <c r="B2" s="31">
        <f>IFERROR(__xludf.DUMMYFUNCTION("""COMPUTED_VALUE"""),3351520.0)</f>
        <v>3351520</v>
      </c>
      <c r="C2" s="32">
        <f>IFERROR(__xludf.DUMMYFUNCTION("""COMPUTED_VALUE"""),1.78376409E8)</f>
        <v>178376409</v>
      </c>
      <c r="D2" s="33">
        <f>IFERROR(__xludf.DUMMYFUNCTION("""COMPUTED_VALUE"""),2002.0)</f>
        <v>2002</v>
      </c>
      <c r="E2" s="34">
        <f>IFERROR(__xludf.DUMMYFUNCTION("""COMPUTED_VALUE"""),0.018789031681874478)</f>
        <v>0.01878903168</v>
      </c>
      <c r="F2" s="34">
        <f>IFERROR(__xludf.DUMMYFUNCTION("""COMPUTED_VALUE"""),0.01348458212501405)</f>
        <v>0.01348458213</v>
      </c>
      <c r="G2" s="32">
        <f>IFERROR(__xludf.DUMMYFUNCTION("""COMPUTED_VALUE"""),4.821487605E7)</f>
        <v>48214876.05</v>
      </c>
      <c r="H2" s="32">
        <f>IFERROR(__xludf.DUMMYFUNCTION("""COMPUTED_VALUE"""),1.33131500172E8)</f>
        <v>133131500.2</v>
      </c>
      <c r="I2" s="32">
        <f>IFERROR(__xludf.DUMMYFUNCTION("""COMPUTED_VALUE"""),1.3461203777999999E7)</f>
        <v>13461203.78</v>
      </c>
      <c r="J2" s="32">
        <f>IFERROR(__xludf.DUMMYFUNCTION("""COMPUTED_VALUE"""),2010.0)</f>
        <v>2010</v>
      </c>
      <c r="K2" s="32">
        <f>IFERROR(__xludf.DUMMYFUNCTION("""COMPUTED_VALUE"""),1435660.6040324813)</f>
        <v>1435660.604</v>
      </c>
      <c r="L2" s="34">
        <f>IFERROR(__xludf.DUMMYFUNCTION("""COMPUTED_VALUE"""),0.2475)</f>
        <v>0.2475</v>
      </c>
      <c r="M2" s="34">
        <f>IFERROR(__xludf.DUMMYFUNCTION("""COMPUTED_VALUE"""),0.6834)</f>
        <v>0.6834</v>
      </c>
      <c r="N2" s="34">
        <f>IFERROR(__xludf.DUMMYFUNCTION("""COMPUTED_VALUE"""),0.0691)</f>
        <v>0.0691</v>
      </c>
    </row>
    <row r="3">
      <c r="A3" s="35" t="str">
        <f>IFERROR(__xludf.DUMMYFUNCTION("""COMPUTED_VALUE"""),"Brasil")</f>
        <v>Brasil</v>
      </c>
      <c r="B3" s="32">
        <f>IFERROR(__xludf.DUMMYFUNCTION("""COMPUTED_VALUE"""),3259436.0)</f>
        <v>3259436</v>
      </c>
      <c r="C3" s="32">
        <f>IFERROR(__xludf.DUMMYFUNCTION("""COMPUTED_VALUE"""),1.80682719E8)</f>
        <v>180682719</v>
      </c>
      <c r="D3" s="33">
        <f>IFERROR(__xludf.DUMMYFUNCTION("""COMPUTED_VALUE"""),2003.0)</f>
        <v>2003</v>
      </c>
      <c r="E3" s="34">
        <f>IFERROR(__xludf.DUMMYFUNCTION("""COMPUTED_VALUE"""),0.01803955584706471)</f>
        <v>0.01803955585</v>
      </c>
      <c r="F3" s="34">
        <f>IFERROR(__xludf.DUMMYFUNCTION("""COMPUTED_VALUE"""),0.012929456383439135)</f>
        <v>0.01292945638</v>
      </c>
      <c r="G3" s="32">
        <f>IFERROR(__xludf.DUMMYFUNCTION("""COMPUTED_VALUE"""),4.5815573475E7)</f>
        <v>45815573.48</v>
      </c>
      <c r="H3" s="32">
        <f>IFERROR(__xludf.DUMMYFUNCTION("""COMPUTED_VALUE"""),1.417024781389E8)</f>
        <v>141702478.1</v>
      </c>
      <c r="I3" s="32">
        <f>IFERROR(__xludf.DUMMYFUNCTION("""COMPUTED_VALUE"""),1.6106719386100002E7)</f>
        <v>16106719.39</v>
      </c>
      <c r="J3" s="32">
        <f>IFERROR(__xludf.DUMMYFUNCTION("""COMPUTED_VALUE"""),2015.0)</f>
        <v>2015</v>
      </c>
      <c r="K3" s="32"/>
      <c r="L3" s="34">
        <f>IFERROR(__xludf.DUMMYFUNCTION("""COMPUTED_VALUE"""),0.225)</f>
        <v>0.225</v>
      </c>
      <c r="M3" s="34">
        <f>IFERROR(__xludf.DUMMYFUNCTION("""COMPUTED_VALUE"""),0.6959000000000001)</f>
        <v>0.6959</v>
      </c>
      <c r="N3" s="34">
        <f>IFERROR(__xludf.DUMMYFUNCTION("""COMPUTED_VALUE"""),0.0791)</f>
        <v>0.0791</v>
      </c>
    </row>
    <row r="4">
      <c r="A4" s="35" t="str">
        <f>IFERROR(__xludf.DUMMYFUNCTION("""COMPUTED_VALUE"""),"Brasil")</f>
        <v>Brasil</v>
      </c>
      <c r="B4" s="32">
        <f>IFERROR(__xludf.DUMMYFUNCTION("""COMPUTED_VALUE"""),3257137.0)</f>
        <v>3257137</v>
      </c>
      <c r="C4" s="32">
        <f>IFERROR(__xludf.DUMMYFUNCTION("""COMPUTED_VALUE"""),1.82913865E8)</f>
        <v>182913865</v>
      </c>
      <c r="D4" s="33">
        <f>IFERROR(__xludf.DUMMYFUNCTION("""COMPUTED_VALUE"""),2004.0)</f>
        <v>2004</v>
      </c>
      <c r="E4" s="34">
        <f>IFERROR(__xludf.DUMMYFUNCTION("""COMPUTED_VALUE"""),0.01780694426854957)</f>
        <v>0.01780694427</v>
      </c>
      <c r="F4" s="34">
        <f>IFERROR(__xludf.DUMMYFUNCTION("""COMPUTED_VALUE"""),0.012348419441263777)</f>
        <v>0.01234841944</v>
      </c>
      <c r="G4" s="32">
        <f>IFERROR(__xludf.DUMMYFUNCTION("""COMPUTED_VALUE"""),4.41197290887E7)</f>
        <v>44119729.09</v>
      </c>
      <c r="H4" s="32">
        <f>IFERROR(__xludf.DUMMYFUNCTION("""COMPUTED_VALUE"""),1.480118419932E8)</f>
        <v>148011842</v>
      </c>
      <c r="I4" s="32">
        <f>IFERROR(__xludf.DUMMYFUNCTION("""COMPUTED_VALUE"""),1.96770179181E7)</f>
        <v>19677017.92</v>
      </c>
      <c r="J4" s="32">
        <f>IFERROR(__xludf.DUMMYFUNCTION("""COMPUTED_VALUE"""),2020.0)</f>
        <v>2020</v>
      </c>
      <c r="K4" s="32"/>
      <c r="L4" s="34">
        <f>IFERROR(__xludf.DUMMYFUNCTION("""COMPUTED_VALUE"""),0.20829999999999999)</f>
        <v>0.2083</v>
      </c>
      <c r="M4" s="34">
        <f>IFERROR(__xludf.DUMMYFUNCTION("""COMPUTED_VALUE"""),0.6988)</f>
        <v>0.6988</v>
      </c>
      <c r="N4" s="34">
        <f>IFERROR(__xludf.DUMMYFUNCTION("""COMPUTED_VALUE"""),0.0929)</f>
        <v>0.0929</v>
      </c>
    </row>
    <row r="5">
      <c r="A5" s="35" t="str">
        <f>IFERROR(__xludf.DUMMYFUNCTION("""COMPUTED_VALUE"""),"Brasil")</f>
        <v>Brasil</v>
      </c>
      <c r="B5" s="32">
        <f>IFERROR(__xludf.DUMMYFUNCTION("""COMPUTED_VALUE"""),3238499.0)</f>
        <v>3238499</v>
      </c>
      <c r="C5" s="32">
        <f>IFERROR(__xludf.DUMMYFUNCTION("""COMPUTED_VALUE"""),1.85075508E8)</f>
        <v>185075508</v>
      </c>
      <c r="D5" s="33">
        <f>IFERROR(__xludf.DUMMYFUNCTION("""COMPUTED_VALUE"""),2005.0)</f>
        <v>2005</v>
      </c>
      <c r="E5" s="34">
        <f>IFERROR(__xludf.DUMMYFUNCTION("""COMPUTED_VALUE"""),0.017498258062325567)</f>
        <v>0.01749825806</v>
      </c>
      <c r="F5" s="34">
        <f>IFERROR(__xludf.DUMMYFUNCTION("""COMPUTED_VALUE"""),0.011817819277942654)</f>
        <v>0.01181781928</v>
      </c>
      <c r="G5" s="32"/>
      <c r="H5" s="32"/>
      <c r="I5" s="32"/>
      <c r="J5" s="32"/>
      <c r="K5" s="32"/>
      <c r="L5" s="34"/>
      <c r="M5" s="34"/>
      <c r="N5" s="34"/>
    </row>
    <row r="6">
      <c r="A6" s="36" t="str">
        <f>IFERROR(__xludf.DUMMYFUNCTION("""COMPUTED_VALUE"""),"Brasil")</f>
        <v>Brasil</v>
      </c>
      <c r="B6" s="37">
        <f>IFERROR(__xludf.DUMMYFUNCTION("""COMPUTED_VALUE"""),3182010.0)</f>
        <v>3182010</v>
      </c>
      <c r="C6" s="37">
        <f>IFERROR(__xludf.DUMMYFUNCTION("""COMPUTED_VALUE"""),1.87155615E8)</f>
        <v>187155615</v>
      </c>
      <c r="D6" s="38">
        <f>IFERROR(__xludf.DUMMYFUNCTION("""COMPUTED_VALUE"""),2006.0)</f>
        <v>2006</v>
      </c>
      <c r="E6" s="39">
        <f>IFERROR(__xludf.DUMMYFUNCTION("""COMPUTED_VALUE"""),0.017001947817595533)</f>
        <v>0.01700194782</v>
      </c>
      <c r="F6" s="39">
        <f>IFERROR(__xludf.DUMMYFUNCTION("""COMPUTED_VALUE"""),0.011239234312948636)</f>
        <v>0.01123923431</v>
      </c>
      <c r="G6" s="37"/>
      <c r="H6" s="37"/>
      <c r="I6" s="37"/>
      <c r="J6" s="37"/>
      <c r="K6" s="37"/>
      <c r="L6" s="39"/>
      <c r="M6" s="39"/>
      <c r="N6" s="39"/>
    </row>
    <row r="7">
      <c r="A7" s="40" t="str">
        <f>IFERROR(__xludf.DUMMYFUNCTION("""COMPUTED_VALUE"""),"Brasil")</f>
        <v>Brasil</v>
      </c>
      <c r="B7" s="37">
        <f>IFERROR(__xludf.DUMMYFUNCTION("""COMPUTED_VALUE"""),3123429.0)</f>
        <v>3123429</v>
      </c>
      <c r="C7" s="37">
        <f>IFERROR(__xludf.DUMMYFUNCTION("""COMPUTED_VALUE"""),1.89156967E8)</f>
        <v>189156967</v>
      </c>
      <c r="D7" s="38">
        <f>IFERROR(__xludf.DUMMYFUNCTION("""COMPUTED_VALUE"""),2007.0)</f>
        <v>2007</v>
      </c>
      <c r="E7" s="39">
        <f>IFERROR(__xludf.DUMMYFUNCTION("""COMPUTED_VALUE"""),0.0165123656270086)</f>
        <v>0.01651236563</v>
      </c>
      <c r="F7" s="39">
        <f>IFERROR(__xludf.DUMMYFUNCTION("""COMPUTED_VALUE"""),0.01069351833232468)</f>
        <v>0.01069351833</v>
      </c>
      <c r="G7" s="37"/>
      <c r="H7" s="37"/>
      <c r="I7" s="37"/>
      <c r="J7" s="37"/>
      <c r="K7" s="37"/>
      <c r="L7" s="39"/>
      <c r="M7" s="39"/>
      <c r="N7" s="39"/>
    </row>
    <row r="8">
      <c r="A8" s="40" t="str">
        <f>IFERROR(__xludf.DUMMYFUNCTION("""COMPUTED_VALUE"""),"Brasil")</f>
        <v>Brasil</v>
      </c>
      <c r="B8" s="37">
        <f>IFERROR(__xludf.DUMMYFUNCTION("""COMPUTED_VALUE"""),3071834.0)</f>
        <v>3071834</v>
      </c>
      <c r="C8" s="37">
        <f>IFERROR(__xludf.DUMMYFUNCTION("""COMPUTED_VALUE"""),1.91085595E8)</f>
        <v>191085595</v>
      </c>
      <c r="D8" s="38">
        <f>IFERROR(__xludf.DUMMYFUNCTION("""COMPUTED_VALUE"""),2008.0)</f>
        <v>2008</v>
      </c>
      <c r="E8" s="39">
        <f>IFERROR(__xludf.DUMMYFUNCTION("""COMPUTED_VALUE"""),0.01607569633911965)</f>
        <v>0.01607569634</v>
      </c>
      <c r="F8" s="39">
        <f>IFERROR(__xludf.DUMMYFUNCTION("""COMPUTED_VALUE"""),0.01019591311167513)</f>
        <v>0.01019591311</v>
      </c>
      <c r="G8" s="37"/>
      <c r="H8" s="37"/>
      <c r="I8" s="37"/>
      <c r="J8" s="37"/>
      <c r="K8" s="37"/>
      <c r="L8" s="39"/>
      <c r="M8" s="39"/>
      <c r="N8" s="39"/>
    </row>
    <row r="9">
      <c r="A9" s="40" t="str">
        <f>IFERROR(__xludf.DUMMYFUNCTION("""COMPUTED_VALUE"""),"Brasil")</f>
        <v>Brasil</v>
      </c>
      <c r="B9" s="37">
        <f>IFERROR(__xludf.DUMMYFUNCTION("""COMPUTED_VALUE"""),3057083.0)</f>
        <v>3057083</v>
      </c>
      <c r="C9" s="37">
        <f>IFERROR(__xludf.DUMMYFUNCTION("""COMPUTED_VALUE"""),1.92966061E8)</f>
        <v>192966061</v>
      </c>
      <c r="D9" s="38">
        <f>IFERROR(__xludf.DUMMYFUNCTION("""COMPUTED_VALUE"""),2009.0)</f>
        <v>2009</v>
      </c>
      <c r="E9" s="39">
        <f>IFERROR(__xludf.DUMMYFUNCTION("""COMPUTED_VALUE"""),0.01584259420624231)</f>
        <v>0.01584259421</v>
      </c>
      <c r="F9" s="39">
        <f>IFERROR(__xludf.DUMMYFUNCTION("""COMPUTED_VALUE"""),0.009840961585827545)</f>
        <v>0.009840961586</v>
      </c>
      <c r="G9" s="37"/>
      <c r="H9" s="37"/>
      <c r="I9" s="37"/>
      <c r="J9" s="37"/>
      <c r="K9" s="37"/>
      <c r="L9" s="39"/>
      <c r="M9" s="39"/>
      <c r="N9" s="39"/>
    </row>
    <row r="10">
      <c r="A10" s="40" t="str">
        <f>IFERROR(__xludf.DUMMYFUNCTION("""COMPUTED_VALUE"""),"Brasil")</f>
        <v>Brasil</v>
      </c>
      <c r="B10" s="37">
        <f>IFERROR(__xludf.DUMMYFUNCTION("""COMPUTED_VALUE"""),3041789.0)</f>
        <v>3041789</v>
      </c>
      <c r="C10" s="37">
        <f>IFERROR(__xludf.DUMMYFUNCTION("""COMPUTED_VALUE"""),1.9480758E8)</f>
        <v>194807580</v>
      </c>
      <c r="D10" s="38">
        <f>IFERROR(__xludf.DUMMYFUNCTION("""COMPUTED_VALUE"""),2010.0)</f>
        <v>2010</v>
      </c>
      <c r="E10" s="39">
        <f>IFERROR(__xludf.DUMMYFUNCTION("""COMPUTED_VALUE"""),0.015614325684862979)</f>
        <v>0.01561432568</v>
      </c>
      <c r="F10" s="39">
        <f>IFERROR(__xludf.DUMMYFUNCTION("""COMPUTED_VALUE"""),0.009543227396863327)</f>
        <v>0.009543227397</v>
      </c>
      <c r="G10" s="37"/>
      <c r="H10" s="37"/>
      <c r="I10" s="37"/>
      <c r="J10" s="37"/>
      <c r="K10" s="37"/>
      <c r="L10" s="39"/>
      <c r="M10" s="39"/>
      <c r="N10" s="39"/>
    </row>
    <row r="11">
      <c r="A11" s="40" t="str">
        <f>IFERROR(__xludf.DUMMYFUNCTION("""COMPUTED_VALUE"""),"Brasil")</f>
        <v>Brasil</v>
      </c>
      <c r="B11" s="37">
        <f>IFERROR(__xludf.DUMMYFUNCTION("""COMPUTED_VALUE"""),3033630.0)</f>
        <v>3033630</v>
      </c>
      <c r="C11" s="37">
        <f>IFERROR(__xludf.DUMMYFUNCTION("""COMPUTED_VALUE"""),1.9662149E8)</f>
        <v>196621490</v>
      </c>
      <c r="D11" s="38">
        <f>IFERROR(__xludf.DUMMYFUNCTION("""COMPUTED_VALUE"""),2011.0)</f>
        <v>2011</v>
      </c>
      <c r="E11" s="39">
        <f>IFERROR(__xludf.DUMMYFUNCTION("""COMPUTED_VALUE"""),0.015428781462290821)</f>
        <v>0.01542878146</v>
      </c>
      <c r="F11" s="39">
        <f>IFERROR(__xludf.DUMMYFUNCTION("""COMPUTED_VALUE"""),0.009311290659223835)</f>
        <v>0.009311290659</v>
      </c>
      <c r="G11" s="37"/>
      <c r="H11" s="37"/>
      <c r="I11" s="37"/>
      <c r="J11" s="37"/>
      <c r="K11" s="37"/>
      <c r="L11" s="39"/>
      <c r="M11" s="39"/>
      <c r="N11" s="39"/>
    </row>
    <row r="12">
      <c r="A12" s="40" t="str">
        <f>IFERROR(__xludf.DUMMYFUNCTION("""COMPUTED_VALUE"""),"Brasil")</f>
        <v>Brasil</v>
      </c>
      <c r="B12" s="37">
        <f>IFERROR(__xludf.DUMMYFUNCTION("""COMPUTED_VALUE"""),2986828.0)</f>
        <v>2986828</v>
      </c>
      <c r="C12" s="37">
        <f>IFERROR(__xludf.DUMMYFUNCTION("""COMPUTED_VALUE"""),1.9840576E8)</f>
        <v>198405760</v>
      </c>
      <c r="D12" s="38">
        <f>IFERROR(__xludf.DUMMYFUNCTION("""COMPUTED_VALUE"""),2012.0)</f>
        <v>2012</v>
      </c>
      <c r="E12" s="39">
        <f>IFERROR(__xludf.DUMMYFUNCTION("""COMPUTED_VALUE"""),0.01505413955723866)</f>
        <v>0.01505413956</v>
      </c>
      <c r="F12" s="39">
        <f>IFERROR(__xludf.DUMMYFUNCTION("""COMPUTED_VALUE"""),0.009074643875397343)</f>
        <v>0.009074643875</v>
      </c>
      <c r="G12" s="37"/>
      <c r="H12" s="37"/>
      <c r="I12" s="37"/>
      <c r="J12" s="37"/>
      <c r="K12" s="37"/>
      <c r="L12" s="39"/>
      <c r="M12" s="39"/>
      <c r="N12" s="39"/>
    </row>
    <row r="13">
      <c r="A13" s="40" t="str">
        <f>IFERROR(__xludf.DUMMYFUNCTION("""COMPUTED_VALUE"""),"Brasil")</f>
        <v>Brasil</v>
      </c>
      <c r="B13" s="37">
        <f>IFERROR(__xludf.DUMMYFUNCTION("""COMPUTED_VALUE"""),2962857.0)</f>
        <v>2962857</v>
      </c>
      <c r="C13" s="37">
        <f>IFERROR(__xludf.DUMMYFUNCTION("""COMPUTED_VALUE"""),2.00168784E8)</f>
        <v>200168784</v>
      </c>
      <c r="D13" s="38">
        <f>IFERROR(__xludf.DUMMYFUNCTION("""COMPUTED_VALUE"""),2013.0)</f>
        <v>2013</v>
      </c>
      <c r="E13" s="39">
        <f>IFERROR(__xludf.DUMMYFUNCTION("""COMPUTED_VALUE"""),0.014801793470454414)</f>
        <v>0.01480179347</v>
      </c>
      <c r="F13" s="39">
        <f>IFERROR(__xludf.DUMMYFUNCTION("""COMPUTED_VALUE"""),0.008885951698176504)</f>
        <v>0.008885951698</v>
      </c>
      <c r="G13" s="37"/>
      <c r="H13" s="37"/>
      <c r="I13" s="37"/>
      <c r="J13" s="37"/>
      <c r="K13" s="37"/>
      <c r="L13" s="39"/>
      <c r="M13" s="39"/>
      <c r="N13" s="39"/>
    </row>
    <row r="14">
      <c r="A14" s="40" t="str">
        <f>IFERROR(__xludf.DUMMYFUNCTION("""COMPUTED_VALUE"""),"Brasil")</f>
        <v>Brasil</v>
      </c>
      <c r="B14" s="37">
        <f>IFERROR(__xludf.DUMMYFUNCTION("""COMPUTED_VALUE"""),3001591.0)</f>
        <v>3001591</v>
      </c>
      <c r="C14" s="37">
        <f>IFERROR(__xludf.DUMMYFUNCTION("""COMPUTED_VALUE"""),2.01906925E8)</f>
        <v>201906925</v>
      </c>
      <c r="D14" s="38">
        <f>IFERROR(__xludf.DUMMYFUNCTION("""COMPUTED_VALUE"""),2014.0)</f>
        <v>2014</v>
      </c>
      <c r="E14" s="39">
        <f>IFERROR(__xludf.DUMMYFUNCTION("""COMPUTED_VALUE"""),0.014866211250555175)</f>
        <v>0.01486621125</v>
      </c>
      <c r="F14" s="39">
        <f>IFERROR(__xludf.DUMMYFUNCTION("""COMPUTED_VALUE"""),0.008683376924545837)</f>
        <v>0.008683376925</v>
      </c>
      <c r="G14" s="37"/>
      <c r="H14" s="37"/>
      <c r="I14" s="37"/>
      <c r="J14" s="37"/>
      <c r="K14" s="37"/>
      <c r="L14" s="39"/>
      <c r="M14" s="39"/>
      <c r="N14" s="39"/>
    </row>
    <row r="15">
      <c r="A15" s="40" t="str">
        <f>IFERROR(__xludf.DUMMYFUNCTION("""COMPUTED_VALUE"""),"Brasil")</f>
        <v>Brasil</v>
      </c>
      <c r="B15" s="37">
        <f>IFERROR(__xludf.DUMMYFUNCTION("""COMPUTED_VALUE"""),3021946.0)</f>
        <v>3021946</v>
      </c>
      <c r="C15" s="37">
        <f>IFERROR(__xludf.DUMMYFUNCTION("""COMPUTED_VALUE"""),2.03624771E8)</f>
        <v>203624771</v>
      </c>
      <c r="D15" s="38">
        <f>IFERROR(__xludf.DUMMYFUNCTION("""COMPUTED_VALUE"""),2015.0)</f>
        <v>2015</v>
      </c>
      <c r="E15" s="39">
        <f>IFERROR(__xludf.DUMMYFUNCTION("""COMPUTED_VALUE"""),0.014840758249397859)</f>
        <v>0.01484075825</v>
      </c>
      <c r="F15" s="39">
        <f>IFERROR(__xludf.DUMMYFUNCTION("""COMPUTED_VALUE"""),0.00850810837716438)</f>
        <v>0.008508108377</v>
      </c>
      <c r="G15" s="37"/>
      <c r="H15" s="37"/>
      <c r="I15" s="37"/>
      <c r="J15" s="37"/>
      <c r="K15" s="37"/>
      <c r="L15" s="39"/>
      <c r="M15" s="39"/>
      <c r="N15" s="39"/>
    </row>
    <row r="16">
      <c r="A16" s="40" t="str">
        <f>IFERROR(__xludf.DUMMYFUNCTION("""COMPUTED_VALUE"""),"Brasil")</f>
        <v>Brasil</v>
      </c>
      <c r="B16" s="37">
        <f>IFERROR(__xludf.DUMMYFUNCTION("""COMPUTED_VALUE"""),2905301.0)</f>
        <v>2905301</v>
      </c>
      <c r="C16" s="37">
        <f>IFERROR(__xludf.DUMMYFUNCTION("""COMPUTED_VALUE"""),2.05322029E8)</f>
        <v>205322029</v>
      </c>
      <c r="D16" s="38">
        <f>IFERROR(__xludf.DUMMYFUNCTION("""COMPUTED_VALUE"""),2016.0)</f>
        <v>2016</v>
      </c>
      <c r="E16" s="39">
        <f>IFERROR(__xludf.DUMMYFUNCTION("""COMPUTED_VALUE"""),0.014149972188322764)</f>
        <v>0.01414997219</v>
      </c>
      <c r="F16" s="39">
        <f>IFERROR(__xludf.DUMMYFUNCTION("""COMPUTED_VALUE"""),0.00833522361579476)</f>
        <v>0.008335223616</v>
      </c>
      <c r="G16" s="37"/>
      <c r="H16" s="37"/>
      <c r="I16" s="37"/>
      <c r="J16" s="37"/>
      <c r="K16" s="37"/>
      <c r="L16" s="39"/>
      <c r="M16" s="39"/>
      <c r="N16" s="39"/>
    </row>
    <row r="17">
      <c r="A17" s="40" t="str">
        <f>IFERROR(__xludf.DUMMYFUNCTION("""COMPUTED_VALUE"""),"Brasil")</f>
        <v>Brasil</v>
      </c>
      <c r="B17" s="37">
        <f>IFERROR(__xludf.DUMMYFUNCTION("""COMPUTED_VALUE"""),2952133.0)</f>
        <v>2952133</v>
      </c>
      <c r="C17" s="37">
        <f>IFERROR(__xludf.DUMMYFUNCTION("""COMPUTED_VALUE"""),2.07005307E8)</f>
        <v>207005307</v>
      </c>
      <c r="D17" s="38">
        <f>IFERROR(__xludf.DUMMYFUNCTION("""COMPUTED_VALUE"""),2017.0)</f>
        <v>2017</v>
      </c>
      <c r="E17" s="39">
        <f>IFERROR(__xludf.DUMMYFUNCTION("""COMPUTED_VALUE"""),0.014261146454568916)</f>
        <v>0.01426114645</v>
      </c>
      <c r="F17" s="39">
        <f>IFERROR(__xludf.DUMMYFUNCTION("""COMPUTED_VALUE"""),0.00819823380958309)</f>
        <v>0.00819823381</v>
      </c>
      <c r="G17" s="37"/>
      <c r="H17" s="37"/>
      <c r="I17" s="37"/>
      <c r="J17" s="37"/>
      <c r="K17" s="37"/>
      <c r="L17" s="39"/>
      <c r="M17" s="39"/>
      <c r="N17" s="39"/>
    </row>
    <row r="18">
      <c r="A18" s="40" t="str">
        <f>IFERROR(__xludf.DUMMYFUNCTION("""COMPUTED_VALUE"""),"Brasil")</f>
        <v>Brasil</v>
      </c>
      <c r="B18" s="37">
        <f>IFERROR(__xludf.DUMMYFUNCTION("""COMPUTED_VALUE"""),2969862.0)</f>
        <v>2969862</v>
      </c>
      <c r="C18" s="37">
        <f>IFERROR(__xludf.DUMMYFUNCTION("""COMPUTED_VALUE"""),2.08658294E8)</f>
        <v>208658294</v>
      </c>
      <c r="D18" s="38">
        <f>IFERROR(__xludf.DUMMYFUNCTION("""COMPUTED_VALUE"""),2018.0)</f>
        <v>2018</v>
      </c>
      <c r="E18" s="39">
        <f>IFERROR(__xludf.DUMMYFUNCTION("""COMPUTED_VALUE"""),0.014233136594129347)</f>
        <v>0.01423313659</v>
      </c>
      <c r="F18" s="39">
        <f>IFERROR(__xludf.DUMMYFUNCTION("""COMPUTED_VALUE"""),0.007985239721414485)</f>
        <v>0.007985239721</v>
      </c>
      <c r="G18" s="37"/>
      <c r="H18" s="37"/>
      <c r="I18" s="37"/>
      <c r="J18" s="37"/>
      <c r="K18" s="37"/>
      <c r="L18" s="39"/>
      <c r="M18" s="39"/>
      <c r="N18" s="39"/>
    </row>
    <row r="19">
      <c r="A19" s="40" t="str">
        <f>IFERROR(__xludf.DUMMYFUNCTION("""COMPUTED_VALUE"""),"Brasil")</f>
        <v>Brasil</v>
      </c>
      <c r="B19" s="37">
        <f>IFERROR(__xludf.DUMMYFUNCTION("""COMPUTED_VALUE"""),2886359.0)</f>
        <v>2886359</v>
      </c>
      <c r="C19" s="37">
        <f>IFERROR(__xludf.DUMMYFUNCTION("""COMPUTED_VALUE"""),2.10265913E8)</f>
        <v>210265913</v>
      </c>
      <c r="D19" s="38">
        <f>IFERROR(__xludf.DUMMYFUNCTION("""COMPUTED_VALUE"""),2019.0)</f>
        <v>2019</v>
      </c>
      <c r="E19" s="39">
        <f>IFERROR(__xludf.DUMMYFUNCTION("""COMPUTED_VALUE"""),0.013727184586500237)</f>
        <v>0.01372718459</v>
      </c>
      <c r="F19" s="39">
        <f>IFERROR(__xludf.DUMMYFUNCTION("""COMPUTED_VALUE"""),0.007704553551080026)</f>
        <v>0.007704553551</v>
      </c>
      <c r="G19" s="37"/>
      <c r="H19" s="37"/>
      <c r="I19" s="37"/>
      <c r="J19" s="37"/>
      <c r="K19" s="37"/>
      <c r="L19" s="39"/>
      <c r="M19" s="39"/>
      <c r="N19" s="39"/>
    </row>
    <row r="20">
      <c r="A20" s="40" t="str">
        <f>IFERROR(__xludf.DUMMYFUNCTION("""COMPUTED_VALUE"""),"Brasil")</f>
        <v>Brasil</v>
      </c>
      <c r="B20" s="37">
        <f>IFERROR(__xludf.DUMMYFUNCTION("""COMPUTED_VALUE"""),2787294.0)</f>
        <v>2787294</v>
      </c>
      <c r="C20" s="37">
        <f>IFERROR(__xludf.DUMMYFUNCTION("""COMPUTED_VALUE"""),2.11808589E8)</f>
        <v>211808589</v>
      </c>
      <c r="D20" s="38">
        <f>IFERROR(__xludf.DUMMYFUNCTION("""COMPUTED_VALUE"""),2020.0)</f>
        <v>2020</v>
      </c>
      <c r="E20" s="39">
        <f>IFERROR(__xludf.DUMMYFUNCTION("""COMPUTED_VALUE"""),0.01315949467941548)</f>
        <v>0.01315949468</v>
      </c>
      <c r="F20" s="39">
        <f>IFERROR(__xludf.DUMMYFUNCTION("""COMPUTED_VALUE"""),0.007336785967775956)</f>
        <v>0.007336785968</v>
      </c>
      <c r="G20" s="37"/>
      <c r="H20" s="37"/>
      <c r="I20" s="37"/>
      <c r="J20" s="37"/>
      <c r="K20" s="37"/>
      <c r="L20" s="39"/>
      <c r="M20" s="39"/>
      <c r="N20" s="39"/>
    </row>
    <row r="21">
      <c r="A21" s="40" t="str">
        <f>IFERROR(__xludf.DUMMYFUNCTION("""COMPUTED_VALUE"""),"Brasil")</f>
        <v>Brasil</v>
      </c>
      <c r="B21" s="37">
        <f>IFERROR(__xludf.DUMMYFUNCTION("""COMPUTED_VALUE"""),2760958.0)</f>
        <v>2760958</v>
      </c>
      <c r="C21" s="37">
        <f>IFERROR(__xludf.DUMMYFUNCTION("""COMPUTED_VALUE"""),2.13736047E8)</f>
        <v>213736047</v>
      </c>
      <c r="D21" s="38">
        <f>IFERROR(__xludf.DUMMYFUNCTION("""COMPUTED_VALUE"""),2021.0)</f>
        <v>2021</v>
      </c>
      <c r="E21" s="39">
        <f>IFERROR(__xludf.DUMMYFUNCTION("""COMPUTED_VALUE"""),0.012917605798145972)</f>
        <v>0.0129176058</v>
      </c>
      <c r="F21" s="39">
        <f>IFERROR(__xludf.DUMMYFUNCTION("""COMPUTED_VALUE"""),0.009099999245073107)</f>
        <v>0.009099999245</v>
      </c>
      <c r="G21" s="37"/>
      <c r="H21" s="37"/>
      <c r="I21" s="37"/>
      <c r="J21" s="37"/>
      <c r="K21" s="37"/>
      <c r="L21" s="39"/>
      <c r="M21" s="39"/>
      <c r="N21" s="39"/>
    </row>
    <row r="22" hidden="1">
      <c r="A22" s="38" t="str">
        <f>IFERROR(__xludf.DUMMYFUNCTION("""COMPUTED_VALUE"""),"pais")</f>
        <v>pais</v>
      </c>
      <c r="B22" s="37"/>
      <c r="C22" s="37"/>
      <c r="D22" s="38"/>
      <c r="E22" s="39"/>
      <c r="F22" s="39"/>
      <c r="G22" s="37"/>
      <c r="H22" s="37"/>
      <c r="I22" s="37"/>
      <c r="J22" s="37"/>
      <c r="K22" s="37"/>
      <c r="L22" s="39"/>
      <c r="M22" s="39"/>
      <c r="N22" s="39"/>
    </row>
    <row r="23">
      <c r="A23" s="40" t="str">
        <f>IFERROR(__xludf.DUMMYFUNCTION("""COMPUTED_VALUE"""),"Chile")</f>
        <v>Chile</v>
      </c>
      <c r="B23" s="37">
        <f>IFERROR(__xludf.DUMMYFUNCTION("""COMPUTED_VALUE"""),241091.0)</f>
        <v>241091</v>
      </c>
      <c r="C23" s="37">
        <f>IFERROR(__xludf.DUMMYFUNCTION("""COMPUTED_VALUE"""),1.5600954E7)</f>
        <v>15600954</v>
      </c>
      <c r="D23" s="38">
        <f>IFERROR(__xludf.DUMMYFUNCTION("""COMPUTED_VALUE"""),2002.0)</f>
        <v>2002</v>
      </c>
      <c r="E23" s="39">
        <f>IFERROR(__xludf.DUMMYFUNCTION("""COMPUTED_VALUE"""),0.01545360623459309)</f>
        <v>0.01545360623</v>
      </c>
      <c r="F23" s="39">
        <f>IFERROR(__xludf.DUMMYFUNCTION("""COMPUTED_VALUE"""),0.011082929978039455)</f>
        <v>0.01108292998</v>
      </c>
      <c r="G23" s="37">
        <f>IFERROR(__xludf.DUMMYFUNCTION("""COMPUTED_VALUE"""),3646247.6136)</f>
        <v>3646247.614</v>
      </c>
      <c r="H23" s="37">
        <f>IFERROR(__xludf.DUMMYFUNCTION("""COMPUTED_VALUE"""),1.16669738586E7)</f>
        <v>11666973.86</v>
      </c>
      <c r="I23" s="37">
        <f>IFERROR(__xludf.DUMMYFUNCTION("""COMPUTED_VALUE"""),1661860.5277999998)</f>
        <v>1661860.528</v>
      </c>
      <c r="J23" s="37">
        <f>IFERROR(__xludf.DUMMYFUNCTION("""COMPUTED_VALUE"""),2010.0)</f>
        <v>2010</v>
      </c>
      <c r="K23" s="37">
        <f>IFERROR(__xludf.DUMMYFUNCTION("""COMPUTED_VALUE"""),112462.70619048303)</f>
        <v>112462.7062</v>
      </c>
      <c r="L23" s="39">
        <f>IFERROR(__xludf.DUMMYFUNCTION("""COMPUTED_VALUE"""),0.2148)</f>
        <v>0.2148</v>
      </c>
      <c r="M23" s="39">
        <f>IFERROR(__xludf.DUMMYFUNCTION("""COMPUTED_VALUE"""),0.6873)</f>
        <v>0.6873</v>
      </c>
      <c r="N23" s="39">
        <f>IFERROR(__xludf.DUMMYFUNCTION("""COMPUTED_VALUE"""),0.09789999999999999)</f>
        <v>0.0979</v>
      </c>
    </row>
    <row r="24">
      <c r="A24" s="40" t="str">
        <f>IFERROR(__xludf.DUMMYFUNCTION("""COMPUTED_VALUE"""),"Chile")</f>
        <v>Chile</v>
      </c>
      <c r="B24" s="37">
        <f>IFERROR(__xludf.DUMMYFUNCTION("""COMPUTED_VALUE"""),234636.0)</f>
        <v>234636</v>
      </c>
      <c r="C24" s="37">
        <f>IFERROR(__xludf.DUMMYFUNCTION("""COMPUTED_VALUE"""),1.576771E7)</f>
        <v>15767710</v>
      </c>
      <c r="D24" s="38">
        <f>IFERROR(__xludf.DUMMYFUNCTION("""COMPUTED_VALUE"""),2003.0)</f>
        <v>2003</v>
      </c>
      <c r="E24" s="39">
        <f>IFERROR(__xludf.DUMMYFUNCTION("""COMPUTED_VALUE"""),0.01488079118654516)</f>
        <v>0.01488079119</v>
      </c>
      <c r="F24" s="39">
        <f>IFERROR(__xludf.DUMMYFUNCTION("""COMPUTED_VALUE"""),0.010688833516206765)</f>
        <v>0.01068883352</v>
      </c>
      <c r="G24" s="37">
        <f>IFERROR(__xludf.DUMMYFUNCTION("""COMPUTED_VALUE"""),3567645.8918999997)</f>
        <v>3567645.892</v>
      </c>
      <c r="H24" s="37">
        <f>IFERROR(__xludf.DUMMYFUNCTION("""COMPUTED_VALUE"""),1.23250821273E7)</f>
        <v>12325082.13</v>
      </c>
      <c r="I24" s="37">
        <f>IFERROR(__xludf.DUMMYFUNCTION("""COMPUTED_VALUE"""),1972298.9808)</f>
        <v>1972298.981</v>
      </c>
      <c r="J24" s="37">
        <f>IFERROR(__xludf.DUMMYFUNCTION("""COMPUTED_VALUE"""),2015.0)</f>
        <v>2015</v>
      </c>
      <c r="K24" s="37"/>
      <c r="L24" s="39">
        <f>IFERROR(__xludf.DUMMYFUNCTION("""COMPUTED_VALUE"""),0.1997)</f>
        <v>0.1997</v>
      </c>
      <c r="M24" s="39">
        <f>IFERROR(__xludf.DUMMYFUNCTION("""COMPUTED_VALUE"""),0.6899)</f>
        <v>0.6899</v>
      </c>
      <c r="N24" s="39">
        <f>IFERROR(__xludf.DUMMYFUNCTION("""COMPUTED_VALUE"""),0.1104)</f>
        <v>0.1104</v>
      </c>
    </row>
    <row r="25">
      <c r="A25" s="40" t="str">
        <f>IFERROR(__xludf.DUMMYFUNCTION("""COMPUTED_VALUE"""),"Chile")</f>
        <v>Chile</v>
      </c>
      <c r="B25" s="37">
        <f>IFERROR(__xludf.DUMMYFUNCTION("""COMPUTED_VALUE"""),230212.0)</f>
        <v>230212</v>
      </c>
      <c r="C25" s="37">
        <f>IFERROR(__xludf.DUMMYFUNCTION("""COMPUTED_VALUE"""),1.5932762E7)</f>
        <v>15932762</v>
      </c>
      <c r="D25" s="38">
        <f>IFERROR(__xludf.DUMMYFUNCTION("""COMPUTED_VALUE"""),2004.0)</f>
        <v>2004</v>
      </c>
      <c r="E25" s="39">
        <f>IFERROR(__xludf.DUMMYFUNCTION("""COMPUTED_VALUE"""),0.01444896999026283)</f>
        <v>0.01444896999</v>
      </c>
      <c r="F25" s="39">
        <f>IFERROR(__xludf.DUMMYFUNCTION("""COMPUTED_VALUE"""),0.010467721691989515)</f>
        <v>0.01046772169</v>
      </c>
      <c r="G25" s="37">
        <f>IFERROR(__xludf.DUMMYFUNCTION("""COMPUTED_VALUE"""),3544237.1202000002)</f>
        <v>3544237.12</v>
      </c>
      <c r="H25" s="37">
        <f>IFERROR(__xludf.DUMMYFUNCTION("""COMPUTED_VALUE"""),1.3130047075800002E7)</f>
        <v>13130047.08</v>
      </c>
      <c r="I25" s="37">
        <f>IFERROR(__xludf.DUMMYFUNCTION("""COMPUTED_VALUE"""),2360286.804)</f>
        <v>2360286.804</v>
      </c>
      <c r="J25" s="37">
        <f>IFERROR(__xludf.DUMMYFUNCTION("""COMPUTED_VALUE"""),2020.0)</f>
        <v>2020</v>
      </c>
      <c r="K25" s="37"/>
      <c r="L25" s="39">
        <f>IFERROR(__xludf.DUMMYFUNCTION("""COMPUTED_VALUE"""),0.18619999999999998)</f>
        <v>0.1862</v>
      </c>
      <c r="M25" s="39">
        <f>IFERROR(__xludf.DUMMYFUNCTION("""COMPUTED_VALUE"""),0.6898)</f>
        <v>0.6898</v>
      </c>
      <c r="N25" s="39">
        <f>IFERROR(__xludf.DUMMYFUNCTION("""COMPUTED_VALUE"""),0.12399999999999997)</f>
        <v>0.124</v>
      </c>
    </row>
    <row r="26">
      <c r="A26" s="40" t="str">
        <f>IFERROR(__xludf.DUMMYFUNCTION("""COMPUTED_VALUE"""),"Chile")</f>
        <v>Chile</v>
      </c>
      <c r="B26" s="37">
        <f>IFERROR(__xludf.DUMMYFUNCTION("""COMPUTED_VALUE"""),229074.0)</f>
        <v>229074</v>
      </c>
      <c r="C26" s="37">
        <f>IFERROR(__xludf.DUMMYFUNCTION("""COMPUTED_VALUE"""),1.6099532E7)</f>
        <v>16099532</v>
      </c>
      <c r="D26" s="38">
        <f>IFERROR(__xludf.DUMMYFUNCTION("""COMPUTED_VALUE"""),2005.0)</f>
        <v>2005</v>
      </c>
      <c r="E26" s="39">
        <f>IFERROR(__xludf.DUMMYFUNCTION("""COMPUTED_VALUE"""),0.014228612359663622)</f>
        <v>0.01422861236</v>
      </c>
      <c r="F26" s="39">
        <f>IFERROR(__xludf.DUMMYFUNCTION("""COMPUTED_VALUE"""),0.010467111728650688)</f>
        <v>0.01046711173</v>
      </c>
      <c r="G26" s="37"/>
      <c r="H26" s="37"/>
      <c r="I26" s="37"/>
      <c r="J26" s="37"/>
      <c r="K26" s="37"/>
      <c r="L26" s="39"/>
      <c r="M26" s="39"/>
      <c r="N26" s="39"/>
    </row>
    <row r="27">
      <c r="A27" s="40" t="str">
        <f>IFERROR(__xludf.DUMMYFUNCTION("""COMPUTED_VALUE"""),"Chile")</f>
        <v>Chile</v>
      </c>
      <c r="B27" s="37">
        <f>IFERROR(__xludf.DUMMYFUNCTION("""COMPUTED_VALUE"""),230846.0)</f>
        <v>230846</v>
      </c>
      <c r="C27" s="37">
        <f>IFERROR(__xludf.DUMMYFUNCTION("""COMPUTED_VALUE"""),1.6269316E7)</f>
        <v>16269316</v>
      </c>
      <c r="D27" s="38">
        <f>IFERROR(__xludf.DUMMYFUNCTION("""COMPUTED_VALUE"""),2006.0)</f>
        <v>2006</v>
      </c>
      <c r="E27" s="39">
        <f>IFERROR(__xludf.DUMMYFUNCTION("""COMPUTED_VALUE"""),0.0141890415061088)</f>
        <v>0.01418904151</v>
      </c>
      <c r="F27" s="39">
        <f>IFERROR(__xludf.DUMMYFUNCTION("""COMPUTED_VALUE"""),0.010545896613640695)</f>
        <v>0.01054589661</v>
      </c>
      <c r="G27" s="37"/>
      <c r="H27" s="37"/>
      <c r="I27" s="37"/>
      <c r="J27" s="37"/>
      <c r="K27" s="37"/>
      <c r="L27" s="39"/>
      <c r="M27" s="39"/>
      <c r="N27" s="39"/>
    </row>
    <row r="28">
      <c r="A28" s="40" t="str">
        <f>IFERROR(__xludf.DUMMYFUNCTION("""COMPUTED_VALUE"""),"Chile")</f>
        <v>Chile</v>
      </c>
      <c r="B28" s="37">
        <f>IFERROR(__xludf.DUMMYFUNCTION("""COMPUTED_VALUE"""),235781.0)</f>
        <v>235781</v>
      </c>
      <c r="C28" s="37">
        <f>IFERROR(__xludf.DUMMYFUNCTION("""COMPUTED_VALUE"""),1.6443076E7)</f>
        <v>16443076</v>
      </c>
      <c r="D28" s="38">
        <f>IFERROR(__xludf.DUMMYFUNCTION("""COMPUTED_VALUE"""),2007.0)</f>
        <v>2007</v>
      </c>
      <c r="E28" s="39">
        <f>IFERROR(__xludf.DUMMYFUNCTION("""COMPUTED_VALUE"""),0.014339227040001517)</f>
        <v>0.01433922704</v>
      </c>
      <c r="F28" s="39">
        <f>IFERROR(__xludf.DUMMYFUNCTION("""COMPUTED_VALUE"""),0.01068022773667928)</f>
        <v>0.01068022774</v>
      </c>
      <c r="G28" s="37"/>
      <c r="H28" s="37"/>
      <c r="I28" s="37"/>
      <c r="J28" s="37"/>
      <c r="K28" s="37"/>
      <c r="L28" s="39"/>
      <c r="M28" s="39"/>
      <c r="N28" s="39"/>
    </row>
    <row r="29">
      <c r="A29" s="40" t="str">
        <f>IFERROR(__xludf.DUMMYFUNCTION("""COMPUTED_VALUE"""),"Chile")</f>
        <v>Chile</v>
      </c>
      <c r="B29" s="37">
        <f>IFERROR(__xludf.DUMMYFUNCTION("""COMPUTED_VALUE"""),240764.0)</f>
        <v>240764</v>
      </c>
      <c r="C29" s="37">
        <f>IFERROR(__xludf.DUMMYFUNCTION("""COMPUTED_VALUE"""),1.6619714E7)</f>
        <v>16619714</v>
      </c>
      <c r="D29" s="38">
        <f>IFERROR(__xludf.DUMMYFUNCTION("""COMPUTED_VALUE"""),2008.0)</f>
        <v>2008</v>
      </c>
      <c r="E29" s="39">
        <f>IFERROR(__xludf.DUMMYFUNCTION("""COMPUTED_VALUE"""),0.014486651214334977)</f>
        <v>0.01448665121</v>
      </c>
      <c r="F29" s="39">
        <f>IFERROR(__xludf.DUMMYFUNCTION("""COMPUTED_VALUE"""),0.010742393941376905)</f>
        <v>0.01074239394</v>
      </c>
      <c r="G29" s="37"/>
      <c r="H29" s="37"/>
      <c r="I29" s="37"/>
      <c r="J29" s="37"/>
      <c r="K29" s="37"/>
      <c r="L29" s="39"/>
      <c r="M29" s="39"/>
      <c r="N29" s="39"/>
    </row>
    <row r="30">
      <c r="A30" s="40" t="str">
        <f>IFERROR(__xludf.DUMMYFUNCTION("""COMPUTED_VALUE"""),"Chile")</f>
        <v>Chile</v>
      </c>
      <c r="B30" s="37">
        <f>IFERROR(__xludf.DUMMYFUNCTION("""COMPUTED_VALUE"""),243308.0)</f>
        <v>243308</v>
      </c>
      <c r="C30" s="37">
        <f>IFERROR(__xludf.DUMMYFUNCTION("""COMPUTED_VALUE"""),1.6797951E7)</f>
        <v>16797951</v>
      </c>
      <c r="D30" s="38">
        <f>IFERROR(__xludf.DUMMYFUNCTION("""COMPUTED_VALUE"""),2009.0)</f>
        <v>2009</v>
      </c>
      <c r="E30" s="39">
        <f>IFERROR(__xludf.DUMMYFUNCTION("""COMPUTED_VALUE"""),0.014484385625365855)</f>
        <v>0.01448438563</v>
      </c>
      <c r="F30" s="39">
        <f>IFERROR(__xludf.DUMMYFUNCTION("""COMPUTED_VALUE"""),0.010724432442098582)</f>
        <v>0.01072443244</v>
      </c>
      <c r="G30" s="37"/>
      <c r="H30" s="37"/>
      <c r="I30" s="37"/>
      <c r="J30" s="37"/>
      <c r="K30" s="37"/>
      <c r="L30" s="39"/>
      <c r="M30" s="39"/>
      <c r="N30" s="39"/>
    </row>
    <row r="31">
      <c r="A31" s="40" t="str">
        <f>IFERROR(__xludf.DUMMYFUNCTION("""COMPUTED_VALUE"""),"Chile")</f>
        <v>Chile</v>
      </c>
      <c r="B31" s="37">
        <f>IFERROR(__xludf.DUMMYFUNCTION("""COMPUTED_VALUE"""),243439.0)</f>
        <v>243439</v>
      </c>
      <c r="C31" s="37">
        <f>IFERROR(__xludf.DUMMYFUNCTION("""COMPUTED_VALUE"""),1.6975082E7)</f>
        <v>16975082</v>
      </c>
      <c r="D31" s="38">
        <f>IFERROR(__xludf.DUMMYFUNCTION("""COMPUTED_VALUE"""),2010.0)</f>
        <v>2010</v>
      </c>
      <c r="E31" s="39">
        <f>IFERROR(__xludf.DUMMYFUNCTION("""COMPUTED_VALUE"""),0.014340961651908369)</f>
        <v>0.01434096165</v>
      </c>
      <c r="F31" s="39">
        <f>IFERROR(__xludf.DUMMYFUNCTION("""COMPUTED_VALUE"""),0.010544797993517185)</f>
        <v>0.01054479799</v>
      </c>
      <c r="G31" s="37"/>
      <c r="H31" s="37"/>
      <c r="I31" s="37"/>
      <c r="J31" s="37"/>
      <c r="K31" s="37"/>
      <c r="L31" s="39"/>
      <c r="M31" s="39"/>
      <c r="N31" s="39"/>
    </row>
    <row r="32">
      <c r="A32" s="40" t="str">
        <f>IFERROR(__xludf.DUMMYFUNCTION("""COMPUTED_VALUE"""),"Chile")</f>
        <v>Chile</v>
      </c>
      <c r="B32" s="37">
        <f>IFERROR(__xludf.DUMMYFUNCTION("""COMPUTED_VALUE"""),242097.0)</f>
        <v>242097</v>
      </c>
      <c r="C32" s="37">
        <f>IFERROR(__xludf.DUMMYFUNCTION("""COMPUTED_VALUE"""),1.714876E7)</f>
        <v>17148760</v>
      </c>
      <c r="D32" s="38">
        <f>IFERROR(__xludf.DUMMYFUNCTION("""COMPUTED_VALUE"""),2011.0)</f>
        <v>2011</v>
      </c>
      <c r="E32" s="39">
        <f>IFERROR(__xludf.DUMMYFUNCTION("""COMPUTED_VALUE"""),0.014117463886601714)</f>
        <v>0.01411746389</v>
      </c>
      <c r="F32" s="39">
        <f>IFERROR(__xludf.DUMMYFUNCTION("""COMPUTED_VALUE"""),0.010231349692449203)</f>
        <v>0.01023134969</v>
      </c>
      <c r="G32" s="37"/>
      <c r="H32" s="37"/>
      <c r="I32" s="37"/>
      <c r="J32" s="37"/>
      <c r="K32" s="37"/>
      <c r="L32" s="39"/>
      <c r="M32" s="39"/>
      <c r="N32" s="39"/>
    </row>
    <row r="33">
      <c r="A33" s="40" t="str">
        <f>IFERROR(__xludf.DUMMYFUNCTION("""COMPUTED_VALUE"""),"Chile")</f>
        <v>Chile</v>
      </c>
      <c r="B33" s="37">
        <f>IFERROR(__xludf.DUMMYFUNCTION("""COMPUTED_VALUE"""),240081.0)</f>
        <v>240081</v>
      </c>
      <c r="C33" s="37">
        <f>IFERROR(__xludf.DUMMYFUNCTION("""COMPUTED_VALUE"""),1.7317427E7)</f>
        <v>17317427</v>
      </c>
      <c r="D33" s="38">
        <f>IFERROR(__xludf.DUMMYFUNCTION("""COMPUTED_VALUE"""),2012.0)</f>
        <v>2012</v>
      </c>
      <c r="E33" s="39">
        <f>IFERROR(__xludf.DUMMYFUNCTION("""COMPUTED_VALUE"""),0.013863549128863081)</f>
        <v>0.01386354913</v>
      </c>
      <c r="F33" s="39">
        <f>IFERROR(__xludf.DUMMYFUNCTION("""COMPUTED_VALUE"""),0.00983552163538355)</f>
        <v>0.009835521635</v>
      </c>
      <c r="G33" s="37"/>
      <c r="H33" s="37"/>
      <c r="I33" s="37"/>
      <c r="J33" s="37"/>
      <c r="K33" s="37"/>
      <c r="L33" s="39"/>
      <c r="M33" s="39"/>
      <c r="N33" s="39"/>
    </row>
    <row r="34">
      <c r="A34" s="40" t="str">
        <f>IFERROR(__xludf.DUMMYFUNCTION("""COMPUTED_VALUE"""),"Chile")</f>
        <v>Chile</v>
      </c>
      <c r="B34" s="37">
        <f>IFERROR(__xludf.DUMMYFUNCTION("""COMPUTED_VALUE"""),239570.0)</f>
        <v>239570</v>
      </c>
      <c r="C34" s="37">
        <f>IFERROR(__xludf.DUMMYFUNCTION("""COMPUTED_VALUE"""),1.7486638E7)</f>
        <v>17486638</v>
      </c>
      <c r="D34" s="38">
        <f>IFERROR(__xludf.DUMMYFUNCTION("""COMPUTED_VALUE"""),2013.0)</f>
        <v>2013</v>
      </c>
      <c r="E34" s="39">
        <f>IFERROR(__xludf.DUMMYFUNCTION("""COMPUTED_VALUE"""),0.013700174956443887)</f>
        <v>0.01370017496</v>
      </c>
      <c r="F34" s="39">
        <f>IFERROR(__xludf.DUMMYFUNCTION("""COMPUTED_VALUE"""),0.009771139788838146)</f>
        <v>0.009771139789</v>
      </c>
      <c r="G34" s="37"/>
      <c r="H34" s="37"/>
      <c r="I34" s="37"/>
      <c r="J34" s="37"/>
      <c r="K34" s="37"/>
      <c r="L34" s="39"/>
      <c r="M34" s="39"/>
      <c r="N34" s="39"/>
    </row>
    <row r="35">
      <c r="A35" s="40" t="str">
        <f>IFERROR(__xludf.DUMMYFUNCTION("""COMPUTED_VALUE"""),"Chile")</f>
        <v>Chile</v>
      </c>
      <c r="B35" s="37">
        <f>IFERROR(__xludf.DUMMYFUNCTION("""COMPUTED_VALUE"""),239204.0)</f>
        <v>239204</v>
      </c>
      <c r="C35" s="37">
        <f>IFERROR(__xludf.DUMMYFUNCTION("""COMPUTED_VALUE"""),1.766601E7)</f>
        <v>17666010</v>
      </c>
      <c r="D35" s="38">
        <f>IFERROR(__xludf.DUMMYFUNCTION("""COMPUTED_VALUE"""),2014.0)</f>
        <v>2014</v>
      </c>
      <c r="E35" s="39">
        <f>IFERROR(__xludf.DUMMYFUNCTION("""COMPUTED_VALUE"""),0.0135403523489458)</f>
        <v>0.01354035235</v>
      </c>
      <c r="F35" s="39">
        <f>IFERROR(__xludf.DUMMYFUNCTION("""COMPUTED_VALUE"""),0.010257660735013786)</f>
        <v>0.01025766074</v>
      </c>
      <c r="G35" s="37"/>
      <c r="H35" s="37"/>
      <c r="I35" s="37"/>
      <c r="J35" s="37"/>
      <c r="K35" s="37"/>
      <c r="L35" s="39"/>
      <c r="M35" s="39"/>
      <c r="N35" s="39"/>
    </row>
    <row r="36">
      <c r="A36" s="40" t="str">
        <f>IFERROR(__xludf.DUMMYFUNCTION("""COMPUTED_VALUE"""),"Chile")</f>
        <v>Chile</v>
      </c>
      <c r="B36" s="37">
        <f>IFERROR(__xludf.DUMMYFUNCTION("""COMPUTED_VALUE"""),235699.0)</f>
        <v>235699</v>
      </c>
      <c r="C36" s="37">
        <f>IFERROR(__xludf.DUMMYFUNCTION("""COMPUTED_VALUE"""),1.7865027E7)</f>
        <v>17865027</v>
      </c>
      <c r="D36" s="38">
        <f>IFERROR(__xludf.DUMMYFUNCTION("""COMPUTED_VALUE"""),2015.0)</f>
        <v>2015</v>
      </c>
      <c r="E36" s="39">
        <f>IFERROR(__xludf.DUMMYFUNCTION("""COMPUTED_VALUE"""),0.013193318991345493)</f>
        <v>0.01319331899</v>
      </c>
      <c r="F36" s="39">
        <f>IFERROR(__xludf.DUMMYFUNCTION("""COMPUTED_VALUE"""),0.011265531945244002)</f>
        <v>0.01126553195</v>
      </c>
      <c r="G36" s="37"/>
      <c r="H36" s="37"/>
      <c r="I36" s="37"/>
      <c r="J36" s="37"/>
      <c r="K36" s="37"/>
      <c r="L36" s="39"/>
      <c r="M36" s="39"/>
      <c r="N36" s="39"/>
    </row>
    <row r="37">
      <c r="A37" s="40" t="str">
        <f>IFERROR(__xludf.DUMMYFUNCTION("""COMPUTED_VALUE"""),"Chile")</f>
        <v>Chile</v>
      </c>
      <c r="B37" s="37">
        <f>IFERROR(__xludf.DUMMYFUNCTION("""COMPUTED_VALUE"""),228821.0)</f>
        <v>228821</v>
      </c>
      <c r="C37" s="37">
        <f>IFERROR(__xludf.DUMMYFUNCTION("""COMPUTED_VALUE"""),1.8089869E7)</f>
        <v>18089869</v>
      </c>
      <c r="D37" s="38">
        <f>IFERROR(__xludf.DUMMYFUNCTION("""COMPUTED_VALUE"""),2016.0)</f>
        <v>2016</v>
      </c>
      <c r="E37" s="39">
        <f>IFERROR(__xludf.DUMMYFUNCTION("""COMPUTED_VALUE"""),0.012649124214221784)</f>
        <v>0.01264912421</v>
      </c>
      <c r="F37" s="39">
        <f>IFERROR(__xludf.DUMMYFUNCTION("""COMPUTED_VALUE"""),0.01258559530864409)</f>
        <v>0.01258559531</v>
      </c>
      <c r="G37" s="37"/>
      <c r="H37" s="37"/>
      <c r="I37" s="37"/>
      <c r="J37" s="37"/>
      <c r="K37" s="37"/>
      <c r="L37" s="39"/>
      <c r="M37" s="39"/>
      <c r="N37" s="39"/>
    </row>
    <row r="38">
      <c r="A38" s="40" t="str">
        <f>IFERROR(__xludf.DUMMYFUNCTION("""COMPUTED_VALUE"""),"Chile")</f>
        <v>Chile</v>
      </c>
      <c r="B38" s="37">
        <f>IFERROR(__xludf.DUMMYFUNCTION("""COMPUTED_VALUE"""),221468.0)</f>
        <v>221468</v>
      </c>
      <c r="C38" s="37">
        <f>IFERROR(__xludf.DUMMYFUNCTION("""COMPUTED_VALUE"""),1.8340828E7)</f>
        <v>18340828</v>
      </c>
      <c r="D38" s="38">
        <f>IFERROR(__xludf.DUMMYFUNCTION("""COMPUTED_VALUE"""),2017.0)</f>
        <v>2017</v>
      </c>
      <c r="E38" s="39">
        <f>IFERROR(__xludf.DUMMYFUNCTION("""COMPUTED_VALUE"""),0.012075136411507703)</f>
        <v>0.01207513641</v>
      </c>
      <c r="F38" s="39">
        <f>IFERROR(__xludf.DUMMYFUNCTION("""COMPUTED_VALUE"""),0.013872903114997682)</f>
        <v>0.01387290311</v>
      </c>
      <c r="G38" s="37"/>
      <c r="H38" s="37"/>
      <c r="I38" s="37"/>
      <c r="J38" s="37"/>
      <c r="K38" s="37"/>
      <c r="L38" s="39"/>
      <c r="M38" s="39"/>
      <c r="N38" s="39"/>
    </row>
    <row r="39">
      <c r="A39" s="40" t="str">
        <f>IFERROR(__xludf.DUMMYFUNCTION("""COMPUTED_VALUE"""),"Chile")</f>
        <v>Chile</v>
      </c>
      <c r="B39" s="37">
        <f>IFERROR(__xludf.DUMMYFUNCTION("""COMPUTED_VALUE"""),221872.0)</f>
        <v>221872</v>
      </c>
      <c r="C39" s="37">
        <f>IFERROR(__xludf.DUMMYFUNCTION("""COMPUTED_VALUE"""),1.8600864E7)</f>
        <v>18600864</v>
      </c>
      <c r="D39" s="38">
        <f>IFERROR(__xludf.DUMMYFUNCTION("""COMPUTED_VALUE"""),2018.0)</f>
        <v>2018</v>
      </c>
      <c r="E39" s="39">
        <f>IFERROR(__xludf.DUMMYFUNCTION("""COMPUTED_VALUE"""),0.011928048073465834)</f>
        <v>0.01192804807</v>
      </c>
      <c r="F39" s="39">
        <f>IFERROR(__xludf.DUMMYFUNCTION("""COMPUTED_VALUE"""),0.014177985857563247)</f>
        <v>0.01417798586</v>
      </c>
      <c r="G39" s="37"/>
      <c r="H39" s="37"/>
      <c r="I39" s="37"/>
      <c r="J39" s="37"/>
      <c r="K39" s="37"/>
      <c r="L39" s="39"/>
      <c r="M39" s="39"/>
      <c r="N39" s="39"/>
    </row>
    <row r="40">
      <c r="A40" s="40" t="str">
        <f>IFERROR(__xludf.DUMMYFUNCTION("""COMPUTED_VALUE"""),"Chile")</f>
        <v>Chile</v>
      </c>
      <c r="B40" s="37">
        <f>IFERROR(__xludf.DUMMYFUNCTION("""COMPUTED_VALUE"""),224350.0)</f>
        <v>224350</v>
      </c>
      <c r="C40" s="37">
        <f>IFERROR(__xludf.DUMMYFUNCTION("""COMPUTED_VALUE"""),1.8841516E7)</f>
        <v>18841516</v>
      </c>
      <c r="D40" s="38">
        <f>IFERROR(__xludf.DUMMYFUNCTION("""COMPUTED_VALUE"""),2019.0)</f>
        <v>2019</v>
      </c>
      <c r="E40" s="39">
        <f>IFERROR(__xludf.DUMMYFUNCTION("""COMPUTED_VALUE"""),0.01190721595863093)</f>
        <v>0.01190721596</v>
      </c>
      <c r="F40" s="39">
        <f>IFERROR(__xludf.DUMMYFUNCTION("""COMPUTED_VALUE"""),0.012937678593854566)</f>
        <v>0.01293767859</v>
      </c>
      <c r="G40" s="37"/>
      <c r="H40" s="37"/>
      <c r="I40" s="37"/>
      <c r="J40" s="37"/>
      <c r="K40" s="37"/>
      <c r="L40" s="39"/>
      <c r="M40" s="39"/>
      <c r="N40" s="39"/>
    </row>
    <row r="41">
      <c r="A41" s="40" t="str">
        <f>IFERROR(__xludf.DUMMYFUNCTION("""COMPUTED_VALUE"""),"Chile")</f>
        <v>Chile</v>
      </c>
      <c r="B41" s="37">
        <f>IFERROR(__xludf.DUMMYFUNCTION("""COMPUTED_VALUE"""),227821.0)</f>
        <v>227821</v>
      </c>
      <c r="C41" s="37">
        <f>IFERROR(__xludf.DUMMYFUNCTION("""COMPUTED_VALUE"""),1.9034571E7)</f>
        <v>19034571</v>
      </c>
      <c r="D41" s="38">
        <f>IFERROR(__xludf.DUMMYFUNCTION("""COMPUTED_VALUE"""),2020.0)</f>
        <v>2020</v>
      </c>
      <c r="E41" s="39">
        <f>IFERROR(__xludf.DUMMYFUNCTION("""COMPUTED_VALUE"""),0.011968801398255837)</f>
        <v>0.0119688014</v>
      </c>
      <c r="F41" s="39">
        <f>IFERROR(__xludf.DUMMYFUNCTION("""COMPUTED_VALUE"""),0.010246256192973008)</f>
        <v>0.01024625619</v>
      </c>
      <c r="G41" s="37"/>
      <c r="H41" s="37"/>
      <c r="I41" s="37"/>
      <c r="J41" s="37"/>
      <c r="K41" s="37"/>
      <c r="L41" s="39"/>
      <c r="M41" s="39"/>
      <c r="N41" s="39"/>
    </row>
    <row r="42">
      <c r="A42" s="40" t="str">
        <f>IFERROR(__xludf.DUMMYFUNCTION("""COMPUTED_VALUE"""),"Chile")</f>
        <v>Chile</v>
      </c>
      <c r="B42" s="37">
        <f>IFERROR(__xludf.DUMMYFUNCTION("""COMPUTED_VALUE"""),229116.0)</f>
        <v>229116</v>
      </c>
      <c r="C42" s="37">
        <f>IFERROR(__xludf.DUMMYFUNCTION("""COMPUTED_VALUE"""),1.923767E7)</f>
        <v>19237670</v>
      </c>
      <c r="D42" s="38">
        <f>IFERROR(__xludf.DUMMYFUNCTION("""COMPUTED_VALUE"""),2021.0)</f>
        <v>2021</v>
      </c>
      <c r="E42" s="39">
        <f>IFERROR(__xludf.DUMMYFUNCTION("""COMPUTED_VALUE"""),0.011909758302330792)</f>
        <v>0.0119097583</v>
      </c>
      <c r="F42" s="39">
        <f>IFERROR(__xludf.DUMMYFUNCTION("""COMPUTED_VALUE"""),0.010670006694660993)</f>
        <v>0.01067000669</v>
      </c>
      <c r="G42" s="37"/>
      <c r="H42" s="37"/>
      <c r="I42" s="37"/>
      <c r="J42" s="37"/>
      <c r="K42" s="37"/>
      <c r="L42" s="39"/>
      <c r="M42" s="39"/>
      <c r="N42" s="39"/>
    </row>
    <row r="43" hidden="1">
      <c r="A43" s="38" t="str">
        <f>IFERROR(__xludf.DUMMYFUNCTION("""COMPUTED_VALUE"""),"pais")</f>
        <v>pais</v>
      </c>
      <c r="B43" s="37"/>
      <c r="C43" s="37"/>
      <c r="D43" s="38"/>
      <c r="E43" s="39"/>
      <c r="F43" s="39"/>
      <c r="G43" s="37"/>
      <c r="H43" s="37"/>
      <c r="I43" s="37"/>
      <c r="J43" s="37"/>
      <c r="K43" s="37"/>
      <c r="L43" s="39"/>
      <c r="M43" s="39"/>
      <c r="N43" s="39"/>
    </row>
    <row r="44">
      <c r="A44" s="40" t="str">
        <f>IFERROR(__xludf.DUMMYFUNCTION("""COMPUTED_VALUE"""),"Colombia")</f>
        <v>Colombia</v>
      </c>
      <c r="B44" s="37">
        <f>IFERROR(__xludf.DUMMYFUNCTION("""COMPUTED_VALUE"""),850588.0)</f>
        <v>850588</v>
      </c>
      <c r="C44" s="37">
        <f>IFERROR(__xludf.DUMMYFUNCTION("""COMPUTED_VALUE"""),4.0568205E7)</f>
        <v>40568205</v>
      </c>
      <c r="D44" s="38">
        <f>IFERROR(__xludf.DUMMYFUNCTION("""COMPUTED_VALUE"""),2002.0)</f>
        <v>2002</v>
      </c>
      <c r="E44" s="39">
        <f>IFERROR(__xludf.DUMMYFUNCTION("""COMPUTED_VALUE"""),0.020966863088963388)</f>
        <v>0.02096686309</v>
      </c>
      <c r="F44" s="39">
        <f>IFERROR(__xludf.DUMMYFUNCTION("""COMPUTED_VALUE"""),0.015588025825065346)</f>
        <v>0.01558802583</v>
      </c>
      <c r="G44" s="37">
        <f>IFERROR(__xludf.DUMMYFUNCTION("""COMPUTED_VALUE"""),1.2205330944699999E7)</f>
        <v>12205330.94</v>
      </c>
      <c r="H44" s="37">
        <f>IFERROR(__xludf.DUMMYFUNCTION("""COMPUTED_VALUE"""),3.0119679570499998E7)</f>
        <v>30119679.57</v>
      </c>
      <c r="I44" s="37">
        <f>IFERROR(__xludf.DUMMYFUNCTION("""COMPUTED_VALUE"""),2663308.4848)</f>
        <v>2663308.485</v>
      </c>
      <c r="J44" s="37">
        <f>IFERROR(__xludf.DUMMYFUNCTION("""COMPUTED_VALUE"""),2010.0)</f>
        <v>2010</v>
      </c>
      <c r="K44" s="37">
        <f>IFERROR(__xludf.DUMMYFUNCTION("""COMPUTED_VALUE"""),365129.1066346273)</f>
        <v>365129.1066</v>
      </c>
      <c r="L44" s="39">
        <f>IFERROR(__xludf.DUMMYFUNCTION("""COMPUTED_VALUE"""),0.2713)</f>
        <v>0.2713</v>
      </c>
      <c r="M44" s="39">
        <f>IFERROR(__xludf.DUMMYFUNCTION("""COMPUTED_VALUE"""),0.6695)</f>
        <v>0.6695</v>
      </c>
      <c r="N44" s="39">
        <f>IFERROR(__xludf.DUMMYFUNCTION("""COMPUTED_VALUE"""),0.0592)</f>
        <v>0.0592</v>
      </c>
    </row>
    <row r="45">
      <c r="A45" s="40" t="str">
        <f>IFERROR(__xludf.DUMMYFUNCTION("""COMPUTED_VALUE"""),"Colombia")</f>
        <v>Colombia</v>
      </c>
      <c r="B45" s="37">
        <f>IFERROR(__xludf.DUMMYFUNCTION("""COMPUTED_VALUE"""),839623.0)</f>
        <v>839623</v>
      </c>
      <c r="C45" s="37">
        <f>IFERROR(__xludf.DUMMYFUNCTION("""COMPUTED_VALUE"""),4.1182118E7)</f>
        <v>41182118</v>
      </c>
      <c r="D45" s="38">
        <f>IFERROR(__xludf.DUMMYFUNCTION("""COMPUTED_VALUE"""),2003.0)</f>
        <v>2003</v>
      </c>
      <c r="E45" s="39">
        <f>IFERROR(__xludf.DUMMYFUNCTION("""COMPUTED_VALUE"""),0.020388048035800393)</f>
        <v>0.02038804804</v>
      </c>
      <c r="F45" s="39">
        <f>IFERROR(__xludf.DUMMYFUNCTION("""COMPUTED_VALUE"""),0.015132860820438075)</f>
        <v>0.01513286082</v>
      </c>
      <c r="G45" s="37">
        <f>IFERROR(__xludf.DUMMYFUNCTION("""COMPUTED_VALUE"""),1.15139620583E7)</f>
        <v>11513962.06</v>
      </c>
      <c r="H45" s="37">
        <f>IFERROR(__xludf.DUMMYFUNCTION("""COMPUTED_VALUE"""),3.2363824415000003E7)</f>
        <v>32363824.42</v>
      </c>
      <c r="I45" s="37">
        <f>IFERROR(__xludf.DUMMYFUNCTION("""COMPUTED_VALUE"""),3368672.5267000003)</f>
        <v>3368672.527</v>
      </c>
      <c r="J45" s="37">
        <f>IFERROR(__xludf.DUMMYFUNCTION("""COMPUTED_VALUE"""),2015.0)</f>
        <v>2015</v>
      </c>
      <c r="K45" s="37"/>
      <c r="L45" s="39">
        <f>IFERROR(__xludf.DUMMYFUNCTION("""COMPUTED_VALUE"""),0.2437)</f>
        <v>0.2437</v>
      </c>
      <c r="M45" s="39">
        <f>IFERROR(__xludf.DUMMYFUNCTION("""COMPUTED_VALUE"""),0.685)</f>
        <v>0.685</v>
      </c>
      <c r="N45" s="39">
        <f>IFERROR(__xludf.DUMMYFUNCTION("""COMPUTED_VALUE"""),0.0713)</f>
        <v>0.0713</v>
      </c>
    </row>
    <row r="46">
      <c r="A46" s="40" t="str">
        <f>IFERROR(__xludf.DUMMYFUNCTION("""COMPUTED_VALUE"""),"Colombia")</f>
        <v>Colombia</v>
      </c>
      <c r="B46" s="37">
        <f>IFERROR(__xludf.DUMMYFUNCTION("""COMPUTED_VALUE"""),827013.0)</f>
        <v>827013</v>
      </c>
      <c r="C46" s="37">
        <f>IFERROR(__xludf.DUMMYFUNCTION("""COMPUTED_VALUE"""),4.178153E7)</f>
        <v>41781530</v>
      </c>
      <c r="D46" s="38">
        <f>IFERROR(__xludf.DUMMYFUNCTION("""COMPUTED_VALUE"""),2004.0)</f>
        <v>2004</v>
      </c>
      <c r="E46" s="39">
        <f>IFERROR(__xludf.DUMMYFUNCTION("""COMPUTED_VALUE"""),0.01979374618401959)</f>
        <v>0.01979374618</v>
      </c>
      <c r="F46" s="39">
        <f>IFERROR(__xludf.DUMMYFUNCTION("""COMPUTED_VALUE"""),0.014555152311495975)</f>
        <v>0.01455515231</v>
      </c>
      <c r="G46" s="37">
        <f>IFERROR(__xludf.DUMMYFUNCTION("""COMPUTED_VALUE"""),1.10942924416E7)</f>
        <v>11094292.44</v>
      </c>
      <c r="H46" s="37">
        <f>IFERROR(__xludf.DUMMYFUNCTION("""COMPUTED_VALUE"""),3.52314642728E7)</f>
        <v>35231464.27</v>
      </c>
      <c r="I46" s="37">
        <f>IFERROR(__xludf.DUMMYFUNCTION("""COMPUTED_VALUE"""),4286891.285600001)</f>
        <v>4286891.286</v>
      </c>
      <c r="J46" s="37">
        <f>IFERROR(__xludf.DUMMYFUNCTION("""COMPUTED_VALUE"""),2020.0)</f>
        <v>2020</v>
      </c>
      <c r="K46" s="37"/>
      <c r="L46" s="39">
        <f>IFERROR(__xludf.DUMMYFUNCTION("""COMPUTED_VALUE"""),0.2192)</f>
        <v>0.2192</v>
      </c>
      <c r="M46" s="39">
        <f>IFERROR(__xludf.DUMMYFUNCTION("""COMPUTED_VALUE"""),0.6960999999999999)</f>
        <v>0.6961</v>
      </c>
      <c r="N46" s="39">
        <f>IFERROR(__xludf.DUMMYFUNCTION("""COMPUTED_VALUE"""),0.08470000000000003)</f>
        <v>0.0847</v>
      </c>
    </row>
    <row r="47">
      <c r="A47" s="40" t="str">
        <f>IFERROR(__xludf.DUMMYFUNCTION("""COMPUTED_VALUE"""),"Colombia")</f>
        <v>Colombia</v>
      </c>
      <c r="B47" s="37">
        <f>IFERROR(__xludf.DUMMYFUNCTION("""COMPUTED_VALUE"""),813688.0)</f>
        <v>813688</v>
      </c>
      <c r="C47" s="37">
        <f>IFERROR(__xludf.DUMMYFUNCTION("""COMPUTED_VALUE"""),4.2364192E7)</f>
        <v>42364192</v>
      </c>
      <c r="D47" s="38">
        <f>IFERROR(__xludf.DUMMYFUNCTION("""COMPUTED_VALUE"""),2005.0)</f>
        <v>2005</v>
      </c>
      <c r="E47" s="39">
        <f>IFERROR(__xludf.DUMMYFUNCTION("""COMPUTED_VALUE"""),0.01920697555142796)</f>
        <v>0.01920697555</v>
      </c>
      <c r="F47" s="39">
        <f>IFERROR(__xludf.DUMMYFUNCTION("""COMPUTED_VALUE"""),0.013945444314748647)</f>
        <v>0.01394544431</v>
      </c>
      <c r="G47" s="37"/>
      <c r="H47" s="37"/>
      <c r="I47" s="37"/>
      <c r="J47" s="37"/>
      <c r="K47" s="37"/>
      <c r="L47" s="39"/>
      <c r="M47" s="39"/>
      <c r="N47" s="39"/>
    </row>
    <row r="48">
      <c r="A48" s="40" t="str">
        <f>IFERROR(__xludf.DUMMYFUNCTION("""COMPUTED_VALUE"""),"Colombia")</f>
        <v>Colombia</v>
      </c>
      <c r="B48" s="37">
        <f>IFERROR(__xludf.DUMMYFUNCTION("""COMPUTED_VALUE"""),799623.0)</f>
        <v>799623</v>
      </c>
      <c r="C48" s="37">
        <f>IFERROR(__xludf.DUMMYFUNCTION("""COMPUTED_VALUE"""),4.2926589E7)</f>
        <v>42926589</v>
      </c>
      <c r="D48" s="38">
        <f>IFERROR(__xludf.DUMMYFUNCTION("""COMPUTED_VALUE"""),2006.0)</f>
        <v>2006</v>
      </c>
      <c r="E48" s="39">
        <f>IFERROR(__xludf.DUMMYFUNCTION("""COMPUTED_VALUE"""),0.018627685512119307)</f>
        <v>0.01862768551</v>
      </c>
      <c r="F48" s="39">
        <f>IFERROR(__xludf.DUMMYFUNCTION("""COMPUTED_VALUE"""),0.01327529154810742)</f>
        <v>0.01327529155</v>
      </c>
      <c r="G48" s="37"/>
      <c r="H48" s="37"/>
      <c r="I48" s="37"/>
      <c r="J48" s="37"/>
      <c r="K48" s="37"/>
      <c r="L48" s="39"/>
      <c r="M48" s="39"/>
      <c r="N48" s="39"/>
    </row>
    <row r="49">
      <c r="A49" s="40" t="str">
        <f>IFERROR(__xludf.DUMMYFUNCTION("""COMPUTED_VALUE"""),"Colombia")</f>
        <v>Colombia</v>
      </c>
      <c r="B49" s="37">
        <f>IFERROR(__xludf.DUMMYFUNCTION("""COMPUTED_VALUE"""),787414.0)</f>
        <v>787414</v>
      </c>
      <c r="C49" s="37">
        <f>IFERROR(__xludf.DUMMYFUNCTION("""COMPUTED_VALUE"""),4.3471412E7)</f>
        <v>43471412</v>
      </c>
      <c r="D49" s="38">
        <f>IFERROR(__xludf.DUMMYFUNCTION("""COMPUTED_VALUE"""),2007.0)</f>
        <v>2007</v>
      </c>
      <c r="E49" s="39">
        <f>IFERROR(__xludf.DUMMYFUNCTION("""COMPUTED_VALUE"""),0.018113375291329392)</f>
        <v>0.01811337529</v>
      </c>
      <c r="F49" s="39">
        <f>IFERROR(__xludf.DUMMYFUNCTION("""COMPUTED_VALUE"""),0.012691970470796085)</f>
        <v>0.01269197047</v>
      </c>
      <c r="G49" s="37"/>
      <c r="H49" s="37"/>
      <c r="I49" s="37"/>
      <c r="J49" s="37"/>
      <c r="K49" s="37"/>
      <c r="L49" s="39"/>
      <c r="M49" s="39"/>
      <c r="N49" s="39"/>
    </row>
    <row r="50">
      <c r="A50" s="40" t="str">
        <f>IFERROR(__xludf.DUMMYFUNCTION("""COMPUTED_VALUE"""),"Colombia")</f>
        <v>Colombia</v>
      </c>
      <c r="B50" s="37">
        <f>IFERROR(__xludf.DUMMYFUNCTION("""COMPUTED_VALUE"""),776110.0)</f>
        <v>776110</v>
      </c>
      <c r="C50" s="37">
        <f>IFERROR(__xludf.DUMMYFUNCTION("""COMPUTED_VALUE"""),4.3997656E7)</f>
        <v>43997656</v>
      </c>
      <c r="D50" s="38">
        <f>IFERROR(__xludf.DUMMYFUNCTION("""COMPUTED_VALUE"""),2008.0)</f>
        <v>2008</v>
      </c>
      <c r="E50" s="39">
        <f>IFERROR(__xludf.DUMMYFUNCTION("""COMPUTED_VALUE"""),0.017639803356797008)</f>
        <v>0.01763980336</v>
      </c>
      <c r="F50" s="39">
        <f>IFERROR(__xludf.DUMMYFUNCTION("""COMPUTED_VALUE"""),0.012105518909760742)</f>
        <v>0.01210551891</v>
      </c>
      <c r="G50" s="37"/>
      <c r="H50" s="37"/>
      <c r="I50" s="37"/>
      <c r="J50" s="37"/>
      <c r="K50" s="37"/>
      <c r="L50" s="39"/>
      <c r="M50" s="39"/>
      <c r="N50" s="39"/>
    </row>
    <row r="51">
      <c r="A51" s="40" t="str">
        <f>IFERROR(__xludf.DUMMYFUNCTION("""COMPUTED_VALUE"""),"Colombia")</f>
        <v>Colombia</v>
      </c>
      <c r="B51" s="37">
        <f>IFERROR(__xludf.DUMMYFUNCTION("""COMPUTED_VALUE"""),765905.0)</f>
        <v>765905</v>
      </c>
      <c r="C51" s="37">
        <f>IFERROR(__xludf.DUMMYFUNCTION("""COMPUTED_VALUE"""),4.4504548E7)</f>
        <v>44504548</v>
      </c>
      <c r="D51" s="38">
        <f>IFERROR(__xludf.DUMMYFUNCTION("""COMPUTED_VALUE"""),2009.0)</f>
        <v>2009</v>
      </c>
      <c r="E51" s="39">
        <f>IFERROR(__xludf.DUMMYFUNCTION("""COMPUTED_VALUE"""),0.017209589455891114)</f>
        <v>0.01720958946</v>
      </c>
      <c r="F51" s="39">
        <f>IFERROR(__xludf.DUMMYFUNCTION("""COMPUTED_VALUE"""),0.01152088647631592)</f>
        <v>0.01152088648</v>
      </c>
      <c r="G51" s="37"/>
      <c r="H51" s="37"/>
      <c r="I51" s="37"/>
      <c r="J51" s="37"/>
      <c r="K51" s="37"/>
      <c r="L51" s="39"/>
      <c r="M51" s="39"/>
      <c r="N51" s="39"/>
    </row>
    <row r="52">
      <c r="A52" s="40" t="str">
        <f>IFERROR(__xludf.DUMMYFUNCTION("""COMPUTED_VALUE"""),"Colombia")</f>
        <v>Colombia</v>
      </c>
      <c r="B52" s="37">
        <f>IFERROR(__xludf.DUMMYFUNCTION("""COMPUTED_VALUE"""),758072.0)</f>
        <v>758072</v>
      </c>
      <c r="C52" s="37">
        <f>IFERROR(__xludf.DUMMYFUNCTION("""COMPUTED_VALUE"""),4.4988319E7)</f>
        <v>44988319</v>
      </c>
      <c r="D52" s="38">
        <f>IFERROR(__xludf.DUMMYFUNCTION("""COMPUTED_VALUE"""),2010.0)</f>
        <v>2010</v>
      </c>
      <c r="E52" s="39">
        <f>IFERROR(__xludf.DUMMYFUNCTION("""COMPUTED_VALUE"""),0.016850418438617367)</f>
        <v>0.01685041844</v>
      </c>
      <c r="F52" s="39">
        <f>IFERROR(__xludf.DUMMYFUNCTION("""COMPUTED_VALUE"""),0.010870147473467207)</f>
        <v>0.01087014747</v>
      </c>
      <c r="G52" s="37"/>
      <c r="H52" s="37"/>
      <c r="I52" s="37"/>
      <c r="J52" s="37"/>
      <c r="K52" s="37"/>
      <c r="L52" s="39"/>
      <c r="M52" s="39"/>
      <c r="N52" s="39"/>
    </row>
    <row r="53">
      <c r="A53" s="40" t="str">
        <f>IFERROR(__xludf.DUMMYFUNCTION("""COMPUTED_VALUE"""),"Colombia")</f>
        <v>Colombia</v>
      </c>
      <c r="B53" s="37">
        <f>IFERROR(__xludf.DUMMYFUNCTION("""COMPUTED_VALUE"""),752881.0)</f>
        <v>752881</v>
      </c>
      <c r="C53" s="37">
        <f>IFERROR(__xludf.DUMMYFUNCTION("""COMPUTED_VALUE"""),4.5444531E7)</f>
        <v>45444531</v>
      </c>
      <c r="D53" s="38">
        <f>IFERROR(__xludf.DUMMYFUNCTION("""COMPUTED_VALUE"""),2011.0)</f>
        <v>2011</v>
      </c>
      <c r="E53" s="39">
        <f>IFERROR(__xludf.DUMMYFUNCTION("""COMPUTED_VALUE"""),0.01656703201535956)</f>
        <v>0.01656703202</v>
      </c>
      <c r="F53" s="39">
        <f>IFERROR(__xludf.DUMMYFUNCTION("""COMPUTED_VALUE"""),0.010140676738777459)</f>
        <v>0.01014067674</v>
      </c>
      <c r="G53" s="37"/>
      <c r="H53" s="37"/>
      <c r="I53" s="37"/>
      <c r="J53" s="37"/>
      <c r="K53" s="37"/>
      <c r="L53" s="39"/>
      <c r="M53" s="39"/>
      <c r="N53" s="39"/>
    </row>
    <row r="54">
      <c r="A54" s="40" t="str">
        <f>IFERROR(__xludf.DUMMYFUNCTION("""COMPUTED_VALUE"""),"Colombia")</f>
        <v>Colombia</v>
      </c>
      <c r="B54" s="37">
        <f>IFERROR(__xludf.DUMMYFUNCTION("""COMPUTED_VALUE"""),748734.0)</f>
        <v>748734</v>
      </c>
      <c r="C54" s="37">
        <f>IFERROR(__xludf.DUMMYFUNCTION("""COMPUTED_VALUE"""),4.5870362E7)</f>
        <v>45870362</v>
      </c>
      <c r="D54" s="38">
        <f>IFERROR(__xludf.DUMMYFUNCTION("""COMPUTED_VALUE"""),2012.0)</f>
        <v>2012</v>
      </c>
      <c r="E54" s="39">
        <f>IFERROR(__xludf.DUMMYFUNCTION("""COMPUTED_VALUE"""),0.016322827362905922)</f>
        <v>0.01632282736</v>
      </c>
      <c r="F54" s="39">
        <f>IFERROR(__xludf.DUMMYFUNCTION("""COMPUTED_VALUE"""),0.009370346455990492)</f>
        <v>0.009370346456</v>
      </c>
      <c r="G54" s="37"/>
      <c r="H54" s="37"/>
      <c r="I54" s="37"/>
      <c r="J54" s="37"/>
      <c r="K54" s="37"/>
      <c r="L54" s="39"/>
      <c r="M54" s="39"/>
      <c r="N54" s="39"/>
    </row>
    <row r="55">
      <c r="A55" s="40" t="str">
        <f>IFERROR(__xludf.DUMMYFUNCTION("""COMPUTED_VALUE"""),"Colombia")</f>
        <v>Colombia</v>
      </c>
      <c r="B55" s="37">
        <f>IFERROR(__xludf.DUMMYFUNCTION("""COMPUTED_VALUE"""),744381.0)</f>
        <v>744381</v>
      </c>
      <c r="C55" s="37">
        <f>IFERROR(__xludf.DUMMYFUNCTION("""COMPUTED_VALUE"""),4.6287332E7)</f>
        <v>46287332</v>
      </c>
      <c r="D55" s="38">
        <f>IFERROR(__xludf.DUMMYFUNCTION("""COMPUTED_VALUE"""),2013.0)</f>
        <v>2013</v>
      </c>
      <c r="E55" s="39">
        <f>IFERROR(__xludf.DUMMYFUNCTION("""COMPUTED_VALUE"""),0.016081743488693623)</f>
        <v>0.01608174349</v>
      </c>
      <c r="F55" s="39">
        <f>IFERROR(__xludf.DUMMYFUNCTION("""COMPUTED_VALUE"""),0.009090183330142457)</f>
        <v>0.00909018333</v>
      </c>
      <c r="G55" s="37"/>
      <c r="H55" s="37"/>
      <c r="I55" s="37"/>
      <c r="J55" s="37"/>
      <c r="K55" s="37"/>
      <c r="L55" s="39"/>
      <c r="M55" s="39"/>
      <c r="N55" s="39"/>
    </row>
    <row r="56">
      <c r="A56" s="40" t="str">
        <f>IFERROR(__xludf.DUMMYFUNCTION("""COMPUTED_VALUE"""),"Colombia")</f>
        <v>Colombia</v>
      </c>
      <c r="B56" s="37">
        <f>IFERROR(__xludf.DUMMYFUNCTION("""COMPUTED_VALUE"""),739615.0)</f>
        <v>739615</v>
      </c>
      <c r="C56" s="37">
        <f>IFERROR(__xludf.DUMMYFUNCTION("""COMPUTED_VALUE"""),4.673354E7)</f>
        <v>46733540</v>
      </c>
      <c r="D56" s="38">
        <f>IFERROR(__xludf.DUMMYFUNCTION("""COMPUTED_VALUE"""),2014.0)</f>
        <v>2014</v>
      </c>
      <c r="E56" s="39">
        <f>IFERROR(__xludf.DUMMYFUNCTION("""COMPUTED_VALUE"""),0.01582621389263471)</f>
        <v>0.01582621389</v>
      </c>
      <c r="F56" s="39">
        <f>IFERROR(__xludf.DUMMYFUNCTION("""COMPUTED_VALUE"""),0.009639959373765591)</f>
        <v>0.009639959374</v>
      </c>
      <c r="G56" s="37"/>
      <c r="H56" s="37"/>
      <c r="I56" s="37"/>
      <c r="J56" s="37"/>
      <c r="K56" s="37"/>
      <c r="L56" s="39"/>
      <c r="M56" s="39"/>
      <c r="N56" s="39"/>
    </row>
    <row r="57">
      <c r="A57" s="40" t="str">
        <f>IFERROR(__xludf.DUMMYFUNCTION("""COMPUTED_VALUE"""),"Colombia")</f>
        <v>Colombia</v>
      </c>
      <c r="B57" s="37">
        <f>IFERROR(__xludf.DUMMYFUNCTION("""COMPUTED_VALUE"""),734664.0)</f>
        <v>734664</v>
      </c>
      <c r="C57" s="37">
        <f>IFERROR(__xludf.DUMMYFUNCTION("""COMPUTED_VALUE"""),4.7246459E7)</f>
        <v>47246459</v>
      </c>
      <c r="D57" s="38">
        <f>IFERROR(__xludf.DUMMYFUNCTION("""COMPUTED_VALUE"""),2015.0)</f>
        <v>2015</v>
      </c>
      <c r="E57" s="39">
        <f>IFERROR(__xludf.DUMMYFUNCTION("""COMPUTED_VALUE"""),0.015549609760172715)</f>
        <v>0.01554960976</v>
      </c>
      <c r="F57" s="39">
        <f>IFERROR(__xludf.DUMMYFUNCTION("""COMPUTED_VALUE"""),0.010975393689414498)</f>
        <v>0.01097539369</v>
      </c>
      <c r="G57" s="37"/>
      <c r="H57" s="37"/>
      <c r="I57" s="37"/>
      <c r="J57" s="37"/>
      <c r="K57" s="37"/>
      <c r="L57" s="39"/>
      <c r="M57" s="39"/>
      <c r="N57" s="39"/>
    </row>
    <row r="58">
      <c r="A58" s="40" t="str">
        <f>IFERROR(__xludf.DUMMYFUNCTION("""COMPUTED_VALUE"""),"Colombia")</f>
        <v>Colombia</v>
      </c>
      <c r="B58" s="37">
        <f>IFERROR(__xludf.DUMMYFUNCTION("""COMPUTED_VALUE"""),730565.0)</f>
        <v>730565</v>
      </c>
      <c r="C58" s="37">
        <f>IFERROR(__xludf.DUMMYFUNCTION("""COMPUTED_VALUE"""),4.7849645E7)</f>
        <v>47849645</v>
      </c>
      <c r="D58" s="38">
        <f>IFERROR(__xludf.DUMMYFUNCTION("""COMPUTED_VALUE"""),2016.0)</f>
        <v>2016</v>
      </c>
      <c r="E58" s="39">
        <f>IFERROR(__xludf.DUMMYFUNCTION("""COMPUTED_VALUE"""),0.015267929364993198)</f>
        <v>0.01526792936</v>
      </c>
      <c r="F58" s="39">
        <f>IFERROR(__xludf.DUMMYFUNCTION("""COMPUTED_VALUE"""),0.012766798036652862)</f>
        <v>0.01276679804</v>
      </c>
      <c r="G58" s="37"/>
      <c r="H58" s="37"/>
      <c r="I58" s="37"/>
      <c r="J58" s="37"/>
      <c r="K58" s="37"/>
      <c r="L58" s="39"/>
      <c r="M58" s="39"/>
      <c r="N58" s="39"/>
    </row>
    <row r="59">
      <c r="A59" s="40" t="str">
        <f>IFERROR(__xludf.DUMMYFUNCTION("""COMPUTED_VALUE"""),"Colombia")</f>
        <v>Colombia</v>
      </c>
      <c r="B59" s="37">
        <f>IFERROR(__xludf.DUMMYFUNCTION("""COMPUTED_VALUE"""),726008.0)</f>
        <v>726008</v>
      </c>
      <c r="C59" s="37">
        <f>IFERROR(__xludf.DUMMYFUNCTION("""COMPUTED_VALUE"""),4.8545466E7)</f>
        <v>48545466</v>
      </c>
      <c r="D59" s="38">
        <f>IFERROR(__xludf.DUMMYFUNCTION("""COMPUTED_VALUE"""),2017.0)</f>
        <v>2017</v>
      </c>
      <c r="E59" s="39">
        <f>IFERROR(__xludf.DUMMYFUNCTION("""COMPUTED_VALUE"""),0.0149552174450236)</f>
        <v>0.01495521745</v>
      </c>
      <c r="F59" s="39">
        <f>IFERROR(__xludf.DUMMYFUNCTION("""COMPUTED_VALUE"""),0.014541821574642821)</f>
        <v>0.01454182157</v>
      </c>
      <c r="G59" s="37"/>
      <c r="H59" s="37"/>
      <c r="I59" s="37"/>
      <c r="J59" s="37"/>
      <c r="K59" s="37"/>
      <c r="L59" s="39"/>
      <c r="M59" s="39"/>
      <c r="N59" s="39"/>
    </row>
    <row r="60">
      <c r="A60" s="40" t="str">
        <f>IFERROR(__xludf.DUMMYFUNCTION("""COMPUTED_VALUE"""),"Colombia")</f>
        <v>Colombia</v>
      </c>
      <c r="B60" s="37">
        <f>IFERROR(__xludf.DUMMYFUNCTION("""COMPUTED_VALUE"""),727649.0)</f>
        <v>727649</v>
      </c>
      <c r="C60" s="37">
        <f>IFERROR(__xludf.DUMMYFUNCTION("""COMPUTED_VALUE"""),4.9288537E7)</f>
        <v>49288537</v>
      </c>
      <c r="D60" s="38">
        <f>IFERROR(__xludf.DUMMYFUNCTION("""COMPUTED_VALUE"""),2018.0)</f>
        <v>2018</v>
      </c>
      <c r="E60" s="39">
        <f>IFERROR(__xludf.DUMMYFUNCTION("""COMPUTED_VALUE"""),0.01476304723753517)</f>
        <v>0.01476304724</v>
      </c>
      <c r="F60" s="39">
        <f>IFERROR(__xludf.DUMMYFUNCTION("""COMPUTED_VALUE"""),0.015306702380815542)</f>
        <v>0.01530670238</v>
      </c>
      <c r="G60" s="37"/>
      <c r="H60" s="37"/>
      <c r="I60" s="37"/>
      <c r="J60" s="37"/>
      <c r="K60" s="37"/>
      <c r="L60" s="39"/>
      <c r="M60" s="39"/>
      <c r="N60" s="39"/>
    </row>
    <row r="61">
      <c r="A61" s="40" t="str">
        <f>IFERROR(__xludf.DUMMYFUNCTION("""COMPUTED_VALUE"""),"Colombia")</f>
        <v>Colombia</v>
      </c>
      <c r="B61" s="37">
        <f>IFERROR(__xludf.DUMMYFUNCTION("""COMPUTED_VALUE"""),733940.0)</f>
        <v>733940</v>
      </c>
      <c r="C61" s="37">
        <f>IFERROR(__xludf.DUMMYFUNCTION("""COMPUTED_VALUE"""),5.0003037E7)</f>
        <v>50003037</v>
      </c>
      <c r="D61" s="38">
        <f>IFERROR(__xludf.DUMMYFUNCTION("""COMPUTED_VALUE"""),2019.0)</f>
        <v>2019</v>
      </c>
      <c r="E61" s="39">
        <f>IFERROR(__xludf.DUMMYFUNCTION("""COMPUTED_VALUE"""),0.014677908463839906)</f>
        <v>0.01467790846</v>
      </c>
      <c r="F61" s="39">
        <f>IFERROR(__xludf.DUMMYFUNCTION("""COMPUTED_VALUE"""),0.014496271212107593)</f>
        <v>0.01449627121</v>
      </c>
      <c r="G61" s="37"/>
      <c r="H61" s="37"/>
      <c r="I61" s="37"/>
      <c r="J61" s="37"/>
      <c r="K61" s="37"/>
      <c r="L61" s="39"/>
      <c r="M61" s="39"/>
      <c r="N61" s="39"/>
    </row>
    <row r="62">
      <c r="A62" s="40" t="str">
        <f>IFERROR(__xludf.DUMMYFUNCTION("""COMPUTED_VALUE"""),"Colombia")</f>
        <v>Colombia</v>
      </c>
      <c r="B62" s="37">
        <f>IFERROR(__xludf.DUMMYFUNCTION("""COMPUTED_VALUE"""),733491.0)</f>
        <v>733491</v>
      </c>
      <c r="C62" s="37">
        <f>IFERROR(__xludf.DUMMYFUNCTION("""COMPUTED_VALUE"""),5.0612648E7)</f>
        <v>50612648</v>
      </c>
      <c r="D62" s="38">
        <f>IFERROR(__xludf.DUMMYFUNCTION("""COMPUTED_VALUE"""),2020.0)</f>
        <v>2020</v>
      </c>
      <c r="E62" s="39">
        <f>IFERROR(__xludf.DUMMYFUNCTION("""COMPUTED_VALUE"""),0.014492247076264415)</f>
        <v>0.01449224708</v>
      </c>
      <c r="F62" s="39">
        <f>IFERROR(__xludf.DUMMYFUNCTION("""COMPUTED_VALUE"""),0.012191479489535806)</f>
        <v>0.01219147949</v>
      </c>
      <c r="G62" s="37"/>
      <c r="H62" s="37"/>
      <c r="I62" s="37"/>
      <c r="J62" s="37"/>
      <c r="K62" s="37"/>
      <c r="L62" s="39"/>
      <c r="M62" s="39"/>
      <c r="N62" s="39"/>
    </row>
    <row r="63">
      <c r="A63" s="40" t="str">
        <f>IFERROR(__xludf.DUMMYFUNCTION("""COMPUTED_VALUE"""),"Colombia")</f>
        <v>Colombia</v>
      </c>
      <c r="B63" s="37">
        <f>IFERROR(__xludf.DUMMYFUNCTION("""COMPUTED_VALUE"""),730203.0)</f>
        <v>730203</v>
      </c>
      <c r="C63" s="37">
        <f>IFERROR(__xludf.DUMMYFUNCTION("""COMPUTED_VALUE"""),5.1109158E7)</f>
        <v>51109158</v>
      </c>
      <c r="D63" s="38">
        <f>IFERROR(__xludf.DUMMYFUNCTION("""COMPUTED_VALUE"""),2021.0)</f>
        <v>2021</v>
      </c>
      <c r="E63" s="39">
        <f>IFERROR(__xludf.DUMMYFUNCTION("""COMPUTED_VALUE"""),0.014287126389364505)</f>
        <v>0.01428712639</v>
      </c>
      <c r="F63" s="39">
        <f>IFERROR(__xludf.DUMMYFUNCTION("""COMPUTED_VALUE"""),0.009809998481012099)</f>
        <v>0.009809998481</v>
      </c>
      <c r="G63" s="37"/>
      <c r="H63" s="37"/>
      <c r="I63" s="37"/>
      <c r="J63" s="37"/>
      <c r="K63" s="37"/>
      <c r="L63" s="39"/>
      <c r="M63" s="39"/>
      <c r="N63" s="39"/>
    </row>
    <row r="64" hidden="1">
      <c r="A64" s="38" t="str">
        <f>IFERROR(__xludf.DUMMYFUNCTION("""COMPUTED_VALUE"""),"pais")</f>
        <v>pais</v>
      </c>
      <c r="B64" s="37"/>
      <c r="C64" s="37"/>
      <c r="D64" s="38"/>
      <c r="E64" s="39"/>
      <c r="F64" s="39"/>
      <c r="G64" s="37"/>
      <c r="H64" s="37"/>
      <c r="I64" s="37"/>
      <c r="J64" s="37"/>
      <c r="K64" s="37"/>
      <c r="L64" s="39"/>
      <c r="M64" s="39"/>
      <c r="N64" s="39"/>
    </row>
    <row r="65">
      <c r="A65" s="40" t="str">
        <f>IFERROR(__xludf.DUMMYFUNCTION("""COMPUTED_VALUE"""),"Ecuador")</f>
        <v>Ecuador</v>
      </c>
      <c r="B65" s="37">
        <f>IFERROR(__xludf.DUMMYFUNCTION("""COMPUTED_VALUE"""),320056.0)</f>
        <v>320056</v>
      </c>
      <c r="C65" s="37">
        <f>IFERROR(__xludf.DUMMYFUNCTION("""COMPUTED_VALUE"""),1.3030003E7)</f>
        <v>13030003</v>
      </c>
      <c r="D65" s="38">
        <f>IFERROR(__xludf.DUMMYFUNCTION("""COMPUTED_VALUE"""),2002.0)</f>
        <v>2002</v>
      </c>
      <c r="E65" s="39">
        <f>IFERROR(__xludf.DUMMYFUNCTION("""COMPUTED_VALUE"""),0.024563002786722306)</f>
        <v>0.02456300279</v>
      </c>
      <c r="F65" s="39">
        <f>IFERROR(__xludf.DUMMYFUNCTION("""COMPUTED_VALUE"""),0.018060371200508546)</f>
        <v>0.0180603712</v>
      </c>
      <c r="G65" s="37">
        <f>IFERROR(__xludf.DUMMYFUNCTION("""COMPUTED_VALUE"""),4640888.1376)</f>
        <v>4640888.138</v>
      </c>
      <c r="H65" s="37">
        <f>IFERROR(__xludf.DUMMYFUNCTION("""COMPUTED_VALUE"""),9377096.185600001)</f>
        <v>9377096.186</v>
      </c>
      <c r="I65" s="37">
        <f>IFERROR(__xludf.DUMMYFUNCTION("""COMPUTED_VALUE"""),875751.6768)</f>
        <v>875751.6768</v>
      </c>
      <c r="J65" s="37">
        <f>IFERROR(__xludf.DUMMYFUNCTION("""COMPUTED_VALUE"""),2010.0)</f>
        <v>2010</v>
      </c>
      <c r="K65" s="37">
        <f>IFERROR(__xludf.DUMMYFUNCTION("""COMPUTED_VALUE"""),149753.90844980482)</f>
        <v>149753.9084</v>
      </c>
      <c r="L65" s="39">
        <f>IFERROR(__xludf.DUMMYFUNCTION("""COMPUTED_VALUE"""),0.3116)</f>
        <v>0.3116</v>
      </c>
      <c r="M65" s="39">
        <f>IFERROR(__xludf.DUMMYFUNCTION("""COMPUTED_VALUE"""),0.6296)</f>
        <v>0.6296</v>
      </c>
      <c r="N65" s="39">
        <f>IFERROR(__xludf.DUMMYFUNCTION("""COMPUTED_VALUE"""),0.05879999999999999)</f>
        <v>0.0588</v>
      </c>
    </row>
    <row r="66">
      <c r="A66" s="40" t="str">
        <f>IFERROR(__xludf.DUMMYFUNCTION("""COMPUTED_VALUE"""),"Ecuador")</f>
        <v>Ecuador</v>
      </c>
      <c r="B66" s="37">
        <f>IFERROR(__xludf.DUMMYFUNCTION("""COMPUTED_VALUE"""),319753.0)</f>
        <v>319753</v>
      </c>
      <c r="C66" s="37">
        <f>IFERROR(__xludf.DUMMYFUNCTION("""COMPUTED_VALUE"""),1.3257501E7)</f>
        <v>13257501</v>
      </c>
      <c r="D66" s="38">
        <f>IFERROR(__xludf.DUMMYFUNCTION("""COMPUTED_VALUE"""),2003.0)</f>
        <v>2003</v>
      </c>
      <c r="E66" s="39">
        <f>IFERROR(__xludf.DUMMYFUNCTION("""COMPUTED_VALUE"""),0.02411864800161056)</f>
        <v>0.024118648</v>
      </c>
      <c r="F66" s="39">
        <f>IFERROR(__xludf.DUMMYFUNCTION("""COMPUTED_VALUE"""),0.017459550853518607)</f>
        <v>0.01745955085</v>
      </c>
      <c r="G66" s="37">
        <f>IFERROR(__xludf.DUMMYFUNCTION("""COMPUTED_VALUE"""),4667285.4392)</f>
        <v>4667285.439</v>
      </c>
      <c r="H66" s="37">
        <f>IFERROR(__xludf.DUMMYFUNCTION("""COMPUTED_VALUE"""),1.0344583027199998E7)</f>
        <v>10344583.03</v>
      </c>
      <c r="I66" s="37">
        <f>IFERROR(__xludf.DUMMYFUNCTION("""COMPUTED_VALUE"""),1071127.5336000002)</f>
        <v>1071127.534</v>
      </c>
      <c r="J66" s="37">
        <f>IFERROR(__xludf.DUMMYFUNCTION("""COMPUTED_VALUE"""),2015.0)</f>
        <v>2015</v>
      </c>
      <c r="K66" s="37"/>
      <c r="L66" s="39">
        <f>IFERROR(__xludf.DUMMYFUNCTION("""COMPUTED_VALUE"""),0.2902)</f>
        <v>0.2902</v>
      </c>
      <c r="M66" s="39">
        <f>IFERROR(__xludf.DUMMYFUNCTION("""COMPUTED_VALUE"""),0.6432)</f>
        <v>0.6432</v>
      </c>
      <c r="N66" s="39">
        <f>IFERROR(__xludf.DUMMYFUNCTION("""COMPUTED_VALUE"""),0.06660000000000002)</f>
        <v>0.0666</v>
      </c>
    </row>
    <row r="67">
      <c r="A67" s="40" t="str">
        <f>IFERROR(__xludf.DUMMYFUNCTION("""COMPUTED_VALUE"""),"Ecuador")</f>
        <v>Ecuador</v>
      </c>
      <c r="B67" s="37">
        <f>IFERROR(__xludf.DUMMYFUNCTION("""COMPUTED_VALUE"""),319624.0)</f>
        <v>319624</v>
      </c>
      <c r="C67" s="37">
        <f>IFERROR(__xludf.DUMMYFUNCTION("""COMPUTED_VALUE"""),1.3483653E7)</f>
        <v>13483653</v>
      </c>
      <c r="D67" s="38">
        <f>IFERROR(__xludf.DUMMYFUNCTION("""COMPUTED_VALUE"""),2004.0)</f>
        <v>2004</v>
      </c>
      <c r="E67" s="39">
        <f>IFERROR(__xludf.DUMMYFUNCTION("""COMPUTED_VALUE"""),0.023704555434643712)</f>
        <v>0.02370455543</v>
      </c>
      <c r="F67" s="39">
        <f>IFERROR(__xludf.DUMMYFUNCTION("""COMPUTED_VALUE"""),0.017058418475699152)</f>
        <v>0.01705841848</v>
      </c>
      <c r="G67" s="37">
        <f>IFERROR(__xludf.DUMMYFUNCTION("""COMPUTED_VALUE"""),4638159.2655)</f>
        <v>4638159.266</v>
      </c>
      <c r="H67" s="37">
        <f>IFERROR(__xludf.DUMMYFUNCTION("""COMPUTED_VALUE"""),1.15507499715E7)</f>
        <v>11550749.97</v>
      </c>
      <c r="I67" s="37">
        <f>IFERROR(__xludf.DUMMYFUNCTION("""COMPUTED_VALUE"""),1320185.7629999998)</f>
        <v>1320185.763</v>
      </c>
      <c r="J67" s="37">
        <f>IFERROR(__xludf.DUMMYFUNCTION("""COMPUTED_VALUE"""),2020.0)</f>
        <v>2020</v>
      </c>
      <c r="K67" s="37"/>
      <c r="L67" s="39">
        <f>IFERROR(__xludf.DUMMYFUNCTION("""COMPUTED_VALUE"""),0.26489999999999997)</f>
        <v>0.2649</v>
      </c>
      <c r="M67" s="39">
        <f>IFERROR(__xludf.DUMMYFUNCTION("""COMPUTED_VALUE"""),0.6597)</f>
        <v>0.6597</v>
      </c>
      <c r="N67" s="39">
        <f>IFERROR(__xludf.DUMMYFUNCTION("""COMPUTED_VALUE"""),0.0754)</f>
        <v>0.0754</v>
      </c>
    </row>
    <row r="68">
      <c r="A68" s="40" t="str">
        <f>IFERROR(__xludf.DUMMYFUNCTION("""COMPUTED_VALUE"""),"Ecuador")</f>
        <v>Ecuador</v>
      </c>
      <c r="B68" s="37">
        <f>IFERROR(__xludf.DUMMYFUNCTION("""COMPUTED_VALUE"""),319659.0)</f>
        <v>319659</v>
      </c>
      <c r="C68" s="37">
        <f>IFERROR(__xludf.DUMMYFUNCTION("""COMPUTED_VALUE"""),1.3712057E7)</f>
        <v>13712057</v>
      </c>
      <c r="D68" s="38">
        <f>IFERROR(__xludf.DUMMYFUNCTION("""COMPUTED_VALUE"""),2005.0)</f>
        <v>2005</v>
      </c>
      <c r="E68" s="39">
        <f>IFERROR(__xludf.DUMMYFUNCTION("""COMPUTED_VALUE"""),0.023312257234636643)</f>
        <v>0.02331225723</v>
      </c>
      <c r="F68" s="39">
        <f>IFERROR(__xludf.DUMMYFUNCTION("""COMPUTED_VALUE"""),0.016939326457006867)</f>
        <v>0.01693932646</v>
      </c>
      <c r="G68" s="37"/>
      <c r="H68" s="37"/>
      <c r="I68" s="37"/>
      <c r="J68" s="37"/>
      <c r="K68" s="37"/>
      <c r="L68" s="39"/>
      <c r="M68" s="39"/>
      <c r="N68" s="39"/>
    </row>
    <row r="69">
      <c r="A69" s="40" t="str">
        <f>IFERROR(__xludf.DUMMYFUNCTION("""COMPUTED_VALUE"""),"Ecuador")</f>
        <v>Ecuador</v>
      </c>
      <c r="B69" s="37">
        <f>IFERROR(__xludf.DUMMYFUNCTION("""COMPUTED_VALUE"""),320941.0)</f>
        <v>320941</v>
      </c>
      <c r="C69" s="37">
        <f>IFERROR(__xludf.DUMMYFUNCTION("""COMPUTED_VALUE"""),1.3943569E7)</f>
        <v>13943569</v>
      </c>
      <c r="D69" s="38">
        <f>IFERROR(__xludf.DUMMYFUNCTION("""COMPUTED_VALUE"""),2006.0)</f>
        <v>2006</v>
      </c>
      <c r="E69" s="39">
        <f>IFERROR(__xludf.DUMMYFUNCTION("""COMPUTED_VALUE"""),0.023017134278892296)</f>
        <v>0.02301713428</v>
      </c>
      <c r="F69" s="39">
        <f>IFERROR(__xludf.DUMMYFUNCTION("""COMPUTED_VALUE"""),0.016883827131115338)</f>
        <v>0.01688382713</v>
      </c>
      <c r="G69" s="37"/>
      <c r="H69" s="37"/>
      <c r="I69" s="37"/>
      <c r="J69" s="37"/>
      <c r="K69" s="37"/>
      <c r="L69" s="39"/>
      <c r="M69" s="39"/>
      <c r="N69" s="39"/>
    </row>
    <row r="70">
      <c r="A70" s="40" t="str">
        <f>IFERROR(__xludf.DUMMYFUNCTION("""COMPUTED_VALUE"""),"Ecuador")</f>
        <v>Ecuador</v>
      </c>
      <c r="B70" s="37">
        <f>IFERROR(__xludf.DUMMYFUNCTION("""COMPUTED_VALUE"""),322742.0)</f>
        <v>322742</v>
      </c>
      <c r="C70" s="37">
        <f>IFERROR(__xludf.DUMMYFUNCTION("""COMPUTED_VALUE"""),1.4178941E7)</f>
        <v>14178941</v>
      </c>
      <c r="D70" s="38">
        <f>IFERROR(__xludf.DUMMYFUNCTION("""COMPUTED_VALUE"""),2007.0)</f>
        <v>2007</v>
      </c>
      <c r="E70" s="39">
        <f>IFERROR(__xludf.DUMMYFUNCTION("""COMPUTED_VALUE"""),0.0227620666451747)</f>
        <v>0.02276206665</v>
      </c>
      <c r="F70" s="39">
        <f>IFERROR(__xludf.DUMMYFUNCTION("""COMPUTED_VALUE"""),0.01688032669397627)</f>
        <v>0.01688032669</v>
      </c>
      <c r="G70" s="37"/>
      <c r="H70" s="37"/>
      <c r="I70" s="37"/>
      <c r="J70" s="37"/>
      <c r="K70" s="37"/>
      <c r="L70" s="39"/>
      <c r="M70" s="39"/>
      <c r="N70" s="39"/>
    </row>
    <row r="71">
      <c r="A71" s="40" t="str">
        <f>IFERROR(__xludf.DUMMYFUNCTION("""COMPUTED_VALUE"""),"Ecuador")</f>
        <v>Ecuador</v>
      </c>
      <c r="B71" s="37">
        <f>IFERROR(__xludf.DUMMYFUNCTION("""COMPUTED_VALUE"""),324545.0)</f>
        <v>324545</v>
      </c>
      <c r="C71" s="37">
        <f>IFERROR(__xludf.DUMMYFUNCTION("""COMPUTED_VALUE"""),1.4416801E7)</f>
        <v>14416801</v>
      </c>
      <c r="D71" s="38">
        <f>IFERROR(__xludf.DUMMYFUNCTION("""COMPUTED_VALUE"""),2008.0)</f>
        <v>2008</v>
      </c>
      <c r="E71" s="39">
        <f>IFERROR(__xludf.DUMMYFUNCTION("""COMPUTED_VALUE"""),0.02251158214641376)</f>
        <v>0.02251158215</v>
      </c>
      <c r="F71" s="39">
        <f>IFERROR(__xludf.DUMMYFUNCTION("""COMPUTED_VALUE"""),0.016775582887325648)</f>
        <v>0.01677558289</v>
      </c>
      <c r="G71" s="37"/>
      <c r="H71" s="37"/>
      <c r="I71" s="37"/>
      <c r="J71" s="37"/>
      <c r="K71" s="37"/>
      <c r="L71" s="39"/>
      <c r="M71" s="39"/>
      <c r="N71" s="39"/>
    </row>
    <row r="72">
      <c r="A72" s="40" t="str">
        <f>IFERROR(__xludf.DUMMYFUNCTION("""COMPUTED_VALUE"""),"Ecuador")</f>
        <v>Ecuador</v>
      </c>
      <c r="B72" s="37">
        <f>IFERROR(__xludf.DUMMYFUNCTION("""COMPUTED_VALUE"""),326551.0)</f>
        <v>326551</v>
      </c>
      <c r="C72" s="37">
        <f>IFERROR(__xludf.DUMMYFUNCTION("""COMPUTED_VALUE"""),1.4656057E7)</f>
        <v>14656057</v>
      </c>
      <c r="D72" s="38">
        <f>IFERROR(__xludf.DUMMYFUNCTION("""COMPUTED_VALUE"""),2009.0)</f>
        <v>2009</v>
      </c>
      <c r="E72" s="39">
        <f>IFERROR(__xludf.DUMMYFUNCTION("""COMPUTED_VALUE"""),0.022280958650747605)</f>
        <v>0.02228095865</v>
      </c>
      <c r="F72" s="39">
        <f>IFERROR(__xludf.DUMMYFUNCTION("""COMPUTED_VALUE"""),0.01659563727070936)</f>
        <v>0.01659563727</v>
      </c>
      <c r="G72" s="37"/>
      <c r="H72" s="37"/>
      <c r="I72" s="37"/>
      <c r="J72" s="37"/>
      <c r="K72" s="37"/>
      <c r="L72" s="39"/>
      <c r="M72" s="39"/>
      <c r="N72" s="39"/>
    </row>
    <row r="73">
      <c r="A73" s="40" t="str">
        <f>IFERROR(__xludf.DUMMYFUNCTION("""COMPUTED_VALUE"""),"Ecuador")</f>
        <v>Ecuador</v>
      </c>
      <c r="B73" s="37">
        <f>IFERROR(__xludf.DUMMYFUNCTION("""COMPUTED_VALUE"""),328258.0)</f>
        <v>328258</v>
      </c>
      <c r="C73" s="37">
        <f>IFERROR(__xludf.DUMMYFUNCTION("""COMPUTED_VALUE"""),1.4893736E7)</f>
        <v>14893736</v>
      </c>
      <c r="D73" s="38">
        <f>IFERROR(__xludf.DUMMYFUNCTION("""COMPUTED_VALUE"""),2010.0)</f>
        <v>2010</v>
      </c>
      <c r="E73" s="39">
        <f>IFERROR(__xludf.DUMMYFUNCTION("""COMPUTED_VALUE"""),0.022040003931854305)</f>
        <v>0.02204000393</v>
      </c>
      <c r="F73" s="39">
        <f>IFERROR(__xludf.DUMMYFUNCTION("""COMPUTED_VALUE"""),0.016217117605369574)</f>
        <v>0.01621711761</v>
      </c>
      <c r="G73" s="37"/>
      <c r="H73" s="37"/>
      <c r="I73" s="37"/>
      <c r="J73" s="37"/>
      <c r="K73" s="37"/>
      <c r="L73" s="39"/>
      <c r="M73" s="39"/>
      <c r="N73" s="39"/>
    </row>
    <row r="74">
      <c r="A74" s="40" t="str">
        <f>IFERROR(__xludf.DUMMYFUNCTION("""COMPUTED_VALUE"""),"Ecuador")</f>
        <v>Ecuador</v>
      </c>
      <c r="B74" s="37">
        <f>IFERROR(__xludf.DUMMYFUNCTION("""COMPUTED_VALUE"""),330798.0)</f>
        <v>330798</v>
      </c>
      <c r="C74" s="37">
        <f>IFERROR(__xludf.DUMMYFUNCTION("""COMPUTED_VALUE"""),1.5128456E7)</f>
        <v>15128456</v>
      </c>
      <c r="D74" s="38">
        <f>IFERROR(__xludf.DUMMYFUNCTION("""COMPUTED_VALUE"""),2011.0)</f>
        <v>2011</v>
      </c>
      <c r="E74" s="39">
        <f>IFERROR(__xludf.DUMMYFUNCTION("""COMPUTED_VALUE"""),0.021865945870484075)</f>
        <v>0.02186594587</v>
      </c>
      <c r="F74" s="39">
        <f>IFERROR(__xludf.DUMMYFUNCTION("""COMPUTED_VALUE"""),0.015759645531517413)</f>
        <v>0.01575964553</v>
      </c>
      <c r="G74" s="37"/>
      <c r="H74" s="37"/>
      <c r="I74" s="37"/>
      <c r="J74" s="37"/>
      <c r="K74" s="37"/>
      <c r="L74" s="39"/>
      <c r="M74" s="39"/>
      <c r="N74" s="39"/>
    </row>
    <row r="75">
      <c r="A75" s="40" t="str">
        <f>IFERROR(__xludf.DUMMYFUNCTION("""COMPUTED_VALUE"""),"Ecuador")</f>
        <v>Ecuador</v>
      </c>
      <c r="B75" s="37">
        <f>IFERROR(__xludf.DUMMYFUNCTION("""COMPUTED_VALUE"""),325267.0)</f>
        <v>325267</v>
      </c>
      <c r="C75" s="37">
        <f>IFERROR(__xludf.DUMMYFUNCTION("""COMPUTED_VALUE"""),1.5359621E7)</f>
        <v>15359621</v>
      </c>
      <c r="D75" s="38">
        <f>IFERROR(__xludf.DUMMYFUNCTION("""COMPUTED_VALUE"""),2012.0)</f>
        <v>2012</v>
      </c>
      <c r="E75" s="39">
        <f>IFERROR(__xludf.DUMMYFUNCTION("""COMPUTED_VALUE"""),0.021176759504677883)</f>
        <v>0.0211767595</v>
      </c>
      <c r="F75" s="39">
        <f>IFERROR(__xludf.DUMMYFUNCTION("""COMPUTED_VALUE"""),0.015280144913664686)</f>
        <v>0.01528014491</v>
      </c>
      <c r="G75" s="37"/>
      <c r="H75" s="37"/>
      <c r="I75" s="37"/>
      <c r="J75" s="37"/>
      <c r="K75" s="37"/>
      <c r="L75" s="39"/>
      <c r="M75" s="39"/>
      <c r="N75" s="39"/>
    </row>
    <row r="76">
      <c r="A76" s="40" t="str">
        <f>IFERROR(__xludf.DUMMYFUNCTION("""COMPUTED_VALUE"""),"Ecuador")</f>
        <v>Ecuador</v>
      </c>
      <c r="B76" s="37">
        <f>IFERROR(__xludf.DUMMYFUNCTION("""COMPUTED_VALUE"""),316029.0)</f>
        <v>316029</v>
      </c>
      <c r="C76" s="37">
        <f>IFERROR(__xludf.DUMMYFUNCTION("""COMPUTED_VALUE"""),1.5591745E7)</f>
        <v>15591745</v>
      </c>
      <c r="D76" s="38">
        <f>IFERROR(__xludf.DUMMYFUNCTION("""COMPUTED_VALUE"""),2013.0)</f>
        <v>2013</v>
      </c>
      <c r="E76" s="39">
        <f>IFERROR(__xludf.DUMMYFUNCTION("""COMPUTED_VALUE"""),0.02026899490724098)</f>
        <v>0.02026899491</v>
      </c>
      <c r="F76" s="39">
        <f>IFERROR(__xludf.DUMMYFUNCTION("""COMPUTED_VALUE"""),0.015112612479175105)</f>
        <v>0.01511261248</v>
      </c>
      <c r="G76" s="37"/>
      <c r="H76" s="37"/>
      <c r="I76" s="37"/>
      <c r="J76" s="37"/>
      <c r="K76" s="37"/>
      <c r="L76" s="39"/>
      <c r="M76" s="39"/>
      <c r="N76" s="39"/>
    </row>
    <row r="77">
      <c r="A77" s="40" t="str">
        <f>IFERROR(__xludf.DUMMYFUNCTION("""COMPUTED_VALUE"""),"Ecuador")</f>
        <v>Ecuador</v>
      </c>
      <c r="B77" s="37">
        <f>IFERROR(__xludf.DUMMYFUNCTION("""COMPUTED_VALUE"""),308532.0)</f>
        <v>308532</v>
      </c>
      <c r="C77" s="37">
        <f>IFERROR(__xludf.DUMMYFUNCTION("""COMPUTED_VALUE"""),1.5830657E7)</f>
        <v>15830657</v>
      </c>
      <c r="D77" s="38">
        <f>IFERROR(__xludf.DUMMYFUNCTION("""COMPUTED_VALUE"""),2014.0)</f>
        <v>2014</v>
      </c>
      <c r="E77" s="39">
        <f>IFERROR(__xludf.DUMMYFUNCTION("""COMPUTED_VALUE"""),0.019489525924287286)</f>
        <v>0.01948952592</v>
      </c>
      <c r="F77" s="39">
        <f>IFERROR(__xludf.DUMMYFUNCTION("""COMPUTED_VALUE"""),0.015322980205230395)</f>
        <v>0.01532298021</v>
      </c>
      <c r="G77" s="37"/>
      <c r="H77" s="37"/>
      <c r="I77" s="37"/>
      <c r="J77" s="37"/>
      <c r="K77" s="37"/>
      <c r="L77" s="39"/>
      <c r="M77" s="39"/>
      <c r="N77" s="39"/>
    </row>
    <row r="78">
      <c r="A78" s="40" t="str">
        <f>IFERROR(__xludf.DUMMYFUNCTION("""COMPUTED_VALUE"""),"Ecuador")</f>
        <v>Ecuador</v>
      </c>
      <c r="B78" s="37">
        <f>IFERROR(__xludf.DUMMYFUNCTION("""COMPUTED_VALUE"""),303340.0)</f>
        <v>303340</v>
      </c>
      <c r="C78" s="37">
        <f>IFERROR(__xludf.DUMMYFUNCTION("""COMPUTED_VALUE"""),1.6082996E7)</f>
        <v>16082996</v>
      </c>
      <c r="D78" s="38">
        <f>IFERROR(__xludf.DUMMYFUNCTION("""COMPUTED_VALUE"""),2015.0)</f>
        <v>2015</v>
      </c>
      <c r="E78" s="39">
        <f>IFERROR(__xludf.DUMMYFUNCTION("""COMPUTED_VALUE"""),0.01886091372527855)</f>
        <v>0.01886091373</v>
      </c>
      <c r="F78" s="39">
        <f>IFERROR(__xludf.DUMMYFUNCTION("""COMPUTED_VALUE"""),0.015939894345509475)</f>
        <v>0.01593989435</v>
      </c>
      <c r="G78" s="37"/>
      <c r="H78" s="37"/>
      <c r="I78" s="37"/>
      <c r="J78" s="37"/>
      <c r="K78" s="37"/>
      <c r="L78" s="39"/>
      <c r="M78" s="39"/>
      <c r="N78" s="39"/>
    </row>
    <row r="79">
      <c r="A79" s="40" t="str">
        <f>IFERROR(__xludf.DUMMYFUNCTION("""COMPUTED_VALUE"""),"Ecuador")</f>
        <v>Ecuador</v>
      </c>
      <c r="B79" s="37">
        <f>IFERROR(__xludf.DUMMYFUNCTION("""COMPUTED_VALUE"""),299318.0)</f>
        <v>299318</v>
      </c>
      <c r="C79" s="37">
        <f>IFERROR(__xludf.DUMMYFUNCTION("""COMPUTED_VALUE"""),1.6352332E7)</f>
        <v>16352332</v>
      </c>
      <c r="D79" s="38">
        <f>IFERROR(__xludf.DUMMYFUNCTION("""COMPUTED_VALUE"""),2016.0)</f>
        <v>2016</v>
      </c>
      <c r="E79" s="39">
        <f>IFERROR(__xludf.DUMMYFUNCTION("""COMPUTED_VALUE"""),0.018304300573153725)</f>
        <v>0.01830430057</v>
      </c>
      <c r="F79" s="39">
        <f>IFERROR(__xludf.DUMMYFUNCTION("""COMPUTED_VALUE"""),0.01674663103814737)</f>
        <v>0.01674663104</v>
      </c>
      <c r="G79" s="37"/>
      <c r="H79" s="37"/>
      <c r="I79" s="37"/>
      <c r="J79" s="37"/>
      <c r="K79" s="37"/>
      <c r="L79" s="39"/>
      <c r="M79" s="39"/>
      <c r="N79" s="39"/>
    </row>
    <row r="80">
      <c r="A80" s="40" t="str">
        <f>IFERROR(__xludf.DUMMYFUNCTION("""COMPUTED_VALUE"""),"Ecuador")</f>
        <v>Ecuador</v>
      </c>
      <c r="B80" s="37">
        <f>IFERROR(__xludf.DUMMYFUNCTION("""COMPUTED_VALUE"""),300031.0)</f>
        <v>300031</v>
      </c>
      <c r="C80" s="37">
        <f>IFERROR(__xludf.DUMMYFUNCTION("""COMPUTED_VALUE"""),1.6639445E7)</f>
        <v>16639445</v>
      </c>
      <c r="D80" s="38">
        <f>IFERROR(__xludf.DUMMYFUNCTION("""COMPUTED_VALUE"""),2017.0)</f>
        <v>2017</v>
      </c>
      <c r="E80" s="39">
        <f>IFERROR(__xludf.DUMMYFUNCTION("""COMPUTED_VALUE"""),0.018031310539504172)</f>
        <v>0.01803131054</v>
      </c>
      <c r="F80" s="39">
        <f>IFERROR(__xludf.DUMMYFUNCTION("""COMPUTED_VALUE"""),0.017557923848415015)</f>
        <v>0.01755792385</v>
      </c>
      <c r="G80" s="37"/>
      <c r="H80" s="37"/>
      <c r="I80" s="37"/>
      <c r="J80" s="37"/>
      <c r="K80" s="37"/>
      <c r="L80" s="39"/>
      <c r="M80" s="39"/>
      <c r="N80" s="39"/>
    </row>
    <row r="81">
      <c r="A81" s="40" t="str">
        <f>IFERROR(__xludf.DUMMYFUNCTION("""COMPUTED_VALUE"""),"Ecuador")</f>
        <v>Ecuador</v>
      </c>
      <c r="B81" s="37">
        <f>IFERROR(__xludf.DUMMYFUNCTION("""COMPUTED_VALUE"""),299106.0)</f>
        <v>299106</v>
      </c>
      <c r="C81" s="37">
        <f>IFERROR(__xludf.DUMMYFUNCTION("""COMPUTED_VALUE"""),1.6936086E7)</f>
        <v>16936086</v>
      </c>
      <c r="D81" s="38">
        <f>IFERROR(__xludf.DUMMYFUNCTION("""COMPUTED_VALUE"""),2018.0)</f>
        <v>2018</v>
      </c>
      <c r="E81" s="39">
        <f>IFERROR(__xludf.DUMMYFUNCTION("""COMPUTED_VALUE"""),0.017660869223266817)</f>
        <v>0.01766086922</v>
      </c>
      <c r="F81" s="39">
        <f>IFERROR(__xludf.DUMMYFUNCTION("""COMPUTED_VALUE"""),0.017827577782792633)</f>
        <v>0.01782757778</v>
      </c>
      <c r="G81" s="37"/>
      <c r="H81" s="37"/>
      <c r="I81" s="37"/>
      <c r="J81" s="37"/>
      <c r="K81" s="37"/>
      <c r="L81" s="39"/>
      <c r="M81" s="39"/>
      <c r="N81" s="39"/>
    </row>
    <row r="82">
      <c r="A82" s="40" t="str">
        <f>IFERROR(__xludf.DUMMYFUNCTION("""COMPUTED_VALUE"""),"Ecuador")</f>
        <v>Ecuador</v>
      </c>
      <c r="B82" s="37">
        <f>IFERROR(__xludf.DUMMYFUNCTION("""COMPUTED_VALUE"""),300075.0)</f>
        <v>300075</v>
      </c>
      <c r="C82" s="37">
        <f>IFERROR(__xludf.DUMMYFUNCTION("""COMPUTED_VALUE"""),1.7230197E7)</f>
        <v>17230197</v>
      </c>
      <c r="D82" s="38">
        <f>IFERROR(__xludf.DUMMYFUNCTION("""COMPUTED_VALUE"""),2019.0)</f>
        <v>2019</v>
      </c>
      <c r="E82" s="39">
        <f>IFERROR(__xludf.DUMMYFUNCTION("""COMPUTED_VALUE"""),0.017415645334757344)</f>
        <v>0.01741564533</v>
      </c>
      <c r="F82" s="39">
        <f>IFERROR(__xludf.DUMMYFUNCTION("""COMPUTED_VALUE"""),0.017365936852233744)</f>
        <v>0.01736593685</v>
      </c>
      <c r="G82" s="37"/>
      <c r="H82" s="37"/>
      <c r="I82" s="37"/>
      <c r="J82" s="37"/>
      <c r="K82" s="37"/>
      <c r="L82" s="39"/>
      <c r="M82" s="39"/>
      <c r="N82" s="39"/>
    </row>
    <row r="83">
      <c r="A83" s="40" t="str">
        <f>IFERROR(__xludf.DUMMYFUNCTION("""COMPUTED_VALUE"""),"Ecuador")</f>
        <v>Ecuador</v>
      </c>
      <c r="B83" s="37">
        <f>IFERROR(__xludf.DUMMYFUNCTION("""COMPUTED_VALUE"""),299338.0)</f>
        <v>299338</v>
      </c>
      <c r="C83" s="37">
        <f>IFERROR(__xludf.DUMMYFUNCTION("""COMPUTED_VALUE"""),1.7509095E7)</f>
        <v>17509095</v>
      </c>
      <c r="D83" s="38">
        <f>IFERROR(__xludf.DUMMYFUNCTION("""COMPUTED_VALUE"""),2020.0)</f>
        <v>2020</v>
      </c>
      <c r="E83" s="39">
        <f>IFERROR(__xludf.DUMMYFUNCTION("""COMPUTED_VALUE"""),0.01709614346144104)</f>
        <v>0.01709614346</v>
      </c>
      <c r="F83" s="39">
        <f>IFERROR(__xludf.DUMMYFUNCTION("""COMPUTED_VALUE"""),0.01618658219636142)</f>
        <v>0.0161865822</v>
      </c>
      <c r="G83" s="37"/>
      <c r="H83" s="37"/>
      <c r="I83" s="37"/>
      <c r="J83" s="37"/>
      <c r="K83" s="37"/>
      <c r="L83" s="39"/>
      <c r="M83" s="39"/>
      <c r="N83" s="39"/>
    </row>
    <row r="84">
      <c r="A84" s="40" t="str">
        <f>IFERROR(__xludf.DUMMYFUNCTION("""COMPUTED_VALUE"""),"Ecuador")</f>
        <v>Ecuador</v>
      </c>
      <c r="B84" s="37">
        <f>IFERROR(__xludf.DUMMYFUNCTION("""COMPUTED_VALUE"""),298989.0)</f>
        <v>298989</v>
      </c>
      <c r="C84" s="37">
        <f>IFERROR(__xludf.DUMMYFUNCTION("""COMPUTED_VALUE"""),1.7781537E7)</f>
        <v>17781537</v>
      </c>
      <c r="D84" s="38">
        <f>IFERROR(__xludf.DUMMYFUNCTION("""COMPUTED_VALUE"""),2021.0)</f>
        <v>2021</v>
      </c>
      <c r="E84" s="39">
        <f>IFERROR(__xludf.DUMMYFUNCTION("""COMPUTED_VALUE"""),0.01681457570287653)</f>
        <v>0.0168145757</v>
      </c>
      <c r="F84" s="39">
        <f>IFERROR(__xludf.DUMMYFUNCTION("""COMPUTED_VALUE"""),0.015560027517127527)</f>
        <v>0.01556002752</v>
      </c>
      <c r="G84" s="37"/>
      <c r="H84" s="37"/>
      <c r="I84" s="37"/>
      <c r="J84" s="37"/>
      <c r="K84" s="37"/>
      <c r="L84" s="39"/>
      <c r="M84" s="39"/>
      <c r="N84" s="39"/>
    </row>
    <row r="85" hidden="1">
      <c r="A85" s="38" t="str">
        <f>IFERROR(__xludf.DUMMYFUNCTION("""COMPUTED_VALUE"""),"pais")</f>
        <v>pais</v>
      </c>
      <c r="B85" s="37"/>
      <c r="C85" s="37"/>
      <c r="D85" s="38"/>
      <c r="E85" s="39"/>
      <c r="F85" s="39"/>
      <c r="G85" s="37"/>
      <c r="H85" s="37"/>
      <c r="I85" s="37"/>
      <c r="J85" s="37"/>
      <c r="K85" s="37"/>
      <c r="L85" s="39"/>
      <c r="M85" s="39"/>
      <c r="N85" s="39"/>
    </row>
    <row r="86">
      <c r="A86" s="40" t="str">
        <f>IFERROR(__xludf.DUMMYFUNCTION("""COMPUTED_VALUE"""),"Mexico")</f>
        <v>Mexico</v>
      </c>
      <c r="B86" s="37">
        <f>IFERROR(__xludf.DUMMYFUNCTION("""COMPUTED_VALUE"""),2350590.0)</f>
        <v>2350590</v>
      </c>
      <c r="C86" s="37">
        <f>IFERROR(__xludf.DUMMYFUNCTION("""COMPUTED_VALUE"""),1.00997156E8)</f>
        <v>100997156</v>
      </c>
      <c r="D86" s="38">
        <f>IFERROR(__xludf.DUMMYFUNCTION("""COMPUTED_VALUE"""),2002.0)</f>
        <v>2002</v>
      </c>
      <c r="E86" s="39">
        <f>IFERROR(__xludf.DUMMYFUNCTION("""COMPUTED_VALUE"""),0.02327382367083683)</f>
        <v>0.02327382367</v>
      </c>
      <c r="F86" s="39">
        <f>IFERROR(__xludf.DUMMYFUNCTION("""COMPUTED_VALUE"""),0.01397936413571462)</f>
        <v>0.01397936414</v>
      </c>
      <c r="G86" s="37">
        <f>IFERROR(__xludf.DUMMYFUNCTION("""COMPUTED_VALUE"""),3.38609217702E7)</f>
        <v>33860921.77</v>
      </c>
      <c r="H86" s="37">
        <f>IFERROR(__xludf.DUMMYFUNCTION("""COMPUTED_VALUE"""),7.243450444919999E7)</f>
        <v>72434504.45</v>
      </c>
      <c r="I86" s="37">
        <f>IFERROR(__xludf.DUMMYFUNCTION("""COMPUTED_VALUE"""),6989691.7806)</f>
        <v>6989691.781</v>
      </c>
      <c r="J86" s="37">
        <f>IFERROR(__xludf.DUMMYFUNCTION("""COMPUTED_VALUE"""),2010.0)</f>
        <v>2010</v>
      </c>
      <c r="K86" s="37">
        <f>IFERROR(__xludf.DUMMYFUNCTION("""COMPUTED_VALUE"""),993277.4159052672)</f>
        <v>993277.4159</v>
      </c>
      <c r="L86" s="39">
        <f>IFERROR(__xludf.DUMMYFUNCTION("""COMPUTED_VALUE"""),0.29890000000000005)</f>
        <v>0.2989</v>
      </c>
      <c r="M86" s="39">
        <f>IFERROR(__xludf.DUMMYFUNCTION("""COMPUTED_VALUE"""),0.6394)</f>
        <v>0.6394</v>
      </c>
      <c r="N86" s="39">
        <f>IFERROR(__xludf.DUMMYFUNCTION("""COMPUTED_VALUE"""),0.06170000000000001)</f>
        <v>0.0617</v>
      </c>
    </row>
    <row r="87">
      <c r="A87" s="40" t="str">
        <f>IFERROR(__xludf.DUMMYFUNCTION("""COMPUTED_VALUE"""),"Mexico")</f>
        <v>Mexico</v>
      </c>
      <c r="B87" s="37">
        <f>IFERROR(__xludf.DUMMYFUNCTION("""COMPUTED_VALUE"""),2339268.0)</f>
        <v>2339268</v>
      </c>
      <c r="C87" s="37">
        <f>IFERROR(__xludf.DUMMYFUNCTION("""COMPUTED_VALUE"""),1.0238863E8)</f>
        <v>102388630</v>
      </c>
      <c r="D87" s="38">
        <f>IFERROR(__xludf.DUMMYFUNCTION("""COMPUTED_VALUE"""),2003.0)</f>
        <v>2003</v>
      </c>
      <c r="E87" s="39">
        <f>IFERROR(__xludf.DUMMYFUNCTION("""COMPUTED_VALUE"""),0.02284695087726049)</f>
        <v>0.02284695088</v>
      </c>
      <c r="F87" s="39">
        <f>IFERROR(__xludf.DUMMYFUNCTION("""COMPUTED_VALUE"""),0.013777358245612381)</f>
        <v>0.01377735825</v>
      </c>
      <c r="G87" s="37">
        <f>IFERROR(__xludf.DUMMYFUNCTION("""COMPUTED_VALUE"""),3.34392636831E7)</f>
        <v>33439263.68</v>
      </c>
      <c r="H87" s="37">
        <f>IFERROR(__xludf.DUMMYFUNCTION("""COMPUTED_VALUE"""),7.92199289211E7)</f>
        <v>79219928.92</v>
      </c>
      <c r="I87" s="37">
        <f>IFERROR(__xludf.DUMMYFUNCTION("""COMPUTED_VALUE"""),8453678.3958)</f>
        <v>8453678.396</v>
      </c>
      <c r="J87" s="37">
        <f>IFERROR(__xludf.DUMMYFUNCTION("""COMPUTED_VALUE"""),2015.0)</f>
        <v>2015</v>
      </c>
      <c r="K87" s="37"/>
      <c r="L87" s="39">
        <f>IFERROR(__xludf.DUMMYFUNCTION("""COMPUTED_VALUE"""),0.2761)</f>
        <v>0.2761</v>
      </c>
      <c r="M87" s="39">
        <f>IFERROR(__xludf.DUMMYFUNCTION("""COMPUTED_VALUE"""),0.6541)</f>
        <v>0.6541</v>
      </c>
      <c r="N87" s="39">
        <f>IFERROR(__xludf.DUMMYFUNCTION("""COMPUTED_VALUE"""),0.0698)</f>
        <v>0.0698</v>
      </c>
    </row>
    <row r="88">
      <c r="A88" s="40" t="str">
        <f>IFERROR(__xludf.DUMMYFUNCTION("""COMPUTED_VALUE"""),"Mexico")</f>
        <v>Mexico</v>
      </c>
      <c r="B88" s="37">
        <f>IFERROR(__xludf.DUMMYFUNCTION("""COMPUTED_VALUE"""),2326284.0)</f>
        <v>2326284</v>
      </c>
      <c r="C88" s="37">
        <f>IFERROR(__xludf.DUMMYFUNCTION("""COMPUTED_VALUE"""),1.03801895E8)</f>
        <v>103801895</v>
      </c>
      <c r="D88" s="38">
        <f>IFERROR(__xludf.DUMMYFUNCTION("""COMPUTED_VALUE"""),2004.0)</f>
        <v>2004</v>
      </c>
      <c r="E88" s="39">
        <f>IFERROR(__xludf.DUMMYFUNCTION("""COMPUTED_VALUE"""),0.022410804735308543)</f>
        <v>0.02241080474</v>
      </c>
      <c r="F88" s="39">
        <f>IFERROR(__xludf.DUMMYFUNCTION("""COMPUTED_VALUE"""),0.01380294862818264)</f>
        <v>0.01380294863</v>
      </c>
      <c r="G88" s="37">
        <f>IFERROR(__xludf.DUMMYFUNCTION("""COMPUTED_VALUE"""),3.2500538936600003E7)</f>
        <v>32500538.94</v>
      </c>
      <c r="H88" s="37">
        <f>IFERROR(__xludf.DUMMYFUNCTION("""COMPUTED_VALUE"""),8.54710305736E7)</f>
        <v>85471030.57</v>
      </c>
      <c r="I88" s="37">
        <f>IFERROR(__xludf.DUMMYFUNCTION("""COMPUTED_VALUE"""),1.0286279489799999E7)</f>
        <v>10286279.49</v>
      </c>
      <c r="J88" s="37">
        <f>IFERROR(__xludf.DUMMYFUNCTION("""COMPUTED_VALUE"""),2020.0)</f>
        <v>2020</v>
      </c>
      <c r="K88" s="37"/>
      <c r="L88" s="39">
        <f>IFERROR(__xludf.DUMMYFUNCTION("""COMPUTED_VALUE"""),0.2534)</f>
        <v>0.2534</v>
      </c>
      <c r="M88" s="39">
        <f>IFERROR(__xludf.DUMMYFUNCTION("""COMPUTED_VALUE"""),0.6664)</f>
        <v>0.6664</v>
      </c>
      <c r="N88" s="39">
        <f>IFERROR(__xludf.DUMMYFUNCTION("""COMPUTED_VALUE"""),0.0802)</f>
        <v>0.0802</v>
      </c>
    </row>
    <row r="89">
      <c r="A89" s="40" t="str">
        <f>IFERROR(__xludf.DUMMYFUNCTION("""COMPUTED_VALUE"""),"Mexico")</f>
        <v>Mexico</v>
      </c>
      <c r="B89" s="37">
        <f>IFERROR(__xludf.DUMMYFUNCTION("""COMPUTED_VALUE"""),2312543.0)</f>
        <v>2312543</v>
      </c>
      <c r="C89" s="37">
        <f>IFERROR(__xludf.DUMMYFUNCTION("""COMPUTED_VALUE"""),1.05266191E8)</f>
        <v>105266191</v>
      </c>
      <c r="D89" s="38">
        <f>IFERROR(__xludf.DUMMYFUNCTION("""COMPUTED_VALUE"""),2005.0)</f>
        <v>2005</v>
      </c>
      <c r="E89" s="39">
        <f>IFERROR(__xludf.DUMMYFUNCTION("""COMPUTED_VALUE"""),0.021968525487922327)</f>
        <v>0.02196852549</v>
      </c>
      <c r="F89" s="39">
        <f>IFERROR(__xludf.DUMMYFUNCTION("""COMPUTED_VALUE"""),0.014106640346016804)</f>
        <v>0.01410664035</v>
      </c>
      <c r="G89" s="37"/>
      <c r="H89" s="37"/>
      <c r="I89" s="37"/>
      <c r="J89" s="37"/>
      <c r="K89" s="37"/>
      <c r="L89" s="39"/>
      <c r="M89" s="39"/>
      <c r="N89" s="39"/>
    </row>
    <row r="90">
      <c r="A90" s="40" t="str">
        <f>IFERROR(__xludf.DUMMYFUNCTION("""COMPUTED_VALUE"""),"Mexico")</f>
        <v>Mexico</v>
      </c>
      <c r="B90" s="37">
        <f>IFERROR(__xludf.DUMMYFUNCTION("""COMPUTED_VALUE"""),2296928.0)</f>
        <v>2296928</v>
      </c>
      <c r="C90" s="37">
        <f>IFERROR(__xludf.DUMMYFUNCTION("""COMPUTED_VALUE"""),1.06789067E8)</f>
        <v>106789067</v>
      </c>
      <c r="D90" s="38">
        <f>IFERROR(__xludf.DUMMYFUNCTION("""COMPUTED_VALUE"""),2006.0)</f>
        <v>2006</v>
      </c>
      <c r="E90" s="39">
        <f>IFERROR(__xludf.DUMMYFUNCTION("""COMPUTED_VALUE"""),0.02150901833424577)</f>
        <v>0.02150901833</v>
      </c>
      <c r="F90" s="39">
        <f>IFERROR(__xludf.DUMMYFUNCTION("""COMPUTED_VALUE"""),0.014466905143361746)</f>
        <v>0.01446690514</v>
      </c>
      <c r="G90" s="37"/>
      <c r="H90" s="37"/>
      <c r="I90" s="37"/>
      <c r="J90" s="37"/>
      <c r="K90" s="37"/>
      <c r="L90" s="39"/>
      <c r="M90" s="39"/>
      <c r="N90" s="39"/>
    </row>
    <row r="91">
      <c r="A91" s="40" t="str">
        <f>IFERROR(__xludf.DUMMYFUNCTION("""COMPUTED_VALUE"""),"Mexico")</f>
        <v>Mexico</v>
      </c>
      <c r="B91" s="37">
        <f>IFERROR(__xludf.DUMMYFUNCTION("""COMPUTED_VALUE"""),2286462.0)</f>
        <v>2286462</v>
      </c>
      <c r="C91" s="37">
        <f>IFERROR(__xludf.DUMMYFUNCTION("""COMPUTED_VALUE"""),1.08371947E8)</f>
        <v>108371947</v>
      </c>
      <c r="D91" s="38">
        <f>IFERROR(__xludf.DUMMYFUNCTION("""COMPUTED_VALUE"""),2007.0)</f>
        <v>2007</v>
      </c>
      <c r="E91" s="39">
        <f>IFERROR(__xludf.DUMMYFUNCTION("""COMPUTED_VALUE"""),0.021098282934789388)</f>
        <v>0.02109828293</v>
      </c>
      <c r="F91" s="39">
        <f>IFERROR(__xludf.DUMMYFUNCTION("""COMPUTED_VALUE"""),0.014822491145090724)</f>
        <v>0.01482249115</v>
      </c>
      <c r="G91" s="37"/>
      <c r="H91" s="37"/>
      <c r="I91" s="37"/>
      <c r="J91" s="37"/>
      <c r="K91" s="37"/>
      <c r="L91" s="39"/>
      <c r="M91" s="39"/>
      <c r="N91" s="39"/>
    </row>
    <row r="92">
      <c r="A92" s="40" t="str">
        <f>IFERROR(__xludf.DUMMYFUNCTION("""COMPUTED_VALUE"""),"Mexico")</f>
        <v>Mexico</v>
      </c>
      <c r="B92" s="37">
        <f>IFERROR(__xludf.DUMMYFUNCTION("""COMPUTED_VALUE"""),2279101.0)</f>
        <v>2279101</v>
      </c>
      <c r="C92" s="37">
        <f>IFERROR(__xludf.DUMMYFUNCTION("""COMPUTED_VALUE"""),1.09997381E8)</f>
        <v>109997381</v>
      </c>
      <c r="D92" s="38">
        <f>IFERROR(__xludf.DUMMYFUNCTION("""COMPUTED_VALUE"""),2008.0)</f>
        <v>2008</v>
      </c>
      <c r="E92" s="39">
        <f>IFERROR(__xludf.DUMMYFUNCTION("""COMPUTED_VALUE"""),0.020719593314680828)</f>
        <v>0.02071959331</v>
      </c>
      <c r="F92" s="39">
        <f>IFERROR(__xludf.DUMMYFUNCTION("""COMPUTED_VALUE"""),0.014998660123731099)</f>
        <v>0.01499866012</v>
      </c>
      <c r="G92" s="37"/>
      <c r="H92" s="37"/>
      <c r="I92" s="37"/>
      <c r="J92" s="37"/>
      <c r="K92" s="37"/>
      <c r="L92" s="39"/>
      <c r="M92" s="39"/>
      <c r="N92" s="39"/>
    </row>
    <row r="93">
      <c r="A93" s="40" t="str">
        <f>IFERROR(__xludf.DUMMYFUNCTION("""COMPUTED_VALUE"""),"Mexico")</f>
        <v>Mexico</v>
      </c>
      <c r="B93" s="37">
        <f>IFERROR(__xludf.DUMMYFUNCTION("""COMPUTED_VALUE"""),2273032.0)</f>
        <v>2273032</v>
      </c>
      <c r="C93" s="37">
        <f>IFERROR(__xludf.DUMMYFUNCTION("""COMPUTED_VALUE"""),1.11646354E8)</f>
        <v>111646354</v>
      </c>
      <c r="D93" s="38">
        <f>IFERROR(__xludf.DUMMYFUNCTION("""COMPUTED_VALUE"""),2009.0)</f>
        <v>2009</v>
      </c>
      <c r="E93" s="39">
        <f>IFERROR(__xludf.DUMMYFUNCTION("""COMPUTED_VALUE"""),0.020359213879926612)</f>
        <v>0.02035921388</v>
      </c>
      <c r="F93" s="39">
        <f>IFERROR(__xludf.DUMMYFUNCTION("""COMPUTED_VALUE"""),0.014991020558934944)</f>
        <v>0.01499102056</v>
      </c>
      <c r="G93" s="37"/>
      <c r="H93" s="37"/>
      <c r="I93" s="37"/>
      <c r="J93" s="37"/>
      <c r="K93" s="37"/>
      <c r="L93" s="39"/>
      <c r="M93" s="39"/>
      <c r="N93" s="39"/>
    </row>
    <row r="94">
      <c r="A94" s="40" t="str">
        <f>IFERROR(__xludf.DUMMYFUNCTION("""COMPUTED_VALUE"""),"Mexico")</f>
        <v>Mexico</v>
      </c>
      <c r="B94" s="37">
        <f>IFERROR(__xludf.DUMMYFUNCTION("""COMPUTED_VALUE"""),2268110.0)</f>
        <v>2268110</v>
      </c>
      <c r="C94" s="37">
        <f>IFERROR(__xludf.DUMMYFUNCTION("""COMPUTED_VALUE"""),1.13285118E8)</f>
        <v>113285118</v>
      </c>
      <c r="D94" s="38">
        <f>IFERROR(__xludf.DUMMYFUNCTION("""COMPUTED_VALUE"""),2010.0)</f>
        <v>2010</v>
      </c>
      <c r="E94" s="39">
        <f>IFERROR(__xludf.DUMMYFUNCTION("""COMPUTED_VALUE"""),0.020021252923971885)</f>
        <v>0.02002125292</v>
      </c>
      <c r="F94" s="39">
        <f>IFERROR(__xludf.DUMMYFUNCTION("""COMPUTED_VALUE"""),0.014678168532041808)</f>
        <v>0.01467816853</v>
      </c>
      <c r="G94" s="37"/>
      <c r="H94" s="37"/>
      <c r="I94" s="37"/>
      <c r="J94" s="37"/>
      <c r="K94" s="37"/>
      <c r="L94" s="39"/>
      <c r="M94" s="39"/>
      <c r="N94" s="39"/>
    </row>
    <row r="95">
      <c r="A95" s="40" t="str">
        <f>IFERROR(__xludf.DUMMYFUNCTION("""COMPUTED_VALUE"""),"Mexico")</f>
        <v>Mexico</v>
      </c>
      <c r="B95" s="37">
        <f>IFERROR(__xludf.DUMMYFUNCTION("""COMPUTED_VALUE"""),2273571.0)</f>
        <v>2273571</v>
      </c>
      <c r="C95" s="37">
        <f>IFERROR(__xludf.DUMMYFUNCTION("""COMPUTED_VALUE"""),1.149008E8)</f>
        <v>114900800</v>
      </c>
      <c r="D95" s="38">
        <f>IFERROR(__xludf.DUMMYFUNCTION("""COMPUTED_VALUE"""),2011.0)</f>
        <v>2011</v>
      </c>
      <c r="E95" s="39">
        <f>IFERROR(__xludf.DUMMYFUNCTION("""COMPUTED_VALUE"""),0.019787251263698773)</f>
        <v>0.01978725126</v>
      </c>
      <c r="F95" s="39">
        <f>IFERROR(__xludf.DUMMYFUNCTION("""COMPUTED_VALUE"""),0.014262085157557941)</f>
        <v>0.01426208516</v>
      </c>
      <c r="G95" s="37"/>
      <c r="H95" s="37"/>
      <c r="I95" s="37"/>
      <c r="J95" s="37"/>
      <c r="K95" s="37"/>
      <c r="L95" s="39"/>
      <c r="M95" s="39"/>
      <c r="N95" s="39"/>
    </row>
    <row r="96">
      <c r="A96" s="40" t="str">
        <f>IFERROR(__xludf.DUMMYFUNCTION("""COMPUTED_VALUE"""),"Mexico")</f>
        <v>Mexico</v>
      </c>
      <c r="B96" s="37">
        <f>IFERROR(__xludf.DUMMYFUNCTION("""COMPUTED_VALUE"""),2273326.0)</f>
        <v>2273326</v>
      </c>
      <c r="C96" s="37">
        <f>IFERROR(__xludf.DUMMYFUNCTION("""COMPUTED_VALUE"""),1.16489125E8)</f>
        <v>116489125</v>
      </c>
      <c r="D96" s="38">
        <f>IFERROR(__xludf.DUMMYFUNCTION("""COMPUTED_VALUE"""),2012.0)</f>
        <v>2012</v>
      </c>
      <c r="E96" s="39">
        <f>IFERROR(__xludf.DUMMYFUNCTION("""COMPUTED_VALUE"""),0.019515349608815416)</f>
        <v>0.01951534961</v>
      </c>
      <c r="F96" s="39">
        <f>IFERROR(__xludf.DUMMYFUNCTION("""COMPUTED_VALUE"""),0.013823445963822706)</f>
        <v>0.01382344596</v>
      </c>
      <c r="G96" s="37"/>
      <c r="H96" s="37"/>
      <c r="I96" s="37"/>
      <c r="J96" s="37"/>
      <c r="K96" s="37"/>
      <c r="L96" s="39"/>
      <c r="M96" s="39"/>
      <c r="N96" s="39"/>
    </row>
    <row r="97">
      <c r="A97" s="40" t="str">
        <f>IFERROR(__xludf.DUMMYFUNCTION("""COMPUTED_VALUE"""),"Mexico")</f>
        <v>Mexico</v>
      </c>
      <c r="B97" s="37">
        <f>IFERROR(__xludf.DUMMYFUNCTION("""COMPUTED_VALUE"""),2267699.0)</f>
        <v>2267699</v>
      </c>
      <c r="C97" s="37">
        <f>IFERROR(__xludf.DUMMYFUNCTION("""COMPUTED_VALUE"""),1.18057039E8)</f>
        <v>118057039</v>
      </c>
      <c r="D97" s="38">
        <f>IFERROR(__xludf.DUMMYFUNCTION("""COMPUTED_VALUE"""),2013.0)</f>
        <v>2013</v>
      </c>
      <c r="E97" s="39">
        <f>IFERROR(__xludf.DUMMYFUNCTION("""COMPUTED_VALUE"""),0.01920850310331771)</f>
        <v>0.0192085031</v>
      </c>
      <c r="F97" s="39">
        <f>IFERROR(__xludf.DUMMYFUNCTION("""COMPUTED_VALUE"""),0.013459745705875978)</f>
        <v>0.01345974571</v>
      </c>
      <c r="G97" s="37"/>
      <c r="H97" s="37"/>
      <c r="I97" s="37"/>
      <c r="J97" s="37"/>
      <c r="K97" s="37"/>
      <c r="L97" s="39"/>
      <c r="M97" s="39"/>
      <c r="N97" s="39"/>
    </row>
    <row r="98">
      <c r="A98" s="40" t="str">
        <f>IFERROR(__xludf.DUMMYFUNCTION("""COMPUTED_VALUE"""),"Mexico")</f>
        <v>Mexico</v>
      </c>
      <c r="B98" s="37">
        <f>IFERROR(__xludf.DUMMYFUNCTION("""COMPUTED_VALUE"""),2222905.0)</f>
        <v>2222905</v>
      </c>
      <c r="C98" s="37">
        <f>IFERROR(__xludf.DUMMYFUNCTION("""COMPUTED_VALUE"""),1.19597427E8)</f>
        <v>119597427</v>
      </c>
      <c r="D98" s="38">
        <f>IFERROR(__xludf.DUMMYFUNCTION("""COMPUTED_VALUE"""),2014.0)</f>
        <v>2014</v>
      </c>
      <c r="E98" s="39">
        <f>IFERROR(__xludf.DUMMYFUNCTION("""COMPUTED_VALUE"""),0.01858656206709196)</f>
        <v>0.01858656207</v>
      </c>
      <c r="F98" s="39">
        <f>IFERROR(__xludf.DUMMYFUNCTION("""COMPUTED_VALUE"""),0.013047828516180218)</f>
        <v>0.01304782852</v>
      </c>
      <c r="G98" s="37"/>
      <c r="H98" s="37"/>
      <c r="I98" s="37"/>
      <c r="J98" s="37"/>
      <c r="K98" s="37"/>
      <c r="L98" s="39"/>
      <c r="M98" s="39"/>
      <c r="N98" s="39"/>
    </row>
    <row r="99">
      <c r="A99" s="40" t="str">
        <f>IFERROR(__xludf.DUMMYFUNCTION("""COMPUTED_VALUE"""),"Mexico")</f>
        <v>Mexico</v>
      </c>
      <c r="B99" s="37">
        <f>IFERROR(__xludf.DUMMYFUNCTION("""COMPUTED_VALUE"""),2159314.0)</f>
        <v>2159314</v>
      </c>
      <c r="C99" s="37">
        <f>IFERROR(__xludf.DUMMYFUNCTION("""COMPUTED_VALUE"""),1.21112871E8)</f>
        <v>121112871</v>
      </c>
      <c r="D99" s="38">
        <f>IFERROR(__xludf.DUMMYFUNCTION("""COMPUTED_VALUE"""),2015.0)</f>
        <v>2015</v>
      </c>
      <c r="E99" s="39">
        <f>IFERROR(__xludf.DUMMYFUNCTION("""COMPUTED_VALUE"""),0.017828939089388773)</f>
        <v>0.01782893909</v>
      </c>
      <c r="F99" s="39">
        <f>IFERROR(__xludf.DUMMYFUNCTION("""COMPUTED_VALUE"""),0.01267120905535869)</f>
        <v>0.01267120906</v>
      </c>
      <c r="G99" s="37"/>
      <c r="H99" s="37"/>
      <c r="I99" s="37"/>
      <c r="J99" s="37"/>
      <c r="K99" s="37"/>
      <c r="L99" s="39"/>
      <c r="M99" s="39"/>
      <c r="N99" s="39"/>
    </row>
    <row r="100">
      <c r="A100" s="40" t="str">
        <f>IFERROR(__xludf.DUMMYFUNCTION("""COMPUTED_VALUE"""),"Mexico")</f>
        <v>Mexico</v>
      </c>
      <c r="B100" s="37">
        <f>IFERROR(__xludf.DUMMYFUNCTION("""COMPUTED_VALUE"""),2116264.0)</f>
        <v>2116264</v>
      </c>
      <c r="C100" s="37">
        <f>IFERROR(__xludf.DUMMYFUNCTION("""COMPUTED_VALUE"""),1.22599845E8)</f>
        <v>122599845</v>
      </c>
      <c r="D100" s="38">
        <f>IFERROR(__xludf.DUMMYFUNCTION("""COMPUTED_VALUE"""),2016.0)</f>
        <v>2016</v>
      </c>
      <c r="E100" s="39">
        <f>IFERROR(__xludf.DUMMYFUNCTION("""COMPUTED_VALUE"""),0.017261555265424684)</f>
        <v>0.01726155527</v>
      </c>
      <c r="F100" s="39">
        <f>IFERROR(__xludf.DUMMYFUNCTION("""COMPUTED_VALUE"""),0.012277588564472227)</f>
        <v>0.01227758856</v>
      </c>
      <c r="G100" s="37"/>
      <c r="H100" s="37"/>
      <c r="I100" s="37"/>
      <c r="J100" s="37"/>
      <c r="K100" s="37"/>
      <c r="L100" s="39"/>
      <c r="M100" s="39"/>
      <c r="N100" s="39"/>
    </row>
    <row r="101">
      <c r="A101" s="40" t="str">
        <f>IFERROR(__xludf.DUMMYFUNCTION("""COMPUTED_VALUE"""),"Mexico")</f>
        <v>Mexico</v>
      </c>
      <c r="B101" s="37">
        <f>IFERROR(__xludf.DUMMYFUNCTION("""COMPUTED_VALUE"""),2081548.1)</f>
        <v>2081548.1</v>
      </c>
      <c r="C101" s="37">
        <f>IFERROR(__xludf.DUMMYFUNCTION("""COMPUTED_VALUE"""),1.24061287E8)</f>
        <v>124061287</v>
      </c>
      <c r="D101" s="38">
        <f>IFERROR(__xludf.DUMMYFUNCTION("""COMPUTED_VALUE"""),2017.0)</f>
        <v>2017</v>
      </c>
      <c r="E101" s="39">
        <f>IFERROR(__xludf.DUMMYFUNCTION("""COMPUTED_VALUE"""),0.016778385508768742)</f>
        <v>0.01677838551</v>
      </c>
      <c r="F101" s="39">
        <f>IFERROR(__xludf.DUMMYFUNCTION("""COMPUTED_VALUE"""),0.01192042290102406)</f>
        <v>0.0119204229</v>
      </c>
      <c r="G101" s="37"/>
      <c r="H101" s="37"/>
      <c r="I101" s="37"/>
      <c r="J101" s="37"/>
      <c r="K101" s="37"/>
      <c r="L101" s="39"/>
      <c r="M101" s="39"/>
      <c r="N101" s="39"/>
    </row>
    <row r="102">
      <c r="A102" s="40" t="str">
        <f>IFERROR(__xludf.DUMMYFUNCTION("""COMPUTED_VALUE"""),"Mexico")</f>
        <v>Mexico</v>
      </c>
      <c r="B102" s="37">
        <f>IFERROR(__xludf.DUMMYFUNCTION("""COMPUTED_VALUE"""),2042458.0)</f>
        <v>2042458</v>
      </c>
      <c r="C102" s="37">
        <f>IFERROR(__xludf.DUMMYFUNCTION("""COMPUTED_VALUE"""),1.25489863E8)</f>
        <v>125489863</v>
      </c>
      <c r="D102" s="38">
        <f>IFERROR(__xludf.DUMMYFUNCTION("""COMPUTED_VALUE"""),2018.0)</f>
        <v>2018</v>
      </c>
      <c r="E102" s="39">
        <f>IFERROR(__xludf.DUMMYFUNCTION("""COMPUTED_VALUE"""),0.016275880387246897)</f>
        <v>0.01627588039</v>
      </c>
      <c r="F102" s="39">
        <f>IFERROR(__xludf.DUMMYFUNCTION("""COMPUTED_VALUE"""),0.011515082863842932)</f>
        <v>0.01151508286</v>
      </c>
      <c r="G102" s="37"/>
      <c r="H102" s="37"/>
      <c r="I102" s="37"/>
      <c r="J102" s="37"/>
      <c r="K102" s="37"/>
      <c r="L102" s="39"/>
      <c r="M102" s="39"/>
      <c r="N102" s="39"/>
    </row>
    <row r="103">
      <c r="A103" s="40" t="str">
        <f>IFERROR(__xludf.DUMMYFUNCTION("""COMPUTED_VALUE"""),"Mexico")</f>
        <v>Mexico</v>
      </c>
      <c r="B103" s="37">
        <f>IFERROR(__xludf.DUMMYFUNCTION("""COMPUTED_VALUE"""),1965139.0)</f>
        <v>1965139</v>
      </c>
      <c r="C103" s="37">
        <f>IFERROR(__xludf.DUMMYFUNCTION("""COMPUTED_VALUE"""),1.26888846E8)</f>
        <v>126888846</v>
      </c>
      <c r="D103" s="38">
        <f>IFERROR(__xludf.DUMMYFUNCTION("""COMPUTED_VALUE"""),2019.0)</f>
        <v>2019</v>
      </c>
      <c r="E103" s="39">
        <f>IFERROR(__xludf.DUMMYFUNCTION("""COMPUTED_VALUE"""),0.015487090173394752)</f>
        <v>0.01548709017</v>
      </c>
      <c r="F103" s="39">
        <f>IFERROR(__xludf.DUMMYFUNCTION("""COMPUTED_VALUE"""),0.011148175370946098)</f>
        <v>0.01114817537</v>
      </c>
      <c r="G103" s="37"/>
      <c r="H103" s="37"/>
      <c r="I103" s="37"/>
      <c r="J103" s="37"/>
      <c r="K103" s="37"/>
      <c r="L103" s="39"/>
      <c r="M103" s="39"/>
      <c r="N103" s="39"/>
    </row>
    <row r="104">
      <c r="A104" s="40" t="str">
        <f>IFERROR(__xludf.DUMMYFUNCTION("""COMPUTED_VALUE"""),"Mexico")</f>
        <v>Mexico</v>
      </c>
      <c r="B104" s="37">
        <f>IFERROR(__xludf.DUMMYFUNCTION("""COMPUTED_VALUE"""),1961267.0)</f>
        <v>1961267</v>
      </c>
      <c r="C104" s="37">
        <f>IFERROR(__xludf.DUMMYFUNCTION("""COMPUTED_VALUE"""),1.28257849E8)</f>
        <v>128257849</v>
      </c>
      <c r="D104" s="38">
        <f>IFERROR(__xludf.DUMMYFUNCTION("""COMPUTED_VALUE"""),2020.0)</f>
        <v>2020</v>
      </c>
      <c r="E104" s="39">
        <f>IFERROR(__xludf.DUMMYFUNCTION("""COMPUTED_VALUE"""),0.015291594356927037)</f>
        <v>0.01529159436</v>
      </c>
      <c r="F104" s="39">
        <f>IFERROR(__xludf.DUMMYFUNCTION("""COMPUTED_VALUE"""),0.010788994014493599)</f>
        <v>0.01078899401</v>
      </c>
      <c r="G104" s="37"/>
      <c r="H104" s="37"/>
      <c r="I104" s="37"/>
      <c r="J104" s="37"/>
      <c r="K104" s="37"/>
      <c r="L104" s="39"/>
      <c r="M104" s="39"/>
      <c r="N104" s="39"/>
    </row>
    <row r="105">
      <c r="A105" s="40" t="str">
        <f>IFERROR(__xludf.DUMMYFUNCTION("""COMPUTED_VALUE"""),"Mexico")</f>
        <v>Mexico</v>
      </c>
      <c r="B105" s="37">
        <f>IFERROR(__xludf.DUMMYFUNCTION("""COMPUTED_VALUE"""),1882362.0)</f>
        <v>1882362</v>
      </c>
      <c r="C105" s="37">
        <f>IFERROR(__xludf.DUMMYFUNCTION("""COMPUTED_VALUE"""),1.30012416E8)</f>
        <v>130012416</v>
      </c>
      <c r="D105" s="38">
        <f>IFERROR(__xludf.DUMMYFUNCTION("""COMPUTED_VALUE"""),2021.0)</f>
        <v>2021</v>
      </c>
      <c r="E105" s="39">
        <f>IFERROR(__xludf.DUMMYFUNCTION("""COMPUTED_VALUE"""),0.014478324900907925)</f>
        <v>0.0144783249</v>
      </c>
      <c r="F105" s="39">
        <f>IFERROR(__xludf.DUMMYFUNCTION("""COMPUTED_VALUE"""),0.01367999708150415)</f>
        <v>0.01367999708</v>
      </c>
      <c r="G105" s="37"/>
      <c r="H105" s="37"/>
      <c r="I105" s="37"/>
      <c r="J105" s="37"/>
      <c r="K105" s="37"/>
      <c r="L105" s="39"/>
      <c r="M105" s="39"/>
      <c r="N105" s="39"/>
    </row>
    <row r="106" hidden="1">
      <c r="A106" s="38" t="str">
        <f>IFERROR(__xludf.DUMMYFUNCTION("""COMPUTED_VALUE"""),"pais")</f>
        <v>pais</v>
      </c>
      <c r="B106" s="37"/>
      <c r="C106" s="37"/>
      <c r="D106" s="38"/>
      <c r="E106" s="39"/>
      <c r="F106" s="39"/>
      <c r="G106" s="37"/>
      <c r="H106" s="37"/>
      <c r="I106" s="37"/>
      <c r="J106" s="37"/>
      <c r="K106" s="37"/>
      <c r="L106" s="39"/>
      <c r="M106" s="39"/>
      <c r="N106" s="39"/>
    </row>
    <row r="107">
      <c r="A107" s="40" t="str">
        <f>IFERROR(__xludf.DUMMYFUNCTION("""COMPUTED_VALUE"""),"Peru")</f>
        <v>Peru</v>
      </c>
      <c r="B107" s="37">
        <f>IFERROR(__xludf.DUMMYFUNCTION("""COMPUTED_VALUE"""),616261.0)</f>
        <v>616261</v>
      </c>
      <c r="C107" s="37">
        <f>IFERROR(__xludf.DUMMYFUNCTION("""COMPUTED_VALUE"""),2.6951366E7)</f>
        <v>26951366</v>
      </c>
      <c r="D107" s="38">
        <f>IFERROR(__xludf.DUMMYFUNCTION("""COMPUTED_VALUE"""),2002.0)</f>
        <v>2002</v>
      </c>
      <c r="E107" s="39">
        <f>IFERROR(__xludf.DUMMYFUNCTION("""COMPUTED_VALUE"""),0.022865668478547617)</f>
        <v>0.02286566848</v>
      </c>
      <c r="F107" s="39">
        <f>IFERROR(__xludf.DUMMYFUNCTION("""COMPUTED_VALUE"""),0.012029396856168923)</f>
        <v>0.01202939686</v>
      </c>
      <c r="G107" s="37">
        <f>IFERROR(__xludf.DUMMYFUNCTION("""COMPUTED_VALUE"""),8621301.0534)</f>
        <v>8621301.053</v>
      </c>
      <c r="H107" s="37">
        <f>IFERROR(__xludf.DUMMYFUNCTION("""COMPUTED_VALUE"""),1.82226896511E7)</f>
        <v>18222689.65</v>
      </c>
      <c r="I107" s="37">
        <f>IFERROR(__xludf.DUMMYFUNCTION("""COMPUTED_VALUE"""),2067146.2955000002)</f>
        <v>2067146.296</v>
      </c>
      <c r="J107" s="37">
        <f>IFERROR(__xludf.DUMMYFUNCTION("""COMPUTED_VALUE"""),2010.0)</f>
        <v>2010</v>
      </c>
      <c r="K107" s="37">
        <f>IFERROR(__xludf.DUMMYFUNCTION("""COMPUTED_VALUE"""),293391.30781333)</f>
        <v>293391.3078</v>
      </c>
      <c r="L107" s="39">
        <f>IFERROR(__xludf.DUMMYFUNCTION("""COMPUTED_VALUE"""),0.2982000000000001)</f>
        <v>0.2982</v>
      </c>
      <c r="M107" s="39">
        <f>IFERROR(__xludf.DUMMYFUNCTION("""COMPUTED_VALUE"""),0.6303000000000001)</f>
        <v>0.6303</v>
      </c>
      <c r="N107" s="39">
        <f>IFERROR(__xludf.DUMMYFUNCTION("""COMPUTED_VALUE"""),0.07150000000000002)</f>
        <v>0.0715</v>
      </c>
    </row>
    <row r="108">
      <c r="A108" s="40" t="str">
        <f>IFERROR(__xludf.DUMMYFUNCTION("""COMPUTED_VALUE"""),"Peru")</f>
        <v>Peru</v>
      </c>
      <c r="B108" s="37">
        <f>IFERROR(__xludf.DUMMYFUNCTION("""COMPUTED_VALUE"""),615508.0)</f>
        <v>615508</v>
      </c>
      <c r="C108" s="37">
        <f>IFERROR(__xludf.DUMMYFUNCTION("""COMPUTED_VALUE"""),2.7237705E7)</f>
        <v>27237705</v>
      </c>
      <c r="D108" s="38">
        <f>IFERROR(__xludf.DUMMYFUNCTION("""COMPUTED_VALUE"""),2003.0)</f>
        <v>2003</v>
      </c>
      <c r="E108" s="39">
        <f>IFERROR(__xludf.DUMMYFUNCTION("""COMPUTED_VALUE"""),0.022597645433049516)</f>
        <v>0.02259764543</v>
      </c>
      <c r="F108" s="39">
        <f>IFERROR(__xludf.DUMMYFUNCTION("""COMPUTED_VALUE"""),0.010624285240310269)</f>
        <v>0.01062428524</v>
      </c>
      <c r="G108" s="37">
        <f>IFERROR(__xludf.DUMMYFUNCTION("""COMPUTED_VALUE"""),8603150.007900001)</f>
        <v>8603150.008</v>
      </c>
      <c r="H108" s="37">
        <f>IFERROR(__xludf.DUMMYFUNCTION("""COMPUTED_VALUE"""),1.92836533792E7)</f>
        <v>19283653.38</v>
      </c>
      <c r="I108" s="37">
        <f>IFERROR(__xludf.DUMMYFUNCTION("""COMPUTED_VALUE"""),2395315.6129)</f>
        <v>2395315.613</v>
      </c>
      <c r="J108" s="37">
        <f>IFERROR(__xludf.DUMMYFUNCTION("""COMPUTED_VALUE"""),2015.0)</f>
        <v>2015</v>
      </c>
      <c r="K108" s="37"/>
      <c r="L108" s="39">
        <f>IFERROR(__xludf.DUMMYFUNCTION("""COMPUTED_VALUE"""),0.2841)</f>
        <v>0.2841</v>
      </c>
      <c r="M108" s="39">
        <f>IFERROR(__xludf.DUMMYFUNCTION("""COMPUTED_VALUE"""),0.6367999999999999)</f>
        <v>0.6368</v>
      </c>
      <c r="N108" s="39">
        <f>IFERROR(__xludf.DUMMYFUNCTION("""COMPUTED_VALUE"""),0.07909999999999999)</f>
        <v>0.0791</v>
      </c>
    </row>
    <row r="109">
      <c r="A109" s="40" t="str">
        <f>IFERROR(__xludf.DUMMYFUNCTION("""COMPUTED_VALUE"""),"Peru")</f>
        <v>Peru</v>
      </c>
      <c r="B109" s="37">
        <f>IFERROR(__xludf.DUMMYFUNCTION("""COMPUTED_VALUE"""),623674.0)</f>
        <v>623674</v>
      </c>
      <c r="C109" s="37">
        <f>IFERROR(__xludf.DUMMYFUNCTION("""COMPUTED_VALUE"""),2.749891E7)</f>
        <v>27498910</v>
      </c>
      <c r="D109" s="38">
        <f>IFERROR(__xludf.DUMMYFUNCTION("""COMPUTED_VALUE"""),2004.0)</f>
        <v>2004</v>
      </c>
      <c r="E109" s="39">
        <f>IFERROR(__xludf.DUMMYFUNCTION("""COMPUTED_VALUE"""),0.02267995349633858)</f>
        <v>0.0226799535</v>
      </c>
      <c r="F109" s="39">
        <f>IFERROR(__xludf.DUMMYFUNCTION("""COMPUTED_VALUE"""),0.009589831448721543)</f>
        <v>0.009589831449</v>
      </c>
      <c r="G109" s="37">
        <f>IFERROR(__xludf.DUMMYFUNCTION("""COMPUTED_VALUE"""),8732402.0805)</f>
        <v>8732402.081</v>
      </c>
      <c r="H109" s="37">
        <f>IFERROR(__xludf.DUMMYFUNCTION("""COMPUTED_VALUE"""),2.1308763681999996E7)</f>
        <v>21308763.68</v>
      </c>
      <c r="I109" s="37">
        <f>IFERROR(__xludf.DUMMYFUNCTION("""COMPUTED_VALUE"""),2701249.2375000003)</f>
        <v>2701249.238</v>
      </c>
      <c r="J109" s="37">
        <f>IFERROR(__xludf.DUMMYFUNCTION("""COMPUTED_VALUE"""),2020.0)</f>
        <v>2020</v>
      </c>
      <c r="K109" s="37"/>
      <c r="L109" s="39">
        <f>IFERROR(__xludf.DUMMYFUNCTION("""COMPUTED_VALUE"""),0.2667)</f>
        <v>0.2667</v>
      </c>
      <c r="M109" s="39">
        <f>IFERROR(__xludf.DUMMYFUNCTION("""COMPUTED_VALUE"""),0.6507999999999999)</f>
        <v>0.6508</v>
      </c>
      <c r="N109" s="39">
        <f>IFERROR(__xludf.DUMMYFUNCTION("""COMPUTED_VALUE"""),0.08250000000000002)</f>
        <v>0.0825</v>
      </c>
    </row>
    <row r="110">
      <c r="A110" s="40" t="str">
        <f>IFERROR(__xludf.DUMMYFUNCTION("""COMPUTED_VALUE"""),"Peru")</f>
        <v>Peru</v>
      </c>
      <c r="B110" s="37">
        <f>IFERROR(__xludf.DUMMYFUNCTION("""COMPUTED_VALUE"""),631197.0)</f>
        <v>631197</v>
      </c>
      <c r="C110" s="37">
        <f>IFERROR(__xludf.DUMMYFUNCTION("""COMPUTED_VALUE"""),2.7746177E7)</f>
        <v>27746177</v>
      </c>
      <c r="D110" s="38">
        <f>IFERROR(__xludf.DUMMYFUNCTION("""COMPUTED_VALUE"""),2005.0)</f>
        <v>2005</v>
      </c>
      <c r="E110" s="39">
        <f>IFERROR(__xludf.DUMMYFUNCTION("""COMPUTED_VALUE"""),0.02274897186736753)</f>
        <v>0.02274897187</v>
      </c>
      <c r="F110" s="39">
        <f>IFERROR(__xludf.DUMMYFUNCTION("""COMPUTED_VALUE"""),0.008991883678298522)</f>
        <v>0.008991883678</v>
      </c>
      <c r="G110" s="37"/>
      <c r="H110" s="37"/>
      <c r="I110" s="37"/>
      <c r="J110" s="37"/>
      <c r="K110" s="37"/>
      <c r="L110" s="39"/>
      <c r="M110" s="39"/>
      <c r="N110" s="39"/>
    </row>
    <row r="111">
      <c r="A111" s="40" t="str">
        <f>IFERROR(__xludf.DUMMYFUNCTION("""COMPUTED_VALUE"""),"Peru")</f>
        <v>Peru</v>
      </c>
      <c r="B111" s="37">
        <f>IFERROR(__xludf.DUMMYFUNCTION("""COMPUTED_VALUE"""),634801.0)</f>
        <v>634801</v>
      </c>
      <c r="C111" s="37">
        <f>IFERROR(__xludf.DUMMYFUNCTION("""COMPUTED_VALUE"""),2.7985067E7)</f>
        <v>27985067</v>
      </c>
      <c r="D111" s="38">
        <f>IFERROR(__xludf.DUMMYFUNCTION("""COMPUTED_VALUE"""),2006.0)</f>
        <v>2006</v>
      </c>
      <c r="E111" s="39">
        <f>IFERROR(__xludf.DUMMYFUNCTION("""COMPUTED_VALUE"""),0.022683561915360074)</f>
        <v>0.02268356192</v>
      </c>
      <c r="F111" s="39">
        <f>IFERROR(__xludf.DUMMYFUNCTION("""COMPUTED_VALUE"""),0.00860983478913149)</f>
        <v>0.008609834789</v>
      </c>
      <c r="G111" s="37"/>
      <c r="H111" s="37"/>
      <c r="I111" s="37"/>
      <c r="J111" s="37"/>
      <c r="K111" s="37"/>
      <c r="L111" s="39"/>
      <c r="M111" s="39"/>
      <c r="N111" s="39"/>
    </row>
    <row r="112">
      <c r="A112" s="40" t="str">
        <f>IFERROR(__xludf.DUMMYFUNCTION("""COMPUTED_VALUE"""),"Peru")</f>
        <v>Peru</v>
      </c>
      <c r="B112" s="37">
        <f>IFERROR(__xludf.DUMMYFUNCTION("""COMPUTED_VALUE"""),632563.0)</f>
        <v>632563</v>
      </c>
      <c r="C112" s="37">
        <f>IFERROR(__xludf.DUMMYFUNCTION("""COMPUTED_VALUE"""),2.8218502E7)</f>
        <v>28218502</v>
      </c>
      <c r="D112" s="38">
        <f>IFERROR(__xludf.DUMMYFUNCTION("""COMPUTED_VALUE"""),2007.0)</f>
        <v>2007</v>
      </c>
      <c r="E112" s="39">
        <f>IFERROR(__xludf.DUMMYFUNCTION("""COMPUTED_VALUE"""),0.022416604538398246)</f>
        <v>0.02241660454</v>
      </c>
      <c r="F112" s="39">
        <f>IFERROR(__xludf.DUMMYFUNCTION("""COMPUTED_VALUE"""),0.00834141293997974)</f>
        <v>0.00834141294</v>
      </c>
      <c r="G112" s="37"/>
      <c r="H112" s="37"/>
      <c r="I112" s="37"/>
      <c r="J112" s="37"/>
      <c r="K112" s="37"/>
      <c r="L112" s="39"/>
      <c r="M112" s="39"/>
      <c r="N112" s="39"/>
    </row>
    <row r="113">
      <c r="A113" s="40" t="str">
        <f>IFERROR(__xludf.DUMMYFUNCTION("""COMPUTED_VALUE"""),"Peru")</f>
        <v>Peru</v>
      </c>
      <c r="B113" s="37">
        <f>IFERROR(__xludf.DUMMYFUNCTION("""COMPUTED_VALUE"""),626301.0)</f>
        <v>626301</v>
      </c>
      <c r="C113" s="37">
        <f>IFERROR(__xludf.DUMMYFUNCTION("""COMPUTED_VALUE"""),2.8448312E7)</f>
        <v>28448312</v>
      </c>
      <c r="D113" s="38">
        <f>IFERROR(__xludf.DUMMYFUNCTION("""COMPUTED_VALUE"""),2008.0)</f>
        <v>2008</v>
      </c>
      <c r="E113" s="39">
        <f>IFERROR(__xludf.DUMMYFUNCTION("""COMPUTED_VALUE"""),0.02201540112467833)</f>
        <v>0.02201540112</v>
      </c>
      <c r="F113" s="39">
        <f>IFERROR(__xludf.DUMMYFUNCTION("""COMPUTED_VALUE"""),0.00814394754193543)</f>
        <v>0.008143947542</v>
      </c>
      <c r="G113" s="37"/>
      <c r="H113" s="37"/>
      <c r="I113" s="37"/>
      <c r="J113" s="37"/>
      <c r="K113" s="37"/>
      <c r="L113" s="39"/>
      <c r="M113" s="39"/>
      <c r="N113" s="39"/>
    </row>
    <row r="114">
      <c r="A114" s="40" t="str">
        <f>IFERROR(__xludf.DUMMYFUNCTION("""COMPUTED_VALUE"""),"Peru")</f>
        <v>Peru</v>
      </c>
      <c r="B114" s="37">
        <f>IFERROR(__xludf.DUMMYFUNCTION("""COMPUTED_VALUE"""),623635.0)</f>
        <v>623635</v>
      </c>
      <c r="C114" s="37">
        <f>IFERROR(__xludf.DUMMYFUNCTION("""COMPUTED_VALUE"""),2.8678439E7)</f>
        <v>28678439</v>
      </c>
      <c r="D114" s="38">
        <f>IFERROR(__xludf.DUMMYFUNCTION("""COMPUTED_VALUE"""),2009.0)</f>
        <v>2009</v>
      </c>
      <c r="E114" s="39">
        <f>IFERROR(__xludf.DUMMYFUNCTION("""COMPUTED_VALUE"""),0.021745779119986274)</f>
        <v>0.02174577912</v>
      </c>
      <c r="F114" s="39">
        <f>IFERROR(__xludf.DUMMYFUNCTION("""COMPUTED_VALUE"""),0.00808930245140731)</f>
        <v>0.008089302451</v>
      </c>
      <c r="G114" s="37"/>
      <c r="H114" s="37"/>
      <c r="I114" s="37"/>
      <c r="J114" s="37"/>
      <c r="K114" s="37"/>
      <c r="L114" s="39"/>
      <c r="M114" s="39"/>
      <c r="N114" s="39"/>
    </row>
    <row r="115">
      <c r="A115" s="40" t="str">
        <f>IFERROR(__xludf.DUMMYFUNCTION("""COMPUTED_VALUE"""),"Peru")</f>
        <v>Peru</v>
      </c>
      <c r="B115" s="37">
        <f>IFERROR(__xludf.DUMMYFUNCTION("""COMPUTED_VALUE"""),617632.0)</f>
        <v>617632</v>
      </c>
      <c r="C115" s="37">
        <f>IFERROR(__xludf.DUMMYFUNCTION("""COMPUTED_VALUE"""),2.8911137E7)</f>
        <v>28911137</v>
      </c>
      <c r="D115" s="38">
        <f>IFERROR(__xludf.DUMMYFUNCTION("""COMPUTED_VALUE"""),2010.0)</f>
        <v>2010</v>
      </c>
      <c r="E115" s="39">
        <f>IFERROR(__xludf.DUMMYFUNCTION("""COMPUTED_VALUE"""),0.02136311691926886)</f>
        <v>0.02136311692</v>
      </c>
      <c r="F115" s="39">
        <f>IFERROR(__xludf.DUMMYFUNCTION("""COMPUTED_VALUE"""),0.008114039958729972)</f>
        <v>0.008114039959</v>
      </c>
      <c r="G115" s="37"/>
      <c r="H115" s="37"/>
      <c r="I115" s="37"/>
      <c r="J115" s="37"/>
      <c r="K115" s="37"/>
      <c r="L115" s="39"/>
      <c r="M115" s="39"/>
      <c r="N115" s="39"/>
    </row>
    <row r="116">
      <c r="A116" s="40" t="str">
        <f>IFERROR(__xludf.DUMMYFUNCTION("""COMPUTED_VALUE"""),"Peru")</f>
        <v>Peru</v>
      </c>
      <c r="B116" s="37">
        <f>IFERROR(__xludf.DUMMYFUNCTION("""COMPUTED_VALUE"""),613180.0)</f>
        <v>613180</v>
      </c>
      <c r="C116" s="37">
        <f>IFERROR(__xludf.DUMMYFUNCTION("""COMPUTED_VALUE"""),2.9146969E7)</f>
        <v>29146969</v>
      </c>
      <c r="D116" s="38">
        <f>IFERROR(__xludf.DUMMYFUNCTION("""COMPUTED_VALUE"""),2011.0)</f>
        <v>2011</v>
      </c>
      <c r="E116" s="39">
        <f>IFERROR(__xludf.DUMMYFUNCTION("""COMPUTED_VALUE"""),0.021037521946106988)</f>
        <v>0.02103752195</v>
      </c>
      <c r="F116" s="39">
        <f>IFERROR(__xludf.DUMMYFUNCTION("""COMPUTED_VALUE"""),0.008157133356602337)</f>
        <v>0.008157133357</v>
      </c>
      <c r="G116" s="37"/>
      <c r="H116" s="37"/>
      <c r="I116" s="37"/>
      <c r="J116" s="37"/>
      <c r="K116" s="37"/>
      <c r="L116" s="39"/>
      <c r="M116" s="39"/>
      <c r="N116" s="39"/>
    </row>
    <row r="117">
      <c r="A117" s="40" t="str">
        <f>IFERROR(__xludf.DUMMYFUNCTION("""COMPUTED_VALUE"""),"Peru")</f>
        <v>Peru</v>
      </c>
      <c r="B117" s="37">
        <f>IFERROR(__xludf.DUMMYFUNCTION("""COMPUTED_VALUE"""),602813.0)</f>
        <v>602813</v>
      </c>
      <c r="C117" s="37">
        <f>IFERROR(__xludf.DUMMYFUNCTION("""COMPUTED_VALUE"""),2.9386215E7)</f>
        <v>29386215</v>
      </c>
      <c r="D117" s="38">
        <f>IFERROR(__xludf.DUMMYFUNCTION("""COMPUTED_VALUE"""),2012.0)</f>
        <v>2012</v>
      </c>
      <c r="E117" s="39">
        <f>IFERROR(__xludf.DUMMYFUNCTION("""COMPUTED_VALUE"""),0.020513461839165064)</f>
        <v>0.02051346184</v>
      </c>
      <c r="F117" s="39">
        <f>IFERROR(__xludf.DUMMYFUNCTION("""COMPUTED_VALUE"""),0.00820826343898743)</f>
        <v>0.008208263439</v>
      </c>
      <c r="G117" s="37"/>
      <c r="H117" s="37"/>
      <c r="I117" s="37"/>
      <c r="J117" s="37"/>
      <c r="K117" s="37"/>
      <c r="L117" s="39"/>
      <c r="M117" s="39"/>
      <c r="N117" s="39"/>
    </row>
    <row r="118">
      <c r="A118" s="40" t="str">
        <f>IFERROR(__xludf.DUMMYFUNCTION("""COMPUTED_VALUE"""),"Peru")</f>
        <v>Peru</v>
      </c>
      <c r="B118" s="37">
        <f>IFERROR(__xludf.DUMMYFUNCTION("""COMPUTED_VALUE"""),592938.0)</f>
        <v>592938</v>
      </c>
      <c r="C118" s="37">
        <f>IFERROR(__xludf.DUMMYFUNCTION("""COMPUTED_VALUE"""),2.9641486E7)</f>
        <v>29641486</v>
      </c>
      <c r="D118" s="38">
        <f>IFERROR(__xludf.DUMMYFUNCTION("""COMPUTED_VALUE"""),2013.0)</f>
        <v>2013</v>
      </c>
      <c r="E118" s="39">
        <f>IFERROR(__xludf.DUMMYFUNCTION("""COMPUTED_VALUE"""),0.02000365298824762)</f>
        <v>0.02000365299</v>
      </c>
      <c r="F118" s="39">
        <f>IFERROR(__xludf.DUMMYFUNCTION("""COMPUTED_VALUE"""),0.008686760101632687)</f>
        <v>0.008686760102</v>
      </c>
      <c r="G118" s="37"/>
      <c r="H118" s="37"/>
      <c r="I118" s="37"/>
      <c r="J118" s="37"/>
      <c r="K118" s="37"/>
      <c r="L118" s="39"/>
      <c r="M118" s="39"/>
      <c r="N118" s="39"/>
    </row>
    <row r="119">
      <c r="A119" s="40" t="str">
        <f>IFERROR(__xludf.DUMMYFUNCTION("""COMPUTED_VALUE"""),"Peru")</f>
        <v>Peru</v>
      </c>
      <c r="B119" s="37">
        <f>IFERROR(__xludf.DUMMYFUNCTION("""COMPUTED_VALUE"""),584699.0)</f>
        <v>584699</v>
      </c>
      <c r="C119" s="37">
        <f>IFERROR(__xludf.DUMMYFUNCTION("""COMPUTED_VALUE"""),2.9933479E7)</f>
        <v>29933479</v>
      </c>
      <c r="D119" s="38">
        <f>IFERROR(__xludf.DUMMYFUNCTION("""COMPUTED_VALUE"""),2014.0)</f>
        <v>2014</v>
      </c>
      <c r="E119" s="39">
        <f>IFERROR(__xludf.DUMMYFUNCTION("""COMPUTED_VALUE"""),0.01953327910865289)</f>
        <v>0.01953327911</v>
      </c>
      <c r="F119" s="39">
        <f>IFERROR(__xludf.DUMMYFUNCTION("""COMPUTED_VALUE"""),0.009850821918982065)</f>
        <v>0.009850821919</v>
      </c>
      <c r="G119" s="37"/>
      <c r="H119" s="37"/>
      <c r="I119" s="37"/>
      <c r="J119" s="37"/>
      <c r="K119" s="37"/>
      <c r="L119" s="39"/>
      <c r="M119" s="39"/>
      <c r="N119" s="39"/>
    </row>
    <row r="120">
      <c r="A120" s="40" t="str">
        <f>IFERROR(__xludf.DUMMYFUNCTION("""COMPUTED_VALUE"""),"Peru")</f>
        <v>Peru</v>
      </c>
      <c r="B120" s="37">
        <f>IFERROR(__xludf.DUMMYFUNCTION("""COMPUTED_VALUE"""),577568.0)</f>
        <v>577568</v>
      </c>
      <c r="C120" s="37">
        <f>IFERROR(__xludf.DUMMYFUNCTION("""COMPUTED_VALUE"""),3.0282119E7)</f>
        <v>30282119</v>
      </c>
      <c r="D120" s="38">
        <f>IFERROR(__xludf.DUMMYFUNCTION("""COMPUTED_VALUE"""),2015.0)</f>
        <v>2015</v>
      </c>
      <c r="E120" s="39">
        <f>IFERROR(__xludf.DUMMYFUNCTION("""COMPUTED_VALUE"""),0.01907290569725322)</f>
        <v>0.0190729057</v>
      </c>
      <c r="F120" s="39">
        <f>IFERROR(__xludf.DUMMYFUNCTION("""COMPUTED_VALUE"""),0.01164715935625124)</f>
        <v>0.01164715936</v>
      </c>
      <c r="G120" s="37"/>
      <c r="H120" s="37"/>
      <c r="I120" s="37"/>
      <c r="J120" s="37"/>
      <c r="K120" s="37"/>
      <c r="L120" s="39"/>
      <c r="M120" s="39"/>
      <c r="N120" s="39"/>
    </row>
    <row r="121">
      <c r="A121" s="40" t="str">
        <f>IFERROR(__xludf.DUMMYFUNCTION("""COMPUTED_VALUE"""),"Peru")</f>
        <v>Peru</v>
      </c>
      <c r="B121" s="37">
        <f>IFERROR(__xludf.DUMMYFUNCTION("""COMPUTED_VALUE"""),575208.0)</f>
        <v>575208</v>
      </c>
      <c r="C121" s="37">
        <f>IFERROR(__xludf.DUMMYFUNCTION("""COMPUTED_VALUE"""),3.0699631E7)</f>
        <v>30699631</v>
      </c>
      <c r="D121" s="38">
        <f>IFERROR(__xludf.DUMMYFUNCTION("""COMPUTED_VALUE"""),2016.0)</f>
        <v>2016</v>
      </c>
      <c r="E121" s="39">
        <f>IFERROR(__xludf.DUMMYFUNCTION("""COMPUTED_VALUE"""),0.018736642144004924)</f>
        <v>0.01873664214</v>
      </c>
      <c r="F121" s="39">
        <f>IFERROR(__xludf.DUMMYFUNCTION("""COMPUTED_VALUE"""),0.013787410319601479)</f>
        <v>0.01378741032</v>
      </c>
      <c r="G121" s="37"/>
      <c r="H121" s="37"/>
      <c r="I121" s="37"/>
      <c r="J121" s="37"/>
      <c r="K121" s="37"/>
      <c r="L121" s="39"/>
      <c r="M121" s="39"/>
      <c r="N121" s="39"/>
    </row>
    <row r="122">
      <c r="A122" s="40" t="str">
        <f>IFERROR(__xludf.DUMMYFUNCTION("""COMPUTED_VALUE"""),"Peru")</f>
        <v>Peru</v>
      </c>
      <c r="B122" s="37">
        <f>IFERROR(__xludf.DUMMYFUNCTION("""COMPUTED_VALUE"""),576461.0)</f>
        <v>576461</v>
      </c>
      <c r="C122" s="37">
        <f>IFERROR(__xludf.DUMMYFUNCTION("""COMPUTED_VALUE"""),3.1187297E7)</f>
        <v>31187297</v>
      </c>
      <c r="D122" s="38">
        <f>IFERROR(__xludf.DUMMYFUNCTION("""COMPUTED_VALUE"""),2017.0)</f>
        <v>2017</v>
      </c>
      <c r="E122" s="39">
        <f>IFERROR(__xludf.DUMMYFUNCTION("""COMPUTED_VALUE"""),0.01848383975052407)</f>
        <v>0.01848383975</v>
      </c>
      <c r="F122" s="39">
        <f>IFERROR(__xludf.DUMMYFUNCTION("""COMPUTED_VALUE"""),0.01588507692486597)</f>
        <v>0.01588507692</v>
      </c>
      <c r="G122" s="37"/>
      <c r="H122" s="37"/>
      <c r="I122" s="37"/>
      <c r="J122" s="37"/>
      <c r="K122" s="37"/>
      <c r="L122" s="39"/>
      <c r="M122" s="39"/>
      <c r="N122" s="39"/>
    </row>
    <row r="123">
      <c r="A123" s="40" t="str">
        <f>IFERROR(__xludf.DUMMYFUNCTION("""COMPUTED_VALUE"""),"Peru")</f>
        <v>Peru</v>
      </c>
      <c r="B123" s="37">
        <f>IFERROR(__xludf.DUMMYFUNCTION("""COMPUTED_VALUE"""),579697.0)</f>
        <v>579697</v>
      </c>
      <c r="C123" s="37">
        <f>IFERROR(__xludf.DUMMYFUNCTION("""COMPUTED_VALUE"""),3.1719022E7)</f>
        <v>31719022</v>
      </c>
      <c r="D123" s="38">
        <f>IFERROR(__xludf.DUMMYFUNCTION("""COMPUTED_VALUE"""),2018.0)</f>
        <v>2018</v>
      </c>
      <c r="E123" s="39">
        <f>IFERROR(__xludf.DUMMYFUNCTION("""COMPUTED_VALUE"""),0.018276004852860846)</f>
        <v>0.01827600485</v>
      </c>
      <c r="F123" s="39">
        <f>IFERROR(__xludf.DUMMYFUNCTION("""COMPUTED_VALUE"""),0.0170494095721088)</f>
        <v>0.01704940957</v>
      </c>
      <c r="G123" s="37"/>
      <c r="H123" s="37"/>
      <c r="I123" s="37"/>
      <c r="J123" s="37"/>
      <c r="K123" s="37"/>
      <c r="L123" s="39"/>
      <c r="M123" s="39"/>
      <c r="N123" s="39"/>
    </row>
    <row r="124">
      <c r="A124" s="40" t="str">
        <f>IFERROR(__xludf.DUMMYFUNCTION("""COMPUTED_VALUE"""),"Peru")</f>
        <v>Peru</v>
      </c>
      <c r="B124" s="37">
        <f>IFERROR(__xludf.DUMMYFUNCTION("""COMPUTED_VALUE"""),591025.0)</f>
        <v>591025</v>
      </c>
      <c r="C124" s="37">
        <f>IFERROR(__xludf.DUMMYFUNCTION("""COMPUTED_VALUE"""),3.2252005E7)</f>
        <v>32252005</v>
      </c>
      <c r="D124" s="38">
        <f>IFERROR(__xludf.DUMMYFUNCTION("""COMPUTED_VALUE"""),2019.0)</f>
        <v>2019</v>
      </c>
      <c r="E124" s="39">
        <f>IFERROR(__xludf.DUMMYFUNCTION("""COMPUTED_VALUE"""),0.018325217300443803)</f>
        <v>0.0183252173</v>
      </c>
      <c r="F124" s="39">
        <f>IFERROR(__xludf.DUMMYFUNCTION("""COMPUTED_VALUE"""),0.01680326083193864)</f>
        <v>0.01680326083</v>
      </c>
      <c r="G124" s="37"/>
      <c r="H124" s="37"/>
      <c r="I124" s="37"/>
      <c r="J124" s="37"/>
      <c r="K124" s="37"/>
      <c r="L124" s="39"/>
      <c r="M124" s="39"/>
      <c r="N124" s="39"/>
    </row>
    <row r="125">
      <c r="A125" s="40" t="str">
        <f>IFERROR(__xludf.DUMMYFUNCTION("""COMPUTED_VALUE"""),"Peru")</f>
        <v>Peru</v>
      </c>
      <c r="B125" s="37">
        <f>IFERROR(__xludf.DUMMYFUNCTION("""COMPUTED_VALUE"""),593207.0)</f>
        <v>593207</v>
      </c>
      <c r="C125" s="37">
        <f>IFERROR(__xludf.DUMMYFUNCTION("""COMPUTED_VALUE"""),3.2742415E7)</f>
        <v>32742415</v>
      </c>
      <c r="D125" s="38">
        <f>IFERROR(__xludf.DUMMYFUNCTION("""COMPUTED_VALUE"""),2020.0)</f>
        <v>2020</v>
      </c>
      <c r="E125" s="39">
        <f>IFERROR(__xludf.DUMMYFUNCTION("""COMPUTED_VALUE"""),0.01811738688181675)</f>
        <v>0.01811738688</v>
      </c>
      <c r="F125" s="39">
        <f>IFERROR(__xludf.DUMMYFUNCTION("""COMPUTED_VALUE"""),0.015205566289599669)</f>
        <v>0.01520556629</v>
      </c>
      <c r="G125" s="37"/>
      <c r="H125" s="37"/>
      <c r="I125" s="37"/>
      <c r="J125" s="37"/>
      <c r="K125" s="37"/>
      <c r="L125" s="39"/>
      <c r="M125" s="39"/>
      <c r="N125" s="39"/>
    </row>
    <row r="126">
      <c r="A126" s="40" t="str">
        <f>IFERROR(__xludf.DUMMYFUNCTION("""COMPUTED_VALUE"""),"Peru")</f>
        <v>Peru</v>
      </c>
      <c r="B126" s="37">
        <f>IFERROR(__xludf.DUMMYFUNCTION("""COMPUTED_VALUE"""),593523.0)</f>
        <v>593523</v>
      </c>
      <c r="C126" s="37">
        <f>IFERROR(__xludf.DUMMYFUNCTION("""COMPUTED_VALUE"""),3.3174287E7)</f>
        <v>33174287</v>
      </c>
      <c r="D126" s="38">
        <f>IFERROR(__xludf.DUMMYFUNCTION("""COMPUTED_VALUE"""),2021.0)</f>
        <v>2021</v>
      </c>
      <c r="E126" s="39">
        <f>IFERROR(__xludf.DUMMYFUNCTION("""COMPUTED_VALUE"""),0.017891055201879696)</f>
        <v>0.0178910552</v>
      </c>
      <c r="F126" s="39">
        <f>IFERROR(__xludf.DUMMYFUNCTION("""COMPUTED_VALUE"""),0.01318998613877443)</f>
        <v>0.01318998614</v>
      </c>
      <c r="G126" s="37"/>
      <c r="H126" s="37"/>
      <c r="I126" s="37"/>
      <c r="J126" s="37"/>
      <c r="K126" s="37"/>
      <c r="L126" s="39"/>
      <c r="M126" s="39"/>
      <c r="N126" s="39"/>
    </row>
    <row r="127">
      <c r="A127" s="36"/>
      <c r="D127" s="38"/>
    </row>
    <row r="128">
      <c r="A128" s="41"/>
      <c r="D128" s="38"/>
    </row>
    <row r="129">
      <c r="A129" s="41"/>
      <c r="D129" s="38"/>
    </row>
    <row r="130">
      <c r="A130" s="41"/>
      <c r="D130" s="38"/>
    </row>
    <row r="131">
      <c r="A131" s="41"/>
      <c r="D131" s="38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</sheetData>
  <autoFilter ref="$A$1:$J$126">
    <filterColumn colId="0">
      <filters>
        <filter val="Brasil"/>
        <filter val="Colombia"/>
        <filter val="Ecuador"/>
        <filter val="Mexico"/>
        <filter val="Chile"/>
        <filter val="Peru"/>
      </filters>
    </filterColumn>
  </autoFilter>
  <customSheetViews>
    <customSheetView guid="{83E9498B-16BD-45B5-ACCE-A901B1B8C284}" filter="1" showAutoFilter="1">
      <autoFilter ref="$A$1:$N$126"/>
    </customSheetView>
  </customSheetViews>
  <drawing r:id="rId1"/>
</worksheet>
</file>