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1.xml" ContentType="application/vnd.openxmlformats-officedocument.spreadsheetml.queryTable+xml"/>
  <Override PartName="/xl/tables/table22.xml" ContentType="application/vnd.openxmlformats-officedocument.spreadsheetml.table+xml"/>
  <Override PartName="/xl/queryTables/queryTable2.xml" ContentType="application/vnd.openxmlformats-officedocument.spreadsheetml.queryTable+xml"/>
  <Override PartName="/xl/tables/table23.xml" ContentType="application/vnd.openxmlformats-officedocument.spreadsheetml.table+xml"/>
  <Override PartName="/xl/queryTables/queryTable3.xml" ContentType="application/vnd.openxmlformats-officedocument.spreadsheetml.queryTable+xml"/>
  <Override PartName="/xl/tables/table24.xml" ContentType="application/vnd.openxmlformats-officedocument.spreadsheetml.table+xml"/>
  <Override PartName="/xl/queryTables/queryTable4.xml" ContentType="application/vnd.openxmlformats-officedocument.spreadsheetml.queryTable+xml"/>
  <Override PartName="/xl/tables/table25.xml" ContentType="application/vnd.openxmlformats-officedocument.spreadsheetml.table+xml"/>
  <Override PartName="/xl/queryTables/queryTable5.xml" ContentType="application/vnd.openxmlformats-officedocument.spreadsheetml.queryTable+xml"/>
  <Override PartName="/xl/tables/table26.xml" ContentType="application/vnd.openxmlformats-officedocument.spreadsheetml.table+xml"/>
  <Override PartName="/xl/queryTables/queryTable6.xml" ContentType="application/vnd.openxmlformats-officedocument.spreadsheetml.queryTable+xml"/>
  <Override PartName="/xl/tables/table27.xml" ContentType="application/vnd.openxmlformats-officedocument.spreadsheetml.table+xml"/>
  <Override PartName="/xl/queryTables/queryTable7.xml" ContentType="application/vnd.openxmlformats-officedocument.spreadsheetml.queryTable+xml"/>
  <Override PartName="/xl/tables/table28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customXml/itemProps87.xml" ContentType="application/vnd.openxmlformats-officedocument.customXmlProperties+xml"/>
  <Override PartName="/customXml/itemProps88.xml" ContentType="application/vnd.openxmlformats-officedocument.customXmlProperties+xml"/>
  <Override PartName="/customXml/itemProps89.xml" ContentType="application/vnd.openxmlformats-officedocument.customXmlProperties+xml"/>
  <Override PartName="/customXml/itemProps90.xml" ContentType="application/vnd.openxmlformats-officedocument.customXmlProperties+xml"/>
  <Override PartName="/customXml/itemProps91.xml" ContentType="application/vnd.openxmlformats-officedocument.customXmlProperties+xml"/>
  <Override PartName="/customXml/itemProps92.xml" ContentType="application/vnd.openxmlformats-officedocument.customXmlProperties+xml"/>
  <Override PartName="/customXml/itemProps93.xml" ContentType="application/vnd.openxmlformats-officedocument.customXmlProperties+xml"/>
  <Override PartName="/customXml/itemProps94.xml" ContentType="application/vnd.openxmlformats-officedocument.customXmlProperties+xml"/>
  <Override PartName="/customXml/itemProps95.xml" ContentType="application/vnd.openxmlformats-officedocument.customXmlProperties+xml"/>
  <Override PartName="/customXml/itemProps96.xml" ContentType="application/vnd.openxmlformats-officedocument.customXmlProperties+xml"/>
  <Override PartName="/customXml/itemProps97.xml" ContentType="application/vnd.openxmlformats-officedocument.customXmlProperties+xml"/>
  <Override PartName="/customXml/itemProps98.xml" ContentType="application/vnd.openxmlformats-officedocument.customXmlProperties+xml"/>
  <Override PartName="/customXml/itemProps99.xml" ContentType="application/vnd.openxmlformats-officedocument.customXmlProperties+xml"/>
  <Override PartName="/customXml/itemProps100.xml" ContentType="application/vnd.openxmlformats-officedocument.customXmlProperties+xml"/>
  <Override PartName="/customXml/itemProps101.xml" ContentType="application/vnd.openxmlformats-officedocument.customXmlProperties+xml"/>
  <Override PartName="/customXml/itemProps102.xml" ContentType="application/vnd.openxmlformats-officedocument.customXmlProperties+xml"/>
  <Override PartName="/customXml/itemProps103.xml" ContentType="application/vnd.openxmlformats-officedocument.customXmlProperties+xml"/>
  <Override PartName="/customXml/itemProps104.xml" ContentType="application/vnd.openxmlformats-officedocument.customXmlProperties+xml"/>
  <Override PartName="/customXml/itemProps105.xml" ContentType="application/vnd.openxmlformats-officedocument.customXmlProperties+xml"/>
  <Override PartName="/customXml/itemProps106.xml" ContentType="application/vnd.openxmlformats-officedocument.customXmlProperties+xml"/>
  <Override PartName="/customXml/itemProps107.xml" ContentType="application/vnd.openxmlformats-officedocument.customXmlProperties+xml"/>
  <Override PartName="/customXml/itemProps108.xml" ContentType="application/vnd.openxmlformats-officedocument.customXmlProperties+xml"/>
  <Override PartName="/customXml/itemProps109.xml" ContentType="application/vnd.openxmlformats-officedocument.customXmlProperties+xml"/>
  <Override PartName="/customXml/itemProps110.xml" ContentType="application/vnd.openxmlformats-officedocument.customXmlProperties+xml"/>
  <Override PartName="/customXml/itemProps111.xml" ContentType="application/vnd.openxmlformats-officedocument.customXmlProperties+xml"/>
  <Override PartName="/customXml/itemProps112.xml" ContentType="application/vnd.openxmlformats-officedocument.customXmlProperties+xml"/>
  <Override PartName="/customXml/itemProps113.xml" ContentType="application/vnd.openxmlformats-officedocument.customXmlProperties+xml"/>
  <Override PartName="/customXml/itemProps114.xml" ContentType="application/vnd.openxmlformats-officedocument.customXmlProperties+xml"/>
  <Override PartName="/customXml/itemProps115.xml" ContentType="application/vnd.openxmlformats-officedocument.customXmlProperties+xml"/>
  <Override PartName="/customXml/itemProps116.xml" ContentType="application/vnd.openxmlformats-officedocument.customXmlProperties+xml"/>
  <Override PartName="/customXml/itemProps117.xml" ContentType="application/vnd.openxmlformats-officedocument.customXmlProperties+xml"/>
  <Override PartName="/customXml/itemProps118.xml" ContentType="application/vnd.openxmlformats-officedocument.customXmlProperties+xml"/>
  <Override PartName="/customXml/itemProps119.xml" ContentType="application/vnd.openxmlformats-officedocument.customXmlProperties+xml"/>
  <Override PartName="/customXml/itemProps120.xml" ContentType="application/vnd.openxmlformats-officedocument.customXmlProperties+xml"/>
  <Override PartName="/customXml/itemProps121.xml" ContentType="application/vnd.openxmlformats-officedocument.customXmlProperties+xml"/>
  <Override PartName="/customXml/itemProps122.xml" ContentType="application/vnd.openxmlformats-officedocument.customXmlProperties+xml"/>
  <Override PartName="/customXml/itemProps123.xml" ContentType="application/vnd.openxmlformats-officedocument.customXmlProperties+xml"/>
  <Override PartName="/customXml/itemProps124.xml" ContentType="application/vnd.openxmlformats-officedocument.customXmlProperties+xml"/>
  <Override PartName="/customXml/itemProps125.xml" ContentType="application/vnd.openxmlformats-officedocument.customXmlProperties+xml"/>
  <Override PartName="/customXml/itemProps126.xml" ContentType="application/vnd.openxmlformats-officedocument.customXmlProperties+xml"/>
  <Override PartName="/customXml/itemProps127.xml" ContentType="application/vnd.openxmlformats-officedocument.customXmlProperties+xml"/>
  <Override PartName="/customXml/itemProps128.xml" ContentType="application/vnd.openxmlformats-officedocument.customXmlProperties+xml"/>
  <Override PartName="/customXml/itemProps129.xml" ContentType="application/vnd.openxmlformats-officedocument.customXmlProperties+xml"/>
  <Override PartName="/customXml/itemProps130.xml" ContentType="application/vnd.openxmlformats-officedocument.customXmlProperties+xml"/>
  <Override PartName="/customXml/itemProps131.xml" ContentType="application/vnd.openxmlformats-officedocument.customXmlProperties+xml"/>
  <Override PartName="/customXml/itemProps132.xml" ContentType="application/vnd.openxmlformats-officedocument.customXmlProperties+xml"/>
  <Override PartName="/customXml/itemProps133.xml" ContentType="application/vnd.openxmlformats-officedocument.customXmlProperties+xml"/>
  <Override PartName="/customXml/itemProps134.xml" ContentType="application/vnd.openxmlformats-officedocument.customXmlProperties+xml"/>
  <Override PartName="/customXml/itemProps135.xml" ContentType="application/vnd.openxmlformats-officedocument.customXmlProperties+xml"/>
  <Override PartName="/customXml/itemProps136.xml" ContentType="application/vnd.openxmlformats-officedocument.customXmlProperties+xml"/>
  <Override PartName="/customXml/itemProps137.xml" ContentType="application/vnd.openxmlformats-officedocument.customXmlProperties+xml"/>
  <Override PartName="/customXml/itemProps138.xml" ContentType="application/vnd.openxmlformats-officedocument.customXmlProperties+xml"/>
  <Override PartName="/customXml/itemProps139.xml" ContentType="application/vnd.openxmlformats-officedocument.customXmlProperties+xml"/>
  <Override PartName="/customXml/itemProps140.xml" ContentType="application/vnd.openxmlformats-officedocument.customXmlProperties+xml"/>
  <Override PartName="/customXml/itemProps141.xml" ContentType="application/vnd.openxmlformats-officedocument.customXmlProperties+xml"/>
  <Override PartName="/customXml/itemProps142.xml" ContentType="application/vnd.openxmlformats-officedocument.customXmlProperties+xml"/>
  <Override PartName="/customXml/itemProps143.xml" ContentType="application/vnd.openxmlformats-officedocument.customXmlProperties+xml"/>
  <Override PartName="/customXml/itemProps144.xml" ContentType="application/vnd.openxmlformats-officedocument.customXmlProperties+xml"/>
  <Override PartName="/customXml/itemProps145.xml" ContentType="application/vnd.openxmlformats-officedocument.customXmlProperties+xml"/>
  <Override PartName="/customXml/itemProps146.xml" ContentType="application/vnd.openxmlformats-officedocument.customXmlProperties+xml"/>
  <Override PartName="/customXml/itemProps147.xml" ContentType="application/vnd.openxmlformats-officedocument.customXmlProperties+xml"/>
  <Override PartName="/customXml/itemProps148.xml" ContentType="application/vnd.openxmlformats-officedocument.customXmlProperties+xml"/>
  <Override PartName="/customXml/itemProps149.xml" ContentType="application/vnd.openxmlformats-officedocument.customXmlProperties+xml"/>
  <Override PartName="/customXml/itemProps150.xml" ContentType="application/vnd.openxmlformats-officedocument.customXmlProperties+xml"/>
  <Override PartName="/customXml/itemProps151.xml" ContentType="application/vnd.openxmlformats-officedocument.customXmlProperties+xml"/>
  <Override PartName="/customXml/itemProps152.xml" ContentType="application/vnd.openxmlformats-officedocument.customXmlProperties+xml"/>
  <Override PartName="/customXml/itemProps153.xml" ContentType="application/vnd.openxmlformats-officedocument.customXmlProperties+xml"/>
  <Override PartName="/customXml/itemProps154.xml" ContentType="application/vnd.openxmlformats-officedocument.customXmlProperties+xml"/>
  <Override PartName="/customXml/itemProps155.xml" ContentType="application/vnd.openxmlformats-officedocument.customXmlProperties+xml"/>
  <Override PartName="/customXml/itemProps156.xml" ContentType="application/vnd.openxmlformats-officedocument.customXmlProperties+xml"/>
  <Override PartName="/customXml/itemProps157.xml" ContentType="application/vnd.openxmlformats-officedocument.customXmlProperties+xml"/>
  <Override PartName="/customXml/itemProps158.xml" ContentType="application/vnd.openxmlformats-officedocument.customXmlProperties+xml"/>
  <Override PartName="/customXml/itemProps159.xml" ContentType="application/vnd.openxmlformats-officedocument.customXmlProperties+xml"/>
  <Override PartName="/customXml/itemProps160.xml" ContentType="application/vnd.openxmlformats-officedocument.customXmlProperties+xml"/>
  <Override PartName="/customXml/itemProps161.xml" ContentType="application/vnd.openxmlformats-officedocument.customXmlProperties+xml"/>
  <Override PartName="/customXml/itemProps162.xml" ContentType="application/vnd.openxmlformats-officedocument.customXmlProperties+xml"/>
  <Override PartName="/customXml/itemProps163.xml" ContentType="application/vnd.openxmlformats-officedocument.customXmlProperties+xml"/>
  <Override PartName="/customXml/itemProps164.xml" ContentType="application/vnd.openxmlformats-officedocument.customXmlProperties+xml"/>
  <Override PartName="/customXml/itemProps165.xml" ContentType="application/vnd.openxmlformats-officedocument.customXmlProperties+xml"/>
  <Override PartName="/customXml/itemProps166.xml" ContentType="application/vnd.openxmlformats-officedocument.customXmlProperties+xml"/>
  <Override PartName="/customXml/itemProps167.xml" ContentType="application/vnd.openxmlformats-officedocument.customXmlProperties+xml"/>
  <Override PartName="/customXml/itemProps168.xml" ContentType="application/vnd.openxmlformats-officedocument.customXmlProperties+xml"/>
  <Override PartName="/customXml/itemProps169.xml" ContentType="application/vnd.openxmlformats-officedocument.customXmlProperties+xml"/>
  <Override PartName="/customXml/itemProps170.xml" ContentType="application/vnd.openxmlformats-officedocument.customXmlProperties+xml"/>
  <Override PartName="/customXml/itemProps171.xml" ContentType="application/vnd.openxmlformats-officedocument.customXmlProperties+xml"/>
  <Override PartName="/customXml/itemProps172.xml" ContentType="application/vnd.openxmlformats-officedocument.customXmlProperties+xml"/>
  <Override PartName="/customXml/itemProps173.xml" ContentType="application/vnd.openxmlformats-officedocument.customXmlProperties+xml"/>
  <Override PartName="/customXml/itemProps174.xml" ContentType="application/vnd.openxmlformats-officedocument.customXmlProperties+xml"/>
  <Override PartName="/customXml/itemProps175.xml" ContentType="application/vnd.openxmlformats-officedocument.customXmlProperties+xml"/>
  <Override PartName="/customXml/itemProps176.xml" ContentType="application/vnd.openxmlformats-officedocument.customXmlProperties+xml"/>
  <Override PartName="/customXml/itemProps177.xml" ContentType="application/vnd.openxmlformats-officedocument.customXmlProperties+xml"/>
  <Override PartName="/customXml/itemProps178.xml" ContentType="application/vnd.openxmlformats-officedocument.customXmlProperties+xml"/>
  <Override PartName="/customXml/itemProps179.xml" ContentType="application/vnd.openxmlformats-officedocument.customXmlProperties+xml"/>
  <Override PartName="/customXml/itemProps180.xml" ContentType="application/vnd.openxmlformats-officedocument.customXmlProperties+xml"/>
  <Override PartName="/customXml/itemProps181.xml" ContentType="application/vnd.openxmlformats-officedocument.customXmlProperties+xml"/>
  <Override PartName="/customXml/itemProps182.xml" ContentType="application/vnd.openxmlformats-officedocument.customXmlProperties+xml"/>
  <Override PartName="/customXml/itemProps183.xml" ContentType="application/vnd.openxmlformats-officedocument.customXmlProperties+xml"/>
  <Override PartName="/customXml/itemProps184.xml" ContentType="application/vnd.openxmlformats-officedocument.customXmlProperties+xml"/>
  <Override PartName="/customXml/itemProps185.xml" ContentType="application/vnd.openxmlformats-officedocument.customXmlProperties+xml"/>
  <Override PartName="/customXml/itemProps186.xml" ContentType="application/vnd.openxmlformats-officedocument.customXmlProperties+xml"/>
  <Override PartName="/customXml/itemProps187.xml" ContentType="application/vnd.openxmlformats-officedocument.customXmlProperties+xml"/>
  <Override PartName="/customXml/itemProps188.xml" ContentType="application/vnd.openxmlformats-officedocument.customXmlProperties+xml"/>
  <Override PartName="/customXml/itemProps189.xml" ContentType="application/vnd.openxmlformats-officedocument.customXmlProperties+xml"/>
  <Override PartName="/customXml/itemProps190.xml" ContentType="application/vnd.openxmlformats-officedocument.customXmlProperties+xml"/>
  <Override PartName="/customXml/itemProps191.xml" ContentType="application/vnd.openxmlformats-officedocument.customXmlProperties+xml"/>
  <Override PartName="/customXml/itemProps192.xml" ContentType="application/vnd.openxmlformats-officedocument.customXmlProperties+xml"/>
  <Override PartName="/customXml/itemProps193.xml" ContentType="application/vnd.openxmlformats-officedocument.customXmlProperties+xml"/>
  <Override PartName="/customXml/itemProps194.xml" ContentType="application/vnd.openxmlformats-officedocument.customXmlProperties+xml"/>
  <Override PartName="/customXml/itemProps195.xml" ContentType="application/vnd.openxmlformats-officedocument.customXmlProperties+xml"/>
  <Override PartName="/customXml/itemProps196.xml" ContentType="application/vnd.openxmlformats-officedocument.customXmlProperties+xml"/>
  <Override PartName="/customXml/itemProps197.xml" ContentType="application/vnd.openxmlformats-officedocument.customXmlProperties+xml"/>
  <Override PartName="/customXml/itemProps198.xml" ContentType="application/vnd.openxmlformats-officedocument.customXmlProperties+xml"/>
  <Override PartName="/customXml/itemProps199.xml" ContentType="application/vnd.openxmlformats-officedocument.customXmlProperties+xml"/>
  <Override PartName="/customXml/itemProps200.xml" ContentType="application/vnd.openxmlformats-officedocument.customXmlProperties+xml"/>
  <Override PartName="/customXml/itemProps201.xml" ContentType="application/vnd.openxmlformats-officedocument.customXmlProperties+xml"/>
  <Override PartName="/customXml/itemProps202.xml" ContentType="application/vnd.openxmlformats-officedocument.customXmlProperties+xml"/>
  <Override PartName="/customXml/itemProps203.xml" ContentType="application/vnd.openxmlformats-officedocument.customXmlProperties+xml"/>
  <Override PartName="/customXml/itemProps204.xml" ContentType="application/vnd.openxmlformats-officedocument.customXmlProperties+xml"/>
  <Override PartName="/customXml/itemProps205.xml" ContentType="application/vnd.openxmlformats-officedocument.customXmlProperties+xml"/>
  <Override PartName="/customXml/itemProps206.xml" ContentType="application/vnd.openxmlformats-officedocument.customXmlProperties+xml"/>
  <Override PartName="/customXml/itemProps207.xml" ContentType="application/vnd.openxmlformats-officedocument.customXmlProperties+xml"/>
  <Override PartName="/customXml/itemProps208.xml" ContentType="application/vnd.openxmlformats-officedocument.customXmlProperties+xml"/>
  <Override PartName="/customXml/itemProps209.xml" ContentType="application/vnd.openxmlformats-officedocument.customXmlProperties+xml"/>
  <Override PartName="/customXml/itemProps210.xml" ContentType="application/vnd.openxmlformats-officedocument.customXmlProperties+xml"/>
  <Override PartName="/customXml/itemProps211.xml" ContentType="application/vnd.openxmlformats-officedocument.customXmlProperties+xml"/>
  <Override PartName="/customXml/itemProps212.xml" ContentType="application/vnd.openxmlformats-officedocument.customXmlProperties+xml"/>
  <Override PartName="/customXml/itemProps213.xml" ContentType="application/vnd.openxmlformats-officedocument.customXmlProperties+xml"/>
  <Override PartName="/customXml/itemProps214.xml" ContentType="application/vnd.openxmlformats-officedocument.customXmlProperties+xml"/>
  <Override PartName="/customXml/itemProps215.xml" ContentType="application/vnd.openxmlformats-officedocument.customXmlProperties+xml"/>
  <Override PartName="/customXml/itemProps216.xml" ContentType="application/vnd.openxmlformats-officedocument.customXmlProperties+xml"/>
  <Override PartName="/customXml/itemProps217.xml" ContentType="application/vnd.openxmlformats-officedocument.customXmlProperties+xml"/>
  <Override PartName="/customXml/itemProps218.xml" ContentType="application/vnd.openxmlformats-officedocument.customXmlProperties+xml"/>
  <Override PartName="/customXml/itemProps219.xml" ContentType="application/vnd.openxmlformats-officedocument.customXmlProperties+xml"/>
  <Override PartName="/customXml/itemProps220.xml" ContentType="application/vnd.openxmlformats-officedocument.customXmlProperties+xml"/>
  <Override PartName="/customXml/itemProps221.xml" ContentType="application/vnd.openxmlformats-officedocument.customXmlProperties+xml"/>
  <Override PartName="/customXml/itemProps222.xml" ContentType="application/vnd.openxmlformats-officedocument.customXmlProperties+xml"/>
  <Override PartName="/customXml/itemProps223.xml" ContentType="application/vnd.openxmlformats-officedocument.customXmlProperties+xml"/>
  <Override PartName="/customXml/itemProps224.xml" ContentType="application/vnd.openxmlformats-officedocument.customXmlProperties+xml"/>
  <Override PartName="/customXml/itemProps225.xml" ContentType="application/vnd.openxmlformats-officedocument.customXmlProperties+xml"/>
  <Override PartName="/customXml/itemProps226.xml" ContentType="application/vnd.openxmlformats-officedocument.customXmlProperties+xml"/>
  <Override PartName="/customXml/itemProps227.xml" ContentType="application/vnd.openxmlformats-officedocument.customXmlProperties+xml"/>
  <Override PartName="/customXml/itemProps228.xml" ContentType="application/vnd.openxmlformats-officedocument.customXmlProperties+xml"/>
  <Override PartName="/customXml/itemProps229.xml" ContentType="application/vnd.openxmlformats-officedocument.customXmlProperties+xml"/>
  <Override PartName="/customXml/itemProps230.xml" ContentType="application/vnd.openxmlformats-officedocument.customXmlProperties+xml"/>
  <Override PartName="/customXml/itemProps231.xml" ContentType="application/vnd.openxmlformats-officedocument.customXmlProperties+xml"/>
  <Override PartName="/customXml/itemProps232.xml" ContentType="application/vnd.openxmlformats-officedocument.customXmlProperties+xml"/>
  <Override PartName="/customXml/itemProps233.xml" ContentType="application/vnd.openxmlformats-officedocument.customXmlProperties+xml"/>
  <Override PartName="/customXml/itemProps234.xml" ContentType="application/vnd.openxmlformats-officedocument.customXmlProperties+xml"/>
  <Override PartName="/customXml/itemProps235.xml" ContentType="application/vnd.openxmlformats-officedocument.customXmlProperties+xml"/>
  <Override PartName="/customXml/itemProps236.xml" ContentType="application/vnd.openxmlformats-officedocument.customXmlProperties+xml"/>
  <Override PartName="/customXml/itemProps237.xml" ContentType="application/vnd.openxmlformats-officedocument.customXmlProperties+xml"/>
  <Override PartName="/customXml/itemProps238.xml" ContentType="application/vnd.openxmlformats-officedocument.customXmlProperties+xml"/>
  <Override PartName="/customXml/itemProps239.xml" ContentType="application/vnd.openxmlformats-officedocument.customXmlProperties+xml"/>
  <Override PartName="/customXml/itemProps240.xml" ContentType="application/vnd.openxmlformats-officedocument.customXmlProperties+xml"/>
  <Override PartName="/customXml/itemProps241.xml" ContentType="application/vnd.openxmlformats-officedocument.customXmlProperties+xml"/>
  <Override PartName="/customXml/itemProps242.xml" ContentType="application/vnd.openxmlformats-officedocument.customXmlProperties+xml"/>
  <Override PartName="/customXml/itemProps243.xml" ContentType="application/vnd.openxmlformats-officedocument.customXmlProperties+xml"/>
  <Override PartName="/customXml/itemProps244.xml" ContentType="application/vnd.openxmlformats-officedocument.customXmlProperties+xml"/>
  <Override PartName="/customXml/itemProps245.xml" ContentType="application/vnd.openxmlformats-officedocument.customXmlProperties+xml"/>
  <Override PartName="/customXml/itemProps246.xml" ContentType="application/vnd.openxmlformats-officedocument.customXmlProperties+xml"/>
  <Override PartName="/customXml/itemProps247.xml" ContentType="application/vnd.openxmlformats-officedocument.customXmlProperties+xml"/>
  <Override PartName="/customXml/itemProps248.xml" ContentType="application/vnd.openxmlformats-officedocument.customXmlProperties+xml"/>
  <Override PartName="/customXml/itemProps249.xml" ContentType="application/vnd.openxmlformats-officedocument.customXmlProperties+xml"/>
  <Override PartName="/customXml/itemProps250.xml" ContentType="application/vnd.openxmlformats-officedocument.customXmlProperties+xml"/>
  <Override PartName="/customXml/itemProps251.xml" ContentType="application/vnd.openxmlformats-officedocument.customXmlProperties+xml"/>
  <Override PartName="/customXml/itemProps252.xml" ContentType="application/vnd.openxmlformats-officedocument.customXmlProperties+xml"/>
  <Override PartName="/customXml/itemProps253.xml" ContentType="application/vnd.openxmlformats-officedocument.customXmlProperties+xml"/>
  <Override PartName="/customXml/itemProps254.xml" ContentType="application/vnd.openxmlformats-officedocument.customXmlProperties+xml"/>
  <Override PartName="/customXml/itemProps255.xml" ContentType="application/vnd.openxmlformats-officedocument.customXmlProperties+xml"/>
  <Override PartName="/customXml/itemProps256.xml" ContentType="application/vnd.openxmlformats-officedocument.customXmlProperties+xml"/>
  <Override PartName="/customXml/itemProps257.xml" ContentType="application/vnd.openxmlformats-officedocument.customXmlProperties+xml"/>
  <Override PartName="/customXml/itemProps258.xml" ContentType="application/vnd.openxmlformats-officedocument.customXmlProperties+xml"/>
  <Override PartName="/customXml/itemProps259.xml" ContentType="application/vnd.openxmlformats-officedocument.customXmlProperties+xml"/>
  <Override PartName="/customXml/itemProps260.xml" ContentType="application/vnd.openxmlformats-officedocument.customXmlProperties+xml"/>
  <Override PartName="/customXml/itemProps261.xml" ContentType="application/vnd.openxmlformats-officedocument.customXmlProperties+xml"/>
  <Override PartName="/customXml/itemProps262.xml" ContentType="application/vnd.openxmlformats-officedocument.customXmlProperties+xml"/>
  <Override PartName="/customXml/itemProps263.xml" ContentType="application/vnd.openxmlformats-officedocument.customXmlProperties+xml"/>
  <Override PartName="/customXml/itemProps264.xml" ContentType="application/vnd.openxmlformats-officedocument.customXmlProperties+xml"/>
  <Override PartName="/customXml/itemProps265.xml" ContentType="application/vnd.openxmlformats-officedocument.customXmlProperties+xml"/>
  <Override PartName="/customXml/itemProps266.xml" ContentType="application/vnd.openxmlformats-officedocument.customXmlProperties+xml"/>
  <Override PartName="/customXml/itemProps267.xml" ContentType="application/vnd.openxmlformats-officedocument.customXmlProperties+xml"/>
  <Override PartName="/customXml/itemProps268.xml" ContentType="application/vnd.openxmlformats-officedocument.customXmlProperties+xml"/>
  <Override PartName="/customXml/itemProps269.xml" ContentType="application/vnd.openxmlformats-officedocument.customXmlProperties+xml"/>
  <Override PartName="/customXml/itemProps270.xml" ContentType="application/vnd.openxmlformats-officedocument.customXmlProperties+xml"/>
  <Override PartName="/customXml/itemProps271.xml" ContentType="application/vnd.openxmlformats-officedocument.customXmlProperties+xml"/>
  <Override PartName="/customXml/itemProps272.xml" ContentType="application/vnd.openxmlformats-officedocument.customXmlProperties+xml"/>
  <Override PartName="/customXml/itemProps273.xml" ContentType="application/vnd.openxmlformats-officedocument.customXmlProperties+xml"/>
  <Override PartName="/customXml/itemProps274.xml" ContentType="application/vnd.openxmlformats-officedocument.customXmlProperties+xml"/>
  <Override PartName="/customXml/itemProps275.xml" ContentType="application/vnd.openxmlformats-officedocument.customXmlProperties+xml"/>
  <Override PartName="/customXml/itemProps276.xml" ContentType="application/vnd.openxmlformats-officedocument.customXmlProperties+xml"/>
  <Override PartName="/customXml/itemProps277.xml" ContentType="application/vnd.openxmlformats-officedocument.customXmlProperties+xml"/>
  <Override PartName="/customXml/itemProps278.xml" ContentType="application/vnd.openxmlformats-officedocument.customXmlProperties+xml"/>
  <Override PartName="/customXml/itemProps279.xml" ContentType="application/vnd.openxmlformats-officedocument.customXmlProperties+xml"/>
  <Override PartName="/customXml/itemProps280.xml" ContentType="application/vnd.openxmlformats-officedocument.customXmlProperties+xml"/>
  <Override PartName="/customXml/itemProps281.xml" ContentType="application/vnd.openxmlformats-officedocument.customXmlProperties+xml"/>
  <Override PartName="/customXml/itemProps282.xml" ContentType="application/vnd.openxmlformats-officedocument.customXmlProperties+xml"/>
  <Override PartName="/customXml/itemProps283.xml" ContentType="application/vnd.openxmlformats-officedocument.customXmlProperties+xml"/>
  <Override PartName="/customXml/itemProps284.xml" ContentType="application/vnd.openxmlformats-officedocument.customXmlProperties+xml"/>
  <Override PartName="/customXml/itemProps285.xml" ContentType="application/vnd.openxmlformats-officedocument.customXmlProperties+xml"/>
  <Override PartName="/customXml/itemProps286.xml" ContentType="application/vnd.openxmlformats-officedocument.customXmlProperties+xml"/>
  <Override PartName="/customXml/itemProps287.xml" ContentType="application/vnd.openxmlformats-officedocument.customXmlProperties+xml"/>
  <Override PartName="/customXml/itemProps288.xml" ContentType="application/vnd.openxmlformats-officedocument.customXmlProperties+xml"/>
  <Override PartName="/customXml/itemProps289.xml" ContentType="application/vnd.openxmlformats-officedocument.customXmlProperties+xml"/>
  <Override PartName="/customXml/itemProps290.xml" ContentType="application/vnd.openxmlformats-officedocument.customXmlProperties+xml"/>
  <Override PartName="/customXml/itemProps291.xml" ContentType="application/vnd.openxmlformats-officedocument.customXmlProperties+xml"/>
  <Override PartName="/customXml/itemProps292.xml" ContentType="application/vnd.openxmlformats-officedocument.customXmlProperties+xml"/>
  <Override PartName="/customXml/itemProps293.xml" ContentType="application/vnd.openxmlformats-officedocument.customXmlProperties+xml"/>
  <Override PartName="/customXml/itemProps294.xml" ContentType="application/vnd.openxmlformats-officedocument.customXmlProperties+xml"/>
  <Override PartName="/customXml/itemProps295.xml" ContentType="application/vnd.openxmlformats-officedocument.customXmlProperties+xml"/>
  <Override PartName="/customXml/itemProps296.xml" ContentType="application/vnd.openxmlformats-officedocument.customXmlProperties+xml"/>
  <Override PartName="/customXml/itemProps297.xml" ContentType="application/vnd.openxmlformats-officedocument.customXmlProperties+xml"/>
  <Override PartName="/customXml/itemProps298.xml" ContentType="application/vnd.openxmlformats-officedocument.customXmlProperties+xml"/>
  <Override PartName="/customXml/itemProps299.xml" ContentType="application/vnd.openxmlformats-officedocument.customXmlProperties+xml"/>
  <Override PartName="/customXml/itemProps300.xml" ContentType="application/vnd.openxmlformats-officedocument.customXmlProperties+xml"/>
  <Override PartName="/customXml/itemProps301.xml" ContentType="application/vnd.openxmlformats-officedocument.customXmlProperties+xml"/>
  <Override PartName="/customXml/itemProps302.xml" ContentType="application/vnd.openxmlformats-officedocument.customXmlProperties+xml"/>
  <Override PartName="/customXml/itemProps303.xml" ContentType="application/vnd.openxmlformats-officedocument.customXmlProperties+xml"/>
  <Override PartName="/customXml/itemProps304.xml" ContentType="application/vnd.openxmlformats-officedocument.customXmlProperties+xml"/>
  <Override PartName="/customXml/itemProps305.xml" ContentType="application/vnd.openxmlformats-officedocument.customXmlProperties+xml"/>
  <Override PartName="/customXml/itemProps306.xml" ContentType="application/vnd.openxmlformats-officedocument.customXmlProperties+xml"/>
  <Override PartName="/customXml/itemProps307.xml" ContentType="application/vnd.openxmlformats-officedocument.customXmlProperties+xml"/>
  <Override PartName="/customXml/itemProps308.xml" ContentType="application/vnd.openxmlformats-officedocument.customXmlProperties+xml"/>
  <Override PartName="/customXml/itemProps309.xml" ContentType="application/vnd.openxmlformats-officedocument.customXmlProperties+xml"/>
  <Override PartName="/customXml/itemProps310.xml" ContentType="application/vnd.openxmlformats-officedocument.customXmlProperties+xml"/>
  <Override PartName="/customXml/itemProps311.xml" ContentType="application/vnd.openxmlformats-officedocument.customXmlProperties+xml"/>
  <Override PartName="/customXml/itemProps312.xml" ContentType="application/vnd.openxmlformats-officedocument.customXmlProperties+xml"/>
  <Override PartName="/customXml/itemProps313.xml" ContentType="application/vnd.openxmlformats-officedocument.customXmlProperties+xml"/>
  <Override PartName="/customXml/itemProps314.xml" ContentType="application/vnd.openxmlformats-officedocument.customXmlProperties+xml"/>
  <Override PartName="/customXml/itemProps315.xml" ContentType="application/vnd.openxmlformats-officedocument.customXmlProperties+xml"/>
  <Override PartName="/customXml/itemProps316.xml" ContentType="application/vnd.openxmlformats-officedocument.customXmlProperties+xml"/>
  <Override PartName="/customXml/itemProps317.xml" ContentType="application/vnd.openxmlformats-officedocument.customXmlProperties+xml"/>
  <Override PartName="/customXml/itemProps318.xml" ContentType="application/vnd.openxmlformats-officedocument.customXmlProperties+xml"/>
  <Override PartName="/customXml/itemProps319.xml" ContentType="application/vnd.openxmlformats-officedocument.customXmlProperties+xml"/>
  <Override PartName="/customXml/itemProps320.xml" ContentType="application/vnd.openxmlformats-officedocument.customXmlProperties+xml"/>
  <Override PartName="/customXml/itemProps321.xml" ContentType="application/vnd.openxmlformats-officedocument.customXmlProperties+xml"/>
  <Override PartName="/customXml/itemProps322.xml" ContentType="application/vnd.openxmlformats-officedocument.customXmlProperties+xml"/>
  <Override PartName="/customXml/itemProps323.xml" ContentType="application/vnd.openxmlformats-officedocument.customXmlProperties+xml"/>
  <Override PartName="/customXml/itemProps324.xml" ContentType="application/vnd.openxmlformats-officedocument.customXmlProperties+xml"/>
  <Override PartName="/customXml/itemProps325.xml" ContentType="application/vnd.openxmlformats-officedocument.customXmlProperties+xml"/>
  <Override PartName="/customXml/itemProps326.xml" ContentType="application/vnd.openxmlformats-officedocument.customXmlProperties+xml"/>
  <Override PartName="/customXml/itemProps327.xml" ContentType="application/vnd.openxmlformats-officedocument.customXmlProperties+xml"/>
  <Override PartName="/customXml/itemProps328.xml" ContentType="application/vnd.openxmlformats-officedocument.customXmlProperties+xml"/>
  <Override PartName="/customXml/itemProps329.xml" ContentType="application/vnd.openxmlformats-officedocument.customXmlProperties+xml"/>
  <Override PartName="/customXml/itemProps330.xml" ContentType="application/vnd.openxmlformats-officedocument.customXmlProperties+xml"/>
  <Override PartName="/customXml/itemProps331.xml" ContentType="application/vnd.openxmlformats-officedocument.customXmlProperties+xml"/>
  <Override PartName="/customXml/itemProps332.xml" ContentType="application/vnd.openxmlformats-officedocument.customXmlProperties+xml"/>
  <Override PartName="/customXml/itemProps333.xml" ContentType="application/vnd.openxmlformats-officedocument.customXmlProperties+xml"/>
  <Override PartName="/customXml/itemProps334.xml" ContentType="application/vnd.openxmlformats-officedocument.customXmlProperties+xml"/>
  <Override PartName="/customXml/itemProps335.xml" ContentType="application/vnd.openxmlformats-officedocument.customXmlProperties+xml"/>
  <Override PartName="/customXml/itemProps336.xml" ContentType="application/vnd.openxmlformats-officedocument.customXmlProperties+xml"/>
  <Override PartName="/customXml/itemProps337.xml" ContentType="application/vnd.openxmlformats-officedocument.customXmlProperties+xml"/>
  <Override PartName="/customXml/itemProps338.xml" ContentType="application/vnd.openxmlformats-officedocument.customXmlProperties+xml"/>
  <Override PartName="/customXml/itemProps339.xml" ContentType="application/vnd.openxmlformats-officedocument.customXmlProperties+xml"/>
  <Override PartName="/customXml/itemProps340.xml" ContentType="application/vnd.openxmlformats-officedocument.customXmlProperties+xml"/>
  <Override PartName="/customXml/itemProps341.xml" ContentType="application/vnd.openxmlformats-officedocument.customXmlProperties+xml"/>
  <Override PartName="/customXml/itemProps342.xml" ContentType="application/vnd.openxmlformats-officedocument.customXmlProperties+xml"/>
  <Override PartName="/customXml/itemProps343.xml" ContentType="application/vnd.openxmlformats-officedocument.customXmlProperties+xml"/>
  <Override PartName="/customXml/itemProps344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codeName="Denne_projektmappe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Sben\Documents\ping-pong-dm\Filer\Generelt\"/>
    </mc:Choice>
  </mc:AlternateContent>
  <xr:revisionPtr revIDLastSave="0" documentId="13_ncr:1_{7D824AE9-C5DA-490A-9C48-2DB8ABF3BB81}" xr6:coauthVersionLast="47" xr6:coauthVersionMax="47" xr10:uidLastSave="{00000000-0000-0000-0000-000000000000}"/>
  <bookViews>
    <workbookView xWindow="-108" yWindow="-108" windowWidth="23256" windowHeight="12456" tabRatio="854" xr2:uid="{2CA1C24A-35AE-4703-99CC-A963D3CF8F1C}"/>
  </bookViews>
  <sheets>
    <sheet name="✍️ Input" sheetId="41" r:id="rId1"/>
    <sheet name="💡🏆🎫 Status" sheetId="46" r:id="rId2"/>
    <sheet name="🏓🆚 Puljer" sheetId="58" r:id="rId3"/>
    <sheet name="🗂️ Filtre nøgletal" sheetId="47" r:id="rId4"/>
    <sheet name="🗝️ Nøgletal" sheetId="42" r:id="rId5"/>
  </sheets>
  <definedNames>
    <definedName name="_xlcn.WorksheetConnection_DeltagereogtilmeldingertilDMiPingPong.xlsxBillettype_d31" hidden="1">Billettype_d2[]</definedName>
    <definedName name="_xlcn.WorksheetConnection_DeltagereogtilmeldingertilDMiPingPong.xlsxKlokkeslætsinterval_d11" hidden="1">Klokkeslætsinterval_d1[]</definedName>
    <definedName name="_xlcn.WorksheetConnection_DeltagereogtilmeldingertilDMiPingPong.xlsxRegion_d31" hidden="1">Region_d2[]</definedName>
    <definedName name="_xlcn.WorksheetConnection_DeltagereogtilmeldingertilDMiPingPong.xlsxSpillertype_d21" hidden="1">Spillertype_d1[]</definedName>
    <definedName name="_xlcn.WorksheetConnection_DeltagereogtilmeldingertilDMiPingPong.xlsxTilmeldingskanal_d1271" hidden="1">Billetsalg_pr_tilmelding_d1[]</definedName>
    <definedName name="_xlcn.WorksheetConnection_DeltagereogtilmeldingertilDMiPingPongKopi.xlsxGentilmeldinger_d11" hidden="1">Gentilmeldinger_d1[]</definedName>
    <definedName name="_xlcn.WorksheetConnection_DeltagereogtilmeldingertilDMiPingPongKopi.xlsxTilmeldingsstatus_d11" hidden="1">Tilmeldingsstatus_d1[]</definedName>
    <definedName name="_xlcn.WorksheetConnection_Test.xlsxEvent_d21" hidden="1">Event_år_d2[]</definedName>
    <definedName name="_xlcn.WorksheetConnection_Test.xlsxEvent_d3151" hidden="1">Event_d3[]</definedName>
    <definedName name="_xlcn.WorksheetConnection_TilmeldingertilDMiPingPong.xlsxBilletpris_d21" hidden="1">Event_år_billettype_d1[]</definedName>
    <definedName name="_xlcn.WorksheetConnection_TilmeldingertilDMiPingPongBilletFix.xlsxKøn_d11" hidden="1">Køn_d1[]</definedName>
    <definedName name="_xlcn.WorksheetConnection_TilmeldingertilDMiPingPongBilletFix.xlsxLandsdel_d21" hidden="1">Landsdel_d2[]</definedName>
    <definedName name="_xlcn.WorksheetConnection_TilmeldingertilDMiPingPongBilletFix.xlsxLandsdel_og_klub_d11" hidden="1">Bordtennisklub_d1[]</definedName>
    <definedName name="_xlcn.WorksheetConnection_TilmeldingertilDMiPingPongBilletFix.xlsxRating_interval_d21" hidden="1">Ratinggruppe_d1[]</definedName>
    <definedName name="_xlcn.WorksheetConnection_TilmeldingertilDMiPingPongBilletFix.xlsxTabel231" hidden="1">Tilmeldingstype_d1[]</definedName>
    <definedName name="_xlcn.WorksheetConnection_TilmeldingertilDMiPingPongBilletFix.xlsxTilvalg_d261" hidden="1">Aldersgruppe_d1[]</definedName>
    <definedName name="EksterneData_1" localSheetId="1" hidden="1">'💡🏆🎫 Status'!$A$94:$B$114</definedName>
    <definedName name="EksterneData_10" localSheetId="1" hidden="1">'💡🏆🎫 Status'!$G$48:$J$72</definedName>
    <definedName name="EksterneData_11" localSheetId="2" hidden="1">'🏓🆚 Puljer'!$F$64:$X$70</definedName>
    <definedName name="EksterneData_12" localSheetId="2" hidden="1">'🏓🆚 Puljer'!$A$7:$AC$11</definedName>
    <definedName name="EksterneData_2" localSheetId="1" hidden="1">'💡🏆🎫 Status'!#REF!</definedName>
    <definedName name="EksterneData_3" localSheetId="1" hidden="1">'💡🏆🎫 Status'!#REF!</definedName>
    <definedName name="EksterneData_4" localSheetId="1" hidden="1">'💡🏆🎫 Status'!$S$21:$AA$60</definedName>
    <definedName name="EksterneData_5" localSheetId="1" hidden="1">'💡🏆🎫 Status'!#REF!</definedName>
    <definedName name="EksterneData_6" localSheetId="1" hidden="1">'💡🏆🎫 Status'!$M$33:$Q$48</definedName>
    <definedName name="EksterneData_7" localSheetId="1" hidden="1">'💡🏆🎫 Status'!$A$58:$B$83</definedName>
    <definedName name="EksterneData_8" localSheetId="1" hidden="1">'💡🏆🎫 Status'!$D$49:$E$74</definedName>
    <definedName name="EksterneData_9" localSheetId="1" hidden="1">'💡🏆🎫 Status'!$G$84:$J$129</definedName>
    <definedName name="tbl_Billettype_d2">Billettype_d2[K: Billettype]</definedName>
    <definedName name="tbl_Bordtennisklub_d1">Bordtennisklub_d1[K: Bordtennisklub]</definedName>
    <definedName name="tbl_Event_d3">Event_d3[K: Event]</definedName>
    <definedName name="tbl_Event_år_billettype_d1">Event_år_billettype_d1[K: Event, år &amp; billettype]</definedName>
    <definedName name="tbl_Event_år_d2">Event_år_d2[K: Event &amp; år]</definedName>
    <definedName name="tbl_Køn_d1">Køn_d1[K: Køn]</definedName>
    <definedName name="tbl_Placering_d1">Placering_d1[K: Placering]</definedName>
    <definedName name="tbl_Slutspil_d1">Slutspil_d1[K: Slutspil]</definedName>
    <definedName name="tbl_Tilmeldingsstatus_d1">Tilmeldingsstatus_d1[K: Tilmeldingsstatus]</definedName>
    <definedName name="tbl_TRUE_FALSE_d1">TRUE_FALSE_d1[K: TRUE/FALSE]</definedName>
    <definedName name="_xlnm.Print_Area" localSheetId="0">'✍️ Input'!$A:$AO</definedName>
    <definedName name="_xlnm.Print_Area" localSheetId="2">'🏓🆚 Puljer'!$A:$AC</definedName>
    <definedName name="_xlnm.Print_Area" localSheetId="1">'💡🏆🎫 Status'!$A:$AA</definedName>
    <definedName name="_xlnm.Print_Area" localSheetId="3">'🗂️ Filtre nøgletal'!$A:$C</definedName>
    <definedName name="_xlnm.Print_Area" localSheetId="4">'🗝️ Nøgletal'!$A:$M</definedName>
    <definedName name="Udsnit_K__Alder_interval">#N/A</definedName>
    <definedName name="Udsnit_K__Billetantal_pr._tilmelding">#N/A</definedName>
    <definedName name="Udsnit_K__Billettype">#N/A</definedName>
    <definedName name="Udsnit_K__Bordtennisklub">#N/A</definedName>
    <definedName name="Udsnit_K__Event___år">#N/A</definedName>
    <definedName name="Udsnit_K__Gentilmeldinger">#N/A</definedName>
    <definedName name="Udsnit_K__Klokkeslætsinterval">#N/A</definedName>
    <definedName name="Udsnit_K__Køn">#N/A</definedName>
    <definedName name="Udsnit_K__Landsdel">#N/A</definedName>
    <definedName name="Udsnit_K__Rating_interval">#N/A</definedName>
    <definedName name="Udsnit_K__Region">#N/A</definedName>
    <definedName name="Udsnit_K__Spillertype">#N/A</definedName>
    <definedName name="Udsnit_K__Tilmeldingskanal">#N/A</definedName>
    <definedName name="Udsnit_K__Tilmeldingsstatus">#N/A</definedName>
    <definedName name="Valg_af_tilmeldingsår">'✍️ Input'!$E$4</definedName>
  </definedNames>
  <calcPr calcId="191029"/>
  <pivotCaches>
    <pivotCache cacheId="580" r:id="rId6"/>
    <pivotCache cacheId="584" r:id="rId7"/>
    <pivotCache cacheId="629" r:id="rId8"/>
  </pivotCaches>
  <extLst>
    <ext xmlns:x14="http://schemas.microsoft.com/office/spreadsheetml/2009/9/main" uri="{876F7934-8845-4945-9796-88D515C7AA90}">
      <x14:pivotCaches>
        <pivotCache cacheId="583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587" r:id="rId24"/>
        <pivotCache cacheId="590" r:id="rId25"/>
        <pivotCache cacheId="593" r:id="rId26"/>
        <pivotCache cacheId="596" r:id="rId27"/>
        <pivotCache cacheId="599" r:id="rId28"/>
        <pivotCache cacheId="602" r:id="rId29"/>
        <pivotCache cacheId="605" r:id="rId30"/>
        <pivotCache cacheId="608" r:id="rId31"/>
        <pivotCache cacheId="611" r:id="rId32"/>
        <pivotCache cacheId="614" r:id="rId33"/>
        <pivotCache cacheId="617" r:id="rId34"/>
        <pivotCache cacheId="620" r:id="rId35"/>
        <pivotCache cacheId="623" r:id="rId36"/>
        <pivotCache cacheId="626" r:id="rId37"/>
      </x15:pivotCaches>
    </ext>
    <ext xmlns:x15="http://schemas.microsoft.com/office/spreadsheetml/2010/11/main" uri="{983426D0-5260-488c-9760-48F4B6AC55F4}">
      <x15:pivotTableReferences>
        <x15:pivotTableReference r:id="rId38"/>
        <x15:pivotTableReference r:id="rId39"/>
        <x15:pivotTableReference r:id="rId40"/>
        <x15:pivotTableReference r:id="rId41"/>
        <x15:pivotTableReference r:id="rId42"/>
        <x15:pivotTableReference r:id="rId43"/>
        <x15:pivotTableReference r:id="rId44"/>
        <x15:pivotTableReference r:id="rId45"/>
        <x15:pivotTableReference r:id="rId46"/>
        <x15:pivotTableReference r:id="rId47"/>
        <x15:pivotTableReference r:id="rId48"/>
        <x15:pivotTableReference r:id="rId49"/>
        <x15:pivotTableReference r:id="rId50"/>
        <x15:pivotTableReference r:id="rId51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ilmeldinger_1f_18560c4a-5c1a-4d7f-bf6a-a5cdda7de17a" name="Tilmeldinger_1f" connection="Forespørgsel - Tilmeldinger_1f"/>
          <x15:modelTable id="Billetpris_d2" name="Event_år_billettype_d1" connection="WorksheetConnection_Tilmeldinger til DM i Ping Pong.xlsx!Billetpris_d2"/>
          <x15:modelTable id="Tilvalg_d26" name="Aldersgruppe_d1" connection="WorksheetConnection_Tilmeldinger til DM i Ping Pong - BilletFix.xlsx!Tilvalg_d26"/>
          <x15:modelTable id="Tabel23" name="Tilmeldingstype_d1" connection="WorksheetConnection_Tilmeldinger til DM i Ping Pong - BilletFix.xlsx!Tabel23"/>
          <x15:modelTable id="Rating_interval_d2" name="Ratinggruppe_d1" connection="WorksheetConnection_Tilmeldinger til DM i Ping Pong - BilletFix.xlsx!Rating_interval_d2"/>
          <x15:modelTable id="Landsdel_og_klub_d1" name="Bordtennisklub_d1" connection="WorksheetConnection_Tilmeldinger til DM i Ping Pong - BilletFix.xlsx!Landsdel_og_klub_d1"/>
          <x15:modelTable id="Landsdel_d2" name="Landsdel_d2" connection="WorksheetConnection_Tilmeldinger til DM i Ping Pong - BilletFix.xlsx!Landsdel_d2"/>
          <x15:modelTable id="Køn_d1" name="Køn_d1" connection="WorksheetConnection_Tilmeldinger til DM i Ping Pong - BilletFix.xlsx!Køn_d1"/>
          <x15:modelTable id="Event_d315" name="Event_d3" connection="WorksheetConnection_Test.xlsx!Event_d315"/>
          <x15:modelTable id="Event_d2" name="Event_år_d2" connection="WorksheetConnection_Test.xlsx!Event_d2"/>
          <x15:modelTable id="Tilmeldingskanal_d127" name="Billetsalg_pr_tilmelding_d1" connection="WorksheetConnection_Deltagere og tilmeldinger til DM i Ping Pong.xlsx!Tilmeldingskanal_d127"/>
          <x15:modelTable id="Spillertype_d2" name="Spillertype_d1" connection="WorksheetConnection_Deltagere og tilmeldinger til DM i Ping Pong.xlsx!Spillertype_d2"/>
          <x15:modelTable id="Region_d3" name="Region_d2" connection="WorksheetConnection_Deltagere og tilmeldinger til DM i Ping Pong.xlsx!Region_d3"/>
          <x15:modelTable id="Klokkeslætsinterval_d1" name="Klokkeslætsinterval_d1" connection="WorksheetConnection_Deltagere og tilmeldinger til DM i Ping Pong.xlsx!Klokkeslætsinterval_d1"/>
          <x15:modelTable id="Billettype_d3" name="Billettype_d2" connection="WorksheetConnection_Deltagere og tilmeldinger til DM i Ping Pong.xlsx!Billettype_d3"/>
          <x15:modelTable id="Tilmeldingsstatus_d1" name="Tilmeldingsstatus_d1" connection="WorksheetConnection_Deltagere og tilmeldinger til DM i Ping Pong - Kopi.xlsx!Tilmeldingsstatus_d1"/>
          <x15:modelTable id="Gentilmeldinger_d1" name="Gentilmeldinger_d1" connection="WorksheetConnection_Deltagere og tilmeldinger til DM i Ping Pong - Kopi.xlsx!Gentilmeldinger_d1"/>
          <x15:modelTable id="Kalender" name="Kalender" connection="Forbindelse"/>
        </x15:modelTables>
        <x15:modelRelationships>
          <x15:modelRelationship fromTable="Tilmeldinger_1f" fromColumn="K: Billetsalg pr. tilmelding" toTable="Billetsalg_pr_tilmelding_d1" toColumn="K: Billetsalg pr. tilmelding"/>
          <x15:modelRelationship fromTable="Tilmeldinger_1f" fromColumn="K: Klokkeslætsinterval" toTable="Klokkeslætsinterval_d1" toColumn="K: Klokkeslætsinterval"/>
          <x15:modelRelationship fromTable="Tilmeldinger_1f" fromColumn="K: Gentilmeldinger" toTable="Gentilmeldinger_d1" toColumn="K: Gentilmeldinger"/>
          <x15:modelRelationship fromTable="Tilmeldinger_1f" fromColumn="K: Status" toTable="Tilmeldingsstatus_d1" toColumn="K: Tilmeldingsstatus"/>
          <x15:modelRelationship fromTable="Tilmeldinger_1f" fromColumn="K: Tilmeldingstype" toTable="Tilmeldingstype_d1" toColumn="K: Tilmeldingstype"/>
          <x15:modelRelationship fromTable="Tilmeldinger_1f" fromColumn="K: Første ordredato" toTable="Kalender" toColumn="K: Dato"/>
          <x15:modelRelationship fromTable="Tilmeldinger_1f" fromColumn="K: Event, år &amp; billettype" toTable="Event_år_billettype_d1" toColumn="K: Event, år &amp; billettype"/>
          <x15:modelRelationship fromTable="Tilmeldinger_1f" fromColumn="K: Bordtennisklub" toTable="Bordtennisklub_d1" toColumn="K: Bordtennisklub"/>
          <x15:modelRelationship fromTable="Tilmeldinger_1f" fromColumn="K: Ratinggruppe" toTable="Ratinggruppe_d1" toColumn="K: Ratinggruppe"/>
          <x15:modelRelationship fromTable="Tilmeldinger_1f" fromColumn="K: Køn" toTable="Køn_d1" toColumn="K: Køn"/>
          <x15:modelRelationship fromTable="Tilmeldinger_1f" fromColumn="K: Spillertype" toTable="Spillertype_d1" toColumn="K: Spillertype"/>
          <x15:modelRelationship fromTable="Tilmeldinger_1f" fromColumn="K: Aldersgruppe" toTable="Aldersgruppe_d1" toColumn="K: Aldersgruppe"/>
          <x15:modelRelationship fromTable="Event_år_billettype_d1" fromColumn="K: Event &amp; år" toTable="Event_år_d2" toColumn="K: Event &amp; år"/>
          <x15:modelRelationship fromTable="Event_år_billettype_d1" fromColumn="K: Billettype" toTable="Billettype_d2" toColumn="K: Billettype"/>
          <x15:modelRelationship fromTable="Bordtennisklub_d1" fromColumn="K: Landsdel" toTable="Landsdel_d2" toColumn="K: Landsdel"/>
          <x15:modelRelationship fromTable="Bordtennisklub_d1" fromColumn="K: Region" toTable="Region_d2" toColumn="K: Region"/>
          <x15:modelRelationship fromTable="Event_år_d2" fromColumn="K: Event" toTable="Event_d3" toColumn="K: Event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107" i="41" l="1" a="1"/>
  <c r="U107" i="41" s="1"/>
  <c r="U95" i="41" a="1"/>
  <c r="U95" i="41" s="1"/>
  <c r="U89" i="41" a="1"/>
  <c r="U89" i="41" s="1"/>
  <c r="U83" i="41" a="1"/>
  <c r="U83" i="41" s="1"/>
  <c r="U76" i="41" a="1"/>
  <c r="U76" i="41" s="1"/>
  <c r="U69" i="41" a="1"/>
  <c r="U69" i="41" s="1"/>
  <c r="U61" i="41" a="1"/>
  <c r="U61" i="41" s="1"/>
  <c r="U54" i="41" a="1"/>
  <c r="U54" i="41" s="1"/>
  <c r="U49" i="41" a="1"/>
  <c r="U49" i="41" s="1"/>
  <c r="U41" i="41" a="1"/>
  <c r="U41" i="41" s="1"/>
  <c r="U17" i="41" a="1"/>
  <c r="U17" i="41" s="1"/>
  <c r="U4" i="41" a="1"/>
  <c r="U4" i="41" s="1"/>
  <c r="O79" i="41" a="1"/>
  <c r="O79" i="41" s="1"/>
  <c r="O70" i="41" a="1"/>
  <c r="O70" i="41" s="1"/>
  <c r="O64" i="41" a="1"/>
  <c r="O64" i="41" s="1"/>
  <c r="O57" i="41" a="1"/>
  <c r="O57" i="41" s="1"/>
  <c r="O51" i="41" a="1"/>
  <c r="O51" i="41" s="1"/>
  <c r="O45" i="41" a="1"/>
  <c r="O45" i="41" s="1"/>
  <c r="O4" i="41" a="1"/>
  <c r="O4" i="41" s="1"/>
  <c r="A4" i="41" a="1"/>
  <c r="A4" i="41" s="1"/>
  <c r="O41" i="41" a="1"/>
  <c r="O41" i="41" s="1"/>
  <c r="O34" i="41" a="1"/>
  <c r="O34" i="41" s="1"/>
  <c r="AO9" i="41"/>
  <c r="AO8" i="41"/>
  <c r="AO7" i="41"/>
  <c r="U80" i="41" a="1"/>
  <c r="U80" i="41" s="1"/>
  <c r="U110" i="41" a="1"/>
  <c r="U110" i="41" s="1"/>
  <c r="U109" i="41" a="1"/>
  <c r="U109" i="41" s="1"/>
  <c r="U104" i="41" a="1"/>
  <c r="U104" i="41" s="1"/>
  <c r="U103" i="41" a="1"/>
  <c r="U103" i="41" s="1"/>
  <c r="U102" i="41" a="1"/>
  <c r="U102" i="41" s="1"/>
  <c r="U101" i="41" a="1"/>
  <c r="U101" i="41" s="1"/>
  <c r="U100" i="41" a="1"/>
  <c r="U100" i="41" s="1"/>
  <c r="U99" i="41" a="1"/>
  <c r="U99" i="41" s="1"/>
  <c r="U98" i="41" a="1"/>
  <c r="U98" i="41" s="1"/>
  <c r="U97" i="41" a="1"/>
  <c r="U97" i="41" s="1"/>
  <c r="U92" i="41" a="1"/>
  <c r="U92" i="41" s="1"/>
  <c r="U91" i="41" a="1"/>
  <c r="U91" i="41" s="1"/>
  <c r="O40" i="41" a="1"/>
  <c r="O40" i="41" s="1"/>
  <c r="U33" i="41" a="1"/>
  <c r="U33" i="41" s="1"/>
  <c r="AC33" i="41"/>
  <c r="U34" i="41" a="1"/>
  <c r="U34" i="41" s="1"/>
  <c r="AC34" i="41"/>
  <c r="U35" i="41" a="1"/>
  <c r="U35" i="41" s="1"/>
  <c r="AC35" i="41"/>
  <c r="U36" i="41" a="1"/>
  <c r="U36" i="41" s="1"/>
  <c r="AC36" i="41"/>
  <c r="U37" i="41" a="1"/>
  <c r="U37" i="41" s="1"/>
  <c r="AC37" i="41"/>
  <c r="U32" i="41" a="1"/>
  <c r="U32" i="41" s="1"/>
  <c r="AC32" i="41"/>
  <c r="U9" i="41" a="1"/>
  <c r="U9" i="41" s="1"/>
  <c r="AL9" i="41" a="1"/>
  <c r="AL9" i="41" s="1"/>
  <c r="U10" i="41" a="1"/>
  <c r="U10" i="41" s="1"/>
  <c r="AL10" i="41" a="1"/>
  <c r="AL10" i="41" s="1"/>
  <c r="U11" i="41" a="1"/>
  <c r="U11" i="41" s="1"/>
  <c r="AL11" i="41" a="1"/>
  <c r="AL11" i="41" s="1"/>
  <c r="U12" i="41" a="1"/>
  <c r="U12" i="41" s="1"/>
  <c r="AL12" i="41" a="1"/>
  <c r="AL12" i="41" s="1"/>
  <c r="U13" i="41" a="1"/>
  <c r="U13" i="41" s="1"/>
  <c r="AL13" i="41" a="1"/>
  <c r="AL13" i="41" s="1"/>
  <c r="U14" i="41" a="1"/>
  <c r="U14" i="41" s="1"/>
  <c r="AL14" i="41" a="1"/>
  <c r="AL14" i="41" s="1"/>
  <c r="U19" i="41" a="1"/>
  <c r="U19" i="41" s="1"/>
  <c r="AC19" i="41"/>
  <c r="U20" i="41" a="1"/>
  <c r="U20" i="41" s="1"/>
  <c r="AC20" i="41"/>
  <c r="U46" i="41" a="1"/>
  <c r="U46" i="41" s="1"/>
  <c r="U45" i="41" a="1"/>
  <c r="U45" i="41" s="1"/>
  <c r="U44" i="41" a="1"/>
  <c r="U44" i="41" s="1"/>
  <c r="U43" i="41" a="1"/>
  <c r="U43" i="41" s="1"/>
  <c r="U65" i="41" a="1"/>
  <c r="U65" i="41" s="1"/>
  <c r="AC21" i="41"/>
  <c r="AL6" i="41" a="1"/>
  <c r="AL6" i="41" s="1"/>
  <c r="AC22" i="41"/>
  <c r="AC23" i="41"/>
  <c r="AC26" i="41"/>
  <c r="AC27" i="41"/>
  <c r="AC28" i="41"/>
  <c r="AC29" i="41"/>
  <c r="AC30" i="41"/>
  <c r="AC31" i="41"/>
  <c r="AC38" i="41"/>
  <c r="AC24" i="41"/>
  <c r="AC25" i="41"/>
  <c r="U27" i="41" a="1"/>
  <c r="U27" i="41" s="1"/>
  <c r="U28" i="41" a="1"/>
  <c r="U28" i="41" s="1"/>
  <c r="U29" i="41" a="1"/>
  <c r="U29" i="41" s="1"/>
  <c r="U30" i="41" a="1"/>
  <c r="U30" i="41" s="1"/>
  <c r="U31" i="41" a="1"/>
  <c r="U31" i="41" s="1"/>
  <c r="U38" i="41" a="1"/>
  <c r="U38" i="41" s="1"/>
  <c r="U51" i="41" a="1"/>
  <c r="U51" i="41" s="1"/>
  <c r="U6" i="41" a="1"/>
  <c r="U6" i="41" s="1"/>
  <c r="U23" i="41" a="1"/>
  <c r="U23" i="41" s="1"/>
  <c r="U26" i="41" a="1"/>
  <c r="U26" i="41" s="1"/>
  <c r="U24" i="41" a="1"/>
  <c r="U24" i="41" s="1"/>
  <c r="AL7" i="41" a="1"/>
  <c r="AL7" i="41" s="1"/>
  <c r="AL8" i="41" a="1"/>
  <c r="AL8" i="41" s="1"/>
  <c r="U7" i="41" a="1"/>
  <c r="U7" i="41" s="1"/>
  <c r="U8" i="41" a="1"/>
  <c r="U8" i="41" s="1"/>
  <c r="U64" i="41" a="1"/>
  <c r="U64" i="41" s="1"/>
  <c r="U22" i="41" a="1"/>
  <c r="U22" i="41" s="1"/>
  <c r="U73" i="41" a="1"/>
  <c r="U73" i="41" s="1"/>
  <c r="S16" i="46"/>
  <c r="U52" i="58" a="1"/>
  <c r="U52" i="58" s="1"/>
  <c r="U51" i="58" a="1"/>
  <c r="U51" i="58" s="1"/>
  <c r="U50" i="58" a="1"/>
  <c r="U50" i="58" s="1"/>
  <c r="U49" i="58" a="1"/>
  <c r="U49" i="58" s="1"/>
  <c r="U48" i="58" a="1"/>
  <c r="U48" i="58" s="1"/>
  <c r="U47" i="58" a="1"/>
  <c r="U47" i="58" s="1"/>
  <c r="P52" i="58" a="1"/>
  <c r="P52" i="58" s="1"/>
  <c r="P51" i="58" a="1"/>
  <c r="P51" i="58" s="1"/>
  <c r="P50" i="58" a="1"/>
  <c r="P50" i="58" s="1"/>
  <c r="P49" i="58" a="1"/>
  <c r="P49" i="58" s="1"/>
  <c r="P48" i="58" a="1"/>
  <c r="P48" i="58" s="1"/>
  <c r="P47" i="58" a="1"/>
  <c r="P47" i="58" s="1"/>
  <c r="K52" i="58" a="1"/>
  <c r="K52" i="58" s="1"/>
  <c r="K51" i="58" a="1"/>
  <c r="K51" i="58" s="1"/>
  <c r="K50" i="58" a="1"/>
  <c r="K50" i="58" s="1"/>
  <c r="K49" i="58" a="1"/>
  <c r="K49" i="58" s="1"/>
  <c r="K48" i="58" a="1"/>
  <c r="K48" i="58" s="1"/>
  <c r="K47" i="58" a="1"/>
  <c r="K47" i="58" s="1"/>
  <c r="F52" i="58" a="1"/>
  <c r="F52" i="58" s="1"/>
  <c r="F51" i="58" a="1"/>
  <c r="F51" i="58" s="1"/>
  <c r="F50" i="58" a="1"/>
  <c r="F50" i="58" s="1"/>
  <c r="F49" i="58" a="1"/>
  <c r="F49" i="58" s="1"/>
  <c r="F48" i="58" a="1"/>
  <c r="F48" i="58" s="1"/>
  <c r="F47" i="58" a="1"/>
  <c r="F47" i="58" s="1"/>
  <c r="U42" i="58" a="1"/>
  <c r="U42" i="58" s="1"/>
  <c r="U41" i="58" a="1"/>
  <c r="U41" i="58" s="1"/>
  <c r="U40" i="58" a="1"/>
  <c r="U40" i="58" s="1"/>
  <c r="U39" i="58" a="1"/>
  <c r="U39" i="58" s="1"/>
  <c r="U38" i="58" a="1"/>
  <c r="U38" i="58" s="1"/>
  <c r="U37" i="58" a="1"/>
  <c r="U37" i="58" s="1"/>
  <c r="P42" i="58" a="1"/>
  <c r="P42" i="58" s="1"/>
  <c r="P41" i="58" a="1"/>
  <c r="P41" i="58" s="1"/>
  <c r="P40" i="58" a="1"/>
  <c r="P40" i="58" s="1"/>
  <c r="P39" i="58" a="1"/>
  <c r="P39" i="58" s="1"/>
  <c r="P38" i="58" a="1"/>
  <c r="P38" i="58" s="1"/>
  <c r="P37" i="58" a="1"/>
  <c r="P37" i="58" s="1"/>
  <c r="K42" i="58" a="1"/>
  <c r="K42" i="58" s="1"/>
  <c r="K41" i="58" a="1"/>
  <c r="K41" i="58" s="1"/>
  <c r="K40" i="58" a="1"/>
  <c r="K40" i="58" s="1"/>
  <c r="K39" i="58" a="1"/>
  <c r="K39" i="58" s="1"/>
  <c r="K38" i="58" a="1"/>
  <c r="K38" i="58" s="1"/>
  <c r="K37" i="58" a="1"/>
  <c r="K37" i="58" s="1"/>
  <c r="F42" i="58" a="1"/>
  <c r="F42" i="58" s="1"/>
  <c r="F41" i="58" a="1"/>
  <c r="F41" i="58" s="1"/>
  <c r="F40" i="58" a="1"/>
  <c r="F40" i="58" s="1"/>
  <c r="F39" i="58" a="1"/>
  <c r="F39" i="58" s="1"/>
  <c r="F38" i="58" a="1"/>
  <c r="F38" i="58" s="1"/>
  <c r="F37" i="58" a="1"/>
  <c r="F37" i="58" s="1"/>
  <c r="U32" i="58" a="1"/>
  <c r="U32" i="58" s="1"/>
  <c r="U31" i="58" a="1"/>
  <c r="U31" i="58" s="1"/>
  <c r="U30" i="58" a="1"/>
  <c r="U30" i="58" s="1"/>
  <c r="U29" i="58" a="1"/>
  <c r="U29" i="58" s="1"/>
  <c r="U28" i="58" a="1"/>
  <c r="U28" i="58" s="1"/>
  <c r="U27" i="58" a="1"/>
  <c r="U27" i="58" s="1"/>
  <c r="P32" i="58" a="1"/>
  <c r="P32" i="58" s="1"/>
  <c r="P31" i="58" a="1"/>
  <c r="P31" i="58" s="1"/>
  <c r="P30" i="58" a="1"/>
  <c r="P30" i="58" s="1"/>
  <c r="P29" i="58" a="1"/>
  <c r="P29" i="58" s="1"/>
  <c r="P28" i="58" a="1"/>
  <c r="P28" i="58" s="1"/>
  <c r="P27" i="58" a="1"/>
  <c r="P27" i="58" s="1"/>
  <c r="K32" i="58" a="1"/>
  <c r="K32" i="58" s="1"/>
  <c r="K31" i="58" a="1"/>
  <c r="K31" i="58" s="1"/>
  <c r="K30" i="58" a="1"/>
  <c r="K30" i="58" s="1"/>
  <c r="K29" i="58" a="1"/>
  <c r="K29" i="58" s="1"/>
  <c r="K28" i="58" a="1"/>
  <c r="K28" i="58" s="1"/>
  <c r="K27" i="58" a="1"/>
  <c r="K27" i="58" s="1"/>
  <c r="F32" i="58" a="1"/>
  <c r="F32" i="58" s="1"/>
  <c r="F31" i="58" a="1"/>
  <c r="F31" i="58" s="1"/>
  <c r="F30" i="58" a="1"/>
  <c r="F30" i="58" s="1"/>
  <c r="F29" i="58" a="1"/>
  <c r="F29" i="58" s="1"/>
  <c r="F28" i="58" a="1"/>
  <c r="F28" i="58" s="1"/>
  <c r="F27" i="58" a="1"/>
  <c r="F27" i="58" s="1"/>
  <c r="U112" i="58" a="1"/>
  <c r="U112" i="58" s="1"/>
  <c r="U111" i="58" a="1"/>
  <c r="U111" i="58" s="1"/>
  <c r="U110" i="58" a="1"/>
  <c r="U110" i="58" s="1"/>
  <c r="U109" i="58" a="1"/>
  <c r="U109" i="58" s="1"/>
  <c r="P112" i="58" a="1"/>
  <c r="P112" i="58" s="1"/>
  <c r="P111" i="58" a="1"/>
  <c r="P111" i="58" s="1"/>
  <c r="P110" i="58" a="1"/>
  <c r="P110" i="58" s="1"/>
  <c r="P109" i="58" a="1"/>
  <c r="P109" i="58" s="1"/>
  <c r="K112" i="58" a="1"/>
  <c r="K112" i="58" s="1"/>
  <c r="K111" i="58" a="1"/>
  <c r="K111" i="58" s="1"/>
  <c r="K110" i="58" a="1"/>
  <c r="K110" i="58" s="1"/>
  <c r="K109" i="58" a="1"/>
  <c r="K109" i="58" s="1"/>
  <c r="F112" i="58" a="1"/>
  <c r="F112" i="58" s="1"/>
  <c r="F111" i="58" a="1"/>
  <c r="F111" i="58" s="1"/>
  <c r="F110" i="58" a="1"/>
  <c r="F110" i="58" s="1"/>
  <c r="F109" i="58" a="1"/>
  <c r="F109" i="58" s="1"/>
  <c r="U104" i="58" a="1"/>
  <c r="U104" i="58" s="1"/>
  <c r="U103" i="58" a="1"/>
  <c r="U103" i="58" s="1"/>
  <c r="U102" i="58" a="1"/>
  <c r="U102" i="58" s="1"/>
  <c r="U101" i="58" a="1"/>
  <c r="U101" i="58" s="1"/>
  <c r="P104" i="58" a="1"/>
  <c r="P104" i="58" s="1"/>
  <c r="P103" i="58" a="1"/>
  <c r="P103" i="58" s="1"/>
  <c r="P102" i="58" a="1"/>
  <c r="P102" i="58" s="1"/>
  <c r="P101" i="58" a="1"/>
  <c r="P101" i="58" s="1"/>
  <c r="K104" i="58" a="1"/>
  <c r="K104" i="58" s="1"/>
  <c r="K103" i="58" a="1"/>
  <c r="K103" i="58" s="1"/>
  <c r="K102" i="58" a="1"/>
  <c r="K102" i="58" s="1"/>
  <c r="K101" i="58" a="1"/>
  <c r="K101" i="58" s="1"/>
  <c r="F104" i="58" a="1"/>
  <c r="F104" i="58" s="1"/>
  <c r="F103" i="58" a="1"/>
  <c r="F103" i="58" s="1"/>
  <c r="F102" i="58" a="1"/>
  <c r="F102" i="58" s="1"/>
  <c r="F101" i="58" a="1"/>
  <c r="F101" i="58" s="1"/>
  <c r="U96" i="58" a="1"/>
  <c r="U96" i="58" s="1"/>
  <c r="U95" i="58" a="1"/>
  <c r="U95" i="58" s="1"/>
  <c r="U94" i="58" a="1"/>
  <c r="U94" i="58" s="1"/>
  <c r="U93" i="58" a="1"/>
  <c r="U93" i="58" s="1"/>
  <c r="P96" i="58" a="1"/>
  <c r="P96" i="58" s="1"/>
  <c r="P95" i="58" a="1"/>
  <c r="P95" i="58" s="1"/>
  <c r="P94" i="58" a="1"/>
  <c r="P94" i="58" s="1"/>
  <c r="P93" i="58" a="1"/>
  <c r="P93" i="58" s="1"/>
  <c r="K96" i="58" a="1"/>
  <c r="K96" i="58" s="1"/>
  <c r="K95" i="58" a="1"/>
  <c r="K95" i="58" s="1"/>
  <c r="K94" i="58" a="1"/>
  <c r="K94" i="58" s="1"/>
  <c r="K93" i="58" a="1"/>
  <c r="K93" i="58" s="1"/>
  <c r="F96" i="58" a="1"/>
  <c r="F96" i="58" s="1"/>
  <c r="F95" i="58" a="1"/>
  <c r="F95" i="58" s="1"/>
  <c r="F94" i="58" a="1"/>
  <c r="F94" i="58" s="1"/>
  <c r="F93" i="58" a="1"/>
  <c r="F93" i="58" s="1"/>
  <c r="U88" i="58" a="1"/>
  <c r="U88" i="58" s="1"/>
  <c r="U87" i="58" a="1"/>
  <c r="U87" i="58" s="1"/>
  <c r="U86" i="58" a="1"/>
  <c r="U86" i="58" s="1"/>
  <c r="U85" i="58" a="1"/>
  <c r="U85" i="58" s="1"/>
  <c r="P88" i="58" a="1"/>
  <c r="P88" i="58" s="1"/>
  <c r="P87" i="58" a="1"/>
  <c r="P87" i="58" s="1"/>
  <c r="P86" i="58" a="1"/>
  <c r="P86" i="58" s="1"/>
  <c r="P85" i="58" a="1"/>
  <c r="P85" i="58" s="1"/>
  <c r="K88" i="58" a="1"/>
  <c r="K88" i="58" s="1"/>
  <c r="K87" i="58" a="1"/>
  <c r="K87" i="58" s="1"/>
  <c r="K86" i="58" a="1"/>
  <c r="K86" i="58" s="1"/>
  <c r="K85" i="58" a="1"/>
  <c r="K85" i="58" s="1"/>
  <c r="F88" i="58" a="1"/>
  <c r="F88" i="58" s="1"/>
  <c r="F87" i="58" a="1"/>
  <c r="F87" i="58" s="1"/>
  <c r="F86" i="58" a="1"/>
  <c r="F86" i="58" s="1"/>
  <c r="F85" i="58" a="1"/>
  <c r="F85" i="58" s="1"/>
  <c r="S19" i="46"/>
  <c r="S18" i="46"/>
  <c r="S17" i="46"/>
  <c r="F79" i="58"/>
  <c r="F84" i="58" a="1"/>
  <c r="F84" i="58" s="1"/>
  <c r="K84" i="58" a="1"/>
  <c r="K84" i="58" s="1"/>
  <c r="P84" i="58" a="1"/>
  <c r="P84" i="58" s="1"/>
  <c r="U84" i="58" a="1"/>
  <c r="U84" i="58" s="1"/>
  <c r="F92" i="58" a="1"/>
  <c r="F92" i="58" s="1"/>
  <c r="K92" i="58" a="1"/>
  <c r="K92" i="58" s="1"/>
  <c r="P92" i="58" a="1"/>
  <c r="P92" i="58" s="1"/>
  <c r="U92" i="58" a="1"/>
  <c r="U92" i="58" s="1"/>
  <c r="F100" i="58" a="1"/>
  <c r="F100" i="58" s="1"/>
  <c r="K100" i="58" a="1"/>
  <c r="K100" i="58" s="1"/>
  <c r="P100" i="58" a="1"/>
  <c r="P100" i="58" s="1"/>
  <c r="U100" i="58" a="1"/>
  <c r="U100" i="58" s="1"/>
  <c r="F108" i="58" a="1"/>
  <c r="F108" i="58" s="1"/>
  <c r="K108" i="58" a="1"/>
  <c r="K108" i="58" s="1"/>
  <c r="P108" i="58" a="1"/>
  <c r="P108" i="58" s="1"/>
  <c r="U108" i="58" a="1"/>
  <c r="U108" i="58" s="1"/>
  <c r="U79" i="41" a="1"/>
  <c r="U79" i="41" s="1"/>
  <c r="U78" i="41" a="1"/>
  <c r="U78" i="41" s="1"/>
  <c r="U56" i="41" a="1"/>
  <c r="U56" i="41" s="1"/>
  <c r="U57" i="41" a="1"/>
  <c r="U57" i="41" s="1"/>
  <c r="U58" i="41" a="1"/>
  <c r="U58" i="41" s="1"/>
  <c r="O38" i="41" a="1"/>
  <c r="O38" i="41" s="1"/>
  <c r="U85" i="41" a="1"/>
  <c r="U85" i="41" s="1"/>
  <c r="U86" i="41" a="1"/>
  <c r="U86" i="41" s="1"/>
  <c r="O13" i="41" a="1"/>
  <c r="O13" i="41" s="1"/>
  <c r="O6" i="41" a="1"/>
  <c r="O6" i="41" s="1"/>
  <c r="O7" i="41" a="1"/>
  <c r="O7" i="41" s="1"/>
  <c r="O8" i="41" a="1"/>
  <c r="O8" i="41" s="1"/>
  <c r="O9" i="41" a="1"/>
  <c r="O9" i="41" s="1"/>
  <c r="O10" i="41" a="1"/>
  <c r="O10" i="41" s="1"/>
  <c r="O11" i="41" a="1"/>
  <c r="O11" i="41" s="1"/>
  <c r="O12" i="41" a="1"/>
  <c r="O12" i="41" s="1"/>
  <c r="O14" i="41" a="1"/>
  <c r="O14" i="41" s="1"/>
  <c r="O15" i="41" a="1"/>
  <c r="O15" i="41" s="1"/>
  <c r="O16" i="41" a="1"/>
  <c r="O16" i="41" s="1"/>
  <c r="O17" i="41" a="1"/>
  <c r="O17" i="41" s="1"/>
  <c r="O18" i="41" a="1"/>
  <c r="O18" i="41" s="1"/>
  <c r="O19" i="41" a="1"/>
  <c r="O19" i="41" s="1"/>
  <c r="O20" i="41" a="1"/>
  <c r="O20" i="41" s="1"/>
  <c r="O21" i="41" a="1"/>
  <c r="O21" i="41" s="1"/>
  <c r="O22" i="41" a="1"/>
  <c r="O22" i="41" s="1"/>
  <c r="O23" i="41" a="1"/>
  <c r="O23" i="41" s="1"/>
  <c r="O24" i="41" a="1"/>
  <c r="O24" i="41" s="1"/>
  <c r="O25" i="41" a="1"/>
  <c r="O25" i="41" s="1"/>
  <c r="O26" i="41" a="1"/>
  <c r="O26" i="41" s="1"/>
  <c r="O27" i="41" a="1"/>
  <c r="O27" i="41" s="1"/>
  <c r="O28" i="41" a="1"/>
  <c r="O28" i="41" s="1"/>
  <c r="O29" i="41" a="1"/>
  <c r="O29" i="41" s="1"/>
  <c r="O30" i="41" a="1"/>
  <c r="O30" i="41" s="1"/>
  <c r="O31" i="41" a="1"/>
  <c r="O31" i="41" s="1"/>
  <c r="O32" i="41" a="1"/>
  <c r="O32" i="41" s="1"/>
  <c r="O33" i="41" a="1"/>
  <c r="O33" i="41" s="1"/>
  <c r="O35" i="41" a="1"/>
  <c r="O35" i="41" s="1"/>
  <c r="O36" i="41" a="1"/>
  <c r="O36" i="41" s="1"/>
  <c r="O37" i="41" a="1"/>
  <c r="O37" i="41" s="1"/>
  <c r="O39" i="41" a="1"/>
  <c r="O39" i="41" s="1"/>
  <c r="O42" i="41" a="1"/>
  <c r="O42" i="41" s="1"/>
  <c r="U46" i="58" a="1"/>
  <c r="U46" i="58" s="1"/>
  <c r="P46" i="58" a="1"/>
  <c r="P46" i="58" s="1"/>
  <c r="K46" i="58" a="1"/>
  <c r="K46" i="58" s="1"/>
  <c r="F46" i="58" a="1"/>
  <c r="F46" i="58" s="1"/>
  <c r="F36" i="58" a="1"/>
  <c r="F36" i="58" s="1"/>
  <c r="K36" i="58" a="1"/>
  <c r="K36" i="58" s="1"/>
  <c r="P36" i="58" a="1"/>
  <c r="P36" i="58" s="1"/>
  <c r="U36" i="58" a="1"/>
  <c r="U36" i="58" s="1"/>
  <c r="U26" i="58" a="1"/>
  <c r="U26" i="58" s="1"/>
  <c r="P26" i="58" a="1"/>
  <c r="P26" i="58" s="1"/>
  <c r="K26" i="58" a="1"/>
  <c r="K26" i="58" s="1"/>
  <c r="F26" i="58" a="1"/>
  <c r="F26" i="58" s="1"/>
  <c r="U66" i="41" a="1"/>
  <c r="U66" i="41" s="1"/>
  <c r="U63" i="41" a="1"/>
  <c r="U63" i="41" s="1"/>
  <c r="E22" i="46"/>
  <c r="O67" i="41" a="1"/>
  <c r="O67" i="41" s="1"/>
  <c r="J25" i="46"/>
  <c r="J22" i="46"/>
  <c r="S15" i="46"/>
  <c r="M5" i="46"/>
  <c r="Q8" i="46"/>
  <c r="M30" i="46"/>
  <c r="B56" i="46"/>
  <c r="I41" i="46"/>
  <c r="H80" i="46"/>
  <c r="G45" i="46"/>
  <c r="J41" i="46"/>
  <c r="G46" i="46"/>
  <c r="M28" i="46"/>
  <c r="B53" i="46"/>
  <c r="M31" i="46"/>
  <c r="I43" i="46"/>
  <c r="K8" i="46"/>
  <c r="H78" i="46"/>
  <c r="K7" i="46"/>
  <c r="I80" i="46"/>
  <c r="G43" i="46"/>
  <c r="Q7" i="46"/>
  <c r="B55" i="46"/>
  <c r="G30" i="46"/>
  <c r="M27" i="46"/>
  <c r="A2" i="47"/>
  <c r="H43" i="46"/>
  <c r="J78" i="46"/>
  <c r="K6" i="46"/>
  <c r="G42" i="46"/>
  <c r="J43" i="46"/>
  <c r="Q6" i="46"/>
  <c r="B52" i="46"/>
  <c r="G31" i="46"/>
  <c r="J80" i="46"/>
  <c r="B54" i="46"/>
  <c r="I78" i="46"/>
  <c r="H41" i="46"/>
  <c r="M26" i="46"/>
  <c r="AO10" i="41" l="1" a="1"/>
  <c r="AO10" i="41" s="1"/>
  <c r="E6" i="46"/>
  <c r="B51" i="46"/>
  <c r="E42" i="46"/>
  <c r="M24" i="46"/>
  <c r="F59" i="58"/>
  <c r="Q19" i="46"/>
  <c r="P19" i="46"/>
  <c r="P16" i="46"/>
  <c r="P15" i="46"/>
  <c r="A2" i="46"/>
  <c r="D2" i="46"/>
  <c r="G81" i="46"/>
  <c r="G79" i="46"/>
  <c r="G82" i="46"/>
  <c r="G80" i="46"/>
  <c r="J26" i="46"/>
  <c r="E44" i="46"/>
  <c r="E46" i="46"/>
  <c r="E45" i="46"/>
  <c r="M8" i="46"/>
  <c r="M7" i="46"/>
  <c r="M6" i="46"/>
  <c r="H24" i="46"/>
  <c r="H23" i="46"/>
  <c r="E33" i="46"/>
  <c r="D35" i="46"/>
  <c r="D34" i="46"/>
  <c r="D33" i="46"/>
  <c r="E11" i="46"/>
  <c r="D11" i="46"/>
  <c r="E26" i="46"/>
  <c r="D30" i="46"/>
  <c r="D29" i="46"/>
  <c r="D28" i="46"/>
  <c r="D27" i="46"/>
  <c r="D26" i="46"/>
  <c r="E32" i="46"/>
  <c r="E25" i="46"/>
  <c r="B13" i="46"/>
  <c r="G38" i="46"/>
  <c r="F80" i="58" s="1"/>
  <c r="B30" i="46"/>
  <c r="E21" i="46" s="1"/>
  <c r="M25" i="46"/>
  <c r="I30" i="46"/>
  <c r="G41" i="46"/>
  <c r="G40" i="46"/>
  <c r="G29" i="46"/>
  <c r="G28" i="46"/>
  <c r="G44" i="46"/>
  <c r="M29" i="46"/>
  <c r="I31" i="46"/>
  <c r="P17" i="46" l="1" a="1"/>
  <c r="P17" i="46" s="1"/>
  <c r="M13" i="46" s="1"/>
  <c r="I76" i="46"/>
  <c r="H76" i="46"/>
  <c r="J76" i="46"/>
  <c r="G39" i="46"/>
  <c r="F78" i="58" s="1"/>
  <c r="A2" i="42"/>
  <c r="J39" i="46"/>
  <c r="H39" i="46"/>
  <c r="I39" i="46"/>
  <c r="Q16" i="46"/>
  <c r="Q15" i="46"/>
  <c r="E43" i="46"/>
  <c r="K10" i="46"/>
  <c r="E47" i="46"/>
  <c r="A2" i="58"/>
  <c r="G2" i="46"/>
  <c r="S2" i="46"/>
  <c r="M2" i="46"/>
  <c r="E7" i="46"/>
  <c r="B15" i="46"/>
  <c r="O85" i="41" a="1"/>
  <c r="O85" i="41" s="1"/>
  <c r="O86" i="41" a="1"/>
  <c r="O86" i="41" s="1"/>
  <c r="O84" i="41" a="1"/>
  <c r="O84" i="41" s="1"/>
  <c r="O83" i="41" a="1"/>
  <c r="O83" i="41" s="1"/>
  <c r="O82" i="41" a="1"/>
  <c r="O82" i="41" s="1"/>
  <c r="O81" i="41" a="1"/>
  <c r="O81" i="41" s="1"/>
  <c r="O75" i="41" a="1"/>
  <c r="O75" i="41" s="1"/>
  <c r="A22" i="58"/>
  <c r="O54" i="41" a="1"/>
  <c r="O54" i="41" s="1"/>
  <c r="O53" i="41" a="1"/>
  <c r="O53" i="41" s="1"/>
  <c r="O76" i="41" a="1"/>
  <c r="O76" i="41" s="1"/>
  <c r="O66" i="41" a="1"/>
  <c r="O66" i="41" s="1"/>
  <c r="I28" i="46"/>
  <c r="I29" i="46"/>
  <c r="Q17" i="46" l="1" a="1"/>
  <c r="Q17" i="46" s="1"/>
  <c r="G77" i="46"/>
  <c r="G78" i="46"/>
  <c r="A20" i="58"/>
  <c r="G76" i="46"/>
  <c r="K11" i="46"/>
  <c r="B47" i="46"/>
  <c r="E38" i="46" s="1"/>
  <c r="B46" i="46"/>
  <c r="E37" i="46" s="1"/>
  <c r="K33" i="46" l="1"/>
  <c r="G15" i="46"/>
  <c r="K34" i="46"/>
  <c r="U71" i="41" a="1"/>
  <c r="U71" i="41" s="1"/>
  <c r="U72" i="41" a="1"/>
  <c r="U72" i="41" s="1"/>
  <c r="B32" i="46" l="1"/>
  <c r="E23" i="46"/>
  <c r="O48" i="41" l="1" a="1"/>
  <c r="O48" i="41" s="1"/>
  <c r="O47" i="41" a="1"/>
  <c r="O47" i="41" s="1"/>
  <c r="O74" i="41" a="1"/>
  <c r="O74" i="41" s="1"/>
  <c r="O73" i="41" a="1"/>
  <c r="O73" i="41" s="1"/>
  <c r="O72" i="41" a="1"/>
  <c r="O72" i="41" s="1"/>
  <c r="O61" i="41" a="1"/>
  <c r="O61" i="41" s="1"/>
  <c r="O60" i="41" a="1"/>
  <c r="O60" i="41" s="1"/>
  <c r="O59" i="41" a="1"/>
  <c r="O59" i="41" s="1"/>
  <c r="K19" i="46" l="1"/>
  <c r="K20" i="46"/>
  <c r="I19" i="46"/>
  <c r="I20" i="46"/>
  <c r="I18" i="46"/>
  <c r="I21" i="46"/>
  <c r="K18" i="46"/>
  <c r="K23" i="46"/>
  <c r="K24" i="46"/>
  <c r="I23" i="46"/>
  <c r="I24" i="46"/>
  <c r="K21" i="46"/>
  <c r="K25" i="46" l="1"/>
  <c r="I22" i="46"/>
  <c r="I25" i="46"/>
  <c r="K22" i="46"/>
  <c r="B38" i="46"/>
  <c r="E29" i="46"/>
  <c r="E30" i="46"/>
  <c r="B39" i="46"/>
  <c r="E35" i="46"/>
  <c r="B44" i="46"/>
  <c r="E27" i="46"/>
  <c r="B36" i="46"/>
  <c r="B37" i="46"/>
  <c r="E28" i="46"/>
  <c r="E34" i="46"/>
  <c r="B43" i="46"/>
  <c r="K26" i="46" l="1"/>
  <c r="I26" i="46"/>
  <c r="G16" i="46" s="1"/>
  <c r="Z11" i="46" l="1"/>
  <c r="W11" i="46"/>
  <c r="W10" i="46"/>
  <c r="W7" i="46"/>
  <c r="W12" i="46"/>
  <c r="W9" i="46"/>
  <c r="Z12" i="46"/>
  <c r="Z10" i="46"/>
  <c r="W13" i="46"/>
  <c r="W8" i="46"/>
  <c r="Z13" i="46"/>
  <c r="Z9" i="46"/>
  <c r="Z7" i="46"/>
  <c r="Z8" i="46"/>
  <c r="B33" i="46"/>
  <c r="E24" i="46"/>
  <c r="U25" i="41" a="1"/>
  <c r="U25" i="41" s="1"/>
  <c r="U21" i="41" a="1"/>
  <c r="U21" i="4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B499EC-D83A-4EE9-9489-ED445E43AE70}" name="Forbindelse" type="104" refreshedVersion="0" saveData="1">
    <extLst>
      <ext xmlns:x15="http://schemas.microsoft.com/office/spreadsheetml/2010/11/main" uri="{DE250136-89BD-433C-8126-D09CA5730AF9}">
        <x15:connection id="Kalender"/>
      </ext>
    </extLst>
  </connection>
  <connection id="2" xr16:uid="{A307F07F-72D8-4644-90F1-A6D79D6D9A0E}" keepAlive="1" name="Forespørgsel - Antal 4-mandspuljer" description="Forbindelse til forespørgslen 'Antal 4-mandspuljer' i projektmappen." type="5" refreshedVersion="7" background="1" saveData="1">
    <dbPr connection="Provider=Microsoft.Mashup.OleDb.1;Data Source=$Workbook$;Location=&quot;Antal 4-mandspuljer&quot;;Extended Properties=&quot;&quot;" command="SELECT * FROM [Antal 4-mandspuljer]"/>
  </connection>
  <connection id="3" xr16:uid="{BB45996A-F9F1-42D4-BA0C-60578907F03C}" keepAlive="1" name="Forespørgsel - Antal 6-mandspuljer" description="Forbindelse til forespørgslen 'Antal 6-mandspuljer' i projektmappen." type="5" refreshedVersion="0" background="1">
    <dbPr connection="Provider=Microsoft.Mashup.OleDb.1;Data Source=$Workbook$;Location=&quot;Antal 6-mandspuljer&quot;;Extended Properties=&quot;&quot;" command="SELECT * FROM [Antal 6-mandspuljer]"/>
  </connection>
  <connection id="4" xr16:uid="{B0C817D4-0DCD-42D0-89D2-CDA165F82CE2}" keepAlive="1" name="Forespørgsel - Deltagere_og_tilmeldinger" description="Forbindelse til forespørgslen 'Deltagere_og_tilmeldinger' i projektmappen." type="5" refreshedVersion="8" background="1" saveData="1">
    <dbPr connection="Provider=Microsoft.Mashup.OleDb.1;Data Source=$Workbook$;Location=Deltagere_og_tilmeldinger;Extended Properties=&quot;&quot;" command="SELECT * FROM [Deltagere_og_tilmeldinger]"/>
  </connection>
  <connection id="5" xr16:uid="{0C2302F5-E27E-4D71-826C-CD4557546AEF}" keepAlive="1" name="Forespørgsel - Endelige_tilmeldinger" description="Forbindelse til forespørgslen 'Endelige_tilmeldinger' i projektmappen." type="5" refreshedVersion="8" background="1" saveData="1">
    <dbPr connection="Provider=Microsoft.Mashup.OleDb.1;Data Source=$Workbook$;Location=Endelige_tilmeldinger;Extended Properties=&quot;&quot;" command="SELECT * FROM [Endelige_tilmeldinger]"/>
  </connection>
  <connection id="6" xr16:uid="{8B96A946-14D3-4B89-A9CE-4DA378ABF14D}" keepAlive="1" name="Forespørgsel - Foreløbige_tilmeldinger" description="Forbindelse til forespørgslen 'Foreløbige_tilmeldinger' i projektmappen." type="5" refreshedVersion="8" background="1" saveData="1">
    <dbPr connection="Provider=Microsoft.Mashup.OleDb.1;Data Source=$Workbook$;Location=Foreløbige_tilmeldinger;Extended Properties=&quot;&quot;" command="SELECT * FROM [Foreløbige_tilmeldinger]"/>
  </connection>
  <connection id="7" xr16:uid="{08214DB2-CA93-4964-8E8A-10803D9F3124}" keepAlive="1" name="Forespørgsel - Seedningslag_4_mandspuljer" description="Forbindelse til forespørgslen 'Seedningslag_4_mandspuljer' i projektmappen." type="5" refreshedVersion="8" background="1" saveData="1">
    <dbPr connection="Provider=Microsoft.Mashup.OleDb.1;Data Source=$Workbook$;Location=Seedningslag_4_mandspuljer;Extended Properties=&quot;&quot;" command="SELECT * FROM [Seedningslag_4_mandspuljer]"/>
  </connection>
  <connection id="8" xr16:uid="{1D485F72-96B8-48F2-970A-C07479373E43}" keepAlive="1" name="Forespørgsel - Seedningslag_6_mandspuljer" description="Forbindelse til forespørgslen 'Seedningslag_6_mandspuljer' i projektmappen." type="5" refreshedVersion="8" background="1" saveData="1">
    <dbPr connection="Provider=Microsoft.Mashup.OleDb.1;Data Source=$Workbook$;Location=Seedningslag_6_mandspuljer;Extended Properties=&quot;&quot;" command="SELECT * FROM [Seedningslag_6_mandspuljer]"/>
  </connection>
  <connection id="9" xr16:uid="{B97D368B-B3D3-46CD-B3F6-68590E7E0CE4}" name="Forespørgsel - Tilmeldinger_1f" description="Forbindelse til forespørgslen 'Tilmeldinger_1f' i projektmappen." type="100" refreshedVersion="8" minRefreshableVersion="5">
    <extLst>
      <ext xmlns:x15="http://schemas.microsoft.com/office/spreadsheetml/2010/11/main" uri="{DE250136-89BD-433C-8126-D09CA5730AF9}">
        <x15:connection id="6686f8f7-6c00-4d85-b047-04c3a5201695"/>
      </ext>
    </extLst>
  </connection>
  <connection id="10" xr16:uid="{956163C9-CFCC-4FBA-B57B-8893A384D6E6}" keepAlive="1" name="Forespørgsel - Tilmeldinger_billettype_1_klub" description="Forbindelse til forespørgslen 'Tilmeldinger_billettype_1_klub' i projektmappen." type="5" refreshedVersion="8" background="1" saveData="1">
    <dbPr connection="Provider=Microsoft.Mashup.OleDb.1;Data Source=$Workbook$;Location=Tilmeldinger_billettype_1_klub;Extended Properties=&quot;&quot;" command="SELECT * FROM [Tilmeldinger_billettype_1_klub]"/>
  </connection>
  <connection id="11" xr16:uid="{A2111AA3-AD77-4522-A0DD-D83D0FCDFFC5}" keepAlive="1" name="Forespørgsel - Tilmeldinger_billettype_1_seedning" description="Forbindelse til forespørgslen 'Tilmeldinger_billettype_1_seedning' i projektmappen." type="5" refreshedVersion="8" background="1" saveData="1">
    <dbPr connection="Provider=Microsoft.Mashup.OleDb.1;Data Source=$Workbook$;Location=Tilmeldinger_billettype_1_seedning;Extended Properties=&quot;&quot;" command="SELECT * FROM [Tilmeldinger_billettype_1_seedning]"/>
  </connection>
  <connection id="12" xr16:uid="{9DAD5FBD-B238-401D-BAEB-66250DF7B69F}" keepAlive="1" name="Forespørgsel - Tilmeldinger_billettype_2_alder" description="Forbindelse til forespørgslen 'Tilmeldinger_billettype_2_alder' i projektmappen." type="5" refreshedVersion="8" background="1" saveData="1">
    <dbPr connection="Provider=Microsoft.Mashup.OleDb.1;Data Source=$Workbook$;Location=Tilmeldinger_billettype_2_alder;Extended Properties=&quot;&quot;" command="SELECT * FROM [Tilmeldinger_billettype_2_alder]"/>
  </connection>
  <connection id="13" xr16:uid="{62DA8328-8655-4148-BFD1-CFD01CF28207}" keepAlive="1" name="Forespørgsel - Tilmeldingsstatus" description="Forbindelse til forespørgslen 'Tilmeldingsstatus' i projektmappen." type="5" refreshedVersion="8" background="1" saveData="1">
    <dbPr connection="Provider=Microsoft.Mashup.OleDb.1;Data Source=$Workbook$;Location=Tilmeldingsstatus;Extended Properties=&quot;&quot;" command="SELECT * FROM [Tilmeldingsstatus]"/>
  </connection>
  <connection id="14" xr16:uid="{26B42F93-0531-4548-8B20-FD265DD6DC4F}" keepAlive="1" name="ThisWorkbookDataModel" description="Data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5" xr16:uid="{B2ADDDC3-7421-4949-A6D8-18498DEDBF28}" name="WorksheetConnection_Deltagere og tilmeldinger til DM i Ping Pong - Kopi.xlsx!Gentilmeldinger_d1" type="102" refreshedVersion="8" minRefreshableVersion="5">
    <extLst>
      <ext xmlns:x15="http://schemas.microsoft.com/office/spreadsheetml/2010/11/main" uri="{DE250136-89BD-433C-8126-D09CA5730AF9}">
        <x15:connection id="Gentilmeldinger_d1">
          <x15:rangePr sourceName="_xlcn.WorksheetConnection_DeltagereogtilmeldingertilDMiPingPongKopi.xlsxGentilmeldinger_d11"/>
        </x15:connection>
      </ext>
    </extLst>
  </connection>
  <connection id="16" xr16:uid="{B6FE46A9-2013-48CC-9B1A-300BBD2897FE}" name="WorksheetConnection_Deltagere og tilmeldinger til DM i Ping Pong - Kopi.xlsx!Tilmeldingsstatus_d1" type="102" refreshedVersion="8" minRefreshableVersion="5">
    <extLst>
      <ext xmlns:x15="http://schemas.microsoft.com/office/spreadsheetml/2010/11/main" uri="{DE250136-89BD-433C-8126-D09CA5730AF9}">
        <x15:connection id="Tilmeldingsstatus_d1">
          <x15:rangePr sourceName="_xlcn.WorksheetConnection_DeltagereogtilmeldingertilDMiPingPongKopi.xlsxTilmeldingsstatus_d11"/>
        </x15:connection>
      </ext>
    </extLst>
  </connection>
  <connection id="17" xr16:uid="{BF189A13-34D1-4D2E-80BE-5AB4E835A485}" name="WorksheetConnection_Deltagere og tilmeldinger til DM i Ping Pong.xlsx!Billettype_d3" type="102" refreshedVersion="8" minRefreshableVersion="5">
    <extLst>
      <ext xmlns:x15="http://schemas.microsoft.com/office/spreadsheetml/2010/11/main" uri="{DE250136-89BD-433C-8126-D09CA5730AF9}">
        <x15:connection id="Billettype_d3">
          <x15:rangePr sourceName="_xlcn.WorksheetConnection_DeltagereogtilmeldingertilDMiPingPong.xlsxBillettype_d31"/>
        </x15:connection>
      </ext>
    </extLst>
  </connection>
  <connection id="18" xr16:uid="{EBD8D41E-781A-44E3-92B9-D70B9488C982}" name="WorksheetConnection_Deltagere og tilmeldinger til DM i Ping Pong.xlsx!Klokkeslætsinterval_d1" type="102" refreshedVersion="8" minRefreshableVersion="5">
    <extLst>
      <ext xmlns:x15="http://schemas.microsoft.com/office/spreadsheetml/2010/11/main" uri="{DE250136-89BD-433C-8126-D09CA5730AF9}">
        <x15:connection id="Klokkeslætsinterval_d1">
          <x15:rangePr sourceName="_xlcn.WorksheetConnection_DeltagereogtilmeldingertilDMiPingPong.xlsxKlokkeslætsinterval_d11"/>
        </x15:connection>
      </ext>
    </extLst>
  </connection>
  <connection id="19" xr16:uid="{08842C08-81EF-40C2-8B41-DE366139DF27}" name="WorksheetConnection_Deltagere og tilmeldinger til DM i Ping Pong.xlsx!Region_d3" type="102" refreshedVersion="8" minRefreshableVersion="5">
    <extLst>
      <ext xmlns:x15="http://schemas.microsoft.com/office/spreadsheetml/2010/11/main" uri="{DE250136-89BD-433C-8126-D09CA5730AF9}">
        <x15:connection id="Region_d3">
          <x15:rangePr sourceName="_xlcn.WorksheetConnection_DeltagereogtilmeldingertilDMiPingPong.xlsxRegion_d31"/>
        </x15:connection>
      </ext>
    </extLst>
  </connection>
  <connection id="20" xr16:uid="{146FACDD-0CDA-4C9D-8E69-A320DC76BA42}" name="WorksheetConnection_Deltagere og tilmeldinger til DM i Ping Pong.xlsx!Spillertype_d2" type="102" refreshedVersion="8" minRefreshableVersion="5">
    <extLst>
      <ext xmlns:x15="http://schemas.microsoft.com/office/spreadsheetml/2010/11/main" uri="{DE250136-89BD-433C-8126-D09CA5730AF9}">
        <x15:connection id="Spillertype_d2">
          <x15:rangePr sourceName="_xlcn.WorksheetConnection_DeltagereogtilmeldingertilDMiPingPong.xlsxSpillertype_d21"/>
        </x15:connection>
      </ext>
    </extLst>
  </connection>
  <connection id="21" xr16:uid="{D7BB60E8-548F-4661-B383-DB48844EF778}" name="WorksheetConnection_Deltagere og tilmeldinger til DM i Ping Pong.xlsx!Tilmeldingskanal_d127" type="102" refreshedVersion="8" minRefreshableVersion="5">
    <extLst>
      <ext xmlns:x15="http://schemas.microsoft.com/office/spreadsheetml/2010/11/main" uri="{DE250136-89BD-433C-8126-D09CA5730AF9}">
        <x15:connection id="Tilmeldingskanal_d127">
          <x15:rangePr sourceName="_xlcn.WorksheetConnection_DeltagereogtilmeldingertilDMiPingPong.xlsxTilmeldingskanal_d1271"/>
        </x15:connection>
      </ext>
    </extLst>
  </connection>
  <connection id="22" xr16:uid="{53E70D8E-C8E5-42C8-BFDA-A14BA9C94445}" name="WorksheetConnection_Test.xlsx!Event_d2" type="102" refreshedVersion="8" minRefreshableVersion="5">
    <extLst>
      <ext xmlns:x15="http://schemas.microsoft.com/office/spreadsheetml/2010/11/main" uri="{DE250136-89BD-433C-8126-D09CA5730AF9}">
        <x15:connection id="Event_d2">
          <x15:rangePr sourceName="_xlcn.WorksheetConnection_Test.xlsxEvent_d21"/>
        </x15:connection>
      </ext>
    </extLst>
  </connection>
  <connection id="23" xr16:uid="{CEE17526-EF0B-45FE-9C2F-4263CDD6E463}" name="WorksheetConnection_Test.xlsx!Event_d315" type="102" refreshedVersion="8" minRefreshableVersion="5">
    <extLst>
      <ext xmlns:x15="http://schemas.microsoft.com/office/spreadsheetml/2010/11/main" uri="{DE250136-89BD-433C-8126-D09CA5730AF9}">
        <x15:connection id="Event_d315">
          <x15:rangePr sourceName="_xlcn.WorksheetConnection_Test.xlsxEvent_d3151"/>
        </x15:connection>
      </ext>
    </extLst>
  </connection>
  <connection id="24" xr16:uid="{1F64DD61-348E-4CC8-9973-51AE9091169B}" name="WorksheetConnection_Tilmeldinger til DM i Ping Pong - BilletFix.xlsx!Køn_d1" type="102" refreshedVersion="8" minRefreshableVersion="5">
    <extLst>
      <ext xmlns:x15="http://schemas.microsoft.com/office/spreadsheetml/2010/11/main" uri="{DE250136-89BD-433C-8126-D09CA5730AF9}">
        <x15:connection id="Køn_d1">
          <x15:rangePr sourceName="_xlcn.WorksheetConnection_TilmeldingertilDMiPingPongBilletFix.xlsxKøn_d11"/>
        </x15:connection>
      </ext>
    </extLst>
  </connection>
  <connection id="25" xr16:uid="{E8AD7341-AFAF-4C1F-B86C-167E2DEF99B7}" name="WorksheetConnection_Tilmeldinger til DM i Ping Pong - BilletFix.xlsx!Landsdel_d2" type="102" refreshedVersion="8" minRefreshableVersion="5">
    <extLst>
      <ext xmlns:x15="http://schemas.microsoft.com/office/spreadsheetml/2010/11/main" uri="{DE250136-89BD-433C-8126-D09CA5730AF9}">
        <x15:connection id="Landsdel_d2">
          <x15:rangePr sourceName="_xlcn.WorksheetConnection_TilmeldingertilDMiPingPongBilletFix.xlsxLandsdel_d21"/>
        </x15:connection>
      </ext>
    </extLst>
  </connection>
  <connection id="26" xr16:uid="{594D4F74-2C29-46EC-B840-6D14080B1C5B}" name="WorksheetConnection_Tilmeldinger til DM i Ping Pong - BilletFix.xlsx!Landsdel_og_klub_d1" type="102" refreshedVersion="8" minRefreshableVersion="5">
    <extLst>
      <ext xmlns:x15="http://schemas.microsoft.com/office/spreadsheetml/2010/11/main" uri="{DE250136-89BD-433C-8126-D09CA5730AF9}">
        <x15:connection id="Landsdel_og_klub_d1">
          <x15:rangePr sourceName="_xlcn.WorksheetConnection_TilmeldingertilDMiPingPongBilletFix.xlsxLandsdel_og_klub_d11"/>
        </x15:connection>
      </ext>
    </extLst>
  </connection>
  <connection id="27" xr16:uid="{962A016E-04EA-454F-A5F4-757252309BCD}" name="WorksheetConnection_Tilmeldinger til DM i Ping Pong - BilletFix.xlsx!Rating_interval_d2" type="102" refreshedVersion="8" minRefreshableVersion="5">
    <extLst>
      <ext xmlns:x15="http://schemas.microsoft.com/office/spreadsheetml/2010/11/main" uri="{DE250136-89BD-433C-8126-D09CA5730AF9}">
        <x15:connection id="Rating_interval_d2">
          <x15:rangePr sourceName="_xlcn.WorksheetConnection_TilmeldingertilDMiPingPongBilletFix.xlsxRating_interval_d21"/>
        </x15:connection>
      </ext>
    </extLst>
  </connection>
  <connection id="28" xr16:uid="{95CAE3C9-C0D4-4B6A-B160-A58EA8911E1E}" name="WorksheetConnection_Tilmeldinger til DM i Ping Pong - BilletFix.xlsx!Tabel23" type="102" refreshedVersion="8" minRefreshableVersion="5">
    <extLst>
      <ext xmlns:x15="http://schemas.microsoft.com/office/spreadsheetml/2010/11/main" uri="{DE250136-89BD-433C-8126-D09CA5730AF9}">
        <x15:connection id="Tabel23">
          <x15:rangePr sourceName="_xlcn.WorksheetConnection_TilmeldingertilDMiPingPongBilletFix.xlsxTabel231"/>
        </x15:connection>
      </ext>
    </extLst>
  </connection>
  <connection id="29" xr16:uid="{B5A21CC1-8349-4296-B92C-28BF0C3D4D68}" name="WorksheetConnection_Tilmeldinger til DM i Ping Pong - BilletFix.xlsx!Tilvalg_d26" type="102" refreshedVersion="8" minRefreshableVersion="5">
    <extLst>
      <ext xmlns:x15="http://schemas.microsoft.com/office/spreadsheetml/2010/11/main" uri="{DE250136-89BD-433C-8126-D09CA5730AF9}">
        <x15:connection id="Tilvalg_d26">
          <x15:rangePr sourceName="_xlcn.WorksheetConnection_TilmeldingertilDMiPingPongBilletFix.xlsxTilvalg_d261"/>
        </x15:connection>
      </ext>
    </extLst>
  </connection>
  <connection id="30" xr16:uid="{992ACD54-0796-4673-BB10-922AC30F8704}" name="WorksheetConnection_Tilmeldinger til DM i Ping Pong.xlsx!Billetpris_d2" type="102" refreshedVersion="8" minRefreshableVersion="5">
    <extLst>
      <ext xmlns:x15="http://schemas.microsoft.com/office/spreadsheetml/2010/11/main" uri="{DE250136-89BD-433C-8126-D09CA5730AF9}">
        <x15:connection id="Billetpris_d2">
          <x15:rangePr sourceName="_xlcn.WorksheetConnection_TilmeldingertilDMiPingPong.xlsxBilletpris_d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2">
    <s v="ThisWorkbookDataModel"/>
    <s v="[Measures].[🎁 Yngst Ping Pong]"/>
    <s v="[Measures].[🎁 Ældst Ping Pong]"/>
    <s v="&quot;kr.&quot; #,0;#,0 -&quot;kr.&quot;;&quot;kr.&quot; #,0"/>
    <s v="0"/>
    <s v="[Measures].[👥 Aktuel tilmeldingsantal]"/>
    <s v="[Measures].[👤 Højeste rating Ping Pong]"/>
    <s v="[Measures].[👤 Laveste rating Ping Pong]"/>
    <s v="[Billettype_d2].[K: Billettype emoji].&amp;[🏓]"/>
    <s v="[Measures].[🎫 Aktuel billetantal maks.]"/>
    <s v="[Billettype_d2].[K: Billettype emoji].&amp;[🥳]"/>
    <s v="[Measures].[💲 Aktuel billetpris]"/>
  </metadataStrings>
  <mdxMetadata count="14">
    <mdx n="0" f="m">
      <t c="1">
        <n x="1"/>
      </t>
    </mdx>
    <mdx n="0" f="v">
      <t c="1" fi="0">
        <n x="1"/>
      </t>
    </mdx>
    <mdx n="0" f="m">
      <t c="1">
        <n x="2"/>
      </t>
    </mdx>
    <mdx n="0" f="v">
      <t c="1" fi="0">
        <n x="2"/>
      </t>
    </mdx>
    <mdx n="0" f="m">
      <t c="1">
        <n x="6"/>
      </t>
    </mdx>
    <mdx n="0" f="m">
      <t c="1">
        <n x="7"/>
      </t>
    </mdx>
    <mdx n="0" f="v">
      <t c="1" fi="0">
        <n x="6"/>
      </t>
    </mdx>
    <mdx n="0" f="v">
      <t c="1" fi="0">
        <n x="7"/>
      </t>
    </mdx>
    <mdx n="0" f="v">
      <t c="2" si="4">
        <n x="8"/>
        <n x="5"/>
      </t>
    </mdx>
    <mdx n="0" f="v">
      <t c="2" si="4">
        <n x="10"/>
        <n x="5"/>
      </t>
    </mdx>
    <mdx n="0" f="v">
      <t c="2" si="4">
        <n x="8"/>
        <n x="9"/>
      </t>
    </mdx>
    <mdx n="0" f="v">
      <t c="2" si="3">
        <n x="8"/>
        <n x="11"/>
      </t>
    </mdx>
    <mdx n="0" f="v">
      <t c="2" si="3">
        <n x="10"/>
        <n x="11"/>
      </t>
    </mdx>
    <mdx n="0" f="v">
      <t c="2" si="4">
        <n x="10"/>
        <n x="9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</valueMetadata>
</metadata>
</file>

<file path=xl/sharedStrings.xml><?xml version="1.0" encoding="utf-8"?>
<sst xmlns="http://schemas.openxmlformats.org/spreadsheetml/2006/main" count="2895" uniqueCount="850">
  <si>
    <t>Nr.</t>
  </si>
  <si>
    <t>Billettype</t>
  </si>
  <si>
    <t>Status</t>
  </si>
  <si>
    <t>Sjørring BTK</t>
  </si>
  <si>
    <t>BTK Viby</t>
  </si>
  <si>
    <t>Hørning BTK</t>
  </si>
  <si>
    <t>Ringkøbing</t>
  </si>
  <si>
    <t>Rønde BTK</t>
  </si>
  <si>
    <t>Sisu/MBK</t>
  </si>
  <si>
    <t>Amager BTK</t>
  </si>
  <si>
    <t>Københavns BTK</t>
  </si>
  <si>
    <t>B75</t>
  </si>
  <si>
    <t>Tilmeldinger</t>
  </si>
  <si>
    <t>K: Billettype</t>
  </si>
  <si>
    <t>Alder</t>
  </si>
  <si>
    <t>Inputstatus</t>
  </si>
  <si>
    <t>Antal tabeller</t>
  </si>
  <si>
    <t>Antal kolonner</t>
  </si>
  <si>
    <t>Antal rækker</t>
  </si>
  <si>
    <t>Antal celler</t>
  </si>
  <si>
    <t>Distinkt</t>
  </si>
  <si>
    <t>Benjamin Sørensen</t>
  </si>
  <si>
    <t>John Sabalic</t>
  </si>
  <si>
    <t>Simon Larsen</t>
  </si>
  <si>
    <t>Bjarke Krog</t>
  </si>
  <si>
    <t>Michel Christensen</t>
  </si>
  <si>
    <t>Mai Jensen</t>
  </si>
  <si>
    <t>Daniel Wolf</t>
  </si>
  <si>
    <t>Amanda Mau</t>
  </si>
  <si>
    <t>Victoria Berthelsen</t>
  </si>
  <si>
    <t>Gabriel Berthelsen</t>
  </si>
  <si>
    <t>Maja Helene Hansen</t>
  </si>
  <si>
    <t>Esbjerg BTK</t>
  </si>
  <si>
    <t>K: Arrangørpris</t>
  </si>
  <si>
    <t>Malik Hartvig Bruun Severinsen</t>
  </si>
  <si>
    <t>Lars Hartvig Bruun Severinsen</t>
  </si>
  <si>
    <t>K: Landsdel</t>
  </si>
  <si>
    <t>Jylland</t>
  </si>
  <si>
    <t>Fyn</t>
  </si>
  <si>
    <t>Sjælland</t>
  </si>
  <si>
    <t>K: Bordtennisklub</t>
  </si>
  <si>
    <t>Silkeborg BTK</t>
  </si>
  <si>
    <t>K: Køn</t>
  </si>
  <si>
    <t>Jeff Tølbøll</t>
  </si>
  <si>
    <t>Kresten Christensen</t>
  </si>
  <si>
    <t>Esbjerg</t>
  </si>
  <si>
    <t>Hørning</t>
  </si>
  <si>
    <t>Silkeborg</t>
  </si>
  <si>
    <t>Hirtshals</t>
  </si>
  <si>
    <t>Kastrup</t>
  </si>
  <si>
    <t>Viby J</t>
  </si>
  <si>
    <t>København Ø</t>
  </si>
  <si>
    <t>Odense C</t>
  </si>
  <si>
    <t>OB Bordtennis</t>
  </si>
  <si>
    <t>Aarhus N</t>
  </si>
  <si>
    <t>Århus C</t>
  </si>
  <si>
    <t>Thisted</t>
  </si>
  <si>
    <t>K: By</t>
  </si>
  <si>
    <t>Peter Skalborg Jensen</t>
  </si>
  <si>
    <t>Mads Harbo Jensen</t>
  </si>
  <si>
    <t>Input</t>
  </si>
  <si>
    <t>Sebastian Kjær Jensen</t>
  </si>
  <si>
    <t>Galten</t>
  </si>
  <si>
    <t>Galten FS</t>
  </si>
  <si>
    <t>Brønderslev</t>
  </si>
  <si>
    <t>Peter Bruhn</t>
  </si>
  <si>
    <t>Seedningslag 1</t>
  </si>
  <si>
    <t>Seedningslag 2</t>
  </si>
  <si>
    <t>Seedningslag 3</t>
  </si>
  <si>
    <t>Seedningslag 4</t>
  </si>
  <si>
    <t>Seedningslag</t>
  </si>
  <si>
    <t>Seedningslag 5</t>
  </si>
  <si>
    <t>Seedningslag 6</t>
  </si>
  <si>
    <t>Puljer</t>
  </si>
  <si>
    <t>K: Evt. rang (1)</t>
  </si>
  <si>
    <t>K: Evt. rang (3)</t>
  </si>
  <si>
    <t>K: Evt. rating (2)</t>
  </si>
  <si>
    <t>Benjamin Sørensen, Hørning BTK</t>
  </si>
  <si>
    <t>(Ingen klub)</t>
  </si>
  <si>
    <t>Bordtennisklub</t>
  </si>
  <si>
    <t>(Ukendt landsdel)</t>
  </si>
  <si>
    <t>Rating</t>
  </si>
  <si>
    <t>(Ukendt by)</t>
  </si>
  <si>
    <t>191003‑AMMA</t>
  </si>
  <si>
    <t>261205‑VIBE</t>
  </si>
  <si>
    <t>041007‑GABE</t>
  </si>
  <si>
    <t>281101‑BJKR</t>
  </si>
  <si>
    <t>250501‑SILA</t>
  </si>
  <si>
    <t>130407‑MAHA</t>
  </si>
  <si>
    <t>180209‑JETØ</t>
  </si>
  <si>
    <t>060206‑KRCH</t>
  </si>
  <si>
    <t>230961‑PEBR</t>
  </si>
  <si>
    <t>200210‑MASE</t>
  </si>
  <si>
    <t>190382‑LASE</t>
  </si>
  <si>
    <t>090775‑JENE</t>
  </si>
  <si>
    <t>290593‑EMMA</t>
  </si>
  <si>
    <t>210798‑LALA</t>
  </si>
  <si>
    <t>220465‑MAJE</t>
  </si>
  <si>
    <t>140989‑MICH</t>
  </si>
  <si>
    <t>231195‑MIKN</t>
  </si>
  <si>
    <t>180365‑JOSA</t>
  </si>
  <si>
    <t>290171‑JAHE</t>
  </si>
  <si>
    <t>160975‑MAHA</t>
  </si>
  <si>
    <t>080892‑JADO</t>
  </si>
  <si>
    <t>300496‑DAWO</t>
  </si>
  <si>
    <t>080790‑PEJE</t>
  </si>
  <si>
    <t>100595‑SEJE</t>
  </si>
  <si>
    <t>K: Spillertype</t>
  </si>
  <si>
    <t>Foreløbige tilmeldinger</t>
  </si>
  <si>
    <t>Emil Madsen</t>
  </si>
  <si>
    <t>Bornholm</t>
  </si>
  <si>
    <t>K: Region</t>
  </si>
  <si>
    <t>(Ukendt region)</t>
  </si>
  <si>
    <t>Region Nordjylland</t>
  </si>
  <si>
    <t>Region Midtjylland</t>
  </si>
  <si>
    <t>Region Syddanmark</t>
  </si>
  <si>
    <t>Region Sjælland</t>
  </si>
  <si>
    <t>Region Hovedstaden</t>
  </si>
  <si>
    <t>Navn</t>
  </si>
  <si>
    <t>K: Navn</t>
  </si>
  <si>
    <t>Navn og bordtennisklub</t>
  </si>
  <si>
    <t>080294‑BESØ</t>
  </si>
  <si>
    <t>🏃 Meld dig gerne til først som sidst så andre kan se, at DU skal med (først til mølle-princip) 🙌</t>
  </si>
  <si>
    <t>🥇 1. plads</t>
  </si>
  <si>
    <t>🥈 2. plads</t>
  </si>
  <si>
    <t>🥉 3. plads</t>
  </si>
  <si>
    <t>🏅 4. plads</t>
  </si>
  <si>
    <t>🏓 A-slutspil:</t>
  </si>
  <si>
    <t>🏓 B-slutspil:</t>
  </si>
  <si>
    <t>💰 Præmiepenge pr. tilmelding</t>
  </si>
  <si>
    <t>💰 Over-/underskud stævnearrangør pr. tilmelding</t>
  </si>
  <si>
    <t>💰 Aktuel over-/underskud stævnearrangør</t>
  </si>
  <si>
    <t>💰 Potentiel over-/underskud stævnearrangør</t>
  </si>
  <si>
    <t>🏓 A-slutspil</t>
  </si>
  <si>
    <t>🏓 B-slutspil</t>
  </si>
  <si>
    <t>👥 Tilmeldingsantal</t>
  </si>
  <si>
    <t>🎫 Billetantal gns.</t>
  </si>
  <si>
    <t>🛖 Klubantal</t>
  </si>
  <si>
    <t>👤 Yngst</t>
  </si>
  <si>
    <t>👤 Ældst</t>
  </si>
  <si>
    <t>👥 Alder forskel</t>
  </si>
  <si>
    <t>👥 Alder gns.</t>
  </si>
  <si>
    <t>🎫 Billettype</t>
  </si>
  <si>
    <t>🏛️ Landsdel</t>
  </si>
  <si>
    <t>🏛️ Region</t>
  </si>
  <si>
    <t>👤 Navn og bordtennisklub</t>
  </si>
  <si>
    <t>💲💸 Tilmeldingsstatus</t>
  </si>
  <si>
    <t>🛖 Bordtennisklub</t>
  </si>
  <si>
    <t>👥 Køn</t>
  </si>
  <si>
    <t>👥 Spillertype</t>
  </si>
  <si>
    <t>🏓 Pulje 1</t>
  </si>
  <si>
    <t>🏓 Pulje 2</t>
  </si>
  <si>
    <t>🏓 Pulje 3</t>
  </si>
  <si>
    <t>🏓 Pulje 4</t>
  </si>
  <si>
    <t>🏓 Pulje 5</t>
  </si>
  <si>
    <t>🏓 Pulje 6</t>
  </si>
  <si>
    <t>🏓 Pulje 7</t>
  </si>
  <si>
    <t>🏓 Pulje 8</t>
  </si>
  <si>
    <t>🏓 Pulje 12</t>
  </si>
  <si>
    <t>🏓 Pulje 11</t>
  </si>
  <si>
    <t>🏓 Pulje 10</t>
  </si>
  <si>
    <t>🏓 Pulje 9</t>
  </si>
  <si>
    <t>🏓 Pulje 13</t>
  </si>
  <si>
    <t>🏓 Pulje 14</t>
  </si>
  <si>
    <t>🏓 Pulje 15</t>
  </si>
  <si>
    <t>🏓 Pulje 16</t>
  </si>
  <si>
    <t>🏓🆚 6-mandspuljer</t>
  </si>
  <si>
    <t>🏓🆚 4-mandspuljer</t>
  </si>
  <si>
    <t>👥 Deltagerantal*</t>
  </si>
  <si>
    <t>👥 Manglende deltagerantal*</t>
  </si>
  <si>
    <t>∙</t>
  </si>
  <si>
    <t>Punkt</t>
  </si>
  <si>
    <t>Præmiepenge A-slutspil</t>
  </si>
  <si>
    <t>Præmiepenge B-slutspil</t>
  </si>
  <si>
    <t>Tidsplan</t>
  </si>
  <si>
    <t>❗ Bemærk: Drive-in-tilmeldinger eller afbud kan ændre præmier og seedning.</t>
  </si>
  <si>
    <r>
      <t xml:space="preserve">🙌 </t>
    </r>
    <r>
      <rPr>
        <b/>
        <u/>
        <sz val="24"/>
        <rFont val="Calibri"/>
        <family val="2"/>
        <scheme val="minor"/>
      </rPr>
      <t>Endeligt program</t>
    </r>
    <r>
      <rPr>
        <b/>
        <sz val="24"/>
        <rFont val="Calibri"/>
        <family val="2"/>
        <scheme val="minor"/>
      </rPr>
      <t>:</t>
    </r>
  </si>
  <si>
    <t>🗝️ Nøgletal</t>
  </si>
  <si>
    <t>🕑 Kl. 14:00-16:00: A-slutspil frem til og med kvartfinalerne og B-slutspil færdigspilles 🏓</t>
  </si>
  <si>
    <t>🕓 Kl. 16:00-18:00: ”Final 4” i A-slutspil 🏓</t>
  </si>
  <si>
    <r>
      <t xml:space="preserve">🔃 </t>
    </r>
    <r>
      <rPr>
        <b/>
        <u/>
        <sz val="24"/>
        <rFont val="Calibri"/>
        <family val="2"/>
        <scheme val="minor"/>
      </rPr>
      <t>Foreløbigt program</t>
    </r>
    <r>
      <rPr>
        <b/>
        <sz val="24"/>
        <rFont val="Calibri"/>
        <family val="2"/>
        <scheme val="minor"/>
      </rPr>
      <t>:</t>
    </r>
  </si>
  <si>
    <r>
      <t xml:space="preserve">🔃⏳ </t>
    </r>
    <r>
      <rPr>
        <b/>
        <u/>
        <sz val="14"/>
        <rFont val="Calibri"/>
        <family val="2"/>
        <scheme val="minor"/>
      </rPr>
      <t>Foreløbig tidsplan</t>
    </r>
    <r>
      <rPr>
        <b/>
        <sz val="14"/>
        <rFont val="Calibri"/>
        <family val="2"/>
        <scheme val="minor"/>
      </rPr>
      <t>:</t>
    </r>
  </si>
  <si>
    <r>
      <t xml:space="preserve">🔃🏆 </t>
    </r>
    <r>
      <rPr>
        <b/>
        <u/>
        <sz val="14"/>
        <rFont val="Calibri"/>
        <family val="2"/>
        <scheme val="minor"/>
      </rPr>
      <t>Foreløbige præmier</t>
    </r>
    <r>
      <rPr>
        <b/>
        <sz val="14"/>
        <rFont val="Calibri"/>
        <family val="2"/>
        <scheme val="minor"/>
      </rPr>
      <t>:</t>
    </r>
  </si>
  <si>
    <r>
      <t xml:space="preserve">🔃👥 </t>
    </r>
    <r>
      <rPr>
        <b/>
        <u/>
        <sz val="14"/>
        <rFont val="Calibri"/>
        <family val="2"/>
        <scheme val="minor"/>
      </rPr>
      <t>Foreløbige tilmeldinger</t>
    </r>
    <r>
      <rPr>
        <b/>
        <sz val="14"/>
        <rFont val="Calibri"/>
        <family val="2"/>
        <scheme val="minor"/>
      </rPr>
      <t>:</t>
    </r>
  </si>
  <si>
    <r>
      <t xml:space="preserve">⏳ </t>
    </r>
    <r>
      <rPr>
        <b/>
        <u/>
        <sz val="14"/>
        <rFont val="Calibri"/>
        <family val="2"/>
        <scheme val="minor"/>
      </rPr>
      <t>Tidsplan</t>
    </r>
    <r>
      <rPr>
        <b/>
        <sz val="14"/>
        <rFont val="Calibri"/>
        <family val="2"/>
        <scheme val="minor"/>
      </rPr>
      <t>:</t>
    </r>
  </si>
  <si>
    <r>
      <t xml:space="preserve">🏆 </t>
    </r>
    <r>
      <rPr>
        <b/>
        <u/>
        <sz val="14"/>
        <rFont val="Calibri"/>
        <family val="2"/>
        <scheme val="minor"/>
      </rPr>
      <t>Præmier</t>
    </r>
    <r>
      <rPr>
        <b/>
        <sz val="14"/>
        <rFont val="Calibri"/>
        <family val="2"/>
        <scheme val="minor"/>
      </rPr>
      <t>:</t>
    </r>
  </si>
  <si>
    <t>Foreløbig tidsplan kan ændre sig en smule alt efter antal tilmeldinger (forventes dog at passe meget godt).</t>
  </si>
  <si>
    <r>
      <t xml:space="preserve">👥 </t>
    </r>
    <r>
      <rPr>
        <b/>
        <u/>
        <sz val="14"/>
        <rFont val="Calibri"/>
        <family val="2"/>
        <scheme val="minor"/>
      </rPr>
      <t>Tilmeldinger og seedninger</t>
    </r>
    <r>
      <rPr>
        <b/>
        <sz val="14"/>
        <rFont val="Calibri"/>
        <family val="2"/>
        <scheme val="minor"/>
      </rPr>
      <t>:</t>
    </r>
  </si>
  <si>
    <t>💰 Præmiepenge af tilmeldingspris i pct.</t>
  </si>
  <si>
    <t>👥 Tilmeldingsantal aktuel</t>
  </si>
  <si>
    <t>⏳🏆👥 Foreløbig tidsplan, -præmier og -tilmeldinger ses her og vil løbende blive opdateret 🔃</t>
  </si>
  <si>
    <t>ℹ️ Endeligt program offentliggøres en uge før eventet her på siden.</t>
  </si>
  <si>
    <t>⏳🏆👥 Tidsplan, præmier og tilmeldinger ses her under endeligt program 🙌</t>
  </si>
  <si>
    <r>
      <t xml:space="preserve">🔃🏆👥 </t>
    </r>
    <r>
      <rPr>
        <b/>
        <u/>
        <sz val="14"/>
        <rFont val="Calibri"/>
        <family val="2"/>
        <scheme val="minor"/>
      </rPr>
      <t>Foreløbige præmier og -tilmeldinger</t>
    </r>
    <r>
      <rPr>
        <b/>
        <sz val="14"/>
        <rFont val="Calibri"/>
        <family val="2"/>
        <scheme val="minor"/>
      </rPr>
      <t>:</t>
    </r>
  </si>
  <si>
    <t>🏆👥 Foreløbige præmier og -tilmeldinger vil løbende blive opdateret fra 24. april 2022 her.</t>
  </si>
  <si>
    <t>🕙 Kl. 10:00-14:00: Puljespil (primært 6-mandspuljer) 🏓</t>
  </si>
  <si>
    <t>👀 Indtil da kan du læse om hele eventet/konceptet her på siden 👇</t>
  </si>
  <si>
    <t>Input:</t>
  </si>
  <si>
    <t>Ordredato</t>
  </si>
  <si>
    <t>📜 Diplomer uddeles til alle gave-/præmietagere.</t>
  </si>
  <si>
    <r>
      <t xml:space="preserve">🎁 Der er også en gave til den </t>
    </r>
    <r>
      <rPr>
        <b/>
        <sz val="11"/>
        <color theme="1"/>
        <rFont val="Calibri"/>
        <family val="2"/>
        <scheme val="minor"/>
      </rPr>
      <t>yngste</t>
    </r>
    <r>
      <rPr>
        <sz val="11"/>
        <color theme="1"/>
        <rFont val="Calibri"/>
        <family val="2"/>
        <scheme val="minor"/>
      </rPr>
      <t xml:space="preserve">- og </t>
    </r>
    <r>
      <rPr>
        <b/>
        <sz val="11"/>
        <color theme="1"/>
        <rFont val="Calibri"/>
        <family val="2"/>
        <scheme val="minor"/>
      </rPr>
      <t>ældste</t>
    </r>
    <r>
      <rPr>
        <sz val="11"/>
        <color theme="1"/>
        <rFont val="Calibri"/>
        <family val="2"/>
        <scheme val="minor"/>
      </rPr>
      <t xml:space="preserve"> Ping Pong deltager for at hylde mangfoldigheden.</t>
    </r>
  </si>
  <si>
    <t>🕥 Kl. 9:30 (senest): Check-in for deltagere til DM i Ping Pong 2022 🏓</t>
  </si>
  <si>
    <r>
      <t xml:space="preserve">🎫🔓 </t>
    </r>
    <r>
      <rPr>
        <b/>
        <u/>
        <sz val="14"/>
        <rFont val="Calibri"/>
        <family val="2"/>
        <scheme val="minor"/>
      </rPr>
      <t>Tilmelding åbnes søndag 17. april 2022 kl. 12 🙌</t>
    </r>
  </si>
  <si>
    <t>250372‑JESK</t>
  </si>
  <si>
    <t>Jesper Skivesen</t>
  </si>
  <si>
    <t>Mathias Christensen</t>
  </si>
  <si>
    <t>080950‑BEJA</t>
  </si>
  <si>
    <t>040282‑CAST</t>
  </si>
  <si>
    <t>Casper Staal</t>
  </si>
  <si>
    <t>Bent O. Jakobsen</t>
  </si>
  <si>
    <t>♂️ Herre</t>
  </si>
  <si>
    <t>♀️ Dame</t>
  </si>
  <si>
    <t>Daniel Wolf, Sisu/MBK</t>
  </si>
  <si>
    <t>Sebastian Kjær Jensen, Sjørring BTK</t>
  </si>
  <si>
    <t>200792‑CHAN</t>
  </si>
  <si>
    <t>Christian H. Andersen</t>
  </si>
  <si>
    <t>Christian H. Andersen, Sisu/MBK</t>
  </si>
  <si>
    <t>190594‑MACH</t>
  </si>
  <si>
    <t>🍕 Pris for pizza pr. tilmelding</t>
  </si>
  <si>
    <r>
      <t xml:space="preserve">👥 </t>
    </r>
    <r>
      <rPr>
        <b/>
        <u/>
        <sz val="14"/>
        <rFont val="Calibri"/>
        <family val="2"/>
        <scheme val="minor"/>
      </rPr>
      <t>Seedning</t>
    </r>
    <r>
      <rPr>
        <b/>
        <sz val="14"/>
        <rFont val="Calibri"/>
        <family val="2"/>
        <scheme val="minor"/>
      </rPr>
      <t>:</t>
    </r>
  </si>
  <si>
    <r>
      <t xml:space="preserve">👥 </t>
    </r>
    <r>
      <rPr>
        <b/>
        <u/>
        <sz val="14"/>
        <rFont val="Calibri"/>
        <family val="2"/>
        <scheme val="minor"/>
      </rPr>
      <t>Tilmeldinger</t>
    </r>
    <r>
      <rPr>
        <b/>
        <sz val="14"/>
        <rFont val="Calibri"/>
        <family val="2"/>
        <scheme val="minor"/>
      </rPr>
      <t>:</t>
    </r>
  </si>
  <si>
    <t>🍺 Pris for fri bar pr. tilmelding</t>
  </si>
  <si>
    <t>✅🏓 DM I PING PONG</t>
  </si>
  <si>
    <r>
      <rPr>
        <i/>
        <u/>
        <sz val="11"/>
        <color theme="1"/>
        <rFont val="Calibri"/>
        <family val="2"/>
        <scheme val="minor"/>
      </rPr>
      <t>Sorteret efter seedning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</si>
  <si>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alder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</si>
  <si>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ordredato</t>
    </r>
    <r>
      <rPr>
        <i/>
        <sz val="11"/>
        <color theme="1"/>
        <rFont val="Calibri"/>
        <family val="2"/>
        <scheme val="minor"/>
      </rPr>
      <t>:</t>
    </r>
  </si>
  <si>
    <t>💲🍕 Pizza</t>
  </si>
  <si>
    <t>💲🍺 Fri bar</t>
  </si>
  <si>
    <t>👤 Laveste rating</t>
  </si>
  <si>
    <t>👤 Højeste rating</t>
  </si>
  <si>
    <t>250901‑MIEL</t>
  </si>
  <si>
    <t>Vejle BTK</t>
  </si>
  <si>
    <t>Vejle</t>
  </si>
  <si>
    <t>060598‑BELI</t>
  </si>
  <si>
    <t>Benjamin Lillelund</t>
  </si>
  <si>
    <t>Hasle IF</t>
  </si>
  <si>
    <t>Hasle</t>
  </si>
  <si>
    <t>010883‑MAHE</t>
  </si>
  <si>
    <t>Mathias Heidmann</t>
  </si>
  <si>
    <t>121000‑MADA</t>
  </si>
  <si>
    <t>Marius Dam</t>
  </si>
  <si>
    <t>050993‑MALA</t>
  </si>
  <si>
    <t>Mads Larsen</t>
  </si>
  <si>
    <t>120297‑JOHA</t>
  </si>
  <si>
    <t>Jonathan Abildgaard Hansen</t>
  </si>
  <si>
    <t>Lasse Frølich Rasmussen</t>
  </si>
  <si>
    <t>051192‑MIJA</t>
  </si>
  <si>
    <t>Mie Binnerup Jacobsen</t>
  </si>
  <si>
    <t>150888‑SINY</t>
  </si>
  <si>
    <t>160897‑MAKY</t>
  </si>
  <si>
    <t>Marc Kynde</t>
  </si>
  <si>
    <t>230702‑OSHO</t>
  </si>
  <si>
    <t>Nyborg G &amp; IF</t>
  </si>
  <si>
    <t>Nyborg</t>
  </si>
  <si>
    <t>010297‑JOOV</t>
  </si>
  <si>
    <t>230403‑JOGR</t>
  </si>
  <si>
    <t>160878‑HABO</t>
  </si>
  <si>
    <t>John Sabalic, Rønde BTK</t>
  </si>
  <si>
    <t>300678‑THKJ</t>
  </si>
  <si>
    <t>Thomas Kjeldgård</t>
  </si>
  <si>
    <t>221206‑OLJO</t>
  </si>
  <si>
    <t>Oliver Kjeldgaard Johansson</t>
  </si>
  <si>
    <t>100510‑FRKJ</t>
  </si>
  <si>
    <t>Frederik Kjeldgaard</t>
  </si>
  <si>
    <t>info@amagerbtk.dk</t>
  </si>
  <si>
    <t>jensknudsen1885@gmail.com</t>
  </si>
  <si>
    <t>simon88nf@gmail.com</t>
  </si>
  <si>
    <t>bolding.olesen@gmail.com</t>
  </si>
  <si>
    <t>jb_tb@mail.dk</t>
  </si>
  <si>
    <t>kennyjensen535@gmail.com</t>
  </si>
  <si>
    <t>ole@compurevision.dk</t>
  </si>
  <si>
    <t>kontakt@kbhbordtennis.dk</t>
  </si>
  <si>
    <t>ftv@c.dk</t>
  </si>
  <si>
    <t>asbp@sol.dk</t>
  </si>
  <si>
    <t>npb@sbtk.dk</t>
  </si>
  <si>
    <t>bestyrelse@sisu-mbk.dk</t>
  </si>
  <si>
    <t>peterbakjensen@gmail.com</t>
  </si>
  <si>
    <t>formand@vejlebordtennisklub.dk</t>
  </si>
  <si>
    <t>daniel.christensen@b75.dk</t>
  </si>
  <si>
    <t>K: Mail</t>
  </si>
  <si>
    <t>Poul B. Pedersen</t>
  </si>
  <si>
    <t>Hillerød GI</t>
  </si>
  <si>
    <t>Hillerød</t>
  </si>
  <si>
    <t>formand@hgibordtennis.dk</t>
  </si>
  <si>
    <t>ara@vucfyn.dk</t>
  </si>
  <si>
    <t>Roskilde</t>
  </si>
  <si>
    <t>bestyrelsen@btk61.dk</t>
  </si>
  <si>
    <t>bs@naestved-bordtennis.dk</t>
  </si>
  <si>
    <t>Næstved BTK</t>
  </si>
  <si>
    <t>Holmegaard</t>
  </si>
  <si>
    <t>København NV</t>
  </si>
  <si>
    <t>klapklaus@mail.dk</t>
  </si>
  <si>
    <t>Virum Sorgenfri BTK</t>
  </si>
  <si>
    <t>Virum</t>
  </si>
  <si>
    <t>vsbtk.bestyrelsen@gmail.com</t>
  </si>
  <si>
    <t>Odense M</t>
  </si>
  <si>
    <t>ole.bay.jensen@outlook.dk</t>
  </si>
  <si>
    <t>Brøndby BC</t>
  </si>
  <si>
    <t>Brøndby</t>
  </si>
  <si>
    <t>Greve BTK</t>
  </si>
  <si>
    <t>Greve</t>
  </si>
  <si>
    <t>hvidovrebordtennisklub@gmail.com</t>
  </si>
  <si>
    <t>michael.ryding@hotmail.com</t>
  </si>
  <si>
    <t>Hvidovre BTK</t>
  </si>
  <si>
    <t>Hvidovre</t>
  </si>
  <si>
    <t>btkmidtjylland@hotmail.com</t>
  </si>
  <si>
    <t>BTK Midtjylland</t>
  </si>
  <si>
    <t>Herning</t>
  </si>
  <si>
    <t>Frederiksberg BTK</t>
  </si>
  <si>
    <t>Frederiksberg</t>
  </si>
  <si>
    <t>nielsrudolfsen@outlook.dk</t>
  </si>
  <si>
    <t>250662‑MASV</t>
  </si>
  <si>
    <t>Holbæk BTK</t>
  </si>
  <si>
    <t>Martin Svendsen</t>
  </si>
  <si>
    <t>Holbæk</t>
  </si>
  <si>
    <t>formand@holbaekbordtennis.dk</t>
  </si>
  <si>
    <t>jonasagerholm@studmed.au.dk</t>
  </si>
  <si>
    <t>Alfred Brøgger</t>
  </si>
  <si>
    <t>201005‑BADI</t>
  </si>
  <si>
    <t>Bastian Diness</t>
  </si>
  <si>
    <t>K: Aldersgruppe</t>
  </si>
  <si>
    <t>[&lt;=17] Ungdom</t>
  </si>
  <si>
    <t>[&lt;=39] Senior</t>
  </si>
  <si>
    <t>[&gt;=40] Veteran</t>
  </si>
  <si>
    <t>💲 Aktuel</t>
  </si>
  <si>
    <t>💲 Potentiel</t>
  </si>
  <si>
    <t xml:space="preserve">           💰 Potentiel</t>
  </si>
  <si>
    <t xml:space="preserve">                        💰 %</t>
  </si>
  <si>
    <t xml:space="preserve">               💰 Aktuel</t>
  </si>
  <si>
    <t>💰🏆 Præmiepenge total</t>
  </si>
  <si>
    <t>Output:</t>
  </si>
  <si>
    <r>
      <t xml:space="preserve">💰 </t>
    </r>
    <r>
      <rPr>
        <b/>
        <u/>
        <sz val="14"/>
        <rFont val="Calibri"/>
        <family val="2"/>
        <scheme val="minor"/>
      </rPr>
      <t>Eventpris total</t>
    </r>
    <r>
      <rPr>
        <b/>
        <sz val="14"/>
        <rFont val="Calibri"/>
        <family val="2"/>
        <scheme val="minor"/>
      </rPr>
      <t>:</t>
    </r>
  </si>
  <si>
    <t>🏓 Over-/underskud stævnearrangør</t>
  </si>
  <si>
    <t>141298‑ANLI</t>
  </si>
  <si>
    <t>Anders Lind</t>
  </si>
  <si>
    <t>💲 Eventpris total</t>
  </si>
  <si>
    <t>🏓 DM i Ping Pong</t>
  </si>
  <si>
    <t>💲👥 Aktuel</t>
  </si>
  <si>
    <t>💲👥 Potentiel</t>
  </si>
  <si>
    <t>🏓 A-slutspil total</t>
  </si>
  <si>
    <t>🏓 B-slutspil total</t>
  </si>
  <si>
    <t>151090‑IZNØ</t>
  </si>
  <si>
    <t>Izabell Nørlem</t>
  </si>
  <si>
    <t>Brønshøj BTK</t>
  </si>
  <si>
    <t>🎫 Ordreuge- og dato</t>
  </si>
  <si>
    <t>K: Postnr.</t>
  </si>
  <si>
    <t>(Ukendt postnr.)</t>
  </si>
  <si>
    <t>(Ukendt mail)</t>
  </si>
  <si>
    <t>Triton</t>
  </si>
  <si>
    <t>preben@greve-btk.dk</t>
  </si>
  <si>
    <t>🏓 Præmiesum</t>
  </si>
  <si>
    <t>K: Billetantal maks.</t>
  </si>
  <si>
    <t>K: Billetpris</t>
  </si>
  <si>
    <t>👥 Billetantal maks.</t>
  </si>
  <si>
    <t>💲 Billetpris</t>
  </si>
  <si>
    <t>🎫 Billetantal maks.</t>
  </si>
  <si>
    <t>🎫 Tilgængelige billetter</t>
  </si>
  <si>
    <t>🎫 Billetsalg</t>
  </si>
  <si>
    <t>BTK Grenå</t>
  </si>
  <si>
    <t>Grenaa</t>
  </si>
  <si>
    <t>hammelev@hammelev.net</t>
  </si>
  <si>
    <t>Mads Larsen, Silkeborg BTK</t>
  </si>
  <si>
    <t>230578‑THBJ</t>
  </si>
  <si>
    <t>Thomas Bjerregaard</t>
  </si>
  <si>
    <t>K: Ratinggruppe</t>
  </si>
  <si>
    <t>040791‑THPE</t>
  </si>
  <si>
    <t>Thomas B. Petersen</t>
  </si>
  <si>
    <t>Køn</t>
  </si>
  <si>
    <t>🎁 Gave til den yngste- og ældste Ping Pong deltager.</t>
  </si>
  <si>
    <t>Billetsalg 1 stk.</t>
  </si>
  <si>
    <t>Billetsalg 2 stk.</t>
  </si>
  <si>
    <t>K: Billetsalg pr. tilmelding</t>
  </si>
  <si>
    <t>🎫 Billetsalg pr. tilmelding</t>
  </si>
  <si>
    <t>🎫 Tilmeldingstype</t>
  </si>
  <si>
    <t>K: Tilmeldingstype</t>
  </si>
  <si>
    <t>Rasmus Hansen</t>
  </si>
  <si>
    <t>Simon Egebæk</t>
  </si>
  <si>
    <t>Sebastian Sørensen</t>
  </si>
  <si>
    <t>Simon Nykjær-Fisher</t>
  </si>
  <si>
    <t>🏃 Drive-in</t>
  </si>
  <si>
    <t>👤 Ikke-bordtennisspiller</t>
  </si>
  <si>
    <t>🏓 Bordtennisspiller</t>
  </si>
  <si>
    <t>Sarah Svendsen</t>
  </si>
  <si>
    <t>Annsofie Sommer</t>
  </si>
  <si>
    <t>Jesper Nedergård</t>
  </si>
  <si>
    <t>Michael Hegelund Knudsen</t>
  </si>
  <si>
    <t>🏛️ Jylland, Region Midtjylland, 8000 Århus C</t>
  </si>
  <si>
    <t>🏛️ Jylland, Region Midtjylland, 8362 Hørning</t>
  </si>
  <si>
    <t>🏛️ Jylland, Region Nordjylland, 7700 Thisted</t>
  </si>
  <si>
    <t>💪 Ratinggruppe</t>
  </si>
  <si>
    <t>📅 Aldersgruppe</t>
  </si>
  <si>
    <t>⠀👥 Køn⠀</t>
  </si>
  <si>
    <t>📅 Fødselsdato og alder⠀⠀⠀⠀⠀⠀⠀</t>
  </si>
  <si>
    <t>👥 Spillertype⠀⠀⠀⠀⠀⠀</t>
  </si>
  <si>
    <t>🏛️ Område⠀⠀⠀⠀⠀⠀⠀⠀⠀⠀⠀⠀⠀⠀⠀⠀⠀⠀⠀⠀⠀⠀⠀⠀</t>
  </si>
  <si>
    <t>👥 Tilmeldinger:</t>
  </si>
  <si>
    <r>
      <rPr>
        <i/>
        <u/>
        <sz val="11"/>
        <color theme="1"/>
        <rFont val="Calibri"/>
        <family val="2"/>
        <scheme val="minor"/>
      </rPr>
      <t>Sorteret efter klub</t>
    </r>
    <r>
      <rPr>
        <i/>
        <sz val="11"/>
        <color theme="1"/>
        <rFont val="Calibri"/>
        <family val="2"/>
        <scheme val="minor"/>
      </rPr>
      <t>:</t>
    </r>
  </si>
  <si>
    <t>Deltager-ID</t>
  </si>
  <si>
    <t>110696‑RAHA</t>
  </si>
  <si>
    <t>Rasmus Damkjær Hansen</t>
  </si>
  <si>
    <t>Johan Grønhøj</t>
  </si>
  <si>
    <t>300470‑JANO</t>
  </si>
  <si>
    <t>Jan Nordhøj</t>
  </si>
  <si>
    <r>
      <t>Sorteret efter fødselsdato</t>
    </r>
    <r>
      <rPr>
        <i/>
        <sz val="11"/>
        <color theme="1"/>
        <rFont val="Calibri"/>
        <family val="2"/>
        <scheme val="minor"/>
      </rPr>
      <t>:</t>
    </r>
  </si>
  <si>
    <t>Jonas Overgaard</t>
  </si>
  <si>
    <t/>
  </si>
  <si>
    <t>[&gt;=2000] Elite</t>
  </si>
  <si>
    <t>[&lt;=1999] Ikke-elite</t>
  </si>
  <si>
    <t>Jesper Steffensen</t>
  </si>
  <si>
    <t>Jannick Helbo Wagner</t>
  </si>
  <si>
    <t>080289‑MEKR</t>
  </si>
  <si>
    <t>Ida Nielsen</t>
  </si>
  <si>
    <t>090391‑IDNI</t>
  </si>
  <si>
    <t>020686‑DENI</t>
  </si>
  <si>
    <t>Dennis K. Nielsen</t>
  </si>
  <si>
    <t>Mette Kristensen</t>
  </si>
  <si>
    <t>Team Nørreå</t>
  </si>
  <si>
    <t>Bjerringbro</t>
  </si>
  <si>
    <t>tommyj@sport.dk</t>
  </si>
  <si>
    <t>070387‑NISO</t>
  </si>
  <si>
    <t>Nick Sommer</t>
  </si>
  <si>
    <t>Mickey Elsborg</t>
  </si>
  <si>
    <t>070802‑EMSØ</t>
  </si>
  <si>
    <t>Emil Lynge Sørensen</t>
  </si>
  <si>
    <t>💪 [&lt;=1999] Ikke-elite</t>
  </si>
  <si>
    <t>💪 Rating⠀⠀⠀⠀⠀⠀⠀⠀⠀⠀⠀⠀⠀⠀</t>
  </si>
  <si>
    <t>100906‑ANHO</t>
  </si>
  <si>
    <t>Anders Holler</t>
  </si>
  <si>
    <t>BTK Tateni</t>
  </si>
  <si>
    <t>Aalborg</t>
  </si>
  <si>
    <t>larsthomsen123@gmail.com</t>
  </si>
  <si>
    <t>BTK Tateni [1]</t>
  </si>
  <si>
    <t>Lasse Kardel Larsen</t>
  </si>
  <si>
    <t>Johannes Messick Mortensen</t>
  </si>
  <si>
    <t>Oscar Hovmøller</t>
  </si>
  <si>
    <t>Andreas Bjørnholdt</t>
  </si>
  <si>
    <t>311292‑NIMI</t>
  </si>
  <si>
    <t>Nichlas Middelhede</t>
  </si>
  <si>
    <t>Ordredato med tid</t>
  </si>
  <si>
    <t>K: Klokkeslætsinterval</t>
  </si>
  <si>
    <t>🎫 Klokkeslætsinterval</t>
  </si>
  <si>
    <t>[&gt;=00] Øvrig</t>
  </si>
  <si>
    <t>[&gt;=18] Aften</t>
  </si>
  <si>
    <t>230706‑LAJO</t>
  </si>
  <si>
    <t>Laust Ravn Johansen</t>
  </si>
  <si>
    <t>👥 Tilmeldinger</t>
  </si>
  <si>
    <t>👤 Rating forskel</t>
  </si>
  <si>
    <t>👥 Rating gns.</t>
  </si>
  <si>
    <t>Hans Herluf Boisen</t>
  </si>
  <si>
    <t>020496‑NIJO</t>
  </si>
  <si>
    <t>Nicklas Martti Johnsen</t>
  </si>
  <si>
    <t>Viborg BTK</t>
  </si>
  <si>
    <t>Viborg</t>
  </si>
  <si>
    <t>lhsloth@post.tele.dk</t>
  </si>
  <si>
    <t>K: Tilmeldingsstatus</t>
  </si>
  <si>
    <t>🔃 Gentilmeldinger</t>
  </si>
  <si>
    <t>K: Gentilmeldinger</t>
  </si>
  <si>
    <t>030197‑ANAN</t>
  </si>
  <si>
    <t>Anton Andersson</t>
  </si>
  <si>
    <t>📅 Valg af tilmeldingsår</t>
  </si>
  <si>
    <t>🎫 Tilmeldingsstatus</t>
  </si>
  <si>
    <t>🕥 Kl. 10:00 (senest): Check-in for deltagere til DM i Ping Pong 2022 🏓</t>
  </si>
  <si>
    <t>🎁 Gave til yngste- og ældste Ping Pong deltager</t>
  </si>
  <si>
    <t>🗂️ Filtre nøgletal</t>
  </si>
  <si>
    <t>⏩ Nr. 1-3 går videre til A-slutspil, og de resterende går i B-slutspil.</t>
  </si>
  <si>
    <t>❌💸👍 Afbud inkl. refusion</t>
  </si>
  <si>
    <t>❌💸👎 Afbud ekskl. refusion</t>
  </si>
  <si>
    <t>✔️💲👍 Tilmeldt inkl. betaling</t>
  </si>
  <si>
    <t>Nr.¹</t>
  </si>
  <si>
    <t>Navn og bordtennisklub¹</t>
  </si>
  <si>
    <t>Alder¹</t>
  </si>
  <si>
    <t>Rating¹</t>
  </si>
  <si>
    <t>Nr.²</t>
  </si>
  <si>
    <t>Navn og bordtennisklub²</t>
  </si>
  <si>
    <t>Alder²</t>
  </si>
  <si>
    <t>Rating²</t>
  </si>
  <si>
    <t>Nr.³</t>
  </si>
  <si>
    <t>Navn og bordtennisklub³</t>
  </si>
  <si>
    <t>Alder³</t>
  </si>
  <si>
    <t>Rating³</t>
  </si>
  <si>
    <t>Nr.⁴</t>
  </si>
  <si>
    <t>Navn og bordtennisklub⁴</t>
  </si>
  <si>
    <t>Alder⁴</t>
  </si>
  <si>
    <t>Rating⁴</t>
  </si>
  <si>
    <t>Nr.⁵</t>
  </si>
  <si>
    <t>Navn og bordtennisklub⁵</t>
  </si>
  <si>
    <t>Alder⁵</t>
  </si>
  <si>
    <t>Rating⁵</t>
  </si>
  <si>
    <t>Nr.⁶</t>
  </si>
  <si>
    <t>Navn og bordtennisklub⁶</t>
  </si>
  <si>
    <t>Alder⁶</t>
  </si>
  <si>
    <t>Rating⁶</t>
  </si>
  <si>
    <t>Sjørring BTK [1]</t>
  </si>
  <si>
    <t>280466‑LAJØ</t>
  </si>
  <si>
    <t>Lars Jørgensen</t>
  </si>
  <si>
    <t>030882‑MIMI</t>
  </si>
  <si>
    <t>Milosz Miszczuk</t>
  </si>
  <si>
    <t>280389‑JOAG</t>
  </si>
  <si>
    <t>Jonas Ring Agerholm</t>
  </si>
  <si>
    <t>Amin Saad Al-Zayadi</t>
  </si>
  <si>
    <t>030302‑JOWE</t>
  </si>
  <si>
    <t>Jonathan Weiss</t>
  </si>
  <si>
    <t>Milosz Miszczuk, Hørning BTK</t>
  </si>
  <si>
    <t>050512‑OTSV</t>
  </si>
  <si>
    <t>Otto Svindt</t>
  </si>
  <si>
    <t>Sebastian Karlsmose</t>
  </si>
  <si>
    <t>Billetpris</t>
  </si>
  <si>
    <t>🕙 Kl. 10:30-13:30: Puljespil (primært 6-mandspuljer) 🏓</t>
  </si>
  <si>
    <t>🕑 Kl. 14:30-16:00: A-slutspil frem til og med kvartfinalerne og B-slutspil færdigspilles 🏓</t>
  </si>
  <si>
    <t>👥 Tilmeldingsantal afbud</t>
  </si>
  <si>
    <t>🎫 Billetsalg afbud</t>
  </si>
  <si>
    <t>Jonas Brandt</t>
  </si>
  <si>
    <t>✅🥳 FEST OM AFTENEN</t>
  </si>
  <si>
    <t>🥳 Arrangørpris:</t>
  </si>
  <si>
    <t>🥳 Fest om aftenen</t>
  </si>
  <si>
    <t>🥳 Fest om aftenen + gaver</t>
  </si>
  <si>
    <t>🕖 Kl. 19:00-22:00: Fest om aftenen med pizza og fri bar i 3 timer i Sisu/MBK's lokaler 🥳</t>
  </si>
  <si>
    <t>🕙 Fra kl. 22:00: Det aarhusianske byliv rammes for de festlystne (Sisu/MBK's lokaler lukkes kl. 22) 🥳</t>
  </si>
  <si>
    <t>💲🥳 Arrangørpris total</t>
  </si>
  <si>
    <t>🕖 Kl. 19:00-22:00: Fest om aftenen med pizza og fri bar i 3 timer 🥳</t>
  </si>
  <si>
    <t>❌ Afbud</t>
  </si>
  <si>
    <t>✔️ Ordinær</t>
  </si>
  <si>
    <t>✔️ Christian H. Andersen, Sisu/MBK 🏓🥳</t>
  </si>
  <si>
    <t>✔️ Sebastian Kjær Jensen, Sjørring BTK 🏓🥳</t>
  </si>
  <si>
    <t>✔️ Daniel Wolf, Sisu/MBK 🏓🥳</t>
  </si>
  <si>
    <t>✔️ Benjamin Sørensen, Hørning BTK 🏓🥳</t>
  </si>
  <si>
    <t>K: Status</t>
  </si>
  <si>
    <t>🥪 Frokost</t>
  </si>
  <si>
    <t>Billetsalg 3 stk.</t>
  </si>
  <si>
    <t>K: Ordredato med tid</t>
  </si>
  <si>
    <t>👥 Antal forskudte tilmeldinger</t>
  </si>
  <si>
    <t>K: Event</t>
  </si>
  <si>
    <t>🎫 Event</t>
  </si>
  <si>
    <t>K: Event &amp; år</t>
  </si>
  <si>
    <t>K: Tilmeldingsfrist</t>
  </si>
  <si>
    <t>K: Event, år &amp; billettype</t>
  </si>
  <si>
    <t>🎉 The Old Irish Pub</t>
  </si>
  <si>
    <t>🥪 Kylling &amp; bacon sandwich</t>
  </si>
  <si>
    <t>🥪 Parmaskinke &amp; mozzarella sandwich</t>
  </si>
  <si>
    <t>🥪 Oksekødsstrimler sandwich</t>
  </si>
  <si>
    <t>🥪 Bresaola og parmesanost sandwich</t>
  </si>
  <si>
    <t>🥗 Tunsalat</t>
  </si>
  <si>
    <t>🥗 Kyllingesalat</t>
  </si>
  <si>
    <t>🥗 Vegetarsalat</t>
  </si>
  <si>
    <t>Odense Kasernehal</t>
  </si>
  <si>
    <t>Søndre Blvd. 17A</t>
  </si>
  <si>
    <t>Nørre Blvd. 1</t>
  </si>
  <si>
    <t>Aarhus C</t>
  </si>
  <si>
    <t>Hørning Idrætscenter</t>
  </si>
  <si>
    <t>Toftevej 53</t>
  </si>
  <si>
    <t>K: Evt. billettype tilvalg</t>
  </si>
  <si>
    <t>K: Eventsted</t>
  </si>
  <si>
    <t>K: Eventadresse</t>
  </si>
  <si>
    <t>K: Eventpostnr.</t>
  </si>
  <si>
    <t>K: Eventby</t>
  </si>
  <si>
    <t>K: Eventdato</t>
  </si>
  <si>
    <t>Billetsalg 4 stk.</t>
  </si>
  <si>
    <t>💰 Omsætning</t>
  </si>
  <si>
    <t>💰 Arrangørpris</t>
  </si>
  <si>
    <t>💰 Over-/underskud arrangør</t>
  </si>
  <si>
    <t>K: Deltager-ID</t>
  </si>
  <si>
    <t>161098‑JOBR</t>
  </si>
  <si>
    <t>050612‑AMAL</t>
  </si>
  <si>
    <t>311002‑JOMO</t>
  </si>
  <si>
    <t>030894‑0007</t>
  </si>
  <si>
    <t>291095‑0006</t>
  </si>
  <si>
    <t>280501‑0005</t>
  </si>
  <si>
    <t>030201‑0004</t>
  </si>
  <si>
    <t>110501‑SESØ</t>
  </si>
  <si>
    <t>291252‑0003</t>
  </si>
  <si>
    <t>300503‑KIBE</t>
  </si>
  <si>
    <t>230709‑ALBR</t>
  </si>
  <si>
    <t>091184‑0002</t>
  </si>
  <si>
    <t>231093‑0001</t>
  </si>
  <si>
    <t>220475‑JEST</t>
  </si>
  <si>
    <t>🆕 Debutant</t>
  </si>
  <si>
    <t>🔃 Gentilmelding</t>
  </si>
  <si>
    <t>K: Åbningsdato</t>
  </si>
  <si>
    <t>K: Ratingopdatering</t>
  </si>
  <si>
    <t>🎫 Event &amp; år</t>
  </si>
  <si>
    <t>🎫 Event, år &amp; billettype</t>
  </si>
  <si>
    <t>K: Præmiepenge</t>
  </si>
  <si>
    <t>K: Placering</t>
  </si>
  <si>
    <t>K: Slutspil</t>
  </si>
  <si>
    <t>A-slutspil</t>
  </si>
  <si>
    <t>B-slutspil</t>
  </si>
  <si>
    <t>K: UUID</t>
  </si>
  <si>
    <t>K: Token</t>
  </si>
  <si>
    <t>3e60537b3a1541a48e2e0871a6c520fa</t>
  </si>
  <si>
    <t>77df96dc37b92daa27c050b8f7f1aafa9b47b7b0</t>
  </si>
  <si>
    <t>0ee63c56fed64db5a26e7c8a1f1a2c18</t>
  </si>
  <si>
    <t>2053580c3e2b4b9c88b30859f7bd4065</t>
  </si>
  <si>
    <t>DM</t>
  </si>
  <si>
    <t>DM 2023</t>
  </si>
  <si>
    <t>DM 2022</t>
  </si>
  <si>
    <t>DM 2021</t>
  </si>
  <si>
    <t>DM 2021 - 🎉 The Old Irish Pub</t>
  </si>
  <si>
    <t>DM 2021 - 🏓 DM i Ping Pong</t>
  </si>
  <si>
    <t>DM 2021 - 🥗 Kyllingesalat</t>
  </si>
  <si>
    <t>DM 2021 - 🥪 Bresaola og parmesanost sandwich</t>
  </si>
  <si>
    <t>DM 2021 - 🥪 Kylling &amp; bacon sandwich</t>
  </si>
  <si>
    <t>DM 2021 - 🥪 Oksekødsstrimler sandwich</t>
  </si>
  <si>
    <t>DM 2022 - 🏓 DM i Ping Pong</t>
  </si>
  <si>
    <t>DM 2022 - 🥳 Fest om aftenen</t>
  </si>
  <si>
    <t>DM 2023 - 🏓 DM i Ping Pong</t>
  </si>
  <si>
    <t>Jakub Adam Dorocinski</t>
  </si>
  <si>
    <t>Istvan Moldovan</t>
  </si>
  <si>
    <t>241273‑ISMO</t>
  </si>
  <si>
    <t>DM 2019</t>
  </si>
  <si>
    <t>DM 2018</t>
  </si>
  <si>
    <t>DM 2017</t>
  </si>
  <si>
    <t>DM 2016</t>
  </si>
  <si>
    <t>DM 2015</t>
  </si>
  <si>
    <t>DM 2014</t>
  </si>
  <si>
    <t>DM 2019 - 🏓 DM i Ping Pong</t>
  </si>
  <si>
    <t>DM 2018 - 🏓 DM i Ping Pong</t>
  </si>
  <si>
    <t>DM 2017 - 🏓 DM i Ping Pong</t>
  </si>
  <si>
    <t>DM 2016 - 🏓 DM i Ping Pong</t>
  </si>
  <si>
    <t>DM 2015 - 🏓 DM i Ping Pong</t>
  </si>
  <si>
    <t>DM 2014 - 🏓 DM i Ping Pong</t>
  </si>
  <si>
    <t>030397‑BJLY</t>
  </si>
  <si>
    <t>Bjarke Lysdahl</t>
  </si>
  <si>
    <t>Silkeborg Sportscenter</t>
  </si>
  <si>
    <t>Århusvej 45</t>
  </si>
  <si>
    <t>131100‑MAAN</t>
  </si>
  <si>
    <t>Martin Buch Andersen</t>
  </si>
  <si>
    <t>160990‑MIST</t>
  </si>
  <si>
    <t>Mindaugas Steponkus</t>
  </si>
  <si>
    <t>Remisen</t>
  </si>
  <si>
    <t>Halvejen 4</t>
  </si>
  <si>
    <t>Blegdamsvej 132</t>
  </si>
  <si>
    <t>Mikkel Emborg</t>
  </si>
  <si>
    <t>070102‑MIEM</t>
  </si>
  <si>
    <t>K: Puljeantal</t>
  </si>
  <si>
    <t>DM 2023 - 🥳 Fest om aftenen</t>
  </si>
  <si>
    <t>DM 2021 - 🥳 Fest om aftenen</t>
  </si>
  <si>
    <t>1. plads</t>
  </si>
  <si>
    <t>4. plads</t>
  </si>
  <si>
    <t>3. plads</t>
  </si>
  <si>
    <t>2. plads</t>
  </si>
  <si>
    <t>5. plads</t>
  </si>
  <si>
    <t>7. plads</t>
  </si>
  <si>
    <t>8. plads</t>
  </si>
  <si>
    <t>6. plads</t>
  </si>
  <si>
    <t>Roskilde BTK</t>
  </si>
  <si>
    <t>Aarhus Bordtennis</t>
  </si>
  <si>
    <t>Aarhus V</t>
  </si>
  <si>
    <t>IbberAbdallah@hotmail.com</t>
  </si>
  <si>
    <t>🏓 Slutspil</t>
  </si>
  <si>
    <t>🏓 Placering</t>
  </si>
  <si>
    <t>K: Præmiepenge sponseret</t>
  </si>
  <si>
    <t>TRUE/FALSE</t>
  </si>
  <si>
    <t>TRUE</t>
  </si>
  <si>
    <t>FALSE</t>
  </si>
  <si>
    <t>K: TRUE/FALSE</t>
  </si>
  <si>
    <t>✍️ Input</t>
  </si>
  <si>
    <t>K: Eventsted URL</t>
  </si>
  <si>
    <t>https://www.google.dk/maps/place/H%C3%B8rning+Idr%C3%A6tscenter/@56.09091,10.0318113,17z/data=!3m1!4b1!4m5!3m4!1s0x464c6b94628b4b3b:0x6bd220b0427a7b4d!8m2!3d56.09091!4d10.034</t>
  </si>
  <si>
    <t>https://www.google.dk/maps/place/Sisu%2FMBK/@56.164946,10.2077328,17z/data=!3m1!4b1!4m5!3m4!1s0x464c3fbe7f913e13:0xbe2de2273b1a8df2!8m2!3d56.1649752!4d10.2100476</t>
  </si>
  <si>
    <t>https://www.google.dk/maps/place/OB+Bordtennis/@55.3879518,10.3728344,17z/data=!3m1!4b1!4m5!3m4!1s0x464cdff7526fb7bd:0x8d42164442c85e08!8m2!3d55.3879518!4d10.3750231</t>
  </si>
  <si>
    <t>https://www.google.dk/maps/place/Silkeborg+Sportscenter/@56.1700635,9.5658902,17z/data=!3m1!4b1!4m5!3m4!1s0x464b8b2265d40477:0x208632b3bdd2ef3f!8m2!3d56.170057!4d9.5680794</t>
  </si>
  <si>
    <t>https://www.google.dk/maps/place/Remisen/@55.6986889,12.5722573,17z/data=!3m1!4b1!4m5!3m4!1s0x465252fb7a56b933:0x612b924c38f0e6f5!8m2!3d55.698689!4d12.576742</t>
  </si>
  <si>
    <t>https://www.google.dk/maps/place/B75/@57.5818358,9.9511871,17z/data=!3m1!4b1!4m5!3m4!1s0x464f354d15529625:0x799d19937bc18dca!8m2!3d57.5820187!4d9.9534478</t>
  </si>
  <si>
    <t>K: Farve 1</t>
  </si>
  <si>
    <t>K: Farve 2</t>
  </si>
  <si>
    <t>#3D88CB</t>
  </si>
  <si>
    <t>#D6EAF8</t>
  </si>
  <si>
    <t>#1C2833</t>
  </si>
  <si>
    <t>#D5D8DC</t>
  </si>
  <si>
    <t>🎫 Uge 11, 16-03-2023 22:16</t>
  </si>
  <si>
    <t>📅 20-07-1992, 30 år [&lt;=39] Senior</t>
  </si>
  <si>
    <t>🎫 Uge 11, 15-03-2023 19:19</t>
  </si>
  <si>
    <t>📅 10-05-1995, 28 år [&lt;=39] Senior</t>
  </si>
  <si>
    <t>📅 30-04-1996, 27 år [&lt;=39] Senior</t>
  </si>
  <si>
    <t>🎫 Uge 11, 15-03-2023 18:32</t>
  </si>
  <si>
    <t>📅 08-02-1994, 29 år [&lt;=39] Senior</t>
  </si>
  <si>
    <t>030899‑ESBA</t>
  </si>
  <si>
    <t>Esben Rask Bach</t>
  </si>
  <si>
    <t>160686‑IBAB</t>
  </si>
  <si>
    <t>Ibrahim Abdallah</t>
  </si>
  <si>
    <t>✔️ Jonathan Abildgaard Hansen, Sisu/MBK 🏓</t>
  </si>
  <si>
    <t>📅 12-02-1997, 26 år [&lt;=39] Senior</t>
  </si>
  <si>
    <t>✔️ Ibrahim Abdallah, Aarhus Bordtennis 🏓</t>
  </si>
  <si>
    <t>📅 16-06-1986, 37 år [&lt;=39] Senior</t>
  </si>
  <si>
    <t>🏛️ Jylland, Region Midtjylland, 8210 Aarhus V</t>
  </si>
  <si>
    <t>🎫 Uge 12, 25-03-2023 22:02</t>
  </si>
  <si>
    <t>✔️ Esben Rask Bach, BTK Tateni 🏓🥳</t>
  </si>
  <si>
    <t>📅 03-08-1999, 23 år [&lt;=39] Senior</t>
  </si>
  <si>
    <t>🏛️ Jylland, Region Nordjylland, 9000 Aalborg</t>
  </si>
  <si>
    <t>250974‑JATH</t>
  </si>
  <si>
    <t>Jan Therkelsen</t>
  </si>
  <si>
    <t>✔️ Jan Therkelsen, Aarhus Bordtennis 🏓</t>
  </si>
  <si>
    <t>📅 25-09-1974, 48 år [&gt;=40] Veteran</t>
  </si>
  <si>
    <t>Dima Bibko</t>
  </si>
  <si>
    <t>SKF</t>
  </si>
  <si>
    <t>Karup J</t>
  </si>
  <si>
    <t>jacdan@mail.dk</t>
  </si>
  <si>
    <t>280783‑DIBI</t>
  </si>
  <si>
    <t>#3B3D96</t>
  </si>
  <si>
    <t>101206‑OLSØ</t>
  </si>
  <si>
    <t>Oliver Henneberg Sørensen</t>
  </si>
  <si>
    <t>Matti Henneberg Sørensen</t>
  </si>
  <si>
    <t>230212‑MASØ</t>
  </si>
  <si>
    <t>010249‑0008</t>
  </si>
  <si>
    <t>Poul Erik Henneberg Sørensen</t>
  </si>
  <si>
    <t>📅 01-02-1949, 74 år [&gt;=40] Veteran</t>
  </si>
  <si>
    <t>✔️ Matti Henneberg Sørensen, Hørning BTK 🏓</t>
  </si>
  <si>
    <t>📅 23-02-2012, 11 år [&lt;=17] Ungdom</t>
  </si>
  <si>
    <t>✔️ Oliver Henneberg Sørensen, Hørning BTK 🏓</t>
  </si>
  <si>
    <t>📅 10-12-2006, 16 år [&lt;=17] Ungdom</t>
  </si>
  <si>
    <t>✔️ Dima Bibko, SKF 🏓</t>
  </si>
  <si>
    <t>📅 28-07-1983, 39 år [&lt;=39] Senior</t>
  </si>
  <si>
    <t>✔️ Milosz Miszczuk, Hørning BTK 🥳</t>
  </si>
  <si>
    <t>📅 03-08-1982, 40 år [&gt;=40] Veteran</t>
  </si>
  <si>
    <t>✔️ Mads Larsen, Silkeborg BTK 🏓🥳</t>
  </si>
  <si>
    <t>📅 05-09-1993, 29 år [&lt;=39] Senior</t>
  </si>
  <si>
    <t>🏛️ Jylland, Region Midtjylland, 8600 Silkeborg</t>
  </si>
  <si>
    <t>Matti Henneberg Sørensen, Hørning BTK [11 år, 23-02-2012]</t>
  </si>
  <si>
    <t>🏛️ Jylland, Region Midtjylland, 7470 Karup J</t>
  </si>
  <si>
    <t>Esben Rask Bach, BTK Tateni</t>
  </si>
  <si>
    <t>(Ingen rating)</t>
  </si>
  <si>
    <t>Oliver Henneberg Sørensen, Hørning BTK</t>
  </si>
  <si>
    <t>Jonathan Abildgaard Hansen, Sisu/MBK</t>
  </si>
  <si>
    <t>Ibrahim Abdallah, Aarhus Bordtennis</t>
  </si>
  <si>
    <t>Matti Henneberg Sørensen, Hørning BTK</t>
  </si>
  <si>
    <t>Jan Therkelsen, Aarhus Bordtennis</t>
  </si>
  <si>
    <t>Dima Bibko, SKF</t>
  </si>
  <si>
    <t>Sisu/MBK [3]</t>
  </si>
  <si>
    <t>Aarhus Bordtennis [2]</t>
  </si>
  <si>
    <t>SKF [1]</t>
  </si>
  <si>
    <t>Silkeborg BTK [1]</t>
  </si>
  <si>
    <t>Esben Rask Bach, BTK Tateni [23 år] 🏓🥳</t>
  </si>
  <si>
    <t>Mads Larsen, Silkeborg BTK [29 år] 🏓🥳</t>
  </si>
  <si>
    <t>Sebastian Kjær Jensen, Sjørring BTK [28 år] 🏓🥳</t>
  </si>
  <si>
    <t>Oliver Henneberg Sørensen, Hørning BTK [16 år] 🏓</t>
  </si>
  <si>
    <t>Jonathan Abildgaard Hansen, Sisu/MBK [26 år] 🏓</t>
  </si>
  <si>
    <t>Ibrahim Abdallah, Aarhus Bordtennis [37 år] 🏓</t>
  </si>
  <si>
    <t>Christian H. Andersen, Sisu/MBK [30 år] 🏓🥳</t>
  </si>
  <si>
    <t>Matti Henneberg Sørensen, Hørning BTK [11 år] 🏓</t>
  </si>
  <si>
    <t>Jan Therkelsen, Aarhus Bordtennis [48 år] 🏓</t>
  </si>
  <si>
    <t>Dima Bibko, SKF [39 år] 🏓</t>
  </si>
  <si>
    <t>Daniel Wolf, Sisu/MBK [27 år] 🏓🥳</t>
  </si>
  <si>
    <t>Milosz Miszczuk, Hørning BTK [40 år] 🥳</t>
  </si>
  <si>
    <t>Benjamin Sørensen, Hørning BTK [29 år] 🏓🥳</t>
  </si>
  <si>
    <t>Nick Branch</t>
  </si>
  <si>
    <t>281155‑0009</t>
  </si>
  <si>
    <t>190667‑CLNI</t>
  </si>
  <si>
    <t>Claus Hvam Nielsen</t>
  </si>
  <si>
    <t>✔️ Claus Hvam Nielsen, Hørning BTK 🏓🥳</t>
  </si>
  <si>
    <t>📅 19-06-1967, 55 år [&gt;=40] Veteran</t>
  </si>
  <si>
    <t>📅 28-11-1955, 67 år [&gt;=40] Veteran</t>
  </si>
  <si>
    <t>🏛️ (Ukendt landsdel), (Ukendt region), (Ukendt postnr. og by)</t>
  </si>
  <si>
    <t>Claus Hvam Nielsen, Hørning BTK</t>
  </si>
  <si>
    <t>Claus Hvam Nielsen, Hørning BTK [55 år] 🏓🥳</t>
  </si>
  <si>
    <t>✔️ Poul Erik Henneberg Sørensen, Hørning BTK 🏓</t>
  </si>
  <si>
    <t>Poul Erik Henneberg Sørensen, Hørning BTK [74 år, 01-02-1949]</t>
  </si>
  <si>
    <t>Poul Erik Henneberg Sørensen, Hørning BTK</t>
  </si>
  <si>
    <t>Poul Erik Henneberg Sørensen, Hørning BTK [74 år] 🏓</t>
  </si>
  <si>
    <t>(Udlandet)</t>
  </si>
  <si>
    <t>✔️ Nick Branch, (Udlandet) 🏓🥳</t>
  </si>
  <si>
    <t>Nick Branch, (Udlandet)</t>
  </si>
  <si>
    <t>(Udlandet) [1]</t>
  </si>
  <si>
    <t>Nick Branch, (Udlandet) [67 år] 🏓🥳</t>
  </si>
  <si>
    <t>Sofus Fisker</t>
  </si>
  <si>
    <t>230202‑SOFI</t>
  </si>
  <si>
    <t>061102‑THSC</t>
  </si>
  <si>
    <t>Thor O. Schneider</t>
  </si>
  <si>
    <t>Yang Shibo</t>
  </si>
  <si>
    <t>Michael Moesgaard</t>
  </si>
  <si>
    <t>080871‑SHYA</t>
  </si>
  <si>
    <t>051172‑HESØ</t>
  </si>
  <si>
    <t>Henrik Harbo Sørensen</t>
  </si>
  <si>
    <t>140676‑MIMO</t>
  </si>
  <si>
    <t>K: Billettype beskrivelse</t>
  </si>
  <si>
    <t>For ALLE inkl. bat</t>
  </si>
  <si>
    <t>Fest med mad og drikke</t>
  </si>
  <si>
    <t>✔️ John Sabalic, Rønde BTK 🏓🥳</t>
  </si>
  <si>
    <t>📅 18-03-1965, 58 år [&gt;=40] Veteran</t>
  </si>
  <si>
    <t>🏛️ Jylland, Region Midtjylland, 8200 Aarhus N</t>
  </si>
  <si>
    <t>✔️ Michael Moesgaard, Hørning BTK 🏓🥳</t>
  </si>
  <si>
    <t>📅 14-06-1976, 47 år [&gt;=40] Veteran</t>
  </si>
  <si>
    <t>✔️ Henrik Harbo Sørensen, Hørning BTK 🏓🥳</t>
  </si>
  <si>
    <t>📅 05-11-1972, 50 år [&gt;=40] Veteran</t>
  </si>
  <si>
    <t>✔️ Yang Shibo, Hørning BTK 🏓</t>
  </si>
  <si>
    <t>📅 08-08-1971, 51 år [&gt;=40] Veteran</t>
  </si>
  <si>
    <t>✔️ Thor O. Schneider, Team Nørreå 🏓🥳</t>
  </si>
  <si>
    <t>📅 06-11-2002, 20 år [&lt;=39] Senior</t>
  </si>
  <si>
    <t>🏛️ Jylland, Region Midtjylland, 8850 Bjerringbro</t>
  </si>
  <si>
    <t>✔️ Sofus Fisker, Team Nørreå 🏓🥳</t>
  </si>
  <si>
    <t>📅 23-02-2002, 21 år [&lt;=39] Senior</t>
  </si>
  <si>
    <t>Henrik Harbo Sørensen, Hørning BTK</t>
  </si>
  <si>
    <t>Thor O. Schneider, Team Nørreå</t>
  </si>
  <si>
    <t>Yang Shibo, Hørning BTK</t>
  </si>
  <si>
    <t>Michael Moesgaard, Hørning BTK</t>
  </si>
  <si>
    <t>Sofus Fisker, Team Nørreå</t>
  </si>
  <si>
    <t>Team Nørreå [2]</t>
  </si>
  <si>
    <t>Rønde BTK [1]</t>
  </si>
  <si>
    <t>Henrik Harbo Sørensen, Hørning BTK [50 år] 🏓🥳</t>
  </si>
  <si>
    <t>Thor O. Schneider, Team Nørreå [20 år] 🏓🥳</t>
  </si>
  <si>
    <t>Yang Shibo, Hørning BTK [51 år] 🏓</t>
  </si>
  <si>
    <t>Michael Moesgaard, Hørning BTK [47 år] 🏓🥳</t>
  </si>
  <si>
    <t>John Sabalic, Rønde BTK [58 år] 🏓🥳</t>
  </si>
  <si>
    <t>Sofus Fisker, Team Nørreå [21 år] 🏓🥳</t>
  </si>
  <si>
    <t>060305‑ALJA</t>
  </si>
  <si>
    <t>Alexander Helmsby Jakobsen</t>
  </si>
  <si>
    <t>✔️ Alexander Helmsby Jakobsen, BTK Viby 🏓</t>
  </si>
  <si>
    <t>📅 06-03-2005, 18 år [&lt;=39] Senior</t>
  </si>
  <si>
    <t>🏛️ Jylland, Region Midtjylland, 8260 Viby J</t>
  </si>
  <si>
    <t>Alexander Helmsby Jakobsen, BTK Viby</t>
  </si>
  <si>
    <t>Alexander Helmsby Jakobsen, BTK Viby [18 år] 🏓</t>
  </si>
  <si>
    <t>Lars Christensen</t>
  </si>
  <si>
    <t>080572‑LACH</t>
  </si>
  <si>
    <t>🎫 Uge 19, 13-05-2023 17:05</t>
  </si>
  <si>
    <t>✔️ Emil Madsen, Hørning BTK 🏓🥳</t>
  </si>
  <si>
    <t>📅 29-05-1993, 30 år [&lt;=39] Senior</t>
  </si>
  <si>
    <t>💪 (4) (Ingen rating) rating [&lt;=1999] Ikke-elite</t>
  </si>
  <si>
    <t>🎫 Uge 19, 12-05-2023 18:51</t>
  </si>
  <si>
    <t>✔️ Lars Christensen, BTK Viby 🏓</t>
  </si>
  <si>
    <t>📅 08-05-1972, 51 år [&gt;=40] Veteran</t>
  </si>
  <si>
    <t>🎫 Uge 19, 08-05-2023 17:58</t>
  </si>
  <si>
    <t>🎫 Uge 18, 05-05-2023 08:45</t>
  </si>
  <si>
    <t>🎫 Uge 17, 29-04-2023 19:51</t>
  </si>
  <si>
    <t>🎫 Uge 17, 29-04-2023 19:41</t>
  </si>
  <si>
    <t>🎫 Uge 17, 29-04-2023 19:36</t>
  </si>
  <si>
    <t>🎫 Uge 15, 15-04-2023 20:14</t>
  </si>
  <si>
    <t>🎫 Uge 15, 15-04-2023 18:37</t>
  </si>
  <si>
    <t>🎫 Uge 15, 11-04-2023 18:51</t>
  </si>
  <si>
    <t>🎫 Uge 15, 11-04-2023 11:35</t>
  </si>
  <si>
    <t>🎫 Uge 14, 07-04-2023 17:33</t>
  </si>
  <si>
    <t>🎫 Uge 14, 07-04-2023 17:31</t>
  </si>
  <si>
    <t>🎫 Uge 14, 07-04-2023 17:26</t>
  </si>
  <si>
    <t>🎫 Uge 14, 05-04-2023 09:35</t>
  </si>
  <si>
    <t>🎫 Uge 14, 04-04-2023 14:27</t>
  </si>
  <si>
    <t>🎫 Uge 14, 04-04-2023 08:43</t>
  </si>
  <si>
    <t>💪 (3) (Ingen rating) rating [&lt;=1999] Ikke-elite</t>
  </si>
  <si>
    <t>🎫 Uge 14, 03-04-2023 08:48</t>
  </si>
  <si>
    <t>🎫 Uge 13, 02-04-2023 20:18</t>
  </si>
  <si>
    <t>🎫 Uge 13, 02-04-2023 19:32</t>
  </si>
  <si>
    <t>💪 (1) 2525 rating [&gt;=2000] Elite</t>
  </si>
  <si>
    <t>Benjamin Sørensen, Hørning BTK (2525 rating)</t>
  </si>
  <si>
    <t>(1) 2525</t>
  </si>
  <si>
    <t>(3) (Ingen rating)</t>
  </si>
  <si>
    <t>Emil Madsen, Hørning BTK</t>
  </si>
  <si>
    <t>(4) (Ingen rating)</t>
  </si>
  <si>
    <t>Lars Christensen, BTK Viby</t>
  </si>
  <si>
    <t>Hørning BTK [9]</t>
  </si>
  <si>
    <t>BTK Viby [2]</t>
  </si>
  <si>
    <t>Benjamin Sørensen, Hørning BTK [(1) 2525 rating ∙ 29 år] 🏓🥳</t>
  </si>
  <si>
    <t>Lars Christensen, BTK Viby [51 år] 🏓</t>
  </si>
  <si>
    <t>Emil Madsen, Hørning BTK [30 år] 🏓🥳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</si>
</sst>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5">
    <numFmt numFmtId="164" formatCode="_(&quot;kr.&quot;* #,##0_);_(&quot;kr.&quot;* \(#,##0\);_(&quot;kr.&quot;* &quot;-&quot;_);_(@_)"/>
    <numFmt numFmtId="165" formatCode="_(* #,##0_);_(* \(#,##0\);_(* &quot;-&quot;_);_(@_)"/>
    <numFmt numFmtId="166" formatCode="_(&quot;kr.&quot;* #,##0.00_);_(&quot;kr.&quot;* \(#,##0.00\);_(&quot;kr.&quot;* &quot;-&quot;??_);_(@_)"/>
    <numFmt numFmtId="167" formatCode="_(* #,##0.00_);_(* \(#,##0.00\);_(* &quot;-&quot;??_);_(@_)"/>
    <numFmt numFmtId="168" formatCode="[Color10]#,##0;[Color9]\-#,##0"/>
    <numFmt numFmtId="169" formatCode="General;\-General;\-* "/>
    <numFmt numFmtId="170" formatCode="[Color10]&quot;kr.&quot;\ #,##0;[Color9]&quot;kr.&quot;\ \-#,##0"/>
    <numFmt numFmtId="171" formatCode="#,##0.0"/>
    <numFmt numFmtId="172" formatCode="&quot;kr.&quot;\ #,##0"/>
    <numFmt numFmtId="173" formatCode="[Color10]&quot;kr.&quot;\ #,##0.00;[Color9]&quot;kr.&quot;\ \-#,##0.00"/>
    <numFmt numFmtId="174" formatCode="[Color9]&quot;kr.&quot;\ \-#,##0;[Color9]&quot;kr.&quot;\ \-#,##0;0"/>
    <numFmt numFmtId="175" formatCode="dd/mm/yyyy\ hh:mm:ss"/>
    <numFmt numFmtId="176" formatCode="[Color9]General"/>
    <numFmt numFmtId="177" formatCode="[Color9]&quot;kr.&quot;\ \-#,##0.00;[Color9]&quot;kr.&quot;\ \-#,##0.00;0.00"/>
    <numFmt numFmtId="178" formatCode=";;;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name val="Calibri Light"/>
      <family val="2"/>
      <scheme val="major"/>
    </font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b/>
      <sz val="24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24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theme="6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9"/>
        <bgColor theme="6"/>
      </patternFill>
    </fill>
    <fill>
      <patternFill patternType="solid">
        <fgColor theme="9" tint="0.79998168889431442"/>
        <bgColor theme="6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61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9C0006"/>
      </top>
      <bottom style="thin">
        <color rgb="FF9C0006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/>
      <diagonal/>
    </border>
    <border>
      <left/>
      <right/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7" tint="0.39994506668294322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4506668294322"/>
      </right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/>
      <right/>
      <top/>
      <bottom style="thin">
        <color theme="9" tint="0.39994506668294322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57">
    <xf numFmtId="0" fontId="0" fillId="0" borderId="0"/>
    <xf numFmtId="3" fontId="2" fillId="2" borderId="5">
      <alignment horizontal="right"/>
      <protection locked="0"/>
    </xf>
    <xf numFmtId="38" fontId="15" fillId="0" borderId="0" applyFill="0" applyBorder="0" applyAlignment="0"/>
    <xf numFmtId="168" fontId="1" fillId="0" borderId="1" applyFill="0" applyProtection="0">
      <alignment horizontal="right"/>
    </xf>
    <xf numFmtId="168" fontId="16" fillId="3" borderId="0" applyBorder="0">
      <alignment horizontal="right"/>
    </xf>
    <xf numFmtId="0" fontId="9" fillId="0" borderId="0" applyNumberFormat="0" applyFill="0" applyBorder="0" applyAlignment="0" applyProtection="0"/>
    <xf numFmtId="0" fontId="3" fillId="4" borderId="0" applyBorder="0" applyProtection="0">
      <alignment horizontal="center" vertical="center" wrapText="1"/>
    </xf>
    <xf numFmtId="0" fontId="6" fillId="0" borderId="0" applyNumberFormat="0" applyFill="0" applyBorder="0" applyProtection="0">
      <alignment horizontal="left"/>
    </xf>
    <xf numFmtId="0" fontId="4" fillId="0" borderId="0" applyNumberFormat="0" applyFill="0" applyBorder="0">
      <alignment horizontal="left"/>
      <protection locked="0"/>
    </xf>
    <xf numFmtId="0" fontId="5" fillId="0" borderId="0" applyNumberFormat="0" applyFill="0" applyBorder="0" applyProtection="0"/>
    <xf numFmtId="0" fontId="8" fillId="7" borderId="2" applyNumberFormat="0" applyAlignment="0" applyProtection="0"/>
    <xf numFmtId="168" fontId="16" fillId="3" borderId="0" applyBorder="0">
      <alignment horizontal="right"/>
    </xf>
    <xf numFmtId="3" fontId="7" fillId="5" borderId="6" applyProtection="0">
      <alignment horizontal="right"/>
    </xf>
    <xf numFmtId="3" fontId="17" fillId="6" borderId="0" applyBorder="0" applyProtection="0">
      <alignment horizontal="right"/>
    </xf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0" fillId="8" borderId="4" applyNumberFormat="0" applyFont="0" applyAlignment="0" applyProtection="0"/>
    <xf numFmtId="0" fontId="13" fillId="0" borderId="0" applyNumberFormat="0" applyFill="0" applyBorder="0" applyAlignment="0" applyProtection="0"/>
    <xf numFmtId="0" fontId="14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4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4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4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4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4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9" fontId="10" fillId="0" borderId="0" applyFont="0" applyFill="0" applyBorder="0" applyAlignment="0" applyProtection="0"/>
    <xf numFmtId="38" fontId="15" fillId="0" borderId="0" applyFill="0" applyBorder="0">
      <alignment horizontal="right"/>
    </xf>
    <xf numFmtId="0" fontId="5" fillId="0" borderId="0" applyNumberFormat="0" applyFill="0" applyBorder="0" applyProtection="0">
      <alignment horizontal="right"/>
    </xf>
    <xf numFmtId="167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" fillId="0" borderId="0"/>
    <xf numFmtId="169" fontId="20" fillId="0" borderId="0" applyNumberFormat="0" applyFill="0" applyBorder="0" applyAlignment="0" applyProtection="0"/>
    <xf numFmtId="0" fontId="1" fillId="0" borderId="7" applyNumberFormat="0" applyFill="0" applyAlignment="0"/>
    <xf numFmtId="0" fontId="21" fillId="0" borderId="0" applyNumberFormat="0" applyFill="0" applyBorder="0" applyAlignment="0" applyProtection="0">
      <protection locked="0"/>
    </xf>
    <xf numFmtId="0" fontId="20" fillId="0" borderId="0" applyNumberFormat="0" applyFill="0" applyBorder="0" applyAlignment="0" applyProtection="0">
      <protection locked="0"/>
    </xf>
    <xf numFmtId="0" fontId="19" fillId="0" borderId="0">
      <alignment horizontal="center"/>
    </xf>
    <xf numFmtId="0" fontId="19" fillId="0" borderId="0">
      <alignment horizontal="center"/>
    </xf>
    <xf numFmtId="0" fontId="10" fillId="19" borderId="0" applyNumberFormat="0" applyBorder="0" applyAlignment="0" applyProtection="0"/>
  </cellStyleXfs>
  <cellXfs count="205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36" borderId="15" xfId="0" applyFont="1" applyFill="1" applyBorder="1" applyAlignment="1">
      <alignment horizontal="right"/>
    </xf>
    <xf numFmtId="0" fontId="14" fillId="36" borderId="15" xfId="0" applyFont="1" applyFill="1" applyBorder="1" applyAlignment="1">
      <alignment horizontal="right"/>
    </xf>
    <xf numFmtId="1" fontId="0" fillId="0" borderId="0" xfId="0" applyNumberFormat="1" applyAlignment="1">
      <alignment horizontal="center"/>
    </xf>
    <xf numFmtId="0" fontId="0" fillId="34" borderId="19" xfId="0" applyFill="1" applyBorder="1" applyAlignment="1">
      <alignment horizontal="left"/>
    </xf>
    <xf numFmtId="0" fontId="0" fillId="34" borderId="20" xfId="0" applyFill="1" applyBorder="1" applyAlignment="1">
      <alignment horizontal="left"/>
    </xf>
    <xf numFmtId="0" fontId="0" fillId="34" borderId="20" xfId="0" applyFill="1" applyBorder="1" applyAlignment="1">
      <alignment horizontal="center"/>
    </xf>
    <xf numFmtId="0" fontId="0" fillId="34" borderId="24" xfId="0" applyFill="1" applyBorder="1" applyAlignment="1">
      <alignment horizontal="left"/>
    </xf>
    <xf numFmtId="0" fontId="0" fillId="34" borderId="0" xfId="0" applyFill="1" applyAlignment="1">
      <alignment horizontal="left"/>
    </xf>
    <xf numFmtId="0" fontId="0" fillId="34" borderId="25" xfId="0" applyFill="1" applyBorder="1" applyAlignment="1">
      <alignment horizontal="left"/>
    </xf>
    <xf numFmtId="0" fontId="0" fillId="34" borderId="26" xfId="0" applyFill="1" applyBorder="1" applyAlignment="1">
      <alignment horizontal="left"/>
    </xf>
    <xf numFmtId="0" fontId="0" fillId="34" borderId="26" xfId="0" applyFill="1" applyBorder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9" fontId="1" fillId="0" borderId="0" xfId="0" applyNumberFormat="1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3" fontId="0" fillId="34" borderId="15" xfId="0" applyNumberFormat="1" applyFill="1" applyBorder="1" applyAlignment="1">
      <alignment horizontal="center"/>
    </xf>
    <xf numFmtId="0" fontId="1" fillId="0" borderId="0" xfId="0" applyFont="1"/>
    <xf numFmtId="0" fontId="14" fillId="36" borderId="13" xfId="0" applyFont="1" applyFill="1" applyBorder="1" applyAlignment="1">
      <alignment horizontal="center"/>
    </xf>
    <xf numFmtId="0" fontId="14" fillId="36" borderId="14" xfId="0" applyFont="1" applyFill="1" applyBorder="1" applyAlignment="1">
      <alignment horizontal="center"/>
    </xf>
    <xf numFmtId="0" fontId="14" fillId="36" borderId="16" xfId="0" applyFont="1" applyFill="1" applyBorder="1" applyAlignment="1">
      <alignment horizontal="center"/>
    </xf>
    <xf numFmtId="10" fontId="0" fillId="34" borderId="13" xfId="0" applyNumberFormat="1" applyFill="1" applyBorder="1"/>
    <xf numFmtId="10" fontId="0" fillId="34" borderId="14" xfId="0" applyNumberFormat="1" applyFill="1" applyBorder="1"/>
    <xf numFmtId="10" fontId="0" fillId="34" borderId="16" xfId="0" applyNumberFormat="1" applyFill="1" applyBorder="1"/>
    <xf numFmtId="10" fontId="1" fillId="34" borderId="15" xfId="0" applyNumberFormat="1" applyFont="1" applyFill="1" applyBorder="1"/>
    <xf numFmtId="170" fontId="0" fillId="34" borderId="15" xfId="0" applyNumberFormat="1" applyFill="1" applyBorder="1" applyAlignment="1">
      <alignment horizontal="center"/>
    </xf>
    <xf numFmtId="170" fontId="0" fillId="34" borderId="15" xfId="0" applyNumberFormat="1" applyFill="1" applyBorder="1" applyAlignment="1">
      <alignment horizontal="center" vertical="center"/>
    </xf>
    <xf numFmtId="173" fontId="1" fillId="34" borderId="13" xfId="0" applyNumberFormat="1" applyFont="1" applyFill="1" applyBorder="1"/>
    <xf numFmtId="173" fontId="1" fillId="34" borderId="15" xfId="0" applyNumberFormat="1" applyFont="1" applyFill="1" applyBorder="1"/>
    <xf numFmtId="173" fontId="0" fillId="34" borderId="13" xfId="0" applyNumberFormat="1" applyFill="1" applyBorder="1"/>
    <xf numFmtId="173" fontId="0" fillId="34" borderId="14" xfId="0" applyNumberFormat="1" applyFill="1" applyBorder="1"/>
    <xf numFmtId="173" fontId="0" fillId="34" borderId="16" xfId="0" applyNumberFormat="1" applyFill="1" applyBorder="1"/>
    <xf numFmtId="1" fontId="0" fillId="33" borderId="0" xfId="0" applyNumberFormat="1" applyFill="1" applyAlignment="1">
      <alignment horizontal="center"/>
    </xf>
    <xf numFmtId="1" fontId="0" fillId="37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21" xfId="0" applyFill="1" applyBorder="1" applyAlignment="1">
      <alignment horizontal="right"/>
    </xf>
    <xf numFmtId="0" fontId="0" fillId="34" borderId="10" xfId="0" applyFill="1" applyBorder="1" applyAlignment="1">
      <alignment horizontal="right"/>
    </xf>
    <xf numFmtId="0" fontId="0" fillId="34" borderId="27" xfId="0" applyFill="1" applyBorder="1" applyAlignment="1">
      <alignment horizontal="right"/>
    </xf>
    <xf numFmtId="0" fontId="0" fillId="0" borderId="26" xfId="0" applyBorder="1"/>
    <xf numFmtId="0" fontId="8" fillId="38" borderId="41" xfId="0" applyFont="1" applyFill="1" applyBorder="1" applyAlignment="1">
      <alignment horizontal="center"/>
    </xf>
    <xf numFmtId="0" fontId="8" fillId="38" borderId="42" xfId="0" applyFont="1" applyFill="1" applyBorder="1"/>
    <xf numFmtId="0" fontId="0" fillId="37" borderId="43" xfId="0" applyFill="1" applyBorder="1" applyAlignment="1">
      <alignment horizontal="center"/>
    </xf>
    <xf numFmtId="0" fontId="0" fillId="34" borderId="44" xfId="0" applyFill="1" applyBorder="1" applyAlignment="1">
      <alignment horizontal="center"/>
    </xf>
    <xf numFmtId="0" fontId="8" fillId="38" borderId="36" xfId="0" applyFont="1" applyFill="1" applyBorder="1"/>
    <xf numFmtId="0" fontId="0" fillId="39" borderId="38" xfId="0" applyFill="1" applyBorder="1"/>
    <xf numFmtId="0" fontId="22" fillId="0" borderId="0" xfId="0" applyFont="1" applyAlignment="1">
      <alignment horizontal="center"/>
    </xf>
    <xf numFmtId="0" fontId="8" fillId="42" borderId="47" xfId="0" applyFont="1" applyFill="1" applyBorder="1" applyAlignment="1">
      <alignment horizontal="center"/>
    </xf>
    <xf numFmtId="0" fontId="8" fillId="42" borderId="48" xfId="0" applyFont="1" applyFill="1" applyBorder="1"/>
    <xf numFmtId="0" fontId="0" fillId="33" borderId="47" xfId="0" applyFill="1" applyBorder="1" applyAlignment="1">
      <alignment horizontal="center"/>
    </xf>
    <xf numFmtId="0" fontId="0" fillId="43" borderId="48" xfId="0" applyFill="1" applyBorder="1"/>
    <xf numFmtId="0" fontId="0" fillId="34" borderId="47" xfId="0" applyFill="1" applyBorder="1" applyAlignment="1">
      <alignment horizontal="center"/>
    </xf>
    <xf numFmtId="0" fontId="0" fillId="34" borderId="48" xfId="0" applyFill="1" applyBorder="1"/>
    <xf numFmtId="0" fontId="0" fillId="33" borderId="48" xfId="0" applyFill="1" applyBorder="1"/>
    <xf numFmtId="0" fontId="8" fillId="38" borderId="37" xfId="0" applyFont="1" applyFill="1" applyBorder="1" applyAlignment="1">
      <alignment horizontal="center"/>
    </xf>
    <xf numFmtId="0" fontId="0" fillId="37" borderId="39" xfId="0" applyFill="1" applyBorder="1" applyAlignment="1">
      <alignment horizontal="center"/>
    </xf>
    <xf numFmtId="0" fontId="0" fillId="34" borderId="39" xfId="0" applyFill="1" applyBorder="1" applyAlignment="1">
      <alignment horizontal="center"/>
    </xf>
    <xf numFmtId="0" fontId="0" fillId="34" borderId="40" xfId="0" applyFill="1" applyBorder="1" applyAlignment="1">
      <alignment horizontal="center"/>
    </xf>
    <xf numFmtId="0" fontId="8" fillId="40" borderId="45" xfId="0" applyFont="1" applyFill="1" applyBorder="1" applyAlignment="1">
      <alignment horizontal="center"/>
    </xf>
    <xf numFmtId="0" fontId="8" fillId="40" borderId="46" xfId="0" applyFont="1" applyFill="1" applyBorder="1"/>
    <xf numFmtId="0" fontId="0" fillId="41" borderId="45" xfId="0" applyFill="1" applyBorder="1" applyAlignment="1">
      <alignment horizontal="center"/>
    </xf>
    <xf numFmtId="0" fontId="0" fillId="41" borderId="46" xfId="0" applyFill="1" applyBorder="1"/>
    <xf numFmtId="0" fontId="0" fillId="34" borderId="45" xfId="0" applyFill="1" applyBorder="1" applyAlignment="1">
      <alignment horizontal="center"/>
    </xf>
    <xf numFmtId="0" fontId="0" fillId="34" borderId="46" xfId="0" applyFill="1" applyBorder="1"/>
    <xf numFmtId="0" fontId="22" fillId="0" borderId="9" xfId="0" applyFont="1" applyBorder="1"/>
    <xf numFmtId="0" fontId="23" fillId="0" borderId="29" xfId="0" applyFont="1" applyBorder="1"/>
    <xf numFmtId="170" fontId="1" fillId="34" borderId="15" xfId="0" applyNumberFormat="1" applyFont="1" applyFill="1" applyBorder="1" applyAlignment="1">
      <alignment horizontal="center"/>
    </xf>
    <xf numFmtId="174" fontId="0" fillId="34" borderId="15" xfId="0" applyNumberFormat="1" applyFill="1" applyBorder="1" applyAlignment="1">
      <alignment horizontal="center"/>
    </xf>
    <xf numFmtId="9" fontId="0" fillId="34" borderId="15" xfId="0" applyNumberFormat="1" applyFill="1" applyBorder="1" applyAlignment="1">
      <alignment horizontal="center"/>
    </xf>
    <xf numFmtId="175" fontId="0" fillId="0" borderId="0" xfId="0" applyNumberFormat="1" applyAlignment="1">
      <alignment horizontal="center"/>
    </xf>
    <xf numFmtId="0" fontId="8" fillId="44" borderId="15" xfId="0" applyFont="1" applyFill="1" applyBorder="1" applyAlignment="1">
      <alignment horizontal="right"/>
    </xf>
    <xf numFmtId="0" fontId="14" fillId="44" borderId="15" xfId="0" applyFont="1" applyFill="1" applyBorder="1" applyAlignment="1">
      <alignment horizontal="right"/>
    </xf>
    <xf numFmtId="174" fontId="1" fillId="34" borderId="15" xfId="0" applyNumberFormat="1" applyFont="1" applyFill="1" applyBorder="1" applyAlignment="1">
      <alignment horizontal="right"/>
    </xf>
    <xf numFmtId="172" fontId="0" fillId="0" borderId="0" xfId="0" applyNumberFormat="1" applyAlignment="1">
      <alignment horizontal="center"/>
    </xf>
    <xf numFmtId="3" fontId="0" fillId="34" borderId="10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74" fontId="0" fillId="34" borderId="15" xfId="0" applyNumberFormat="1" applyFill="1" applyBorder="1" applyAlignment="1">
      <alignment horizontal="right"/>
    </xf>
    <xf numFmtId="0" fontId="8" fillId="36" borderId="13" xfId="0" applyFont="1" applyFill="1" applyBorder="1" applyAlignment="1">
      <alignment horizontal="center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" fontId="23" fillId="34" borderId="0" xfId="0" applyNumberFormat="1" applyFont="1" applyFill="1" applyAlignment="1">
      <alignment horizontal="center"/>
    </xf>
    <xf numFmtId="0" fontId="1" fillId="46" borderId="22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center"/>
    </xf>
    <xf numFmtId="0" fontId="1" fillId="46" borderId="8" xfId="0" applyFont="1" applyFill="1" applyBorder="1" applyAlignment="1">
      <alignment horizontal="right"/>
    </xf>
    <xf numFmtId="22" fontId="0" fillId="0" borderId="0" xfId="0" applyNumberFormat="1" applyAlignment="1">
      <alignment horizontal="center"/>
    </xf>
    <xf numFmtId="3" fontId="0" fillId="33" borderId="0" xfId="0" applyNumberFormat="1" applyFill="1" applyAlignment="1">
      <alignment horizontal="center"/>
    </xf>
    <xf numFmtId="49" fontId="1" fillId="35" borderId="5" xfId="0" applyNumberFormat="1" applyFont="1" applyFill="1" applyBorder="1"/>
    <xf numFmtId="49" fontId="1" fillId="35" borderId="8" xfId="0" applyNumberFormat="1" applyFont="1" applyFill="1" applyBorder="1" applyAlignment="1">
      <alignment horizontal="center"/>
    </xf>
    <xf numFmtId="49" fontId="0" fillId="34" borderId="9" xfId="0" applyNumberFormat="1" applyFill="1" applyBorder="1"/>
    <xf numFmtId="49" fontId="0" fillId="34" borderId="11" xfId="0" applyNumberFormat="1" applyFill="1" applyBorder="1"/>
    <xf numFmtId="177" fontId="0" fillId="34" borderId="15" xfId="0" applyNumberFormat="1" applyFill="1" applyBorder="1" applyAlignment="1">
      <alignment horizontal="center"/>
    </xf>
    <xf numFmtId="174" fontId="1" fillId="34" borderId="16" xfId="0" applyNumberFormat="1" applyFont="1" applyFill="1" applyBorder="1" applyAlignment="1">
      <alignment horizontal="right"/>
    </xf>
    <xf numFmtId="174" fontId="1" fillId="34" borderId="14" xfId="0" applyNumberFormat="1" applyFont="1" applyFill="1" applyBorder="1" applyAlignment="1">
      <alignment horizontal="right"/>
    </xf>
    <xf numFmtId="174" fontId="0" fillId="34" borderId="16" xfId="0" applyNumberFormat="1" applyFill="1" applyBorder="1" applyAlignment="1">
      <alignment horizontal="right"/>
    </xf>
    <xf numFmtId="174" fontId="0" fillId="34" borderId="14" xfId="0" applyNumberFormat="1" applyFill="1" applyBorder="1" applyAlignment="1">
      <alignment horizontal="right"/>
    </xf>
    <xf numFmtId="0" fontId="0" fillId="0" borderId="53" xfId="0" applyBorder="1" applyAlignment="1">
      <alignment horizontal="center"/>
    </xf>
    <xf numFmtId="0" fontId="0" fillId="0" borderId="54" xfId="0" applyBorder="1"/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right"/>
    </xf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right"/>
    </xf>
    <xf numFmtId="178" fontId="0" fillId="34" borderId="58" xfId="0" applyNumberFormat="1" applyFill="1" applyBorder="1" applyAlignment="1">
      <alignment horizontal="center"/>
    </xf>
    <xf numFmtId="178" fontId="0" fillId="34" borderId="59" xfId="0" applyNumberFormat="1" applyFill="1" applyBorder="1" applyAlignment="1">
      <alignment horizontal="center"/>
    </xf>
    <xf numFmtId="170" fontId="0" fillId="0" borderId="0" xfId="0" applyNumberFormat="1"/>
    <xf numFmtId="175" fontId="0" fillId="0" borderId="0" xfId="0" applyNumberFormat="1" applyAlignment="1">
      <alignment horizontal="left"/>
    </xf>
    <xf numFmtId="0" fontId="1" fillId="37" borderId="0" xfId="0" applyFont="1" applyFill="1"/>
    <xf numFmtId="168" fontId="0" fillId="0" borderId="0" xfId="0" applyNumberFormat="1"/>
    <xf numFmtId="14" fontId="0" fillId="0" borderId="0" xfId="0" applyNumberFormat="1" applyAlignment="1">
      <alignment horizontal="center"/>
    </xf>
    <xf numFmtId="1" fontId="0" fillId="47" borderId="0" xfId="0" applyNumberFormat="1" applyFill="1" applyAlignment="1">
      <alignment horizontal="center"/>
    </xf>
    <xf numFmtId="178" fontId="0" fillId="34" borderId="60" xfId="0" applyNumberFormat="1" applyFill="1" applyBorder="1" applyAlignment="1">
      <alignment horizontal="center"/>
    </xf>
    <xf numFmtId="0" fontId="19" fillId="0" borderId="0" xfId="55">
      <alignment horizontal="center"/>
    </xf>
    <xf numFmtId="0" fontId="1" fillId="0" borderId="0" xfId="0" applyFont="1"/>
    <xf numFmtId="0" fontId="0" fillId="0" borderId="0" xfId="0"/>
    <xf numFmtId="0" fontId="22" fillId="0" borderId="0" xfId="0" applyFont="1"/>
    <xf numFmtId="0" fontId="14" fillId="44" borderId="14" xfId="0" applyFont="1" applyFill="1" applyBorder="1"/>
    <xf numFmtId="0" fontId="8" fillId="44" borderId="15" xfId="0" applyFont="1" applyFill="1" applyBorder="1"/>
    <xf numFmtId="0" fontId="23" fillId="0" borderId="0" xfId="0" applyFont="1"/>
    <xf numFmtId="0" fontId="8" fillId="36" borderId="16" xfId="0" applyFont="1" applyFill="1" applyBorder="1" applyAlignment="1">
      <alignment horizontal="center" vertical="center"/>
    </xf>
    <xf numFmtId="0" fontId="8" fillId="36" borderId="13" xfId="0" applyFont="1" applyFill="1" applyBorder="1" applyAlignment="1">
      <alignment horizontal="center" vertical="center"/>
    </xf>
    <xf numFmtId="0" fontId="8" fillId="36" borderId="14" xfId="0" applyFont="1" applyFill="1" applyBorder="1" applyAlignment="1">
      <alignment horizontal="center" vertical="center"/>
    </xf>
    <xf numFmtId="0" fontId="8" fillId="36" borderId="15" xfId="0" applyFont="1" applyFill="1" applyBorder="1"/>
    <xf numFmtId="0" fontId="3" fillId="0" borderId="0" xfId="49"/>
    <xf numFmtId="0" fontId="1" fillId="34" borderId="15" xfId="0" applyFont="1" applyFill="1" applyBorder="1"/>
    <xf numFmtId="0" fontId="14" fillId="36" borderId="18" xfId="0" applyFont="1" applyFill="1" applyBorder="1" applyAlignment="1">
      <alignment horizontal="center"/>
    </xf>
    <xf numFmtId="0" fontId="14" fillId="36" borderId="17" xfId="0" applyFont="1" applyFill="1" applyBorder="1" applyAlignment="1">
      <alignment horizontal="center"/>
    </xf>
    <xf numFmtId="0" fontId="3" fillId="0" borderId="20" xfId="49" applyBorder="1"/>
    <xf numFmtId="0" fontId="8" fillId="36" borderId="15" xfId="0" applyFont="1" applyFill="1" applyBorder="1" applyAlignment="1">
      <alignment horizontal="center"/>
    </xf>
    <xf numFmtId="0" fontId="8" fillId="36" borderId="18" xfId="0" applyFont="1" applyFill="1" applyBorder="1"/>
    <xf numFmtId="0" fontId="8" fillId="36" borderId="32" xfId="0" applyFont="1" applyFill="1" applyBorder="1"/>
    <xf numFmtId="0" fontId="8" fillId="36" borderId="17" xfId="0" applyFont="1" applyFill="1" applyBorder="1"/>
    <xf numFmtId="0" fontId="14" fillId="36" borderId="15" xfId="0" applyFont="1" applyFill="1" applyBorder="1" applyAlignment="1">
      <alignment horizontal="left"/>
    </xf>
    <xf numFmtId="0" fontId="3" fillId="0" borderId="49" xfId="49" applyBorder="1"/>
    <xf numFmtId="0" fontId="14" fillId="36" borderId="18" xfId="0" applyFont="1" applyFill="1" applyBorder="1" applyAlignment="1">
      <alignment vertical="center"/>
    </xf>
    <xf numFmtId="0" fontId="14" fillId="36" borderId="32" xfId="0" applyFont="1" applyFill="1" applyBorder="1" applyAlignment="1">
      <alignment vertical="center"/>
    </xf>
    <xf numFmtId="0" fontId="14" fillId="36" borderId="17" xfId="0" applyFont="1" applyFill="1" applyBorder="1" applyAlignment="1">
      <alignment vertical="center"/>
    </xf>
    <xf numFmtId="0" fontId="1" fillId="34" borderId="18" xfId="0" applyFont="1" applyFill="1" applyBorder="1"/>
    <xf numFmtId="0" fontId="1" fillId="34" borderId="32" xfId="0" applyFont="1" applyFill="1" applyBorder="1"/>
    <xf numFmtId="0" fontId="1" fillId="34" borderId="17" xfId="0" applyFont="1" applyFill="1" applyBorder="1"/>
    <xf numFmtId="0" fontId="3" fillId="0" borderId="28" xfId="49" applyBorder="1"/>
    <xf numFmtId="0" fontId="3" fillId="0" borderId="9" xfId="49" applyBorder="1"/>
    <xf numFmtId="0" fontId="22" fillId="0" borderId="0" xfId="0" applyFont="1" applyAlignment="1">
      <alignment horizontal="center"/>
    </xf>
    <xf numFmtId="0" fontId="1" fillId="0" borderId="31" xfId="0" applyFont="1" applyBorder="1"/>
    <xf numFmtId="0" fontId="14" fillId="44" borderId="15" xfId="0" applyFont="1" applyFill="1" applyBorder="1" applyAlignment="1">
      <alignment horizontal="left"/>
    </xf>
    <xf numFmtId="176" fontId="0" fillId="34" borderId="50" xfId="0" applyNumberFormat="1" applyFill="1" applyBorder="1" applyAlignment="1">
      <alignment horizontal="center"/>
    </xf>
    <xf numFmtId="176" fontId="0" fillId="34" borderId="31" xfId="0" applyNumberFormat="1" applyFill="1" applyBorder="1" applyAlignment="1">
      <alignment horizontal="center"/>
    </xf>
    <xf numFmtId="176" fontId="0" fillId="34" borderId="51" xfId="0" applyNumberFormat="1" applyFill="1" applyBorder="1" applyAlignment="1">
      <alignment horizontal="center"/>
    </xf>
    <xf numFmtId="176" fontId="0" fillId="34" borderId="16" xfId="0" applyNumberFormat="1" applyFill="1" applyBorder="1" applyAlignment="1">
      <alignment horizontal="center"/>
    </xf>
    <xf numFmtId="176" fontId="0" fillId="34" borderId="14" xfId="0" applyNumberFormat="1" applyFill="1" applyBorder="1" applyAlignment="1">
      <alignment horizontal="center"/>
    </xf>
    <xf numFmtId="176" fontId="0" fillId="34" borderId="15" xfId="0" applyNumberFormat="1" applyFill="1" applyBorder="1" applyAlignment="1">
      <alignment horizontal="center"/>
    </xf>
    <xf numFmtId="0" fontId="14" fillId="44" borderId="15" xfId="0" applyFont="1" applyFill="1" applyBorder="1"/>
    <xf numFmtId="0" fontId="14" fillId="44" borderId="16" xfId="0" applyFont="1" applyFill="1" applyBorder="1"/>
    <xf numFmtId="176" fontId="1" fillId="34" borderId="15" xfId="0" applyNumberFormat="1" applyFont="1" applyFill="1" applyBorder="1" applyAlignment="1">
      <alignment horizontal="center"/>
    </xf>
    <xf numFmtId="176" fontId="0" fillId="34" borderId="34" xfId="0" applyNumberFormat="1" applyFill="1" applyBorder="1" applyAlignment="1">
      <alignment horizontal="center"/>
    </xf>
    <xf numFmtId="176" fontId="0" fillId="34" borderId="30" xfId="0" applyNumberFormat="1" applyFill="1" applyBorder="1" applyAlignment="1">
      <alignment horizontal="center"/>
    </xf>
    <xf numFmtId="176" fontId="0" fillId="34" borderId="52" xfId="0" applyNumberFormat="1" applyFill="1" applyBorder="1" applyAlignment="1">
      <alignment horizontal="center"/>
    </xf>
    <xf numFmtId="0" fontId="0" fillId="0" borderId="31" xfId="0" applyBorder="1"/>
    <xf numFmtId="0" fontId="14" fillId="45" borderId="18" xfId="0" applyFont="1" applyFill="1" applyBorder="1"/>
    <xf numFmtId="0" fontId="14" fillId="45" borderId="32" xfId="0" applyFont="1" applyFill="1" applyBorder="1"/>
    <xf numFmtId="0" fontId="14" fillId="45" borderId="17" xfId="0" applyFont="1" applyFill="1" applyBorder="1"/>
    <xf numFmtId="0" fontId="14" fillId="45" borderId="33" xfId="0" applyFont="1" applyFill="1" applyBorder="1"/>
    <xf numFmtId="0" fontId="14" fillId="45" borderId="0" xfId="0" applyFont="1" applyFill="1"/>
    <xf numFmtId="0" fontId="14" fillId="45" borderId="35" xfId="0" applyFont="1" applyFill="1" applyBorder="1"/>
    <xf numFmtId="0" fontId="14" fillId="45" borderId="50" xfId="0" applyFont="1" applyFill="1" applyBorder="1"/>
    <xf numFmtId="0" fontId="14" fillId="45" borderId="31" xfId="0" applyFont="1" applyFill="1" applyBorder="1"/>
    <xf numFmtId="0" fontId="14" fillId="45" borderId="51" xfId="0" applyFont="1" applyFill="1" applyBorder="1"/>
    <xf numFmtId="0" fontId="8" fillId="45" borderId="50" xfId="0" applyFont="1" applyFill="1" applyBorder="1"/>
    <xf numFmtId="0" fontId="8" fillId="45" borderId="31" xfId="0" applyFont="1" applyFill="1" applyBorder="1"/>
    <xf numFmtId="0" fontId="8" fillId="45" borderId="51" xfId="0" applyFont="1" applyFill="1" applyBorder="1"/>
    <xf numFmtId="0" fontId="8" fillId="45" borderId="15" xfId="0" applyFont="1" applyFill="1" applyBorder="1" applyAlignment="1">
      <alignment horizontal="center"/>
    </xf>
    <xf numFmtId="0" fontId="3" fillId="0" borderId="0" xfId="49" applyAlignment="1">
      <alignment horizontal="center"/>
    </xf>
    <xf numFmtId="0" fontId="8" fillId="36" borderId="22" xfId="56" applyFont="1" applyFill="1" applyBorder="1" applyAlignment="1">
      <alignment horizontal="center"/>
    </xf>
    <xf numFmtId="0" fontId="8" fillId="36" borderId="23" xfId="56" applyFont="1" applyFill="1" applyBorder="1" applyAlignment="1">
      <alignment horizontal="center"/>
    </xf>
    <xf numFmtId="0" fontId="8" fillId="36" borderId="8" xfId="56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34" borderId="34" xfId="0" applyFill="1" applyBorder="1"/>
    <xf numFmtId="0" fontId="0" fillId="34" borderId="33" xfId="0" applyFill="1" applyBorder="1"/>
    <xf numFmtId="0" fontId="0" fillId="34" borderId="50" xfId="0" applyFill="1" applyBorder="1"/>
    <xf numFmtId="0" fontId="0" fillId="34" borderId="30" xfId="0" applyFill="1" applyBorder="1"/>
    <xf numFmtId="0" fontId="0" fillId="34" borderId="52" xfId="0" applyFill="1" applyBorder="1"/>
    <xf numFmtId="0" fontId="0" fillId="34" borderId="0" xfId="0" applyFill="1"/>
    <xf numFmtId="0" fontId="0" fillId="34" borderId="35" xfId="0" applyFill="1" applyBorder="1" applyAlignment="1">
      <alignment horizontal="right"/>
    </xf>
    <xf numFmtId="0" fontId="0" fillId="34" borderId="35" xfId="0" applyFill="1" applyBorder="1"/>
    <xf numFmtId="0" fontId="0" fillId="34" borderId="31" xfId="0" applyFill="1" applyBorder="1"/>
    <xf numFmtId="0" fontId="0" fillId="34" borderId="51" xfId="0" applyFill="1" applyBorder="1"/>
    <xf numFmtId="0" fontId="0" fillId="0" borderId="0" xfId="0" applyAlignment="1"/>
    <xf numFmtId="0" fontId="1" fillId="0" borderId="0" xfId="0" applyFont="1" applyAlignment="1"/>
    <xf numFmtId="0" fontId="0" fillId="0" borderId="0" xfId="0" applyAlignment="1"/>
    <xf numFmtId="0" fontId="0" fillId="0" borderId="0" xfId="0" applyNumberFormat="1" applyAlignment="1">
      <alignment horizontal="center"/>
    </xf>
    <xf numFmtId="0" fontId="0" fillId="0" borderId="0" xfId="0" applyNumberFormat="1"/>
    <xf numFmtId="0" fontId="0" fillId="0" borderId="0" xfId="0" applyBorder="1" applyAlignment="1">
      <alignment horizontal="right"/>
    </xf>
    <xf numFmtId="3" fontId="1" fillId="0" borderId="0" xfId="0" applyNumberFormat="1" applyFont="1" applyBorder="1" applyAlignment="1">
      <alignment horizontal="left"/>
    </xf>
    <xf numFmtId="171" fontId="1" fillId="0" borderId="0" xfId="0" applyNumberFormat="1" applyFont="1" applyBorder="1" applyAlignment="1">
      <alignment horizontal="left"/>
    </xf>
    <xf numFmtId="1" fontId="1" fillId="0" borderId="0" xfId="0" applyNumberFormat="1" applyFont="1" applyBorder="1" applyAlignment="1">
      <alignment horizontal="left"/>
    </xf>
    <xf numFmtId="49" fontId="1" fillId="0" borderId="0" xfId="0" applyNumberFormat="1" applyFont="1" applyBorder="1" applyAlignment="1">
      <alignment horizontal="left"/>
    </xf>
    <xf numFmtId="0" fontId="26" fillId="0" borderId="0" xfId="0" applyFont="1" applyBorder="1" applyAlignment="1">
      <alignment horizontal="right"/>
    </xf>
    <xf numFmtId="3" fontId="27" fillId="0" borderId="0" xfId="0" applyNumberFormat="1" applyFont="1" applyBorder="1" applyAlignment="1">
      <alignment horizontal="left"/>
    </xf>
    <xf numFmtId="170" fontId="1" fillId="0" borderId="0" xfId="0" applyNumberFormat="1" applyFont="1" applyBorder="1" applyAlignment="1">
      <alignment horizontal="left"/>
    </xf>
    <xf numFmtId="0" fontId="0" fillId="0" borderId="0" xfId="0" applyNumberFormat="1" applyAlignment="1">
      <alignment horizontal="right"/>
    </xf>
  </cellXfs>
  <cellStyles count="58">
    <cellStyle name="20 % - Farve1" xfId="19" builtinId="30" hidden="1"/>
    <cellStyle name="20 % - Farve2" xfId="23" builtinId="34" hidden="1"/>
    <cellStyle name="20 % - Farve3" xfId="27" builtinId="38" hidden="1"/>
    <cellStyle name="20 % - Farve4" xfId="31" builtinId="42" hidden="1"/>
    <cellStyle name="20 % - Farve5" xfId="35" builtinId="46" hidden="1"/>
    <cellStyle name="20 % - Farve6" xfId="39" builtinId="50" hidden="1"/>
    <cellStyle name="40 % - Farve1" xfId="20" builtinId="31" hidden="1"/>
    <cellStyle name="40 % - Farve2" xfId="24" builtinId="35" hidden="1"/>
    <cellStyle name="40 % - Farve3" xfId="28" builtinId="39" hidden="1"/>
    <cellStyle name="40 % - Farve3" xfId="56" builtinId="39"/>
    <cellStyle name="40 % - Farve4" xfId="32" builtinId="43" hidden="1"/>
    <cellStyle name="40 % - Farve5" xfId="36" builtinId="47" hidden="1"/>
    <cellStyle name="40 % - Farve6" xfId="40" builtinId="51" hidden="1"/>
    <cellStyle name="60 % - Farve1" xfId="21" builtinId="32" hidden="1"/>
    <cellStyle name="60 % - Farve2" xfId="25" builtinId="36" hidden="1"/>
    <cellStyle name="60 % - Farve3" xfId="29" builtinId="40" hidden="1"/>
    <cellStyle name="60 % - Farve4" xfId="33" builtinId="44" hidden="1"/>
    <cellStyle name="60 % - Farve5" xfId="37" builtinId="48" hidden="1"/>
    <cellStyle name="60 % - Farve6" xfId="41" builtinId="52" hidden="1"/>
    <cellStyle name="Advarselstekst" xfId="15" builtinId="11" hidden="1"/>
    <cellStyle name="Bemærk!" xfId="16" builtinId="10" hidden="1"/>
    <cellStyle name="Beregning" xfId="4" builtinId="22" hidden="1" customBuiltin="1"/>
    <cellStyle name="Besøgt link" xfId="50" builtinId="9" hidden="1"/>
    <cellStyle name="Besøgt link" xfId="53" builtinId="9" hidden="1"/>
    <cellStyle name="Farve1" xfId="18" builtinId="29" hidden="1"/>
    <cellStyle name="Farve2" xfId="22" builtinId="33" hidden="1"/>
    <cellStyle name="Farve3" xfId="26" builtinId="37" hidden="1"/>
    <cellStyle name="Farve4" xfId="30" builtinId="41" hidden="1"/>
    <cellStyle name="Farve5" xfId="34" builtinId="45" hidden="1"/>
    <cellStyle name="Farve6" xfId="38" builtinId="49" hidden="1"/>
    <cellStyle name="Forklarende tekst" xfId="17" builtinId="53" hidden="1"/>
    <cellStyle name="God" xfId="11" builtinId="26" hidden="1" customBuiltin="1"/>
    <cellStyle name="God" xfId="11" builtinId="26" hidden="1" customBuiltin="1"/>
    <cellStyle name="Input" xfId="1" builtinId="20" hidden="1" customBuiltin="1"/>
    <cellStyle name="Komma" xfId="45" builtinId="3" hidden="1"/>
    <cellStyle name="Komma [0]" xfId="46" builtinId="6" hidden="1"/>
    <cellStyle name="Kontrollér celle" xfId="10" builtinId="23" hidden="1" customBuiltin="1"/>
    <cellStyle name="Link" xfId="52" builtinId="8" hidden="1"/>
    <cellStyle name="Neutral" xfId="13" builtinId="28" hidden="1" customBuiltin="1"/>
    <cellStyle name="Normal" xfId="0" builtinId="0" customBuiltin="1"/>
    <cellStyle name="Output" xfId="2" builtinId="21" hidden="1" customBuiltin="1"/>
    <cellStyle name="Output" xfId="43" builtinId="21" hidden="1"/>
    <cellStyle name="Overskrift" xfId="49" xr:uid="{32080343-B5E3-4837-84B5-DEC82796A2E9}"/>
    <cellStyle name="Overskrift 1" xfId="6" builtinId="16" hidden="1" customBuiltin="1"/>
    <cellStyle name="Overskrift 2" xfId="7" builtinId="17" hidden="1" customBuiltin="1"/>
    <cellStyle name="Overskrift 3" xfId="8" builtinId="18" hidden="1" customBuiltin="1"/>
    <cellStyle name="Overskrift 4" xfId="9" builtinId="19" hidden="1" customBuiltin="1"/>
    <cellStyle name="Overskrift 4" xfId="44" builtinId="19" hidden="1" customBuiltin="1"/>
    <cellStyle name="Procent" xfId="42" builtinId="5" hidden="1"/>
    <cellStyle name="Sammenkædet celle" xfId="14" builtinId="24" hidden="1"/>
    <cellStyle name="Titel" xfId="5" hidden="1" xr:uid="{7505016B-9FD9-47B6-923E-DC4222230BA1}"/>
    <cellStyle name="Titel" xfId="54" builtinId="15" hidden="1"/>
    <cellStyle name="Titel" xfId="55" xr:uid="{8826129C-91EA-48B3-82F4-233C8D2D53DD}"/>
    <cellStyle name="Total" xfId="3" builtinId="25" hidden="1" customBuiltin="1"/>
    <cellStyle name="Total" xfId="51" xr:uid="{355AC1BB-A5B7-4C80-A248-FC1CFF171C80}"/>
    <cellStyle name="Ugyldig" xfId="12" builtinId="27" hidden="1" customBuiltin="1"/>
    <cellStyle name="Valuta" xfId="47" builtinId="4" hidden="1"/>
    <cellStyle name="Valuta [0]" xfId="48" builtinId="7" hidden="1"/>
  </cellStyles>
  <dxfs count="1298"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0" formatCode="[Color10]&quot;kr.&quot;\ #,##0;[Color9]&quot;kr.&quot;\ \-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numFmt numFmtId="170" formatCode="[Color10]&quot;kr.&quot;\ #,##0;[Color9]&quot;kr.&quot;\ \-#,##0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font>
        <b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border>
        <left style="thin">
          <color theme="0" tint="-0.14999847407452621"/>
        </left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font>
        <i/>
      </font>
    </dxf>
    <dxf>
      <font>
        <i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 val="0"/>
      </font>
    </dxf>
    <dxf>
      <font>
        <b val="0"/>
      </font>
    </dxf>
    <dxf>
      <alignment horizontal="right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  <vertical/>
      </border>
    </dxf>
    <dxf>
      <numFmt numFmtId="171" formatCode="#,##0.0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alignment horizontal="left"/>
    </dxf>
    <dxf>
      <alignment horizontal="left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" formatCode="#,##0"/>
    </dxf>
    <dxf>
      <alignment horizontal="right"/>
    </dxf>
    <dxf>
      <alignment horizontal="right"/>
    </dxf>
    <dxf>
      <alignment horizontal="righ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9" formatCode="dd/mm/yyyy"/>
    </dxf>
    <dxf>
      <alignment horizontal="center"/>
    </dxf>
    <dxf>
      <alignment horizontal="general"/>
    </dxf>
    <dxf>
      <alignment horizontal="general"/>
    </dxf>
    <dxf>
      <alignment horizontal="right"/>
    </dxf>
    <dxf>
      <numFmt numFmtId="168" formatCode="[Color10]#,##0;[Color9]\-#,##0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72" formatCode="&quot;kr.&quot;\ #,##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5" formatCode="dd/mm/yyyy\ hh:mm:ss"/>
      <alignment horizontal="lef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3" formatCode="#,##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</font>
    </dxf>
    <dxf>
      <border diagonalUp="0" diagonalDown="0">
        <left style="thin">
          <color theme="7" tint="0.39994506668294322"/>
        </left>
        <right style="thin">
          <color theme="7" tint="0.39994506668294322"/>
        </right>
        <top style="thin">
          <color theme="7" tint="0.39994506668294322"/>
        </top>
        <bottom style="thin">
          <color theme="7" tint="0.39994506668294322"/>
        </bottom>
        <vertical/>
        <horizontal/>
      </border>
    </dxf>
    <dxf>
      <font>
        <b/>
        <i val="0"/>
      </font>
    </dxf>
    <dxf>
      <border diagonalUp="0" diagonalDown="0"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  <vertical/>
        <horizontal/>
      </border>
    </dxf>
    <dxf>
      <font>
        <b/>
        <i val="0"/>
      </font>
      <border>
        <top style="thin">
          <color theme="4"/>
        </top>
        <bottom style="thin">
          <color theme="4"/>
        </bottom>
      </border>
    </dxf>
    <dxf>
      <font>
        <b/>
        <i val="0"/>
        <strike val="0"/>
      </font>
    </dxf>
    <dxf>
      <font>
        <b/>
        <i val="0"/>
        <u val="none"/>
      </font>
      <border>
        <top style="thin">
          <color theme="4"/>
        </top>
        <bottom style="double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</dxf>
    <dxf>
      <fill>
        <patternFill patternType="solid">
          <bgColor theme="0"/>
        </patternFill>
      </fill>
      <border>
        <vertical/>
        <horizontal/>
      </border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theme="5"/>
          <bgColor theme="5"/>
        </patternFill>
      </fill>
    </dxf>
    <dxf>
      <font>
        <color theme="1"/>
      </font>
      <border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horizontal style="thin">
          <color theme="5" tint="0.39997558519241921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6" tint="0.79998168889431442"/>
          <bgColor theme="6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  <horizontal style="thin">
          <color theme="6" tint="0.39997558519241921"/>
        </horizontal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horizontal style="thin">
          <color theme="4" tint="0.39997558519241921"/>
        </horizontal>
      </border>
    </dxf>
  </dxfs>
  <tableStyles count="8" defaultTableStyle="Blå" defaultPivotStyle="Standard">
    <tableStyle name="Blå" pivot="0" count="8" xr9:uid="{92B3E63A-0F2E-46B7-98CA-FDBC313FBCCF}">
      <tableStyleElement type="wholeTable" dxfId="1297"/>
      <tableStyleElement type="headerRow" dxfId="1296"/>
      <tableStyleElement type="totalRow" dxfId="1295"/>
      <tableStyleElement type="firstColumn" dxfId="1294"/>
      <tableStyleElement type="lastColumn" dxfId="1293"/>
      <tableStyleElement type="firstRowStripe" dxfId="1292"/>
      <tableStyleElement type="secondRowStripe" dxfId="1291"/>
      <tableStyleElement type="firstColumnStripe" dxfId="1290"/>
    </tableStyle>
    <tableStyle name="Grøn" pivot="0" count="8" xr9:uid="{F4140A0C-86E2-4503-8112-C4B580794A03}">
      <tableStyleElement type="wholeTable" dxfId="1289"/>
      <tableStyleElement type="headerRow" dxfId="1288"/>
      <tableStyleElement type="totalRow" dxfId="1287"/>
      <tableStyleElement type="firstColumn" dxfId="1286"/>
      <tableStyleElement type="lastColumn" dxfId="1285"/>
      <tableStyleElement type="firstRowStripe" dxfId="1284"/>
      <tableStyleElement type="secondRowStripe" dxfId="1283"/>
      <tableStyleElement type="firstColumnStripe" dxfId="1282"/>
    </tableStyle>
    <tableStyle name="Grå" pivot="0" count="8" xr9:uid="{E410E5EA-37D7-458F-8755-19B74A2CA99C}">
      <tableStyleElement type="wholeTable" dxfId="1281"/>
      <tableStyleElement type="headerRow" dxfId="1280"/>
      <tableStyleElement type="totalRow" dxfId="1279"/>
      <tableStyleElement type="firstColumn" dxfId="1278"/>
      <tableStyleElement type="lastColumn" dxfId="1277"/>
      <tableStyleElement type="firstRowStripe" dxfId="1276"/>
      <tableStyleElement type="secondRowStripe" dxfId="1275"/>
      <tableStyleElement type="firstColumnStripe" dxfId="1274"/>
    </tableStyle>
    <tableStyle name="Gul" pivot="0" count="8" xr9:uid="{72C5482E-DDBB-4638-8BB6-1E39B90B7333}">
      <tableStyleElement type="wholeTable" dxfId="1273"/>
      <tableStyleElement type="headerRow" dxfId="1272"/>
      <tableStyleElement type="totalRow" dxfId="1271"/>
      <tableStyleElement type="firstColumn" dxfId="1270"/>
      <tableStyleElement type="lastColumn" dxfId="1269"/>
      <tableStyleElement type="firstRowStripe" dxfId="1268"/>
      <tableStyleElement type="secondRowStripe" dxfId="1267"/>
      <tableStyleElement type="firstColumnStripe" dxfId="1266"/>
    </tableStyle>
    <tableStyle name="Orange" pivot="0" count="8" xr9:uid="{E1E4676C-147E-4FE9-8B94-F7FA597F47F0}">
      <tableStyleElement type="wholeTable" dxfId="1265"/>
      <tableStyleElement type="headerRow" dxfId="1264"/>
      <tableStyleElement type="totalRow" dxfId="1263"/>
      <tableStyleElement type="firstColumn" dxfId="1262"/>
      <tableStyleElement type="lastColumn" dxfId="1261"/>
      <tableStyleElement type="firstRowStripe" dxfId="1260"/>
      <tableStyleElement type="secondRowStripe" dxfId="1259"/>
      <tableStyleElement type="firstColumnStripe" dxfId="1258"/>
    </tableStyle>
    <tableStyle name="Standard" table="0" count="5" xr9:uid="{5C543DF5-2A19-4FE4-BD58-90EE4B579F12}">
      <tableStyleElement type="wholeTable" dxfId="1257"/>
      <tableStyleElement type="headerRow" dxfId="1256"/>
      <tableStyleElement type="totalRow" dxfId="1255"/>
      <tableStyleElement type="lastColumn" dxfId="1254"/>
      <tableStyleElement type="firstRowSubheading" dxfId="1253"/>
    </tableStyle>
    <tableStyle name="Udsnitstypografi 2" pivot="0" table="0" count="10" xr9:uid="{397B50CD-B739-4D02-9B84-A8CD8AAAF756}">
      <tableStyleElement type="wholeTable" dxfId="1252"/>
      <tableStyleElement type="headerRow" dxfId="1251"/>
    </tableStyle>
    <tableStyle name="Udsnitstypografi 3" pivot="0" table="0" count="10" xr9:uid="{037C1494-BC0C-4B01-B068-820466F2E9A5}">
      <tableStyleElement type="wholeTable" dxfId="1250"/>
      <tableStyleElement type="headerRow" dxfId="1249"/>
    </tableStyle>
  </tableStyles>
  <colors>
    <mruColors>
      <color rgb="FFF92F60"/>
      <color rgb="FFF70A8D"/>
      <color rgb="FF635994"/>
      <color rgb="FFFF6723"/>
      <color rgb="FF00D26A"/>
      <color rgb="FF00A6ED"/>
      <color rgb="FF6B438B"/>
      <color rgb="FFE5336D"/>
      <color rgb="FFF9C23C"/>
      <color rgb="FF3F5FFF"/>
    </mruColors>
  </colors>
  <extLst>
    <ext xmlns:x14="http://schemas.microsoft.com/office/spreadsheetml/2009/9/main" uri="{46F421CA-312F-682f-3DD2-61675219B42D}">
      <x14:dxfs count="16"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7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9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Udsnitstypografi 2">
        <x14:slicerStyle name="Udsnitstypografi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Udsnitstypografi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I29" s="46"/>
        <tr r="I28" s="46"/>
        <tr r="I31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I30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I78" s="46"/>
        <tr r="I78" s="46"/>
        <tr r="I78" s="46"/>
        <tr r="I78" s="46"/>
        <tr r="I78" s="46"/>
        <tr r="I78" s="46"/>
        <tr r="I78" s="46"/>
        <tr r="I78" s="46"/>
        <tr r="I78" s="46"/>
        <tr r="I78" s="46"/>
        <tr r="I78" s="46"/>
        <tr r="I78" s="46"/>
        <tr r="B54" s="46"/>
        <tr r="B54" s="46"/>
        <tr r="B54" s="46"/>
        <tr r="B54" s="46"/>
        <tr r="B54" s="46"/>
        <tr r="B54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Q6" s="46"/>
        <tr r="Q6" s="46"/>
        <tr r="Q6" s="46"/>
        <tr r="G42" s="46"/>
        <tr r="G42" s="46"/>
        <tr r="G42" s="46"/>
        <tr r="G42" s="46"/>
        <tr r="G42" s="46"/>
        <tr r="G42" s="46"/>
        <tr r="G42" s="46"/>
        <tr r="G42" s="46"/>
        <tr r="G42" s="46"/>
        <tr r="K6" s="46"/>
        <tr r="K6" s="46"/>
        <tr r="K6" s="46"/>
        <tr r="J78" s="46"/>
        <tr r="J78" s="46"/>
        <tr r="J78" s="46"/>
        <tr r="J78" s="46"/>
        <tr r="J78" s="46"/>
        <tr r="J78" s="46"/>
        <tr r="J78" s="46"/>
        <tr r="J78" s="46"/>
        <tr r="J78" s="46"/>
        <tr r="J78" s="46"/>
        <tr r="J78" s="46"/>
        <tr r="J78" s="46"/>
        <tr r="A2" s="47"/>
        <tr r="A2" s="47"/>
        <tr r="M27" s="46"/>
        <tr r="M27" s="46"/>
        <tr r="M27" s="46"/>
        <tr r="M27" s="46"/>
        <tr r="M27" s="46"/>
        <tr r="M27" s="46"/>
        <tr r="M27" s="46"/>
        <tr r="M27" s="46"/>
        <tr r="M27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Q7" s="46"/>
        <tr r="Q7" s="46"/>
        <tr r="Q7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K7" s="46"/>
        <tr r="K7" s="46"/>
        <tr r="K7" s="46"/>
        <tr r="H78" s="46"/>
        <tr r="H78" s="46"/>
        <tr r="H78" s="46"/>
        <tr r="H78" s="46"/>
        <tr r="H78" s="46"/>
        <tr r="H78" s="46"/>
        <tr r="H78" s="46"/>
        <tr r="H78" s="46"/>
        <tr r="H78" s="46"/>
        <tr r="H78" s="46"/>
        <tr r="H78" s="46"/>
        <tr r="H78" s="46"/>
        <tr r="K8" s="46"/>
        <tr r="K8" s="46"/>
        <tr r="K8" s="46"/>
        <tr r="M31" s="46"/>
        <tr r="M31" s="46"/>
        <tr r="M31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G46" s="46"/>
        <tr r="G46" s="46"/>
        <tr r="G46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G45" s="46"/>
        <tr r="G45" s="46"/>
        <tr r="G45" s="46"/>
        <tr r="G45" s="46"/>
        <tr r="G45" s="46"/>
        <tr r="G45" s="46"/>
        <tr r="G45" s="46"/>
        <tr r="G45" s="46"/>
        <tr r="G45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B56" s="46"/>
        <tr r="B56" s="46"/>
        <tr r="M30" s="46"/>
        <tr r="M30" s="46"/>
        <tr r="M30" s="46"/>
        <tr r="M30" s="46"/>
        <tr r="M30" s="46"/>
        <tr r="M30" s="46"/>
        <tr r="M30" s="46"/>
        <tr r="M30" s="46"/>
        <tr r="M30" s="46"/>
        <tr r="Q8" s="46"/>
        <tr r="Q8" s="46"/>
        <tr r="Q8" s="46"/>
        <tr r="G28" s="46"/>
        <tr r="G29" s="46"/>
        <tr r="J80" s="46"/>
        <tr r="J80" s="46"/>
        <tr r="J80" s="46"/>
        <tr r="J80" s="46"/>
        <tr r="J80" s="46"/>
        <tr r="J80" s="46"/>
        <tr r="J80" s="46"/>
        <tr r="J80" s="46"/>
        <tr r="J80" s="46"/>
        <tr r="J80" s="46"/>
        <tr r="J80" s="46"/>
        <tr r="J80" s="46"/>
        <tr r="G31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G30" s="46"/>
        <tr r="I80" s="46"/>
        <tr r="I80" s="46"/>
        <tr r="I80" s="46"/>
        <tr r="I80" s="46"/>
        <tr r="I80" s="46"/>
        <tr r="I80" s="46"/>
        <tr r="I80" s="46"/>
        <tr r="I80" s="46"/>
        <tr r="I80" s="46"/>
        <tr r="I80" s="46"/>
        <tr r="I80" s="46"/>
        <tr r="I80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H80" s="46"/>
        <tr r="H80" s="46"/>
        <tr r="H80" s="46"/>
        <tr r="H80" s="46"/>
        <tr r="H80" s="46"/>
        <tr r="H80" s="46"/>
        <tr r="H80" s="46"/>
        <tr r="H80" s="46"/>
        <tr r="H80" s="46"/>
        <tr r="H80" s="46"/>
        <tr r="H80" s="46"/>
        <tr r="H80" s="46"/>
      </tp>
    </main>
  </volType>
</volTypes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59.xml"/><Relationship Id="rId299" Type="http://schemas.openxmlformats.org/officeDocument/2006/relationships/customXml" Target="../customXml/item241.xml"/><Relationship Id="rId21" Type="http://schemas.microsoft.com/office/2007/relationships/slicerCache" Target="slicerCaches/slicerCache12.xml"/><Relationship Id="rId63" Type="http://schemas.openxmlformats.org/officeDocument/2006/relationships/customXml" Target="../customXml/item5.xml"/><Relationship Id="rId159" Type="http://schemas.openxmlformats.org/officeDocument/2006/relationships/customXml" Target="../customXml/item101.xml"/><Relationship Id="rId324" Type="http://schemas.openxmlformats.org/officeDocument/2006/relationships/customXml" Target="../customXml/item266.xml"/><Relationship Id="rId366" Type="http://schemas.openxmlformats.org/officeDocument/2006/relationships/customXml" Target="../customXml/item308.xml"/><Relationship Id="rId170" Type="http://schemas.openxmlformats.org/officeDocument/2006/relationships/customXml" Target="../customXml/item112.xml"/><Relationship Id="rId226" Type="http://schemas.openxmlformats.org/officeDocument/2006/relationships/customXml" Target="../customXml/item168.xml"/><Relationship Id="rId268" Type="http://schemas.openxmlformats.org/officeDocument/2006/relationships/customXml" Target="../customXml/item210.xml"/><Relationship Id="rId32" Type="http://schemas.openxmlformats.org/officeDocument/2006/relationships/pivotCacheDefinition" Target="pivotCache/pivotCacheDefinition13.xml"/><Relationship Id="rId74" Type="http://schemas.openxmlformats.org/officeDocument/2006/relationships/customXml" Target="../customXml/item16.xml"/><Relationship Id="rId128" Type="http://schemas.openxmlformats.org/officeDocument/2006/relationships/customXml" Target="../customXml/item70.xml"/><Relationship Id="rId335" Type="http://schemas.openxmlformats.org/officeDocument/2006/relationships/customXml" Target="../customXml/item277.xml"/><Relationship Id="rId377" Type="http://schemas.openxmlformats.org/officeDocument/2006/relationships/customXml" Target="../customXml/item319.xml"/><Relationship Id="rId5" Type="http://schemas.openxmlformats.org/officeDocument/2006/relationships/worksheet" Target="worksheets/sheet5.xml"/><Relationship Id="rId181" Type="http://schemas.openxmlformats.org/officeDocument/2006/relationships/customXml" Target="../customXml/item123.xml"/><Relationship Id="rId237" Type="http://schemas.openxmlformats.org/officeDocument/2006/relationships/customXml" Target="../customXml/item179.xml"/><Relationship Id="rId402" Type="http://schemas.openxmlformats.org/officeDocument/2006/relationships/customXml" Target="../customXml/item344.xml"/><Relationship Id="rId279" Type="http://schemas.openxmlformats.org/officeDocument/2006/relationships/customXml" Target="../customXml/item221.xml"/><Relationship Id="rId43" Type="http://schemas.openxmlformats.org/officeDocument/2006/relationships/pivotTable" Target="pivotTables/pivotTable6.xml"/><Relationship Id="rId139" Type="http://schemas.openxmlformats.org/officeDocument/2006/relationships/customXml" Target="../customXml/item81.xml"/><Relationship Id="rId290" Type="http://schemas.openxmlformats.org/officeDocument/2006/relationships/customXml" Target="../customXml/item232.xml"/><Relationship Id="rId304" Type="http://schemas.openxmlformats.org/officeDocument/2006/relationships/customXml" Target="../customXml/item246.xml"/><Relationship Id="rId346" Type="http://schemas.openxmlformats.org/officeDocument/2006/relationships/customXml" Target="../customXml/item288.xml"/><Relationship Id="rId388" Type="http://schemas.openxmlformats.org/officeDocument/2006/relationships/customXml" Target="../customXml/item330.xml"/><Relationship Id="rId85" Type="http://schemas.openxmlformats.org/officeDocument/2006/relationships/customXml" Target="../customXml/item27.xml"/><Relationship Id="rId150" Type="http://schemas.openxmlformats.org/officeDocument/2006/relationships/customXml" Target="../customXml/item92.xml"/><Relationship Id="rId192" Type="http://schemas.openxmlformats.org/officeDocument/2006/relationships/customXml" Target="../customXml/item134.xml"/><Relationship Id="rId206" Type="http://schemas.openxmlformats.org/officeDocument/2006/relationships/customXml" Target="../customXml/item148.xml"/><Relationship Id="rId248" Type="http://schemas.openxmlformats.org/officeDocument/2006/relationships/customXml" Target="../customXml/item190.xml"/><Relationship Id="rId12" Type="http://schemas.microsoft.com/office/2007/relationships/slicerCache" Target="slicerCaches/slicerCache3.xml"/><Relationship Id="rId108" Type="http://schemas.openxmlformats.org/officeDocument/2006/relationships/customXml" Target="../customXml/item50.xml"/><Relationship Id="rId315" Type="http://schemas.openxmlformats.org/officeDocument/2006/relationships/customXml" Target="../customXml/item257.xml"/><Relationship Id="rId357" Type="http://schemas.openxmlformats.org/officeDocument/2006/relationships/customXml" Target="../customXml/item299.xml"/><Relationship Id="rId54" Type="http://schemas.openxmlformats.org/officeDocument/2006/relationships/styles" Target="styles.xml"/><Relationship Id="rId96" Type="http://schemas.openxmlformats.org/officeDocument/2006/relationships/customXml" Target="../customXml/item38.xml"/><Relationship Id="rId161" Type="http://schemas.openxmlformats.org/officeDocument/2006/relationships/customXml" Target="../customXml/item103.xml"/><Relationship Id="rId217" Type="http://schemas.openxmlformats.org/officeDocument/2006/relationships/customXml" Target="../customXml/item159.xml"/><Relationship Id="rId399" Type="http://schemas.openxmlformats.org/officeDocument/2006/relationships/customXml" Target="../customXml/item341.xml"/><Relationship Id="rId259" Type="http://schemas.openxmlformats.org/officeDocument/2006/relationships/customXml" Target="../customXml/item201.xml"/><Relationship Id="rId23" Type="http://schemas.microsoft.com/office/2007/relationships/slicerCache" Target="slicerCaches/slicerCache14.xml"/><Relationship Id="rId119" Type="http://schemas.openxmlformats.org/officeDocument/2006/relationships/customXml" Target="../customXml/item61.xml"/><Relationship Id="rId270" Type="http://schemas.openxmlformats.org/officeDocument/2006/relationships/customXml" Target="../customXml/item212.xml"/><Relationship Id="rId326" Type="http://schemas.openxmlformats.org/officeDocument/2006/relationships/customXml" Target="../customXml/item268.xml"/><Relationship Id="rId65" Type="http://schemas.openxmlformats.org/officeDocument/2006/relationships/customXml" Target="../customXml/item7.xml"/><Relationship Id="rId130" Type="http://schemas.openxmlformats.org/officeDocument/2006/relationships/customXml" Target="../customXml/item72.xml"/><Relationship Id="rId368" Type="http://schemas.openxmlformats.org/officeDocument/2006/relationships/customXml" Target="../customXml/item310.xml"/><Relationship Id="rId172" Type="http://schemas.openxmlformats.org/officeDocument/2006/relationships/customXml" Target="../customXml/item114.xml"/><Relationship Id="rId228" Type="http://schemas.openxmlformats.org/officeDocument/2006/relationships/customXml" Target="../customXml/item170.xml"/><Relationship Id="rId281" Type="http://schemas.openxmlformats.org/officeDocument/2006/relationships/customXml" Target="../customXml/item223.xml"/><Relationship Id="rId337" Type="http://schemas.openxmlformats.org/officeDocument/2006/relationships/customXml" Target="../customXml/item279.xml"/><Relationship Id="rId34" Type="http://schemas.openxmlformats.org/officeDocument/2006/relationships/pivotCacheDefinition" Target="pivotCache/pivotCacheDefinition15.xml"/><Relationship Id="rId76" Type="http://schemas.openxmlformats.org/officeDocument/2006/relationships/customXml" Target="../customXml/item18.xml"/><Relationship Id="rId141" Type="http://schemas.openxmlformats.org/officeDocument/2006/relationships/customXml" Target="../customXml/item83.xml"/><Relationship Id="rId379" Type="http://schemas.openxmlformats.org/officeDocument/2006/relationships/customXml" Target="../customXml/item321.xml"/><Relationship Id="rId7" Type="http://schemas.openxmlformats.org/officeDocument/2006/relationships/pivotCacheDefinition" Target="pivotCache/pivotCacheDefinition2.xml"/><Relationship Id="rId183" Type="http://schemas.openxmlformats.org/officeDocument/2006/relationships/customXml" Target="../customXml/item125.xml"/><Relationship Id="rId239" Type="http://schemas.openxmlformats.org/officeDocument/2006/relationships/customXml" Target="../customXml/item181.xml"/><Relationship Id="rId390" Type="http://schemas.openxmlformats.org/officeDocument/2006/relationships/customXml" Target="../customXml/item332.xml"/><Relationship Id="rId250" Type="http://schemas.openxmlformats.org/officeDocument/2006/relationships/customXml" Target="../customXml/item192.xml"/><Relationship Id="rId292" Type="http://schemas.openxmlformats.org/officeDocument/2006/relationships/customXml" Target="../customXml/item234.xml"/><Relationship Id="rId306" Type="http://schemas.openxmlformats.org/officeDocument/2006/relationships/customXml" Target="../customXml/item248.xml"/><Relationship Id="rId45" Type="http://schemas.openxmlformats.org/officeDocument/2006/relationships/pivotTable" Target="pivotTables/pivotTable8.xml"/><Relationship Id="rId87" Type="http://schemas.openxmlformats.org/officeDocument/2006/relationships/customXml" Target="../customXml/item29.xml"/><Relationship Id="rId110" Type="http://schemas.openxmlformats.org/officeDocument/2006/relationships/customXml" Target="../customXml/item52.xml"/><Relationship Id="rId348" Type="http://schemas.openxmlformats.org/officeDocument/2006/relationships/customXml" Target="../customXml/item290.xml"/><Relationship Id="rId152" Type="http://schemas.openxmlformats.org/officeDocument/2006/relationships/customXml" Target="../customXml/item94.xml"/><Relationship Id="rId194" Type="http://schemas.openxmlformats.org/officeDocument/2006/relationships/customXml" Target="../customXml/item136.xml"/><Relationship Id="rId208" Type="http://schemas.openxmlformats.org/officeDocument/2006/relationships/customXml" Target="../customXml/item150.xml"/><Relationship Id="rId261" Type="http://schemas.openxmlformats.org/officeDocument/2006/relationships/customXml" Target="../customXml/item203.xml"/><Relationship Id="rId14" Type="http://schemas.microsoft.com/office/2007/relationships/slicerCache" Target="slicerCaches/slicerCache5.xml"/><Relationship Id="rId56" Type="http://schemas.openxmlformats.org/officeDocument/2006/relationships/sheetMetadata" Target="metadata.xml"/><Relationship Id="rId317" Type="http://schemas.openxmlformats.org/officeDocument/2006/relationships/customXml" Target="../customXml/item259.xml"/><Relationship Id="rId359" Type="http://schemas.openxmlformats.org/officeDocument/2006/relationships/customXml" Target="../customXml/item301.xml"/><Relationship Id="rId98" Type="http://schemas.openxmlformats.org/officeDocument/2006/relationships/customXml" Target="../customXml/item40.xml"/><Relationship Id="rId121" Type="http://schemas.openxmlformats.org/officeDocument/2006/relationships/customXml" Target="../customXml/item63.xml"/><Relationship Id="rId163" Type="http://schemas.openxmlformats.org/officeDocument/2006/relationships/customXml" Target="../customXml/item105.xml"/><Relationship Id="rId219" Type="http://schemas.openxmlformats.org/officeDocument/2006/relationships/customXml" Target="../customXml/item161.xml"/><Relationship Id="rId370" Type="http://schemas.openxmlformats.org/officeDocument/2006/relationships/customXml" Target="../customXml/item312.xml"/><Relationship Id="rId230" Type="http://schemas.openxmlformats.org/officeDocument/2006/relationships/customXml" Target="../customXml/item172.xml"/><Relationship Id="rId25" Type="http://schemas.openxmlformats.org/officeDocument/2006/relationships/pivotCacheDefinition" Target="pivotCache/pivotCacheDefinition6.xml"/><Relationship Id="rId67" Type="http://schemas.openxmlformats.org/officeDocument/2006/relationships/customXml" Target="../customXml/item9.xml"/><Relationship Id="rId272" Type="http://schemas.openxmlformats.org/officeDocument/2006/relationships/customXml" Target="../customXml/item214.xml"/><Relationship Id="rId328" Type="http://schemas.openxmlformats.org/officeDocument/2006/relationships/customXml" Target="../customXml/item270.xml"/><Relationship Id="rId132" Type="http://schemas.openxmlformats.org/officeDocument/2006/relationships/customXml" Target="../customXml/item74.xml"/><Relationship Id="rId174" Type="http://schemas.openxmlformats.org/officeDocument/2006/relationships/customXml" Target="../customXml/item116.xml"/><Relationship Id="rId381" Type="http://schemas.openxmlformats.org/officeDocument/2006/relationships/customXml" Target="../customXml/item323.xml"/><Relationship Id="rId241" Type="http://schemas.openxmlformats.org/officeDocument/2006/relationships/customXml" Target="../customXml/item183.xml"/><Relationship Id="rId36" Type="http://schemas.openxmlformats.org/officeDocument/2006/relationships/pivotCacheDefinition" Target="pivotCache/pivotCacheDefinition17.xml"/><Relationship Id="rId283" Type="http://schemas.openxmlformats.org/officeDocument/2006/relationships/customXml" Target="../customXml/item225.xml"/><Relationship Id="rId339" Type="http://schemas.openxmlformats.org/officeDocument/2006/relationships/customXml" Target="../customXml/item281.xml"/><Relationship Id="rId78" Type="http://schemas.openxmlformats.org/officeDocument/2006/relationships/customXml" Target="../customXml/item20.xml"/><Relationship Id="rId101" Type="http://schemas.openxmlformats.org/officeDocument/2006/relationships/customXml" Target="../customXml/item43.xml"/><Relationship Id="rId143" Type="http://schemas.openxmlformats.org/officeDocument/2006/relationships/customXml" Target="../customXml/item85.xml"/><Relationship Id="rId185" Type="http://schemas.openxmlformats.org/officeDocument/2006/relationships/customXml" Target="../customXml/item127.xml"/><Relationship Id="rId350" Type="http://schemas.openxmlformats.org/officeDocument/2006/relationships/customXml" Target="../customXml/item292.xml"/><Relationship Id="rId9" Type="http://schemas.openxmlformats.org/officeDocument/2006/relationships/pivotCacheDefinition" Target="pivotCache/pivotCacheDefinition4.xml"/><Relationship Id="rId210" Type="http://schemas.openxmlformats.org/officeDocument/2006/relationships/customXml" Target="../customXml/item152.xml"/><Relationship Id="rId392" Type="http://schemas.openxmlformats.org/officeDocument/2006/relationships/customXml" Target="../customXml/item334.xml"/><Relationship Id="rId252" Type="http://schemas.openxmlformats.org/officeDocument/2006/relationships/customXml" Target="../customXml/item194.xml"/><Relationship Id="rId294" Type="http://schemas.openxmlformats.org/officeDocument/2006/relationships/customXml" Target="../customXml/item236.xml"/><Relationship Id="rId308" Type="http://schemas.openxmlformats.org/officeDocument/2006/relationships/customXml" Target="../customXml/item250.xml"/><Relationship Id="rId47" Type="http://schemas.openxmlformats.org/officeDocument/2006/relationships/pivotTable" Target="pivotTables/pivotTable10.xml"/><Relationship Id="rId89" Type="http://schemas.openxmlformats.org/officeDocument/2006/relationships/customXml" Target="../customXml/item31.xml"/><Relationship Id="rId112" Type="http://schemas.openxmlformats.org/officeDocument/2006/relationships/customXml" Target="../customXml/item54.xml"/><Relationship Id="rId154" Type="http://schemas.openxmlformats.org/officeDocument/2006/relationships/customXml" Target="../customXml/item96.xml"/><Relationship Id="rId361" Type="http://schemas.openxmlformats.org/officeDocument/2006/relationships/customXml" Target="../customXml/item303.xml"/><Relationship Id="rId196" Type="http://schemas.openxmlformats.org/officeDocument/2006/relationships/customXml" Target="../customXml/item138.xml"/><Relationship Id="rId16" Type="http://schemas.microsoft.com/office/2007/relationships/slicerCache" Target="slicerCaches/slicerCache7.xml"/><Relationship Id="rId221" Type="http://schemas.openxmlformats.org/officeDocument/2006/relationships/customXml" Target="../customXml/item163.xml"/><Relationship Id="rId263" Type="http://schemas.openxmlformats.org/officeDocument/2006/relationships/customXml" Target="../customXml/item205.xml"/><Relationship Id="rId319" Type="http://schemas.openxmlformats.org/officeDocument/2006/relationships/customXml" Target="../customXml/item261.xml"/><Relationship Id="rId58" Type="http://schemas.openxmlformats.org/officeDocument/2006/relationships/calcChain" Target="calcChain.xml"/><Relationship Id="rId123" Type="http://schemas.openxmlformats.org/officeDocument/2006/relationships/customXml" Target="../customXml/item65.xml"/><Relationship Id="rId330" Type="http://schemas.openxmlformats.org/officeDocument/2006/relationships/customXml" Target="../customXml/item272.xml"/><Relationship Id="rId90" Type="http://schemas.openxmlformats.org/officeDocument/2006/relationships/customXml" Target="../customXml/item32.xml"/><Relationship Id="rId165" Type="http://schemas.openxmlformats.org/officeDocument/2006/relationships/customXml" Target="../customXml/item107.xml"/><Relationship Id="rId186" Type="http://schemas.openxmlformats.org/officeDocument/2006/relationships/customXml" Target="../customXml/item128.xml"/><Relationship Id="rId351" Type="http://schemas.openxmlformats.org/officeDocument/2006/relationships/customXml" Target="../customXml/item293.xml"/><Relationship Id="rId372" Type="http://schemas.openxmlformats.org/officeDocument/2006/relationships/customXml" Target="../customXml/item314.xml"/><Relationship Id="rId393" Type="http://schemas.openxmlformats.org/officeDocument/2006/relationships/customXml" Target="../customXml/item335.xml"/><Relationship Id="rId211" Type="http://schemas.openxmlformats.org/officeDocument/2006/relationships/customXml" Target="../customXml/item153.xml"/><Relationship Id="rId232" Type="http://schemas.openxmlformats.org/officeDocument/2006/relationships/customXml" Target="../customXml/item174.xml"/><Relationship Id="rId253" Type="http://schemas.openxmlformats.org/officeDocument/2006/relationships/customXml" Target="../customXml/item195.xml"/><Relationship Id="rId274" Type="http://schemas.openxmlformats.org/officeDocument/2006/relationships/customXml" Target="../customXml/item216.xml"/><Relationship Id="rId295" Type="http://schemas.openxmlformats.org/officeDocument/2006/relationships/customXml" Target="../customXml/item237.xml"/><Relationship Id="rId309" Type="http://schemas.openxmlformats.org/officeDocument/2006/relationships/customXml" Target="../customXml/item251.xml"/><Relationship Id="rId27" Type="http://schemas.openxmlformats.org/officeDocument/2006/relationships/pivotCacheDefinition" Target="pivotCache/pivotCacheDefinition8.xml"/><Relationship Id="rId48" Type="http://schemas.openxmlformats.org/officeDocument/2006/relationships/pivotTable" Target="pivotTables/pivotTable11.xml"/><Relationship Id="rId69" Type="http://schemas.openxmlformats.org/officeDocument/2006/relationships/customXml" Target="../customXml/item11.xml"/><Relationship Id="rId113" Type="http://schemas.openxmlformats.org/officeDocument/2006/relationships/customXml" Target="../customXml/item55.xml"/><Relationship Id="rId134" Type="http://schemas.openxmlformats.org/officeDocument/2006/relationships/customXml" Target="../customXml/item76.xml"/><Relationship Id="rId320" Type="http://schemas.openxmlformats.org/officeDocument/2006/relationships/customXml" Target="../customXml/item262.xml"/><Relationship Id="rId80" Type="http://schemas.openxmlformats.org/officeDocument/2006/relationships/customXml" Target="../customXml/item22.xml"/><Relationship Id="rId155" Type="http://schemas.openxmlformats.org/officeDocument/2006/relationships/customXml" Target="../customXml/item97.xml"/><Relationship Id="rId176" Type="http://schemas.openxmlformats.org/officeDocument/2006/relationships/customXml" Target="../customXml/item118.xml"/><Relationship Id="rId197" Type="http://schemas.openxmlformats.org/officeDocument/2006/relationships/customXml" Target="../customXml/item139.xml"/><Relationship Id="rId341" Type="http://schemas.openxmlformats.org/officeDocument/2006/relationships/customXml" Target="../customXml/item283.xml"/><Relationship Id="rId362" Type="http://schemas.openxmlformats.org/officeDocument/2006/relationships/customXml" Target="../customXml/item304.xml"/><Relationship Id="rId383" Type="http://schemas.openxmlformats.org/officeDocument/2006/relationships/customXml" Target="../customXml/item325.xml"/><Relationship Id="rId201" Type="http://schemas.openxmlformats.org/officeDocument/2006/relationships/customXml" Target="../customXml/item143.xml"/><Relationship Id="rId222" Type="http://schemas.openxmlformats.org/officeDocument/2006/relationships/customXml" Target="../customXml/item164.xml"/><Relationship Id="rId243" Type="http://schemas.openxmlformats.org/officeDocument/2006/relationships/customXml" Target="../customXml/item185.xml"/><Relationship Id="rId264" Type="http://schemas.openxmlformats.org/officeDocument/2006/relationships/customXml" Target="../customXml/item206.xml"/><Relationship Id="rId285" Type="http://schemas.openxmlformats.org/officeDocument/2006/relationships/customXml" Target="../customXml/item227.xml"/><Relationship Id="rId17" Type="http://schemas.microsoft.com/office/2007/relationships/slicerCache" Target="slicerCaches/slicerCache8.xml"/><Relationship Id="rId38" Type="http://schemas.openxmlformats.org/officeDocument/2006/relationships/pivotTable" Target="pivotTables/pivotTable1.xml"/><Relationship Id="rId59" Type="http://schemas.openxmlformats.org/officeDocument/2006/relationships/customXml" Target="../customXml/item1.xml"/><Relationship Id="rId103" Type="http://schemas.openxmlformats.org/officeDocument/2006/relationships/customXml" Target="../customXml/item45.xml"/><Relationship Id="rId124" Type="http://schemas.openxmlformats.org/officeDocument/2006/relationships/customXml" Target="../customXml/item66.xml"/><Relationship Id="rId310" Type="http://schemas.openxmlformats.org/officeDocument/2006/relationships/customXml" Target="../customXml/item252.xml"/><Relationship Id="rId70" Type="http://schemas.openxmlformats.org/officeDocument/2006/relationships/customXml" Target="../customXml/item12.xml"/><Relationship Id="rId91" Type="http://schemas.openxmlformats.org/officeDocument/2006/relationships/customXml" Target="../customXml/item33.xml"/><Relationship Id="rId145" Type="http://schemas.openxmlformats.org/officeDocument/2006/relationships/customXml" Target="../customXml/item87.xml"/><Relationship Id="rId166" Type="http://schemas.openxmlformats.org/officeDocument/2006/relationships/customXml" Target="../customXml/item108.xml"/><Relationship Id="rId187" Type="http://schemas.openxmlformats.org/officeDocument/2006/relationships/customXml" Target="../customXml/item129.xml"/><Relationship Id="rId331" Type="http://schemas.openxmlformats.org/officeDocument/2006/relationships/customXml" Target="../customXml/item273.xml"/><Relationship Id="rId352" Type="http://schemas.openxmlformats.org/officeDocument/2006/relationships/customXml" Target="../customXml/item294.xml"/><Relationship Id="rId373" Type="http://schemas.openxmlformats.org/officeDocument/2006/relationships/customXml" Target="../customXml/item315.xml"/><Relationship Id="rId394" Type="http://schemas.openxmlformats.org/officeDocument/2006/relationships/customXml" Target="../customXml/item336.xml"/><Relationship Id="rId1" Type="http://schemas.openxmlformats.org/officeDocument/2006/relationships/worksheet" Target="worksheets/sheet1.xml"/><Relationship Id="rId212" Type="http://schemas.openxmlformats.org/officeDocument/2006/relationships/customXml" Target="../customXml/item154.xml"/><Relationship Id="rId233" Type="http://schemas.openxmlformats.org/officeDocument/2006/relationships/customXml" Target="../customXml/item175.xml"/><Relationship Id="rId254" Type="http://schemas.openxmlformats.org/officeDocument/2006/relationships/customXml" Target="../customXml/item196.xml"/><Relationship Id="rId28" Type="http://schemas.openxmlformats.org/officeDocument/2006/relationships/pivotCacheDefinition" Target="pivotCache/pivotCacheDefinition9.xml"/><Relationship Id="rId49" Type="http://schemas.openxmlformats.org/officeDocument/2006/relationships/pivotTable" Target="pivotTables/pivotTable12.xml"/><Relationship Id="rId114" Type="http://schemas.openxmlformats.org/officeDocument/2006/relationships/customXml" Target="../customXml/item56.xml"/><Relationship Id="rId275" Type="http://schemas.openxmlformats.org/officeDocument/2006/relationships/customXml" Target="../customXml/item217.xml"/><Relationship Id="rId296" Type="http://schemas.openxmlformats.org/officeDocument/2006/relationships/customXml" Target="../customXml/item238.xml"/><Relationship Id="rId300" Type="http://schemas.openxmlformats.org/officeDocument/2006/relationships/customXml" Target="../customXml/item242.xml"/><Relationship Id="rId60" Type="http://schemas.openxmlformats.org/officeDocument/2006/relationships/customXml" Target="../customXml/item2.xml"/><Relationship Id="rId81" Type="http://schemas.openxmlformats.org/officeDocument/2006/relationships/customXml" Target="../customXml/item23.xml"/><Relationship Id="rId135" Type="http://schemas.openxmlformats.org/officeDocument/2006/relationships/customXml" Target="../customXml/item77.xml"/><Relationship Id="rId156" Type="http://schemas.openxmlformats.org/officeDocument/2006/relationships/customXml" Target="../customXml/item98.xml"/><Relationship Id="rId177" Type="http://schemas.openxmlformats.org/officeDocument/2006/relationships/customXml" Target="../customXml/item119.xml"/><Relationship Id="rId198" Type="http://schemas.openxmlformats.org/officeDocument/2006/relationships/customXml" Target="../customXml/item140.xml"/><Relationship Id="rId321" Type="http://schemas.openxmlformats.org/officeDocument/2006/relationships/customXml" Target="../customXml/item263.xml"/><Relationship Id="rId342" Type="http://schemas.openxmlformats.org/officeDocument/2006/relationships/customXml" Target="../customXml/item284.xml"/><Relationship Id="rId363" Type="http://schemas.openxmlformats.org/officeDocument/2006/relationships/customXml" Target="../customXml/item305.xml"/><Relationship Id="rId384" Type="http://schemas.openxmlformats.org/officeDocument/2006/relationships/customXml" Target="../customXml/item326.xml"/><Relationship Id="rId202" Type="http://schemas.openxmlformats.org/officeDocument/2006/relationships/customXml" Target="../customXml/item144.xml"/><Relationship Id="rId223" Type="http://schemas.openxmlformats.org/officeDocument/2006/relationships/customXml" Target="../customXml/item165.xml"/><Relationship Id="rId244" Type="http://schemas.openxmlformats.org/officeDocument/2006/relationships/customXml" Target="../customXml/item186.xml"/><Relationship Id="rId18" Type="http://schemas.microsoft.com/office/2007/relationships/slicerCache" Target="slicerCaches/slicerCache9.xml"/><Relationship Id="rId39" Type="http://schemas.openxmlformats.org/officeDocument/2006/relationships/pivotTable" Target="pivotTables/pivotTable2.xml"/><Relationship Id="rId265" Type="http://schemas.openxmlformats.org/officeDocument/2006/relationships/customXml" Target="../customXml/item207.xml"/><Relationship Id="rId286" Type="http://schemas.openxmlformats.org/officeDocument/2006/relationships/customXml" Target="../customXml/item228.xml"/><Relationship Id="rId50" Type="http://schemas.openxmlformats.org/officeDocument/2006/relationships/pivotTable" Target="pivotTables/pivotTable13.xml"/><Relationship Id="rId104" Type="http://schemas.openxmlformats.org/officeDocument/2006/relationships/customXml" Target="../customXml/item46.xml"/><Relationship Id="rId125" Type="http://schemas.openxmlformats.org/officeDocument/2006/relationships/customXml" Target="../customXml/item67.xml"/><Relationship Id="rId146" Type="http://schemas.openxmlformats.org/officeDocument/2006/relationships/customXml" Target="../customXml/item88.xml"/><Relationship Id="rId167" Type="http://schemas.openxmlformats.org/officeDocument/2006/relationships/customXml" Target="../customXml/item109.xml"/><Relationship Id="rId188" Type="http://schemas.openxmlformats.org/officeDocument/2006/relationships/customXml" Target="../customXml/item130.xml"/><Relationship Id="rId311" Type="http://schemas.openxmlformats.org/officeDocument/2006/relationships/customXml" Target="../customXml/item253.xml"/><Relationship Id="rId332" Type="http://schemas.openxmlformats.org/officeDocument/2006/relationships/customXml" Target="../customXml/item274.xml"/><Relationship Id="rId353" Type="http://schemas.openxmlformats.org/officeDocument/2006/relationships/customXml" Target="../customXml/item295.xml"/><Relationship Id="rId374" Type="http://schemas.openxmlformats.org/officeDocument/2006/relationships/customXml" Target="../customXml/item316.xml"/><Relationship Id="rId395" Type="http://schemas.openxmlformats.org/officeDocument/2006/relationships/customXml" Target="../customXml/item337.xml"/><Relationship Id="rId71" Type="http://schemas.openxmlformats.org/officeDocument/2006/relationships/customXml" Target="../customXml/item13.xml"/><Relationship Id="rId92" Type="http://schemas.openxmlformats.org/officeDocument/2006/relationships/customXml" Target="../customXml/item34.xml"/><Relationship Id="rId213" Type="http://schemas.openxmlformats.org/officeDocument/2006/relationships/customXml" Target="../customXml/item155.xml"/><Relationship Id="rId234" Type="http://schemas.openxmlformats.org/officeDocument/2006/relationships/customXml" Target="../customXml/item176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10.xml"/><Relationship Id="rId255" Type="http://schemas.openxmlformats.org/officeDocument/2006/relationships/customXml" Target="../customXml/item197.xml"/><Relationship Id="rId276" Type="http://schemas.openxmlformats.org/officeDocument/2006/relationships/customXml" Target="../customXml/item218.xml"/><Relationship Id="rId297" Type="http://schemas.openxmlformats.org/officeDocument/2006/relationships/customXml" Target="../customXml/item239.xml"/><Relationship Id="rId40" Type="http://schemas.openxmlformats.org/officeDocument/2006/relationships/pivotTable" Target="pivotTables/pivotTable3.xml"/><Relationship Id="rId115" Type="http://schemas.openxmlformats.org/officeDocument/2006/relationships/customXml" Target="../customXml/item57.xml"/><Relationship Id="rId136" Type="http://schemas.openxmlformats.org/officeDocument/2006/relationships/customXml" Target="../customXml/item78.xml"/><Relationship Id="rId157" Type="http://schemas.openxmlformats.org/officeDocument/2006/relationships/customXml" Target="../customXml/item99.xml"/><Relationship Id="rId178" Type="http://schemas.openxmlformats.org/officeDocument/2006/relationships/customXml" Target="../customXml/item120.xml"/><Relationship Id="rId301" Type="http://schemas.openxmlformats.org/officeDocument/2006/relationships/customXml" Target="../customXml/item243.xml"/><Relationship Id="rId322" Type="http://schemas.openxmlformats.org/officeDocument/2006/relationships/customXml" Target="../customXml/item264.xml"/><Relationship Id="rId343" Type="http://schemas.openxmlformats.org/officeDocument/2006/relationships/customXml" Target="../customXml/item285.xml"/><Relationship Id="rId364" Type="http://schemas.openxmlformats.org/officeDocument/2006/relationships/customXml" Target="../customXml/item306.xml"/><Relationship Id="rId61" Type="http://schemas.openxmlformats.org/officeDocument/2006/relationships/customXml" Target="../customXml/item3.xml"/><Relationship Id="rId82" Type="http://schemas.openxmlformats.org/officeDocument/2006/relationships/customXml" Target="../customXml/item24.xml"/><Relationship Id="rId199" Type="http://schemas.openxmlformats.org/officeDocument/2006/relationships/customXml" Target="../customXml/item141.xml"/><Relationship Id="rId203" Type="http://schemas.openxmlformats.org/officeDocument/2006/relationships/customXml" Target="../customXml/item145.xml"/><Relationship Id="rId385" Type="http://schemas.openxmlformats.org/officeDocument/2006/relationships/customXml" Target="../customXml/item327.xml"/><Relationship Id="rId19" Type="http://schemas.microsoft.com/office/2007/relationships/slicerCache" Target="slicerCaches/slicerCache10.xml"/><Relationship Id="rId224" Type="http://schemas.openxmlformats.org/officeDocument/2006/relationships/customXml" Target="../customXml/item166.xml"/><Relationship Id="rId245" Type="http://schemas.openxmlformats.org/officeDocument/2006/relationships/customXml" Target="../customXml/item187.xml"/><Relationship Id="rId266" Type="http://schemas.openxmlformats.org/officeDocument/2006/relationships/customXml" Target="../customXml/item208.xml"/><Relationship Id="rId287" Type="http://schemas.openxmlformats.org/officeDocument/2006/relationships/customXml" Target="../customXml/item229.xml"/><Relationship Id="rId30" Type="http://schemas.openxmlformats.org/officeDocument/2006/relationships/pivotCacheDefinition" Target="pivotCache/pivotCacheDefinition11.xml"/><Relationship Id="rId105" Type="http://schemas.openxmlformats.org/officeDocument/2006/relationships/customXml" Target="../customXml/item47.xml"/><Relationship Id="rId126" Type="http://schemas.openxmlformats.org/officeDocument/2006/relationships/customXml" Target="../customXml/item68.xml"/><Relationship Id="rId147" Type="http://schemas.openxmlformats.org/officeDocument/2006/relationships/customXml" Target="../customXml/item89.xml"/><Relationship Id="rId168" Type="http://schemas.openxmlformats.org/officeDocument/2006/relationships/customXml" Target="../customXml/item110.xml"/><Relationship Id="rId312" Type="http://schemas.openxmlformats.org/officeDocument/2006/relationships/customXml" Target="../customXml/item254.xml"/><Relationship Id="rId333" Type="http://schemas.openxmlformats.org/officeDocument/2006/relationships/customXml" Target="../customXml/item275.xml"/><Relationship Id="rId354" Type="http://schemas.openxmlformats.org/officeDocument/2006/relationships/customXml" Target="../customXml/item296.xml"/><Relationship Id="rId51" Type="http://schemas.openxmlformats.org/officeDocument/2006/relationships/pivotTable" Target="pivotTables/pivotTable14.xml"/><Relationship Id="rId72" Type="http://schemas.openxmlformats.org/officeDocument/2006/relationships/customXml" Target="../customXml/item14.xml"/><Relationship Id="rId93" Type="http://schemas.openxmlformats.org/officeDocument/2006/relationships/customXml" Target="../customXml/item35.xml"/><Relationship Id="rId189" Type="http://schemas.openxmlformats.org/officeDocument/2006/relationships/customXml" Target="../customXml/item131.xml"/><Relationship Id="rId375" Type="http://schemas.openxmlformats.org/officeDocument/2006/relationships/customXml" Target="../customXml/item317.xml"/><Relationship Id="rId396" Type="http://schemas.openxmlformats.org/officeDocument/2006/relationships/customXml" Target="../customXml/item338.xml"/><Relationship Id="rId3" Type="http://schemas.openxmlformats.org/officeDocument/2006/relationships/worksheet" Target="worksheets/sheet3.xml"/><Relationship Id="rId214" Type="http://schemas.openxmlformats.org/officeDocument/2006/relationships/customXml" Target="../customXml/item156.xml"/><Relationship Id="rId235" Type="http://schemas.openxmlformats.org/officeDocument/2006/relationships/customXml" Target="../customXml/item177.xml"/><Relationship Id="rId256" Type="http://schemas.openxmlformats.org/officeDocument/2006/relationships/customXml" Target="../customXml/item198.xml"/><Relationship Id="rId277" Type="http://schemas.openxmlformats.org/officeDocument/2006/relationships/customXml" Target="../customXml/item219.xml"/><Relationship Id="rId298" Type="http://schemas.openxmlformats.org/officeDocument/2006/relationships/customXml" Target="../customXml/item240.xml"/><Relationship Id="rId400" Type="http://schemas.openxmlformats.org/officeDocument/2006/relationships/customXml" Target="../customXml/item342.xml"/><Relationship Id="rId116" Type="http://schemas.openxmlformats.org/officeDocument/2006/relationships/customXml" Target="../customXml/item58.xml"/><Relationship Id="rId137" Type="http://schemas.openxmlformats.org/officeDocument/2006/relationships/customXml" Target="../customXml/item79.xml"/><Relationship Id="rId158" Type="http://schemas.openxmlformats.org/officeDocument/2006/relationships/customXml" Target="../customXml/item100.xml"/><Relationship Id="rId302" Type="http://schemas.openxmlformats.org/officeDocument/2006/relationships/customXml" Target="../customXml/item244.xml"/><Relationship Id="rId323" Type="http://schemas.openxmlformats.org/officeDocument/2006/relationships/customXml" Target="../customXml/item265.xml"/><Relationship Id="rId344" Type="http://schemas.openxmlformats.org/officeDocument/2006/relationships/customXml" Target="../customXml/item286.xml"/><Relationship Id="rId20" Type="http://schemas.microsoft.com/office/2007/relationships/slicerCache" Target="slicerCaches/slicerCache11.xml"/><Relationship Id="rId41" Type="http://schemas.openxmlformats.org/officeDocument/2006/relationships/pivotTable" Target="pivotTables/pivotTable4.xml"/><Relationship Id="rId62" Type="http://schemas.openxmlformats.org/officeDocument/2006/relationships/customXml" Target="../customXml/item4.xml"/><Relationship Id="rId83" Type="http://schemas.openxmlformats.org/officeDocument/2006/relationships/customXml" Target="../customXml/item25.xml"/><Relationship Id="rId179" Type="http://schemas.openxmlformats.org/officeDocument/2006/relationships/customXml" Target="../customXml/item121.xml"/><Relationship Id="rId365" Type="http://schemas.openxmlformats.org/officeDocument/2006/relationships/customXml" Target="../customXml/item307.xml"/><Relationship Id="rId386" Type="http://schemas.openxmlformats.org/officeDocument/2006/relationships/customXml" Target="../customXml/item328.xml"/><Relationship Id="rId190" Type="http://schemas.openxmlformats.org/officeDocument/2006/relationships/customXml" Target="../customXml/item132.xml"/><Relationship Id="rId204" Type="http://schemas.openxmlformats.org/officeDocument/2006/relationships/customXml" Target="../customXml/item146.xml"/><Relationship Id="rId225" Type="http://schemas.openxmlformats.org/officeDocument/2006/relationships/customXml" Target="../customXml/item167.xml"/><Relationship Id="rId246" Type="http://schemas.openxmlformats.org/officeDocument/2006/relationships/customXml" Target="../customXml/item188.xml"/><Relationship Id="rId267" Type="http://schemas.openxmlformats.org/officeDocument/2006/relationships/customXml" Target="../customXml/item209.xml"/><Relationship Id="rId288" Type="http://schemas.openxmlformats.org/officeDocument/2006/relationships/customXml" Target="../customXml/item230.xml"/><Relationship Id="rId106" Type="http://schemas.openxmlformats.org/officeDocument/2006/relationships/customXml" Target="../customXml/item48.xml"/><Relationship Id="rId127" Type="http://schemas.openxmlformats.org/officeDocument/2006/relationships/customXml" Target="../customXml/item69.xml"/><Relationship Id="rId313" Type="http://schemas.openxmlformats.org/officeDocument/2006/relationships/customXml" Target="../customXml/item255.xml"/><Relationship Id="rId10" Type="http://schemas.microsoft.com/office/2007/relationships/slicerCache" Target="slicerCaches/slicerCache1.xml"/><Relationship Id="rId31" Type="http://schemas.openxmlformats.org/officeDocument/2006/relationships/pivotCacheDefinition" Target="pivotCache/pivotCacheDefinition12.xml"/><Relationship Id="rId52" Type="http://schemas.openxmlformats.org/officeDocument/2006/relationships/theme" Target="theme/theme1.xml"/><Relationship Id="rId73" Type="http://schemas.openxmlformats.org/officeDocument/2006/relationships/customXml" Target="../customXml/item15.xml"/><Relationship Id="rId94" Type="http://schemas.openxmlformats.org/officeDocument/2006/relationships/customXml" Target="../customXml/item36.xml"/><Relationship Id="rId148" Type="http://schemas.openxmlformats.org/officeDocument/2006/relationships/customXml" Target="../customXml/item90.xml"/><Relationship Id="rId169" Type="http://schemas.openxmlformats.org/officeDocument/2006/relationships/customXml" Target="../customXml/item111.xml"/><Relationship Id="rId334" Type="http://schemas.openxmlformats.org/officeDocument/2006/relationships/customXml" Target="../customXml/item276.xml"/><Relationship Id="rId355" Type="http://schemas.openxmlformats.org/officeDocument/2006/relationships/customXml" Target="../customXml/item297.xml"/><Relationship Id="rId376" Type="http://schemas.openxmlformats.org/officeDocument/2006/relationships/customXml" Target="../customXml/item318.xml"/><Relationship Id="rId397" Type="http://schemas.openxmlformats.org/officeDocument/2006/relationships/customXml" Target="../customXml/item339.xml"/><Relationship Id="rId4" Type="http://schemas.openxmlformats.org/officeDocument/2006/relationships/worksheet" Target="worksheets/sheet4.xml"/><Relationship Id="rId180" Type="http://schemas.openxmlformats.org/officeDocument/2006/relationships/customXml" Target="../customXml/item122.xml"/><Relationship Id="rId215" Type="http://schemas.openxmlformats.org/officeDocument/2006/relationships/customXml" Target="../customXml/item157.xml"/><Relationship Id="rId236" Type="http://schemas.openxmlformats.org/officeDocument/2006/relationships/customXml" Target="../customXml/item178.xml"/><Relationship Id="rId257" Type="http://schemas.openxmlformats.org/officeDocument/2006/relationships/customXml" Target="../customXml/item199.xml"/><Relationship Id="rId278" Type="http://schemas.openxmlformats.org/officeDocument/2006/relationships/customXml" Target="../customXml/item220.xml"/><Relationship Id="rId401" Type="http://schemas.openxmlformats.org/officeDocument/2006/relationships/customXml" Target="../customXml/item343.xml"/><Relationship Id="rId303" Type="http://schemas.openxmlformats.org/officeDocument/2006/relationships/customXml" Target="../customXml/item245.xml"/><Relationship Id="rId42" Type="http://schemas.openxmlformats.org/officeDocument/2006/relationships/pivotTable" Target="pivotTables/pivotTable5.xml"/><Relationship Id="rId84" Type="http://schemas.openxmlformats.org/officeDocument/2006/relationships/customXml" Target="../customXml/item26.xml"/><Relationship Id="rId138" Type="http://schemas.openxmlformats.org/officeDocument/2006/relationships/customXml" Target="../customXml/item80.xml"/><Relationship Id="rId345" Type="http://schemas.openxmlformats.org/officeDocument/2006/relationships/customXml" Target="../customXml/item287.xml"/><Relationship Id="rId387" Type="http://schemas.openxmlformats.org/officeDocument/2006/relationships/customXml" Target="../customXml/item329.xml"/><Relationship Id="rId191" Type="http://schemas.openxmlformats.org/officeDocument/2006/relationships/customXml" Target="../customXml/item133.xml"/><Relationship Id="rId205" Type="http://schemas.openxmlformats.org/officeDocument/2006/relationships/customXml" Target="../customXml/item147.xml"/><Relationship Id="rId247" Type="http://schemas.openxmlformats.org/officeDocument/2006/relationships/customXml" Target="../customXml/item189.xml"/><Relationship Id="rId107" Type="http://schemas.openxmlformats.org/officeDocument/2006/relationships/customXml" Target="../customXml/item49.xml"/><Relationship Id="rId289" Type="http://schemas.openxmlformats.org/officeDocument/2006/relationships/customXml" Target="../customXml/item231.xml"/><Relationship Id="rId11" Type="http://schemas.microsoft.com/office/2007/relationships/slicerCache" Target="slicerCaches/slicerCache2.xml"/><Relationship Id="rId53" Type="http://schemas.openxmlformats.org/officeDocument/2006/relationships/connections" Target="connections.xml"/><Relationship Id="rId149" Type="http://schemas.openxmlformats.org/officeDocument/2006/relationships/customXml" Target="../customXml/item91.xml"/><Relationship Id="rId314" Type="http://schemas.openxmlformats.org/officeDocument/2006/relationships/customXml" Target="../customXml/item256.xml"/><Relationship Id="rId356" Type="http://schemas.openxmlformats.org/officeDocument/2006/relationships/customXml" Target="../customXml/item298.xml"/><Relationship Id="rId398" Type="http://schemas.openxmlformats.org/officeDocument/2006/relationships/customXml" Target="../customXml/item340.xml"/><Relationship Id="rId95" Type="http://schemas.openxmlformats.org/officeDocument/2006/relationships/customXml" Target="../customXml/item37.xml"/><Relationship Id="rId160" Type="http://schemas.openxmlformats.org/officeDocument/2006/relationships/customXml" Target="../customXml/item102.xml"/><Relationship Id="rId216" Type="http://schemas.openxmlformats.org/officeDocument/2006/relationships/customXml" Target="../customXml/item158.xml"/><Relationship Id="rId258" Type="http://schemas.openxmlformats.org/officeDocument/2006/relationships/customXml" Target="../customXml/item200.xml"/><Relationship Id="rId22" Type="http://schemas.microsoft.com/office/2007/relationships/slicerCache" Target="slicerCaches/slicerCache13.xml"/><Relationship Id="rId64" Type="http://schemas.openxmlformats.org/officeDocument/2006/relationships/customXml" Target="../customXml/item6.xml"/><Relationship Id="rId118" Type="http://schemas.openxmlformats.org/officeDocument/2006/relationships/customXml" Target="../customXml/item60.xml"/><Relationship Id="rId325" Type="http://schemas.openxmlformats.org/officeDocument/2006/relationships/customXml" Target="../customXml/item267.xml"/><Relationship Id="rId367" Type="http://schemas.openxmlformats.org/officeDocument/2006/relationships/customXml" Target="../customXml/item309.xml"/><Relationship Id="rId171" Type="http://schemas.openxmlformats.org/officeDocument/2006/relationships/customXml" Target="../customXml/item113.xml"/><Relationship Id="rId227" Type="http://schemas.openxmlformats.org/officeDocument/2006/relationships/customXml" Target="../customXml/item169.xml"/><Relationship Id="rId269" Type="http://schemas.openxmlformats.org/officeDocument/2006/relationships/customXml" Target="../customXml/item211.xml"/><Relationship Id="rId33" Type="http://schemas.openxmlformats.org/officeDocument/2006/relationships/pivotCacheDefinition" Target="pivotCache/pivotCacheDefinition14.xml"/><Relationship Id="rId129" Type="http://schemas.openxmlformats.org/officeDocument/2006/relationships/customXml" Target="../customXml/item71.xml"/><Relationship Id="rId280" Type="http://schemas.openxmlformats.org/officeDocument/2006/relationships/customXml" Target="../customXml/item222.xml"/><Relationship Id="rId336" Type="http://schemas.openxmlformats.org/officeDocument/2006/relationships/customXml" Target="../customXml/item278.xml"/><Relationship Id="rId75" Type="http://schemas.openxmlformats.org/officeDocument/2006/relationships/customXml" Target="../customXml/item17.xml"/><Relationship Id="rId140" Type="http://schemas.openxmlformats.org/officeDocument/2006/relationships/customXml" Target="../customXml/item82.xml"/><Relationship Id="rId182" Type="http://schemas.openxmlformats.org/officeDocument/2006/relationships/customXml" Target="../customXml/item124.xml"/><Relationship Id="rId378" Type="http://schemas.openxmlformats.org/officeDocument/2006/relationships/customXml" Target="../customXml/item320.xml"/><Relationship Id="rId403" Type="http://schemas.openxmlformats.org/officeDocument/2006/relationships/volatileDependencies" Target="volatileDependencies.xml"/><Relationship Id="rId6" Type="http://schemas.openxmlformats.org/officeDocument/2006/relationships/pivotCacheDefinition" Target="pivotCache/pivotCacheDefinition1.xml"/><Relationship Id="rId238" Type="http://schemas.openxmlformats.org/officeDocument/2006/relationships/customXml" Target="../customXml/item180.xml"/><Relationship Id="rId291" Type="http://schemas.openxmlformats.org/officeDocument/2006/relationships/customXml" Target="../customXml/item233.xml"/><Relationship Id="rId305" Type="http://schemas.openxmlformats.org/officeDocument/2006/relationships/customXml" Target="../customXml/item247.xml"/><Relationship Id="rId347" Type="http://schemas.openxmlformats.org/officeDocument/2006/relationships/customXml" Target="../customXml/item289.xml"/><Relationship Id="rId44" Type="http://schemas.openxmlformats.org/officeDocument/2006/relationships/pivotTable" Target="pivotTables/pivotTable7.xml"/><Relationship Id="rId86" Type="http://schemas.openxmlformats.org/officeDocument/2006/relationships/customXml" Target="../customXml/item28.xml"/><Relationship Id="rId151" Type="http://schemas.openxmlformats.org/officeDocument/2006/relationships/customXml" Target="../customXml/item93.xml"/><Relationship Id="rId389" Type="http://schemas.openxmlformats.org/officeDocument/2006/relationships/customXml" Target="../customXml/item331.xml"/><Relationship Id="rId193" Type="http://schemas.openxmlformats.org/officeDocument/2006/relationships/customXml" Target="../customXml/item135.xml"/><Relationship Id="rId207" Type="http://schemas.openxmlformats.org/officeDocument/2006/relationships/customXml" Target="../customXml/item149.xml"/><Relationship Id="rId249" Type="http://schemas.openxmlformats.org/officeDocument/2006/relationships/customXml" Target="../customXml/item191.xml"/><Relationship Id="rId13" Type="http://schemas.microsoft.com/office/2007/relationships/slicerCache" Target="slicerCaches/slicerCache4.xml"/><Relationship Id="rId109" Type="http://schemas.openxmlformats.org/officeDocument/2006/relationships/customXml" Target="../customXml/item51.xml"/><Relationship Id="rId260" Type="http://schemas.openxmlformats.org/officeDocument/2006/relationships/customXml" Target="../customXml/item202.xml"/><Relationship Id="rId316" Type="http://schemas.openxmlformats.org/officeDocument/2006/relationships/customXml" Target="../customXml/item258.xml"/><Relationship Id="rId55" Type="http://schemas.openxmlformats.org/officeDocument/2006/relationships/sharedStrings" Target="sharedStrings.xml"/><Relationship Id="rId97" Type="http://schemas.openxmlformats.org/officeDocument/2006/relationships/customXml" Target="../customXml/item39.xml"/><Relationship Id="rId120" Type="http://schemas.openxmlformats.org/officeDocument/2006/relationships/customXml" Target="../customXml/item62.xml"/><Relationship Id="rId358" Type="http://schemas.openxmlformats.org/officeDocument/2006/relationships/customXml" Target="../customXml/item300.xml"/><Relationship Id="rId162" Type="http://schemas.openxmlformats.org/officeDocument/2006/relationships/customXml" Target="../customXml/item104.xml"/><Relationship Id="rId218" Type="http://schemas.openxmlformats.org/officeDocument/2006/relationships/customXml" Target="../customXml/item160.xml"/><Relationship Id="rId271" Type="http://schemas.openxmlformats.org/officeDocument/2006/relationships/customXml" Target="../customXml/item213.xml"/><Relationship Id="rId24" Type="http://schemas.openxmlformats.org/officeDocument/2006/relationships/pivotCacheDefinition" Target="pivotCache/pivotCacheDefinition5.xml"/><Relationship Id="rId66" Type="http://schemas.openxmlformats.org/officeDocument/2006/relationships/customXml" Target="../customXml/item8.xml"/><Relationship Id="rId131" Type="http://schemas.openxmlformats.org/officeDocument/2006/relationships/customXml" Target="../customXml/item73.xml"/><Relationship Id="rId327" Type="http://schemas.openxmlformats.org/officeDocument/2006/relationships/customXml" Target="../customXml/item269.xml"/><Relationship Id="rId369" Type="http://schemas.openxmlformats.org/officeDocument/2006/relationships/customXml" Target="../customXml/item311.xml"/><Relationship Id="rId173" Type="http://schemas.openxmlformats.org/officeDocument/2006/relationships/customXml" Target="../customXml/item115.xml"/><Relationship Id="rId229" Type="http://schemas.openxmlformats.org/officeDocument/2006/relationships/customXml" Target="../customXml/item171.xml"/><Relationship Id="rId380" Type="http://schemas.openxmlformats.org/officeDocument/2006/relationships/customXml" Target="../customXml/item322.xml"/><Relationship Id="rId240" Type="http://schemas.openxmlformats.org/officeDocument/2006/relationships/customXml" Target="../customXml/item182.xml"/><Relationship Id="rId35" Type="http://schemas.openxmlformats.org/officeDocument/2006/relationships/pivotCacheDefinition" Target="pivotCache/pivotCacheDefinition16.xml"/><Relationship Id="rId77" Type="http://schemas.openxmlformats.org/officeDocument/2006/relationships/customXml" Target="../customXml/item19.xml"/><Relationship Id="rId100" Type="http://schemas.openxmlformats.org/officeDocument/2006/relationships/customXml" Target="../customXml/item42.xml"/><Relationship Id="rId282" Type="http://schemas.openxmlformats.org/officeDocument/2006/relationships/customXml" Target="../customXml/item224.xml"/><Relationship Id="rId338" Type="http://schemas.openxmlformats.org/officeDocument/2006/relationships/customXml" Target="../customXml/item280.xml"/><Relationship Id="rId8" Type="http://schemas.openxmlformats.org/officeDocument/2006/relationships/pivotCacheDefinition" Target="pivotCache/pivotCacheDefinition3.xml"/><Relationship Id="rId142" Type="http://schemas.openxmlformats.org/officeDocument/2006/relationships/customXml" Target="../customXml/item84.xml"/><Relationship Id="rId184" Type="http://schemas.openxmlformats.org/officeDocument/2006/relationships/customXml" Target="../customXml/item126.xml"/><Relationship Id="rId391" Type="http://schemas.openxmlformats.org/officeDocument/2006/relationships/customXml" Target="../customXml/item333.xml"/><Relationship Id="rId251" Type="http://schemas.openxmlformats.org/officeDocument/2006/relationships/customXml" Target="../customXml/item193.xml"/><Relationship Id="rId46" Type="http://schemas.openxmlformats.org/officeDocument/2006/relationships/pivotTable" Target="pivotTables/pivotTable9.xml"/><Relationship Id="rId293" Type="http://schemas.openxmlformats.org/officeDocument/2006/relationships/customXml" Target="../customXml/item235.xml"/><Relationship Id="rId307" Type="http://schemas.openxmlformats.org/officeDocument/2006/relationships/customXml" Target="../customXml/item249.xml"/><Relationship Id="rId349" Type="http://schemas.openxmlformats.org/officeDocument/2006/relationships/customXml" Target="../customXml/item291.xml"/><Relationship Id="rId88" Type="http://schemas.openxmlformats.org/officeDocument/2006/relationships/customXml" Target="../customXml/item30.xml"/><Relationship Id="rId111" Type="http://schemas.openxmlformats.org/officeDocument/2006/relationships/customXml" Target="../customXml/item53.xml"/><Relationship Id="rId153" Type="http://schemas.openxmlformats.org/officeDocument/2006/relationships/customXml" Target="../customXml/item95.xml"/><Relationship Id="rId195" Type="http://schemas.openxmlformats.org/officeDocument/2006/relationships/customXml" Target="../customXml/item137.xml"/><Relationship Id="rId209" Type="http://schemas.openxmlformats.org/officeDocument/2006/relationships/customXml" Target="../customXml/item151.xml"/><Relationship Id="rId360" Type="http://schemas.openxmlformats.org/officeDocument/2006/relationships/customXml" Target="../customXml/item302.xml"/><Relationship Id="rId220" Type="http://schemas.openxmlformats.org/officeDocument/2006/relationships/customXml" Target="../customXml/item162.xml"/><Relationship Id="rId15" Type="http://schemas.microsoft.com/office/2007/relationships/slicerCache" Target="slicerCaches/slicerCache6.xml"/><Relationship Id="rId57" Type="http://schemas.openxmlformats.org/officeDocument/2006/relationships/powerPivotData" Target="model/item.data"/><Relationship Id="rId262" Type="http://schemas.openxmlformats.org/officeDocument/2006/relationships/customXml" Target="../customXml/item204.xml"/><Relationship Id="rId318" Type="http://schemas.openxmlformats.org/officeDocument/2006/relationships/customXml" Target="../customXml/item260.xml"/><Relationship Id="rId99" Type="http://schemas.openxmlformats.org/officeDocument/2006/relationships/customXml" Target="../customXml/item41.xml"/><Relationship Id="rId122" Type="http://schemas.openxmlformats.org/officeDocument/2006/relationships/customXml" Target="../customXml/item64.xml"/><Relationship Id="rId164" Type="http://schemas.openxmlformats.org/officeDocument/2006/relationships/customXml" Target="../customXml/item106.xml"/><Relationship Id="rId371" Type="http://schemas.openxmlformats.org/officeDocument/2006/relationships/customXml" Target="../customXml/item313.xml"/><Relationship Id="rId26" Type="http://schemas.openxmlformats.org/officeDocument/2006/relationships/pivotCacheDefinition" Target="pivotCache/pivotCacheDefinition7.xml"/><Relationship Id="rId231" Type="http://schemas.openxmlformats.org/officeDocument/2006/relationships/customXml" Target="../customXml/item173.xml"/><Relationship Id="rId273" Type="http://schemas.openxmlformats.org/officeDocument/2006/relationships/customXml" Target="../customXml/item215.xml"/><Relationship Id="rId329" Type="http://schemas.openxmlformats.org/officeDocument/2006/relationships/customXml" Target="../customXml/item271.xml"/><Relationship Id="rId68" Type="http://schemas.openxmlformats.org/officeDocument/2006/relationships/customXml" Target="../customXml/item10.xml"/><Relationship Id="rId133" Type="http://schemas.openxmlformats.org/officeDocument/2006/relationships/customXml" Target="../customXml/item75.xml"/><Relationship Id="rId175" Type="http://schemas.openxmlformats.org/officeDocument/2006/relationships/customXml" Target="../customXml/item117.xml"/><Relationship Id="rId340" Type="http://schemas.openxmlformats.org/officeDocument/2006/relationships/customXml" Target="../customXml/item282.xml"/><Relationship Id="rId200" Type="http://schemas.openxmlformats.org/officeDocument/2006/relationships/customXml" Target="../customXml/item142.xml"/><Relationship Id="rId382" Type="http://schemas.openxmlformats.org/officeDocument/2006/relationships/customXml" Target="../customXml/item324.xml"/><Relationship Id="rId242" Type="http://schemas.openxmlformats.org/officeDocument/2006/relationships/customXml" Target="../customXml/item184.xml"/><Relationship Id="rId284" Type="http://schemas.openxmlformats.org/officeDocument/2006/relationships/customXml" Target="../customXml/item226.xml"/><Relationship Id="rId37" Type="http://schemas.openxmlformats.org/officeDocument/2006/relationships/pivotCacheDefinition" Target="pivotCache/pivotCacheDefinition18.xml"/><Relationship Id="rId79" Type="http://schemas.openxmlformats.org/officeDocument/2006/relationships/customXml" Target="../customXml/item21.xml"/><Relationship Id="rId102" Type="http://schemas.openxmlformats.org/officeDocument/2006/relationships/customXml" Target="../customXml/item44.xml"/><Relationship Id="rId144" Type="http://schemas.openxmlformats.org/officeDocument/2006/relationships/customXml" Target="../customXml/item8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🛖 Bordennisklub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1"/>
              <c:pt idx="0">
                <c:v>Hørning BTK</c:v>
              </c:pt>
              <c:pt idx="1">
                <c:v>Sisu/MBK</c:v>
              </c:pt>
              <c:pt idx="2">
                <c:v>Aarhus Bordtennis</c:v>
              </c:pt>
              <c:pt idx="3">
                <c:v>BTK Viby</c:v>
              </c:pt>
              <c:pt idx="4">
                <c:v>Team Nørreå</c:v>
              </c:pt>
              <c:pt idx="5">
                <c:v>SKF</c:v>
              </c:pt>
              <c:pt idx="6">
                <c:v>Rønde BTK</c:v>
              </c:pt>
              <c:pt idx="7">
                <c:v>Silkeborg BTK</c:v>
              </c:pt>
              <c:pt idx="8">
                <c:v>(Udlandet)</c:v>
              </c:pt>
              <c:pt idx="9">
                <c:v>BTK Tateni</c:v>
              </c:pt>
              <c:pt idx="10">
                <c:v>Sjørring BTK</c:v>
              </c:pt>
            </c:strLit>
          </c:cat>
          <c:val>
            <c:numLit>
              <c:formatCode>#,##0</c:formatCode>
              <c:ptCount val="11"/>
              <c:pt idx="0">
                <c:v>10</c:v>
              </c:pt>
              <c:pt idx="1">
                <c:v>3</c:v>
              </c:pt>
              <c:pt idx="2">
                <c:v>2</c:v>
              </c:pt>
              <c:pt idx="3">
                <c:v>2</c:v>
              </c:pt>
              <c:pt idx="4">
                <c:v>2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A64D-4B72-A7F3-72D76B0B3C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Pong.xlsx]PivotChartTable10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🎫 Billetsalg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92F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🎫 Billetsalg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#,##0</c:formatCode>
              <c:ptCount val="2"/>
              <c:pt idx="0">
                <c:v>24</c:v>
              </c:pt>
              <c:pt idx="1">
                <c:v>15</c:v>
              </c:pt>
            </c:numLit>
          </c:val>
          <c:extLst>
            <c:ext xmlns:c16="http://schemas.microsoft.com/office/drawing/2014/chart" uri="{C3380CC4-5D6E-409C-BE32-E72D297353CC}">
              <c16:uniqueId val="{00000004-D07A-43D1-A601-06EFFA0BA2C2}"/>
            </c:ext>
          </c:extLst>
        </c:ser>
        <c:ser>
          <c:idx val="1"/>
          <c:order val="1"/>
          <c:tx>
            <c:v>🎫 Tilgængelige billetter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0</c:formatCode>
              <c:ptCount val="2"/>
              <c:pt idx="0">
                <c:v>72</c:v>
              </c:pt>
              <c:pt idx="1">
                <c:v>135</c:v>
              </c:pt>
            </c:numLit>
          </c:val>
          <c:extLst>
            <c:ext xmlns:c16="http://schemas.microsoft.com/office/drawing/2014/chart" uri="{C3380CC4-5D6E-409C-BE32-E72D297353CC}">
              <c16:uniqueId val="{00000005-D07A-43D1-A601-06EFFA0BA2C2}"/>
            </c:ext>
          </c:extLst>
        </c:ser>
        <c:ser>
          <c:idx val="2"/>
          <c:order val="2"/>
          <c:tx>
            <c:v>🎫 Billetsalg afbud</c:v>
          </c:tx>
          <c:spPr>
            <a:solidFill>
              <a:srgbClr val="F92F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General</c:formatCode>
              <c:ptCount val="2"/>
            </c:numLit>
          </c:val>
          <c:extLst>
            <c:ext xmlns:c16="http://schemas.microsoft.com/office/drawing/2014/chart" uri="{C3380CC4-5D6E-409C-BE32-E72D297353CC}">
              <c16:uniqueId val="{00000006-D07A-43D1-A601-06EFFA0BA2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Pong.xlsx]PivotChartTable11</c15:name>
        <c15:fmtId val="28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Landsdel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Jylland</c:v>
              </c:pt>
              <c:pt idx="1">
                <c:v>(Ukendt landsdel)</c:v>
              </c:pt>
            </c:strLit>
          </c:cat>
          <c:val>
            <c:numLit>
              <c:formatCode>#,##0</c:formatCode>
              <c:ptCount val="2"/>
              <c:pt idx="0">
                <c:v>24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2-3B72-4A75-859B-3136CE6E4A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70718352"/>
        <c:axId val="470707536"/>
      </c:barChart>
      <c:valAx>
        <c:axId val="47070753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470718352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47071835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07075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Pong.xlsx]PivotChartTable12</c15:name>
        <c15:fmtId val="31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U</a:t>
            </a:r>
            <a:r>
              <a:rPr lang="da-DK" sz="1000" b="1" baseline="0">
                <a:solidFill>
                  <a:schemeClr val="tx1"/>
                </a:solidFill>
              </a:rPr>
              <a:t>gentlig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tint val="77000"/>
              </a:schemeClr>
            </a:solidFill>
            <a:ln w="9525">
              <a:solidFill>
                <a:schemeClr val="accent4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36507936507937E-2"/>
          <c:y val="0.22033935185185186"/>
          <c:w val="0.87755000000000005"/>
          <c:h val="0.46349212962962966"/>
        </c:manualLayout>
      </c:layout>
      <c:areaChart>
        <c:grouping val="standard"/>
        <c:varyColors val="0"/>
        <c:ser>
          <c:idx val="0"/>
          <c:order val="0"/>
          <c:tx>
            <c:v>👥 Tilmeldingsantal</c:v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cat>
            <c:strLit>
              <c:ptCount val="8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</c:strLit>
          </c:cat>
          <c:val>
            <c:numLit>
              <c:formatCode>#,##0</c:formatCode>
              <c:ptCount val="8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0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164688"/>
        <c:axId val="1588172176"/>
      </c:areaChart>
      <c:lineChart>
        <c:grouping val="standard"/>
        <c:varyColors val="0"/>
        <c:ser>
          <c:idx val="1"/>
          <c:order val="1"/>
          <c:tx>
            <c:v>👥 Tilmeldingsantal2</c:v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77000"/>
                </a:schemeClr>
              </a:solidFill>
              <a:ln w="9525">
                <a:solidFill>
                  <a:schemeClr val="accent4">
                    <a:tint val="77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8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</c:strLit>
          </c:cat>
          <c:val>
            <c:numLit>
              <c:formatCode>#,##0</c:formatCode>
              <c:ptCount val="8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164688"/>
        <c:axId val="1588172176"/>
      </c:lineChart>
      <c:catAx>
        <c:axId val="15881646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30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Pong.xlsx]PivotChartTable15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Region Midtjylland</c:v>
              </c:pt>
              <c:pt idx="1">
                <c:v>Region Nordjylland</c:v>
              </c:pt>
              <c:pt idx="2">
                <c:v>(Ukendt region)</c:v>
              </c:pt>
            </c:strLit>
          </c:cat>
          <c:val>
            <c:numLit>
              <c:formatCode>#,##0</c:formatCode>
              <c:ptCount val="3"/>
              <c:pt idx="0">
                <c:v>22</c:v>
              </c:pt>
              <c:pt idx="1">
                <c:v>2</c:v>
              </c:pt>
              <c:pt idx="2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6BB4-4EBC-A9B4-97A249765E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627959136"/>
        <c:axId val="627954976"/>
      </c:barChart>
      <c:valAx>
        <c:axId val="627954976"/>
        <c:scaling>
          <c:orientation val="minMax"/>
        </c:scaling>
        <c:delete val="1"/>
        <c:axPos val="t"/>
        <c:numFmt formatCode="#,##0" sourceLinked="0"/>
        <c:majorTickMark val="out"/>
        <c:minorTickMark val="none"/>
        <c:tickLblPos val="nextTo"/>
        <c:crossAx val="627959136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62795913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279549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Pong.xlsx]PivotChartTable4</c15:name>
        <c15:fmtId val="38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</a:t>
            </a:r>
            <a:r>
              <a:rPr lang="en-US" sz="1000" b="1">
                <a:solidFill>
                  <a:schemeClr val="tx1"/>
                </a:solidFill>
              </a:rPr>
              <a:t>Aldersgruppe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[&lt;=17] Ungdom</c:v>
              </c:pt>
              <c:pt idx="1">
                <c:v>[&lt;=39] Senior</c:v>
              </c:pt>
              <c:pt idx="2">
                <c:v>[&gt;=40] Veteran</c:v>
              </c:pt>
            </c:strLit>
          </c:cat>
          <c:val>
            <c:numLit>
              <c:formatCode>#,##0</c:formatCode>
              <c:ptCount val="3"/>
              <c:pt idx="0">
                <c:v>2</c:v>
              </c:pt>
              <c:pt idx="1">
                <c:v>13</c:v>
              </c:pt>
              <c:pt idx="2">
                <c:v>10</c:v>
              </c:pt>
            </c:numLit>
          </c:val>
          <c:extLst>
            <c:ext xmlns:c16="http://schemas.microsoft.com/office/drawing/2014/chart" uri="{C3380CC4-5D6E-409C-BE32-E72D297353CC}">
              <c16:uniqueId val="{00000002-8401-4CEF-A296-EC0A735157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Pong.xlsx]PivotChartTable6</c15:name>
        <c15:fmtId val="3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💪 </a:t>
            </a:r>
            <a:r>
              <a:rPr lang="en-US" sz="1000" b="1">
                <a:solidFill>
                  <a:schemeClr val="tx1"/>
                </a:solidFill>
              </a:rPr>
              <a:t>Ratinggruppe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5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</c:pivotFmt>
      <c:pivotFmt>
        <c:idx val="23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A2-4C67-9CDE-E8B7F461D38B}"/>
              </c:ext>
            </c:extLst>
          </c:dPt>
          <c:dPt>
            <c:idx val="1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A2-4C67-9CDE-E8B7F461D38B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[&gt;=2000] Elite</c:v>
              </c:pt>
              <c:pt idx="1">
                <c:v>[&lt;=1999] Ikke-elite</c:v>
              </c:pt>
            </c:strLit>
          </c:cat>
          <c:val>
            <c:numLit>
              <c:formatCode>#,##0</c:formatCode>
              <c:ptCount val="2"/>
              <c:pt idx="0">
                <c:v>1</c:v>
              </c:pt>
              <c:pt idx="1">
                <c:v>24</c:v>
              </c:pt>
            </c:numLit>
          </c:val>
          <c:extLst>
            <c:ext xmlns:c16="http://schemas.microsoft.com/office/drawing/2014/chart" uri="{C3380CC4-5D6E-409C-BE32-E72D297353CC}">
              <c16:uniqueId val="{00000006-0438-4DB9-85BC-A2C3D492663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Pong.xlsx]PivotChartTable7</c15:name>
        <c15:fmtId val="29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da-DK"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👥 </a:t>
            </a:r>
            <a:r>
              <a:rPr lang="da-DK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Spillertype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da-DK"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127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128"/>
        <c:spPr>
          <a:solidFill>
            <a:srgbClr val="E5336D"/>
          </a:solidFill>
          <a:ln>
            <a:noFill/>
          </a:ln>
          <a:effectLst/>
        </c:spPr>
      </c:pivotFmt>
      <c:pivotFmt>
        <c:idx val="129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E5336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FE2-44C5-977D-C6C28364290D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E2-44C5-977D-C6C28364290D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🏓 Bordtennisspiller</c:v>
              </c:pt>
              <c:pt idx="1">
                <c:v>👤 Ikke-bordtennisspiller</c:v>
              </c:pt>
            </c:strLit>
          </c:cat>
          <c:val>
            <c:numLit>
              <c:formatCode>#,##0</c:formatCode>
              <c:ptCount val="2"/>
              <c:pt idx="0">
                <c:v>23</c:v>
              </c:pt>
              <c:pt idx="1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4-5179-447B-A881-CAF0884FCA1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Pong.xlsx]PivotChartTable8</c15:name>
        <c15:fmtId val="35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🎫 Billetsalg pr. tilmelding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6C-4131-A88B-456FF425FDFF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6C-4131-A88B-456FF425FDF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Billetsalg 1 stk.</c:v>
              </c:pt>
              <c:pt idx="1">
                <c:v>Billetsalg 2 stk.</c:v>
              </c:pt>
            </c:strLit>
          </c:cat>
          <c:val>
            <c:numLit>
              <c:formatCode>#,##0</c:formatCode>
              <c:ptCount val="2"/>
              <c:pt idx="0">
                <c:v>11</c:v>
              </c:pt>
              <c:pt idx="1">
                <c:v>14</c:v>
              </c:pt>
            </c:numLit>
          </c:val>
          <c:extLst>
            <c:ext xmlns:c16="http://schemas.microsoft.com/office/drawing/2014/chart" uri="{C3380CC4-5D6E-409C-BE32-E72D297353CC}">
              <c16:uniqueId val="{00000008-CA81-42FE-AFB8-CFBB8B29F39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</a:rPr>
              <a:t>🎫 Tilmeldingstype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rgbClr val="00D26A"/>
          </a:solidFill>
          <a:ln>
            <a:noFill/>
          </a:ln>
          <a:effectLst/>
        </c:spPr>
      </c:pivotFmt>
      <c:pivotFmt>
        <c:idx val="4"/>
        <c:spPr>
          <a:solidFill>
            <a:srgbClr val="FF6723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rgbClr val="635994"/>
          </a:solidFill>
          <a:ln>
            <a:noFill/>
          </a:ln>
          <a:effectLst/>
        </c:spPr>
      </c:pivotFmt>
      <c:pivotFmt>
        <c:idx val="11"/>
        <c:spPr>
          <a:solidFill>
            <a:srgbClr val="FF6723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30-418D-A9FA-E62761477FBE}"/>
              </c:ext>
            </c:extLst>
          </c:dPt>
          <c:dPt>
            <c:idx val="1"/>
            <c:bubble3D val="0"/>
            <c:spPr>
              <a:solidFill>
                <a:schemeClr val="accent2">
                  <a:tint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30-418D-A9FA-E62761477FBE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1"/>
              <c:pt idx="0">
                <c:v>✔️ Ordinær</c:v>
              </c:pt>
            </c:strLit>
          </c:cat>
          <c:val>
            <c:numLit>
              <c:formatCode>#,##0</c:formatCode>
              <c:ptCount val="1"/>
              <c:pt idx="0">
                <c:v>25</c:v>
              </c:pt>
            </c:numLit>
          </c:val>
          <c:extLst>
            <c:ext xmlns:c16="http://schemas.microsoft.com/office/drawing/2014/chart" uri="{C3380CC4-5D6E-409C-BE32-E72D297353CC}">
              <c16:uniqueId val="{00000006-7982-4FE3-A80A-1BBE194152E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Køn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00A6ED"/>
          </a:solidFill>
          <a:ln>
            <a:noFill/>
          </a:ln>
          <a:effectLst/>
        </c:spPr>
      </c:pivotFmt>
      <c:pivotFmt>
        <c:idx val="2"/>
        <c:spPr>
          <a:solidFill>
            <a:srgbClr val="F70A8D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00A6E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E2-44B2-B31F-9F7FCF3F61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E2-44B2-B31F-9F7FCF3F6193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1"/>
              <c:pt idx="0">
                <c:v>♂️ Herre</c:v>
              </c:pt>
            </c:strLit>
          </c:cat>
          <c:val>
            <c:numLit>
              <c:formatCode>#,##0</c:formatCode>
              <c:ptCount val="1"/>
              <c:pt idx="0">
                <c:v>25</c:v>
              </c:pt>
            </c:numLit>
          </c:val>
          <c:extLst>
            <c:ext xmlns:c16="http://schemas.microsoft.com/office/drawing/2014/chart" uri="{C3380CC4-5D6E-409C-BE32-E72D297353CC}">
              <c16:uniqueId val="{00000006-517E-4443-AE68-EC7C825CB9B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Pong.xlsx]PivotChartTable5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effectLst/>
              </a:rPr>
              <a:t>⌚ </a:t>
            </a:r>
            <a:r>
              <a:rPr lang="en-US" sz="1000" b="1" i="0" u="none" strike="noStrike" baseline="0">
                <a:solidFill>
                  <a:schemeClr val="tx1"/>
                </a:solidFill>
                <a:effectLst/>
              </a:rPr>
              <a:t>K</a:t>
            </a:r>
            <a:r>
              <a:rPr lang="en-US" sz="1000" b="1">
                <a:solidFill>
                  <a:schemeClr val="tx1"/>
                </a:solidFill>
              </a:rPr>
              <a:t>lokkeslætsinterval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E0-476C-8BC2-E9AA790B428F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E0-476C-8BC2-E9AA790B428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[&gt;=18] Aften</c:v>
              </c:pt>
              <c:pt idx="1">
                <c:v>[&gt;=00] Øvrig</c:v>
              </c:pt>
            </c:strLit>
          </c:cat>
          <c:val>
            <c:numLit>
              <c:formatCode>#,##0</c:formatCode>
              <c:ptCount val="2"/>
              <c:pt idx="0">
                <c:v>14</c:v>
              </c:pt>
              <c:pt idx="1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4-094E-429D-9AFC-B7CEC512082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Pong.xlsx]PivotChartTable13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🔃 Gentilmeldinger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6F-4DA9-8D0C-114A14F598C0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6F-4DA9-8D0C-114A14F598C0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🆕 Debutant</c:v>
              </c:pt>
              <c:pt idx="1">
                <c:v>🔃 Gentilmelding</c:v>
              </c:pt>
            </c:strLit>
          </c:cat>
          <c:val>
            <c:numLit>
              <c:formatCode>#,##0</c:formatCode>
              <c:ptCount val="2"/>
              <c:pt idx="0">
                <c:v>17</c:v>
              </c:pt>
              <c:pt idx="1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5-5C5B-4B0A-82A2-60549D2C50E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Pong.xlsx]PivotChartTable3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Tilmeldingsantal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635994"/>
          </a:solidFill>
          <a:ln>
            <a:noFill/>
          </a:ln>
          <a:effectLst/>
        </c:spPr>
      </c:pivotFmt>
      <c:pivotFmt>
        <c:idx val="4"/>
        <c:spPr>
          <a:solidFill>
            <a:srgbClr val="F92F60"/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635994"/>
          </a:solidFill>
          <a:ln>
            <a:noFill/>
          </a:ln>
          <a:effectLst/>
        </c:spPr>
      </c:pivotFmt>
      <c:pivotFmt>
        <c:idx val="7"/>
        <c:spPr>
          <a:solidFill>
            <a:srgbClr val="F92F60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rgbClr val="635994"/>
          </a:solidFill>
          <a:ln>
            <a:noFill/>
          </a:ln>
          <a:effectLst/>
        </c:spPr>
      </c:pivotFmt>
      <c:pivotFmt>
        <c:idx val="10"/>
        <c:spPr>
          <a:solidFill>
            <a:srgbClr val="F92F60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37-4A9A-B49A-BF61B415148D}"/>
              </c:ext>
            </c:extLst>
          </c:dPt>
          <c:dPt>
            <c:idx val="1"/>
            <c:bubble3D val="0"/>
            <c:spPr>
              <a:solidFill>
                <a:schemeClr val="accent4">
                  <a:tint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37-4A9A-B49A-BF61B415148D}"/>
              </c:ext>
            </c:extLst>
          </c:dPt>
          <c:dLbls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1"/>
              <c:pt idx="0">
                <c:v>✔️ Tilmeldt</c:v>
              </c:pt>
            </c:strLit>
          </c:cat>
          <c:val>
            <c:numLit>
              <c:formatCode>General</c:formatCode>
              <c:ptCount val="1"/>
              <c:pt idx="0">
                <c:v>25</c:v>
              </c:pt>
            </c:numLit>
          </c:val>
          <c:extLst>
            <c:ext xmlns:c16="http://schemas.microsoft.com/office/drawing/2014/chart" uri="{C3380CC4-5D6E-409C-BE32-E72D297353CC}">
              <c16:uniqueId val="{00000006-23C0-4C2A-8182-4ED5CF4BCE1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[Deltagere og tilmeldinger til DM i Ping Pong.xlsx]PivotChartTable9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59053</xdr:rowOff>
    </xdr:from>
    <xdr:to>
      <xdr:col>1</xdr:col>
      <xdr:colOff>1680</xdr:colOff>
      <xdr:row>102</xdr:row>
      <xdr:rowOff>41773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K: Bordtennisklub">
              <a:extLst>
                <a:ext uri="{FF2B5EF4-FFF2-40B4-BE49-F238E27FC236}">
                  <a16:creationId xmlns:a16="http://schemas.microsoft.com/office/drawing/2014/main" id="{03A0C4D0-5BF4-44E7-8FA5-F754C2AEFA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ordtennisklu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684893"/>
              <a:ext cx="1800000" cy="102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35</xdr:row>
      <xdr:rowOff>53340</xdr:rowOff>
    </xdr:from>
    <xdr:to>
      <xdr:col>1</xdr:col>
      <xdr:colOff>1680</xdr:colOff>
      <xdr:row>46</xdr:row>
      <xdr:rowOff>19755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K: Region">
              <a:extLst>
                <a:ext uri="{FF2B5EF4-FFF2-40B4-BE49-F238E27FC236}">
                  <a16:creationId xmlns:a16="http://schemas.microsoft.com/office/drawing/2014/main" id="{545FFDFA-34AC-4A0C-A3B0-49A6262AB34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6667500"/>
              <a:ext cx="1800000" cy="1978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25</xdr:row>
      <xdr:rowOff>160020</xdr:rowOff>
    </xdr:from>
    <xdr:to>
      <xdr:col>1</xdr:col>
      <xdr:colOff>1680</xdr:colOff>
      <xdr:row>35</xdr:row>
      <xdr:rowOff>21315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K: Landsdel">
              <a:extLst>
                <a:ext uri="{FF2B5EF4-FFF2-40B4-BE49-F238E27FC236}">
                  <a16:creationId xmlns:a16="http://schemas.microsoft.com/office/drawing/2014/main" id="{8A79AA5C-4BB9-4E5A-ACF2-5A9C4D97F02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Landsd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945380"/>
              <a:ext cx="1800000" cy="1690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1680</xdr:colOff>
      <xdr:row>8</xdr:row>
      <xdr:rowOff>168480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K: Køn">
              <a:extLst>
                <a:ext uri="{FF2B5EF4-FFF2-40B4-BE49-F238E27FC236}">
                  <a16:creationId xmlns:a16="http://schemas.microsoft.com/office/drawing/2014/main" id="{7A1CB12C-28C3-45AC-BAB3-15271C5878B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ø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94488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22860</xdr:rowOff>
    </xdr:from>
    <xdr:to>
      <xdr:col>1</xdr:col>
      <xdr:colOff>1680</xdr:colOff>
      <xdr:row>14</xdr:row>
      <xdr:rowOff>8460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K: Spillertype">
              <a:extLst>
                <a:ext uri="{FF2B5EF4-FFF2-40B4-BE49-F238E27FC236}">
                  <a16:creationId xmlns:a16="http://schemas.microsoft.com/office/drawing/2014/main" id="{5FB66305-982C-47CF-B4F4-4A4401AC148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Spiller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188214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14</xdr:row>
      <xdr:rowOff>45720</xdr:rowOff>
    </xdr:from>
    <xdr:to>
      <xdr:col>1</xdr:col>
      <xdr:colOff>1680</xdr:colOff>
      <xdr:row>20</xdr:row>
      <xdr:rowOff>100440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K: Aldersgruppe">
              <a:extLst>
                <a:ext uri="{FF2B5EF4-FFF2-40B4-BE49-F238E27FC236}">
                  <a16:creationId xmlns:a16="http://schemas.microsoft.com/office/drawing/2014/main" id="{B887AE93-4303-44FE-B2B1-171966921C8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Alders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2819400"/>
              <a:ext cx="1800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137160</xdr:rowOff>
    </xdr:from>
    <xdr:to>
      <xdr:col>1</xdr:col>
      <xdr:colOff>1680</xdr:colOff>
      <xdr:row>25</xdr:row>
      <xdr:rowOff>122760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K: Ratinggruppe">
              <a:extLst>
                <a:ext uri="{FF2B5EF4-FFF2-40B4-BE49-F238E27FC236}">
                  <a16:creationId xmlns:a16="http://schemas.microsoft.com/office/drawing/2014/main" id="{25DBD689-FEE0-4590-ABE4-EB37B07901B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ating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00812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41</xdr:row>
      <xdr:rowOff>160020</xdr:rowOff>
    </xdr:from>
    <xdr:to>
      <xdr:col>3</xdr:col>
      <xdr:colOff>1440</xdr:colOff>
      <xdr:row>48</xdr:row>
      <xdr:rowOff>31860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K: Tilmeldingstype">
              <a:extLst>
                <a:ext uri="{FF2B5EF4-FFF2-40B4-BE49-F238E27FC236}">
                  <a16:creationId xmlns:a16="http://schemas.microsoft.com/office/drawing/2014/main" id="{6D008373-95B8-42DC-8F92-2E958980DF4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787146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33</xdr:row>
      <xdr:rowOff>152400</xdr:rowOff>
    </xdr:from>
    <xdr:to>
      <xdr:col>3</xdr:col>
      <xdr:colOff>1440</xdr:colOff>
      <xdr:row>41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K: Billetsalg pr. tilmelding">
              <a:extLst>
                <a:ext uri="{FF2B5EF4-FFF2-40B4-BE49-F238E27FC236}">
                  <a16:creationId xmlns:a16="http://schemas.microsoft.com/office/drawing/2014/main" id="{E688B0B4-1FDA-45E9-821C-7244152E94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salg pr. tilmeld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640080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54</xdr:row>
      <xdr:rowOff>160020</xdr:rowOff>
    </xdr:from>
    <xdr:to>
      <xdr:col>3</xdr:col>
      <xdr:colOff>1440</xdr:colOff>
      <xdr:row>59</xdr:row>
      <xdr:rowOff>145620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K: Klokkeslætsinterval">
              <a:extLst>
                <a:ext uri="{FF2B5EF4-FFF2-40B4-BE49-F238E27FC236}">
                  <a16:creationId xmlns:a16="http://schemas.microsoft.com/office/drawing/2014/main" id="{07A710F8-397B-41C5-92D6-382C732C0DB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lokkeslætsinterv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024890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19</xdr:row>
      <xdr:rowOff>60960</xdr:rowOff>
    </xdr:from>
    <xdr:to>
      <xdr:col>3</xdr:col>
      <xdr:colOff>1440</xdr:colOff>
      <xdr:row>25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K: Tilmeldingsstatus">
              <a:extLst>
                <a:ext uri="{FF2B5EF4-FFF2-40B4-BE49-F238E27FC236}">
                  <a16:creationId xmlns:a16="http://schemas.microsoft.com/office/drawing/2014/main" id="{42A7E435-2974-49C0-8A16-4552B83C314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374904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48</xdr:row>
      <xdr:rowOff>68580</xdr:rowOff>
    </xdr:from>
    <xdr:to>
      <xdr:col>3</xdr:col>
      <xdr:colOff>1440</xdr:colOff>
      <xdr:row>54</xdr:row>
      <xdr:rowOff>123300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K: Gentilmeldinger">
              <a:extLst>
                <a:ext uri="{FF2B5EF4-FFF2-40B4-BE49-F238E27FC236}">
                  <a16:creationId xmlns:a16="http://schemas.microsoft.com/office/drawing/2014/main" id="{47DEE082-0630-41A6-8472-56CFE35EC83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Gentilmelding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06018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1440</xdr:colOff>
      <xdr:row>19</xdr:row>
      <xdr:rowOff>28800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K: Event &amp; år">
              <a:extLst>
                <a:ext uri="{FF2B5EF4-FFF2-40B4-BE49-F238E27FC236}">
                  <a16:creationId xmlns:a16="http://schemas.microsoft.com/office/drawing/2014/main" id="{AB3C2DF5-2A68-4EC1-B287-CD84EF2142AF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Event &amp;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44880"/>
              <a:ext cx="2196000" cy="27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25</xdr:row>
      <xdr:rowOff>152400</xdr:rowOff>
    </xdr:from>
    <xdr:to>
      <xdr:col>3</xdr:col>
      <xdr:colOff>1440</xdr:colOff>
      <xdr:row>33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K: Billettype">
              <a:extLst>
                <a:ext uri="{FF2B5EF4-FFF2-40B4-BE49-F238E27FC236}">
                  <a16:creationId xmlns:a16="http://schemas.microsoft.com/office/drawing/2014/main" id="{3C3C9935-D375-4AE6-928A-34AEACBCFEC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493776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658900</xdr:colOff>
      <xdr:row>17</xdr:row>
      <xdr:rowOff>0</xdr:rowOff>
    </xdr:from>
    <xdr:to>
      <xdr:col>11</xdr:col>
      <xdr:colOff>983526</xdr:colOff>
      <xdr:row>28</xdr:row>
      <xdr:rowOff>148320</xdr:rowOff>
    </xdr:to>
    <xdr:graphicFrame macro="">
      <xdr:nvGraphicFramePr>
        <xdr:cNvPr id="21" name="PC - Bordennisklub">
          <a:extLst>
            <a:ext uri="{FF2B5EF4-FFF2-40B4-BE49-F238E27FC236}">
              <a16:creationId xmlns:a16="http://schemas.microsoft.com/office/drawing/2014/main" id="{8A376F8A-3968-4704-83B0-3B308B4FD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3362640</xdr:colOff>
      <xdr:row>3</xdr:row>
      <xdr:rowOff>0</xdr:rowOff>
    </xdr:from>
    <xdr:to>
      <xdr:col>4</xdr:col>
      <xdr:colOff>312198</xdr:colOff>
      <xdr:row>14</xdr:row>
      <xdr:rowOff>148320</xdr:rowOff>
    </xdr:to>
    <xdr:graphicFrame macro="">
      <xdr:nvGraphicFramePr>
        <xdr:cNvPr id="22" name="PC - Billetsalg">
          <a:extLst>
            <a:ext uri="{FF2B5EF4-FFF2-40B4-BE49-F238E27FC236}">
              <a16:creationId xmlns:a16="http://schemas.microsoft.com/office/drawing/2014/main" id="{56B83A5C-CB9C-4D0C-880F-84843F5F7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1106533</xdr:colOff>
      <xdr:row>17</xdr:row>
      <xdr:rowOff>0</xdr:rowOff>
    </xdr:from>
    <xdr:to>
      <xdr:col>7</xdr:col>
      <xdr:colOff>419770</xdr:colOff>
      <xdr:row>28</xdr:row>
      <xdr:rowOff>148320</xdr:rowOff>
    </xdr:to>
    <xdr:graphicFrame macro="">
      <xdr:nvGraphicFramePr>
        <xdr:cNvPr id="23" name="PC - Landsdel">
          <a:extLst>
            <a:ext uri="{FF2B5EF4-FFF2-40B4-BE49-F238E27FC236}">
              <a16:creationId xmlns:a16="http://schemas.microsoft.com/office/drawing/2014/main" id="{175F64ED-B2F0-4106-942E-6A7AEF177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660928</xdr:colOff>
      <xdr:row>3</xdr:row>
      <xdr:rowOff>0</xdr:rowOff>
    </xdr:from>
    <xdr:to>
      <xdr:col>11</xdr:col>
      <xdr:colOff>986301</xdr:colOff>
      <xdr:row>14</xdr:row>
      <xdr:rowOff>148320</xdr:rowOff>
    </xdr:to>
    <xdr:graphicFrame macro="">
      <xdr:nvGraphicFramePr>
        <xdr:cNvPr id="26" name="PC - Ugentlig">
          <a:extLst>
            <a:ext uri="{FF2B5EF4-FFF2-40B4-BE49-F238E27FC236}">
              <a16:creationId xmlns:a16="http://schemas.microsoft.com/office/drawing/2014/main" id="{19428AC7-9D8F-49CE-96C1-5DBD7FFD6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7</xdr:col>
      <xdr:colOff>517594</xdr:colOff>
      <xdr:row>17</xdr:row>
      <xdr:rowOff>0</xdr:rowOff>
    </xdr:from>
    <xdr:to>
      <xdr:col>9</xdr:col>
      <xdr:colOff>141994</xdr:colOff>
      <xdr:row>28</xdr:row>
      <xdr:rowOff>148320</xdr:rowOff>
    </xdr:to>
    <xdr:graphicFrame macro="">
      <xdr:nvGraphicFramePr>
        <xdr:cNvPr id="14" name="PC - Region">
          <a:extLst>
            <a:ext uri="{FF2B5EF4-FFF2-40B4-BE49-F238E27FC236}">
              <a16:creationId xmlns:a16="http://schemas.microsoft.com/office/drawing/2014/main" id="{2584F5A1-2326-4A35-A49C-D2B95EFD9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59031</xdr:colOff>
      <xdr:row>17</xdr:row>
      <xdr:rowOff>0</xdr:rowOff>
    </xdr:from>
    <xdr:to>
      <xdr:col>4</xdr:col>
      <xdr:colOff>367456</xdr:colOff>
      <xdr:row>28</xdr:row>
      <xdr:rowOff>148320</xdr:rowOff>
    </xdr:to>
    <xdr:graphicFrame macro="">
      <xdr:nvGraphicFramePr>
        <xdr:cNvPr id="16" name="PC - Aldersgruppe">
          <a:extLst>
            <a:ext uri="{FF2B5EF4-FFF2-40B4-BE49-F238E27FC236}">
              <a16:creationId xmlns:a16="http://schemas.microsoft.com/office/drawing/2014/main" id="{DB3C04CA-44FE-474B-A689-A0C76724D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</xdr:col>
      <xdr:colOff>459907</xdr:colOff>
      <xdr:row>17</xdr:row>
      <xdr:rowOff>0</xdr:rowOff>
    </xdr:from>
    <xdr:to>
      <xdr:col>5</xdr:col>
      <xdr:colOff>1373347</xdr:colOff>
      <xdr:row>28</xdr:row>
      <xdr:rowOff>148320</xdr:rowOff>
    </xdr:to>
    <xdr:graphicFrame macro="">
      <xdr:nvGraphicFramePr>
        <xdr:cNvPr id="17" name="PC - Ratinggruppe">
          <a:extLst>
            <a:ext uri="{FF2B5EF4-FFF2-40B4-BE49-F238E27FC236}">
              <a16:creationId xmlns:a16="http://schemas.microsoft.com/office/drawing/2014/main" id="{DF49C5F5-08C9-42D3-B944-531DE7E5C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12</xdr:col>
      <xdr:colOff>201577</xdr:colOff>
      <xdr:row>17</xdr:row>
      <xdr:rowOff>0</xdr:rowOff>
    </xdr:from>
    <xdr:to>
      <xdr:col>13</xdr:col>
      <xdr:colOff>5917</xdr:colOff>
      <xdr:row>28</xdr:row>
      <xdr:rowOff>148320</xdr:rowOff>
    </xdr:to>
    <xdr:graphicFrame macro="">
      <xdr:nvGraphicFramePr>
        <xdr:cNvPr id="18" name="PC - Spillertype">
          <a:extLst>
            <a:ext uri="{FF2B5EF4-FFF2-40B4-BE49-F238E27FC236}">
              <a16:creationId xmlns:a16="http://schemas.microsoft.com/office/drawing/2014/main" id="{0E317B81-AA56-4104-9E9D-8ACC9E424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</xdr:col>
      <xdr:colOff>1574540</xdr:colOff>
      <xdr:row>3</xdr:row>
      <xdr:rowOff>0</xdr:rowOff>
    </xdr:from>
    <xdr:to>
      <xdr:col>6</xdr:col>
      <xdr:colOff>1358660</xdr:colOff>
      <xdr:row>14</xdr:row>
      <xdr:rowOff>148320</xdr:rowOff>
    </xdr:to>
    <xdr:graphicFrame macro="">
      <xdr:nvGraphicFramePr>
        <xdr:cNvPr id="2" name="PC - Billetsalg pr. tilmelding">
          <a:extLst>
            <a:ext uri="{FF2B5EF4-FFF2-40B4-BE49-F238E27FC236}">
              <a16:creationId xmlns:a16="http://schemas.microsoft.com/office/drawing/2014/main" id="{4634DCEF-C753-6402-4134-56B4599BA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</xdr:col>
      <xdr:colOff>1574294</xdr:colOff>
      <xdr:row>3</xdr:row>
      <xdr:rowOff>0</xdr:rowOff>
    </xdr:from>
    <xdr:to>
      <xdr:col>6</xdr:col>
      <xdr:colOff>3158442</xdr:colOff>
      <xdr:row>14</xdr:row>
      <xdr:rowOff>148320</xdr:rowOff>
    </xdr:to>
    <xdr:graphicFrame macro="">
      <xdr:nvGraphicFramePr>
        <xdr:cNvPr id="4" name="PC - Tilmeldingstype">
          <a:extLst>
            <a:ext uri="{FF2B5EF4-FFF2-40B4-BE49-F238E27FC236}">
              <a16:creationId xmlns:a16="http://schemas.microsoft.com/office/drawing/2014/main" id="{D40D0BA7-AACB-86B0-9F9F-7D95BBE19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5</xdr:col>
      <xdr:colOff>1715708</xdr:colOff>
      <xdr:row>17</xdr:row>
      <xdr:rowOff>231</xdr:rowOff>
    </xdr:from>
    <xdr:to>
      <xdr:col>6</xdr:col>
      <xdr:colOff>1211828</xdr:colOff>
      <xdr:row>28</xdr:row>
      <xdr:rowOff>148551</xdr:rowOff>
    </xdr:to>
    <xdr:graphicFrame macro="">
      <xdr:nvGraphicFramePr>
        <xdr:cNvPr id="5" name="PC - Køn">
          <a:extLst>
            <a:ext uri="{FF2B5EF4-FFF2-40B4-BE49-F238E27FC236}">
              <a16:creationId xmlns:a16="http://schemas.microsoft.com/office/drawing/2014/main" id="{B5DCAC18-B53F-8BD2-8CEF-6FA3CEC94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196161</xdr:colOff>
      <xdr:row>3</xdr:row>
      <xdr:rowOff>230</xdr:rowOff>
    </xdr:from>
    <xdr:to>
      <xdr:col>13</xdr:col>
      <xdr:colOff>501</xdr:colOff>
      <xdr:row>14</xdr:row>
      <xdr:rowOff>148550</xdr:rowOff>
    </xdr:to>
    <xdr:graphicFrame macro="">
      <xdr:nvGraphicFramePr>
        <xdr:cNvPr id="8" name="PC - Klokkeslætsinterval">
          <a:extLst>
            <a:ext uri="{FF2B5EF4-FFF2-40B4-BE49-F238E27FC236}">
              <a16:creationId xmlns:a16="http://schemas.microsoft.com/office/drawing/2014/main" id="{4324F17C-3FF5-9C86-39E5-FC192253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7</xdr:col>
      <xdr:colOff>980361</xdr:colOff>
      <xdr:row>3</xdr:row>
      <xdr:rowOff>0</xdr:rowOff>
    </xdr:from>
    <xdr:to>
      <xdr:col>8</xdr:col>
      <xdr:colOff>1040361</xdr:colOff>
      <xdr:row>14</xdr:row>
      <xdr:rowOff>148320</xdr:rowOff>
    </xdr:to>
    <xdr:graphicFrame macro="">
      <xdr:nvGraphicFramePr>
        <xdr:cNvPr id="3" name="PC - Gentilmeldinger">
          <a:extLst>
            <a:ext uri="{FF2B5EF4-FFF2-40B4-BE49-F238E27FC236}">
              <a16:creationId xmlns:a16="http://schemas.microsoft.com/office/drawing/2014/main" id="{31791A20-02AA-90ED-2879-AA362FF1B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4</xdr:col>
      <xdr:colOff>233680</xdr:colOff>
      <xdr:row>3</xdr:row>
      <xdr:rowOff>0</xdr:rowOff>
    </xdr:from>
    <xdr:to>
      <xdr:col>5</xdr:col>
      <xdr:colOff>1615120</xdr:colOff>
      <xdr:row>14</xdr:row>
      <xdr:rowOff>148320</xdr:rowOff>
    </xdr:to>
    <xdr:graphicFrame macro="">
      <xdr:nvGraphicFramePr>
        <xdr:cNvPr id="6" name="APC - Tilmeldingsantal">
          <a:extLst>
            <a:ext uri="{FF2B5EF4-FFF2-40B4-BE49-F238E27FC236}">
              <a16:creationId xmlns:a16="http://schemas.microsoft.com/office/drawing/2014/main" id="{5F6A9348-18FC-6B61-CB08-F174497BA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Benjamin Sørensen" refreshedDate="45061.941860648149" createdVersion="3" refreshedVersion="8" minRefreshableVersion="3" recordCount="0" tupleCache="1" supportSubquery="1" supportAdvancedDrill="1" xr:uid="{6F49D7C4-C737-47CF-8F80-E32EBC95A028}">
  <cacheSource type="external" connectionId="14"/>
  <cacheFields count="6">
    <cacheField name="[Billettype_d2].[K: Billettype emoji].[K: Billettype emoji]" caption="K: Billettype emoji" numFmtId="0" hierarchy="3" level="1">
      <sharedItems count="2">
        <s v="[Billettype_d2].[K: Billettype emoji].&amp;[🥳]" c="🥳"/>
        <s v="[Billettype_d2].[K: Billettype emoji].&amp;[🏓]" c="🏓"/>
      </sharedItems>
    </cacheField>
    <cacheField name="[Measures].[MeasuresLevel]" caption="MeasuresLevel" numFmtId="0" hierarchy="44">
      <sharedItems count="19">
        <s v="[Measures].[💲 Aktuel billetpris]" c="💲 Aktuel billetpris"/>
        <s v="[Measures].[👤 Rating min.]" c="👤 Rating min."/>
        <s v="[Measures].[👥 Aktuel rating gns.]" c="👥 Aktuel rating gns."/>
        <s v="[Measures].[👤 Aktuel rating maks.]" c="👤 Aktuel rating maks."/>
        <s v="[Measures].[🛖 Aktuel klubantal]" c="🛖 Aktuel klubantal"/>
        <s v="[Measures].[👥 Tilmeldingsantal]" c="👥 Tilmeldingsantal"/>
        <s v="[Measures].[👥 Tilmeldingsantal (kun med klub)]" c="👥 Tilmeldingsantal (kun med klub)"/>
        <s v="[Measures].[👤 Aktuel rating min.]" c="👤 Aktuel rating min."/>
        <s v="[Measures].[👥 Aktuel tilmeldingsantal (kun med klub)]" c="👥 Aktuel tilmeldingsantal (kun med klub)"/>
        <s v="[Measures].[👥 Aktuel tilmeldingsantal]" c="👥 Aktuel tilmeldingsantal"/>
        <s v="[Measures].[👤 Højeste rating Ping Pong]" c="👤 Højeste rating Ping Pong"/>
        <s v="[Measures].[👤 Aktuel alder min.]" c="👤 Aktuel alder min."/>
        <s v="[Measures].[👥 Aktuel alder gns.]" c="👥 Aktuel alder gns."/>
        <s v="[Measures].[👤 Aktuel alder maks.]" c="👤 Aktuel alder maks."/>
        <s v="[Measures].[🔃 Sidst opdateret]" c="🔃 Sidst opdateret"/>
        <s v="[Measures].[🎫 Aktuel billetantal maks.]" c="🎫 Aktuel billetantal maks."/>
        <s v="[Measures].[👤 Laveste rating Ping Pong]" c="👤 Laveste rating Ping Pong"/>
        <s v="[Measures].[🎁 Ældst Ping Pong]" c="🎁 Ældst Ping Pong"/>
        <s v="[Measures].[🎁 Yngst Ping Pong]" c="🎁 Yngst Ping Pong"/>
      </sharedItems>
    </cacheField>
    <cacheField name="[Landsdel_d2].[K: Landsdel].[K: Landsdel]" caption="K: Landsdel" numFmtId="0" hierarchy="43" level="1">
      <sharedItems count="4">
        <s v="[Landsdel_d2].[K: Landsdel].&amp;[Jylland]" c="Jylland"/>
        <s v="[Landsdel_d2].[K: Landsdel].&amp;[Fyn]" c="Fyn"/>
        <s v="[Landsdel_d2].[K: Landsdel].&amp;[Sjælland]" c="Sjælland"/>
        <s v="[Landsdel_d2].[K: Landsdel].&amp;[Bornholm]" c="Bornholm"/>
      </sharedItems>
    </cacheField>
    <cacheField name="[Aldersgruppe_d1].[K: Aldersgruppe].[K: Aldersgruppe]" caption="K: Aldersgruppe" numFmtId="0" level="1">
      <sharedItems count="3">
        <s v="[Aldersgruppe_d1].[K: Aldersgruppe].&amp;[[&lt;=17]] Ungdom]" c="[&lt;=17] Ungdom"/>
        <s v="[Aldersgruppe_d1].[K: Aldersgruppe].&amp;[[&lt;=39]] Senior]" c="[&lt;=39] Senior"/>
        <s v="[Aldersgruppe_d1].[K: Aldersgruppe].&amp;[[&gt;=40]] Veteran]" c="[&gt;=40] Veteran"/>
      </sharedItems>
    </cacheField>
    <cacheField name="[Køn_d1].[K: Køn emoji].[K: Køn emoji]" caption="K: Køn emoji" numFmtId="0" hierarchy="42" level="1">
      <sharedItems count="2">
        <s v="[Køn_d1].[K: Køn emoji].&amp;[♂]" c="♂"/>
        <s v="[Køn_d1].[K: Køn emoji].&amp;[♀]" c="♀"/>
      </sharedItems>
    </cacheField>
    <cacheField name="[Ratinggruppe_d1].[K: Ratinggruppe].[K: Ratinggruppe]" caption="K: Ratinggruppe" numFmtId="0" hierarchy="45" level="1">
      <sharedItems count="2">
        <s v="[Ratinggruppe_d1].[K: Ratinggruppe].&amp;[[&gt;=2000]] Elite]" c="[&gt;=2000] Elite"/>
        <s v="[Ratinggruppe_d1].[K: Ratinggruppe].&amp;[[&lt;=1999]] Ikke-elite]" c="[&lt;=1999] Ikke-elite"/>
      </sharedItems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3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0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2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2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2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2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2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2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2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2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2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2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2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2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2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2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2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2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2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2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2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2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2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2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2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2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2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2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2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2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2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2" memberValueDatatype="130" unbalanced="0">
      <fieldsUsage count="2">
        <fieldUsage x="-1"/>
        <fieldUsage x="4"/>
      </fieldsUsage>
    </cacheHierarchy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"/>
      </fieldsUsage>
    </cacheHierarchy>
    <cacheHierarchy uniqueName="[Measures]" caption="Measures" attribute="1" keyAttribute="1" defaultMemberUniqueName="[Measures].[__Der er ikke defineret nogen målinger]" dimensionUniqueName="[Measures]" displayFolder="" measures="1" count="1" memberValueDatatype="130" unbalanced="0">
      <fieldsUsage count="1">
        <fieldUsage x="1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5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2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2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2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2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2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2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2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2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2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2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2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2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2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2" memberValueDatatype="20" unbalanced="0" hidden="1"/>
    <cacheHierarchy uniqueName="[Event_d3].[Nr.]" caption="Nr." attribute="1" defaultMemberUniqueName="[Event_d3].[Nr.].[All]" allUniqueName="[Event_d3].[Nr.].[All]" dimensionUniqueName="[Event_d3]" displayFolder="" count="2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2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2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2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2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2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2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2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2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2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2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2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2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2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2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2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2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2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2" memberValueDatatype="20" unbalanced="0" hidden="1"/>
    <cacheHierarchy uniqueName="[Køn_d1].[Nr.]" caption="Nr." attribute="1" defaultMemberUniqueName="[Køn_d1].[Nr.].[All]" allUniqueName="[Køn_d1].[Nr.].[All]" dimensionUniqueName="[Køn_d1]" displayFolder="" count="2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2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2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2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2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2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2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2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2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2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2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2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2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2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2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2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2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2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2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2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2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2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2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2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2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tupleCache>
    <entries count="65">
      <n v="200" in="0">
        <tpls c="2">
          <tpl fld="0" item="0"/>
          <tpl fld="1" item="0"/>
        </tpls>
      </n>
      <n v="1196" in="1">
        <tpls c="2">
          <tpl fld="0" item="0"/>
          <tpl fld="1" item="1"/>
        </tpls>
      </n>
      <n v="2525" in="1">
        <tpls c="2">
          <tpl fld="0" item="0"/>
          <tpl fld="1" item="2"/>
        </tpls>
      </n>
      <n v="2525" in="1">
        <tpls c="2">
          <tpl fld="0" item="0"/>
          <tpl fld="1" item="3"/>
        </tpls>
      </n>
      <n v="11" in="1">
        <tpls c="1">
          <tpl fld="1" item="4"/>
        </tpls>
      </n>
      <n v="98" in="2">
        <tpls c="1">
          <tpl fld="1" item="5"/>
        </tpls>
      </n>
      <n v="2525" in="1">
        <tpls c="2">
          <tpl fld="0" item="1"/>
          <tpl fld="1" item="7"/>
        </tpls>
      </n>
      <n v="2525" in="1">
        <tpls c="2">
          <tpl fld="0" item="1"/>
          <tpl fld="1" item="2"/>
        </tpls>
      </n>
      <n v="2525" in="1">
        <tpls c="2">
          <tpl fld="0" item="1"/>
          <tpl fld="1" item="3"/>
        </tpls>
      </n>
      <n v="11" in="1">
        <tpls c="2">
          <tpl fld="0" item="1"/>
          <tpl fld="1" item="4"/>
        </tpls>
      </n>
      <n v="14" in="1">
        <tpls c="3">
          <tpl fld="0" item="0"/>
          <tpl fld="2" item="0"/>
          <tpl fld="1" item="8"/>
        </tpls>
      </n>
      <n v="15" in="1">
        <tpls c="2">
          <tpl fld="0" item="0"/>
          <tpl fld="1" item="8"/>
        </tpls>
      </n>
      <m in="1">
        <tpls c="3">
          <tpl fld="0" item="0"/>
          <tpl fld="2" item="1"/>
          <tpl fld="1" item="8"/>
        </tpls>
      </m>
      <m in="1">
        <tpls c="3">
          <tpl fld="0" item="0"/>
          <tpl fld="2" item="2"/>
          <tpl fld="1" item="8"/>
        </tpls>
      </m>
      <m in="1">
        <tpls c="3">
          <tpl fld="0" item="0"/>
          <tpl fld="2" item="3"/>
          <tpl fld="1" item="8"/>
        </tpls>
      </m>
      <n v="2" in="1">
        <tpls c="2">
          <tpl fld="3" item="0"/>
          <tpl fld="1" item="9"/>
        </tpls>
      </n>
      <n v="25" in="1">
        <tpls c="1">
          <tpl fld="1" item="9"/>
        </tpls>
      </n>
      <n v="13" in="1">
        <tpls c="2">
          <tpl fld="3" item="1"/>
          <tpl fld="1" item="9"/>
        </tpls>
      </n>
      <n v="10" in="1">
        <tpls c="2">
          <tpl fld="3" item="2"/>
          <tpl fld="1" item="9"/>
        </tpls>
      </n>
      <n v="8" in="1">
        <tpls c="2">
          <tpl fld="0" item="0"/>
          <tpl fld="1" item="4"/>
        </tpls>
      </n>
      <n v="150" in="0">
        <tpls c="2">
          <tpl fld="0" item="1"/>
          <tpl fld="1" item="0"/>
        </tpls>
      </n>
      <n v="24" in="1">
        <tpls c="2">
          <tpl fld="0" item="1"/>
          <tpl fld="1" item="9"/>
        </tpls>
      </n>
      <n v="23" in="1">
        <tpls c="3">
          <tpl fld="0" item="1"/>
          <tpl fld="2" item="0"/>
          <tpl fld="1" item="8"/>
        </tpls>
      </n>
      <n v="24" in="1">
        <tpls c="2">
          <tpl fld="0" item="1"/>
          <tpl fld="1" item="8"/>
        </tpls>
      </n>
      <m in="1">
        <tpls c="3">
          <tpl fld="0" item="1"/>
          <tpl fld="2" item="1"/>
          <tpl fld="1" item="8"/>
        </tpls>
      </m>
      <m in="1">
        <tpls c="3">
          <tpl fld="0" item="1"/>
          <tpl fld="2" item="2"/>
          <tpl fld="1" item="8"/>
        </tpls>
      </m>
      <m in="1">
        <tpls c="3">
          <tpl fld="0" item="1"/>
          <tpl fld="2" item="3"/>
          <tpl fld="1" item="8"/>
        </tpls>
      </m>
      <n v="15" in="1">
        <tpls c="2">
          <tpl fld="0" item="0"/>
          <tpl fld="1" item="9"/>
        </tpls>
      </n>
      <n v="24" in="1">
        <tpls c="2">
          <tpl fld="2" item="0"/>
          <tpl fld="1" item="8"/>
        </tpls>
      </n>
      <n v="25" in="1">
        <tpls c="1">
          <tpl fld="1" item="8"/>
        </tpls>
      </n>
      <m in="1">
        <tpls c="2">
          <tpl fld="2" item="1"/>
          <tpl fld="1" item="8"/>
        </tpls>
      </m>
      <m in="1">
        <tpls c="2">
          <tpl fld="2" item="2"/>
          <tpl fld="1" item="8"/>
        </tpls>
      </m>
      <m in="1">
        <tpls c="2">
          <tpl fld="2" item="3"/>
          <tpl fld="1" item="8"/>
        </tpls>
      </m>
      <n v="20" in="1">
        <tpls c="2">
          <tpl fld="0" item="0"/>
          <tpl fld="1" item="11"/>
        </tpls>
      </n>
      <n v="36.93333333333333" in="1">
        <tpls c="2">
          <tpl fld="0" item="0"/>
          <tpl fld="1" item="12"/>
        </tpls>
      </n>
      <n v="67" in="1">
        <tpls c="2">
          <tpl fld="0" item="0"/>
          <tpl fld="1" item="13"/>
        </tpls>
      </n>
      <n v="45061.942244791666">
        <tpls c="1">
          <tpl fld="1" item="14"/>
        </tpls>
      </n>
      <n v="96" in="1">
        <tpls c="2">
          <tpl fld="0" item="1"/>
          <tpl fld="1" item="15"/>
        </tpls>
      </n>
      <n v="11" in="1">
        <tpls c="2">
          <tpl fld="0" item="1"/>
          <tpl fld="1" item="11"/>
        </tpls>
      </n>
      <n v="36.875" in="1">
        <tpls c="2">
          <tpl fld="0" item="1"/>
          <tpl fld="1" item="12"/>
        </tpls>
      </n>
      <n v="74" in="1">
        <tpls c="2">
          <tpl fld="0" item="1"/>
          <tpl fld="1" item="13"/>
        </tpls>
      </n>
      <n v="150" in="1">
        <tpls c="2">
          <tpl fld="0" item="0"/>
          <tpl fld="1" item="15"/>
        </tpls>
      </n>
      <n v="25" in="1">
        <tpls c="2">
          <tpl fld="4" item="0"/>
          <tpl fld="1" item="9"/>
        </tpls>
      </n>
      <m in="1">
        <tpls c="2">
          <tpl fld="4" item="1"/>
          <tpl fld="1" item="9"/>
        </tpls>
      </m>
      <n v="11" in="1">
        <tpls c="1">
          <tpl fld="1" item="11"/>
        </tpls>
      </n>
      <n v="37" in="1">
        <tpls c="1">
          <tpl fld="1" item="12"/>
        </tpls>
      </n>
      <n v="74" in="1">
        <tpls c="1">
          <tpl fld="1" item="13"/>
        </tpls>
      </n>
      <m in="1">
        <tpls c="3">
          <tpl fld="3" item="0"/>
          <tpl fld="0" item="0"/>
          <tpl fld="1" item="9"/>
        </tpls>
      </m>
      <n v="9" in="1">
        <tpls c="3">
          <tpl fld="3" item="1"/>
          <tpl fld="0" item="0"/>
          <tpl fld="1" item="9"/>
        </tpls>
      </n>
      <n v="6" in="1">
        <tpls c="3">
          <tpl fld="3" item="2"/>
          <tpl fld="0" item="0"/>
          <tpl fld="1" item="9"/>
        </tpls>
      </n>
      <n v="15" in="1">
        <tpls c="3">
          <tpl fld="0" item="0"/>
          <tpl fld="4" item="0"/>
          <tpl fld="1" item="9"/>
        </tpls>
      </n>
      <m in="1">
        <tpls c="3">
          <tpl fld="0" item="0"/>
          <tpl fld="4" item="1"/>
          <tpl fld="1" item="9"/>
        </tpls>
      </m>
      <s v="Benjamin Sørensen, Hørning BTK (2525 rating)  🏓" in="4">
        <tpls c="1">
          <tpl fld="1" item="10"/>
        </tpls>
      </s>
      <n v="2" in="1">
        <tpls c="3">
          <tpl fld="3" item="0"/>
          <tpl fld="0" item="1"/>
          <tpl fld="1" item="9"/>
        </tpls>
      </n>
      <n v="13" in="1">
        <tpls c="3">
          <tpl fld="3" item="1"/>
          <tpl fld="0" item="1"/>
          <tpl fld="1" item="9"/>
        </tpls>
      </n>
      <n v="9" in="1">
        <tpls c="3">
          <tpl fld="3" item="2"/>
          <tpl fld="0" item="1"/>
          <tpl fld="1" item="9"/>
        </tpls>
      </n>
      <n v="24" in="1">
        <tpls c="3">
          <tpl fld="0" item="1"/>
          <tpl fld="4" item="0"/>
          <tpl fld="1" item="9"/>
        </tpls>
      </n>
      <m in="1">
        <tpls c="3">
          <tpl fld="0" item="1"/>
          <tpl fld="4" item="1"/>
          <tpl fld="1" item="9"/>
        </tpls>
      </m>
      <n v="1" in="1">
        <tpls c="3">
          <tpl fld="0" item="1"/>
          <tpl fld="1" item="9"/>
          <tpl fld="5" item="0"/>
        </tpls>
      </n>
      <n v="23" in="1">
        <tpls c="3">
          <tpl fld="0" item="1"/>
          <tpl fld="1" item="9"/>
          <tpl fld="5" item="1"/>
        </tpls>
      </n>
      <n v="1" in="1">
        <tpls c="3">
          <tpl fld="0" item="0"/>
          <tpl fld="1" item="9"/>
          <tpl fld="5" item="0"/>
        </tpls>
      </n>
      <n v="14" in="1">
        <tpls c="3">
          <tpl fld="0" item="0"/>
          <tpl fld="1" item="9"/>
          <tpl fld="5" item="1"/>
        </tpls>
      </n>
      <s v="Benjamin Sørensen, Hørning BTK (2525 rating)  🏓" in="4">
        <tpls c="1">
          <tpl fld="1" item="16"/>
        </tpls>
      </s>
      <s v="Matti Henneberg Sørensen, Hørning BTK [11 år, 23-02-2012] 🏓" in="4">
        <tpls c="1">
          <tpl fld="1" item="18"/>
        </tpls>
      </s>
      <s v="Poul Erik Henneberg Sørensen, Hørning BTK [74 år, 01-02-1949] 🏓" in="4">
        <tpls c="1">
          <tpl fld="1" item="17"/>
        </tpls>
      </s>
    </entries>
    <queryCache count="40">
      <query mdx="[Billettype_d2].[K: Billettype emoji].&amp;[🥳]">
        <tpls c="1">
          <tpl fld="0" item="0"/>
        </tpls>
      </query>
      <query mdx="[Measures].[💲 Aktuel billetpris]">
        <tpls c="1">
          <tpl fld="1" item="0"/>
        </tpls>
      </query>
      <query mdx="[Measures].[👤 Rating min.]">
        <tpls c="1">
          <tpl fld="1" item="1"/>
        </tpls>
      </query>
      <query mdx="[Measures].[👥 Aktuel rating gns.]">
        <tpls c="1">
          <tpl fld="1" item="2"/>
        </tpls>
      </query>
      <query mdx="[Measures].[👤 Aktuel rating maks.]">
        <tpls c="1">
          <tpl fld="1" item="3"/>
        </tpls>
      </query>
      <query mdx="[Measures].[🛖 Aktuel klubantal]">
        <tpls c="1">
          <tpl fld="1" item="4"/>
        </tpls>
      </query>
      <query mdx="[Aldersgruppe_d2].[K: Aldersgruppe].&amp;[[&lt;=17]] Ungdom]"/>
      <query mdx="[Measures].[👥 Tilmeldingsantal]">
        <tpls c="1">
          <tpl fld="1" item="5"/>
        </tpls>
      </query>
      <query mdx="[Aldersgruppe_d2].[K: Aldersgruppe].&amp;[[&lt;=39]] Senior]"/>
      <query mdx="[Aldersgruppe_d2].[K: Aldersgruppe].&amp;[[&gt;=40]] Veteran]"/>
      <query mdx="[Landsdel_d3].[K: Landsdel].&amp;[Jylland]"/>
      <query mdx="[Measures].[👥 Tilmeldingsantal (kun med klub)]">
        <tpls c="1">
          <tpl fld="1" item="6"/>
        </tpls>
      </query>
      <query mdx="[Measures].[👥 Tilmeldingsantal (kun med klub)]]"/>
      <query mdx="[Landsdel_d3].[K: Landsdel].&amp;[Fyn]"/>
      <query mdx="[Landsdel_d3].[K: Landsdel].&amp;[Sjælland]"/>
      <query mdx="[Landsdel_d3].[K: Landsdel].&amp;[Bornholm]"/>
      <query mdx="[Billettype_d2].[K: Billettype emoji].&amp;[🏓]">
        <tpls c="1">
          <tpl fld="0" item="1"/>
        </tpls>
      </query>
      <query mdx="[Measures].[👤 Aktuel rating min.]">
        <tpls c="1">
          <tpl fld="1" item="7"/>
        </tpls>
      </query>
      <query mdx="[Landsdel_d2].[K: Landsdel].&amp;[Jylland]">
        <tpls c="1">
          <tpl fld="2" item="0"/>
        </tpls>
      </query>
      <query mdx="[Measures].[👥 Aktuel tilmeldingsantal (kun med klub)]">
        <tpls c="1">
          <tpl fld="1" item="8"/>
        </tpls>
      </query>
      <query mdx="[Landsdel_d2].[K: Landsdel].&amp;[Fyn]">
        <tpls c="1">
          <tpl fld="2" item="1"/>
        </tpls>
      </query>
      <query mdx="[Landsdel_d2].[K: Landsdel].&amp;[Sjælland]">
        <tpls c="1">
          <tpl fld="2" item="2"/>
        </tpls>
      </query>
      <query mdx="[Landsdel_d2].[K: Landsdel].&amp;[Bornholm]">
        <tpls c="1">
          <tpl fld="2" item="3"/>
        </tpls>
      </query>
      <query mdx="[Aldersgruppe_d1].[K: Aldersgruppe].&amp;[[&lt;=17]] Ungdom]">
        <tpls c="1">
          <tpl fld="3" item="0"/>
        </tpls>
      </query>
      <query mdx="[Measures].[👥 Aktuel tilmeldingsantal]">
        <tpls c="1">
          <tpl fld="1" item="9"/>
        </tpls>
      </query>
      <query mdx="[Aldersgruppe_d1].[K: Aldersgruppe].&amp;[[&lt;=39]] Senior]">
        <tpls c="1">
          <tpl fld="3" item="1"/>
        </tpls>
      </query>
      <query mdx="[Aldersgruppe_d1].[K: Aldersgruppe].&amp;[[&gt;=40]] Veteran]">
        <tpls c="1">
          <tpl fld="3" item="2"/>
        </tpls>
      </query>
      <query mdx="[Measures].[👤 Højeste rating Ping Pong]">
        <tpls c="1">
          <tpl fld="1" item="10"/>
        </tpls>
      </query>
      <query mdx="[Measures].[👤 Aktuel alder min.]">
        <tpls c="1">
          <tpl fld="1" item="11"/>
        </tpls>
      </query>
      <query mdx="[Measures].[👥 Aktuel alder gns.]">
        <tpls c="1">
          <tpl fld="1" item="12"/>
        </tpls>
      </query>
      <query mdx="[Measures].[👤 Aktuel alder maks.]">
        <tpls c="1">
          <tpl fld="1" item="13"/>
        </tpls>
      </query>
      <query mdx="[Measures].[🔃 Sidst opdateret]">
        <tpls c="1">
          <tpl fld="1" item="14"/>
        </tpls>
      </query>
      <query mdx="[Measures].[🎫 Aktuel billetantal maks.]">
        <tpls c="1">
          <tpl fld="1" item="15"/>
        </tpls>
      </query>
      <query mdx="[Køn_d1].[K: Køn emoji].&amp;[♂]">
        <tpls c="1">
          <tpl fld="4" item="0"/>
        </tpls>
      </query>
      <query mdx="[Køn_d1].[K: Køn emoji].&amp;[♀]">
        <tpls c="1">
          <tpl fld="4" item="1"/>
        </tpls>
      </query>
      <query mdx="[Measures].[👤 Laveste rating Ping Pong]">
        <tpls c="1">
          <tpl fld="1" item="16"/>
        </tpls>
      </query>
      <query mdx="[Measures].[🎁 Ældst Ping Pong]">
        <tpls c="1">
          <tpl fld="1" item="17"/>
        </tpls>
      </query>
      <query mdx="[Measures].[🎁 Yngst Ping Pong]">
        <tpls c="1">
          <tpl fld="1" item="18"/>
        </tpls>
      </query>
      <query mdx="[Ratinggruppe_d1].[K: Ratinggruppe].&amp;[[&gt;=2000]] Elite]">
        <tpls c="1">
          <tpl fld="5" item="0"/>
        </tpls>
      </query>
      <query mdx="[Ratinggruppe_d1].[K: Ratinggruppe].&amp;[[&lt;=1999]] Ikke-Elite]">
        <tpls c="1">
          <tpl fld="5" item="1"/>
        </tpls>
      </query>
    </queryCache>
    <serverFormats count="5">
      <serverFormat format="&quot;kr.&quot; #,0;#,0 -&quot;kr.&quot;;&quot;kr.&quot; #,0"/>
      <serverFormat format="0"/>
      <serverFormat format="#,0"/>
      <serverFormat format="General Date"/>
      <serverFormat format="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1.941872222225" createdVersion="6" refreshedVersion="8" minRefreshableVersion="3" recordCount="0" supportSubquery="1" supportAdvancedDrill="1" xr:uid="{19BDAD54-0A25-464C-8CCC-87C2766AD96B}">
  <cacheSource type="external" connectionId="14"/>
  <cacheFields count="36">
    <cacheField name="[Measures].[👥 Tilmeldingsantal]" caption="👥 Tilmeldingsantal" numFmtId="0" hierarchy="136" level="32767"/>
    <cacheField name="[Measures].[👥 Rating gns.]" caption="👥 Rating gns." numFmtId="0" hierarchy="122" level="32767"/>
    <cacheField name="[Measures].[🎫 Billetantal gns.]" caption="🎫 Billetantal gns." numFmtId="0" hierarchy="126" level="32767"/>
    <cacheField name="[Measures].[🛖 Klubantal]" caption="🛖 Klubantal" numFmtId="0" hierarchy="137" level="32767"/>
    <cacheField name="[Measures].[👥 Manglende deltagerantal*]" caption="👥 Manglende deltagerantal*" numFmtId="0" hierarchy="131" level="32767"/>
    <cacheField name="[Measures].[👤 Rating forskel]" caption="👤 Rating forskel" numFmtId="0" hierarchy="128" level="32767"/>
    <cacheField name="[Measures].[👥 Deltagerantal*]" caption="👥 Deltagerantal*" numFmtId="0" hierarchy="130" level="32767"/>
    <cacheField name="[Measures].[👤 Laveste rating]" caption="👤 Laveste rating" numFmtId="0" hierarchy="124" level="32767"/>
    <cacheField name="[Measures].[👤 Højeste rating]" caption="👤 Højeste rating" numFmtId="0" hierarchy="123" level="32767"/>
    <cacheField name="[Measures].[🎫 Billetantal maks.]" caption="🎫 Billetantal maks." numFmtId="0" hierarchy="138" level="32767"/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👥 Tilmeldingsantal afbud]" caption="👥 Tilmeldingsantal afbud" numFmtId="0" hierarchy="157" level="32767"/>
    <cacheField name="[Measures].[🎫 Billetsalg afbud]" caption="🎫 Billetsalg afbud" numFmtId="0" hierarchy="158" level="32767"/>
    <cacheField name="[Measures].[👤 Yngst]" caption="👤 Yngst" numFmtId="0" hierarchy="117" level="32767"/>
    <cacheField name="[Measures].[👤 Ældst]" caption="👤 Ældst" numFmtId="0" hierarchy="112" level="32767"/>
    <cacheField name="[Measures].[👥 Alder forskel]" caption="👥 Alder forskel" numFmtId="0" hierarchy="127" level="32767"/>
    <cacheField name="[Measures].[👥 Alder gns.]" caption="👥 Alder gns." numFmtId="0" hierarchy="121" level="32767"/>
    <cacheField name="[Measures].[👥 Antal forskudte tilmeldinger]" caption="👥 Antal forskudte tilmeldinger" numFmtId="0" hierarchy="161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5" level="1">
      <sharedItems containsSemiMixedTypes="0" containsNonDate="0" containsString="0"/>
    </cacheField>
    <cacheField name="[Landsdel_d2].[K: Landsdel].[K: Landsdel]" caption="K: Landsdel" numFmtId="0" hierarchy="43" level="1">
      <sharedItems containsSemiMixedTypes="0" containsNonDate="0" containsString="0"/>
    </cacheField>
    <cacheField name="[Køn_d1].[K: Køn].[K: Køn]" caption="K: Køn" numFmtId="0" hierarchy="41" level="1">
      <sharedItems containsSemiMixedTypes="0" containsNonDate="0" containsString="0"/>
    </cacheField>
    <cacheField name="[Spillertype_d1].[K: Spillertype].[K: Spillertype]" caption="K: Spillertype" numFmtId="0" hierarchy="46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4" level="1">
      <sharedItems containsSemiMixedTypes="0" containsNonDate="0" containsString="0"/>
    </cacheField>
    <cacheField name="[Tilmeldingstype_d1].[K: Tilmeldingstype].[K: Tilmeldingstype]" caption="K: Tilmeldingstype" numFmtId="0" hierarchy="57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40" level="1">
      <sharedItems containsSemiMixedTypes="0" containsNonDate="0" containsString="0"/>
    </cacheField>
    <cacheField name="[Tilmeldingsstatus_d1].[K: Tilmeldingsstatus].[K: Tilmeldingsstatus]" caption="K: Tilmeldingsstatus" numFmtId="0" hierarchy="54" level="1">
      <sharedItems containsSemiMixedTypes="0" containsNonDate="0" containsString="0"/>
    </cacheField>
    <cacheField name="[Gentilmeldinger_d1].[K: Gentilmeldinger].[K: Gentilmeldinger]" caption="K: Gentilmeldinger" numFmtId="0" hierarchy="28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2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3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35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2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34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32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2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2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2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2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33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3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21"/>
      </fieldsUsage>
    </cacheHierarchy>
    <cacheHierarchy uniqueName="[Measures].[💰 Omsætning]" caption="💰 Omsætning" measure="1" displayFolder="" measureGroup="Tilmeldinger_1f" count="0" oneField="1">
      <fieldsUsage count="1">
        <fieldUsage x="19"/>
      </fieldsUsage>
    </cacheHierarchy>
    <cacheHierarchy uniqueName="[Measures].[💰 Arrangørpris]" caption="💰 Arrangørpris" measure="1" displayFolder="" measureGroup="Tilmeldinger_1f" count="0" oneField="1">
      <fieldsUsage count="1">
        <fieldUsage x="20"/>
      </fieldsUsage>
    </cacheHierarchy>
    <cacheHierarchy uniqueName="[Measures].[👤 Ældst]" caption="👤 Ældst" measure="1" displayFolder="" measureGroup="Tilmeldinger_1f" count="0" oneField="1">
      <fieldsUsage count="1">
        <fieldUsage x="15"/>
      </fieldsUsage>
    </cacheHierarchy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 oneField="1">
      <fieldsUsage count="1">
        <fieldUsage x="14"/>
      </fieldsUsage>
    </cacheHierarchy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 oneField="1">
      <fieldsUsage count="1">
        <fieldUsage x="17"/>
      </fieldsUsage>
    </cacheHierarchy>
    <cacheHierarchy uniqueName="[Measures].[👥 Rating gns.]" caption="👥 Rating gns." measure="1" displayFolder="" measureGroup="Tilmeldinger_1f" count="0" oneField="1">
      <fieldsUsage count="1">
        <fieldUsage x="1"/>
      </fieldsUsage>
    </cacheHierarchy>
    <cacheHierarchy uniqueName="[Measures].[👤 Højeste rating]" caption="👤 Højeste rating" measure="1" displayFolder="" measureGroup="Tilmeldinger_1f" count="0" oneField="1">
      <fieldsUsage count="1">
        <fieldUsage x="8"/>
      </fieldsUsage>
    </cacheHierarchy>
    <cacheHierarchy uniqueName="[Measures].[👤 Laveste rating]" caption="👤 Laveste rating" measure="1" displayFolder="" measureGroup="Tilmeldinger_1f" count="0" oneField="1">
      <fieldsUsage count="1">
        <fieldUsage x="7"/>
      </fieldsUsage>
    </cacheHierarchy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 oneField="1">
      <fieldsUsage count="1">
        <fieldUsage x="2"/>
      </fieldsUsage>
    </cacheHierarchy>
    <cacheHierarchy uniqueName="[Measures].[👥 Alder forskel]" caption="👥 Alder forskel" measure="1" displayFolder="" measureGroup="Tilmeldinger_1f" count="0" oneField="1">
      <fieldsUsage count="1">
        <fieldUsage x="16"/>
      </fieldsUsage>
    </cacheHierarchy>
    <cacheHierarchy uniqueName="[Measures].[👤 Rating forskel]" caption="👤 Rating forskel" measure="1" displayFolder="" measureGroup="Tilmeldinger_1f" count="0" oneField="1">
      <fieldsUsage count="1">
        <fieldUsage x="5"/>
      </fieldsUsage>
    </cacheHierarchy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 oneField="1">
      <fieldsUsage count="1">
        <fieldUsage x="6"/>
      </fieldsUsage>
    </cacheHierarchy>
    <cacheHierarchy uniqueName="[Measures].[👥 Manglende deltagerantal*]" caption="👥 Manglende deltagerantal*" measure="1" displayFolder="" measureGroup="Tilmeldinger_1f" count="0" oneField="1">
      <fieldsUsage count="1">
        <fieldUsage x="4"/>
      </fieldsUsage>
    </cacheHierarchy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10"/>
      </fieldsUsage>
    </cacheHierarchy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 oneField="1">
      <fieldsUsage count="1">
        <fieldUsage x="3"/>
      </fieldsUsage>
    </cacheHierarchy>
    <cacheHierarchy uniqueName="[Measures].[🎫 Billetantal maks.]" caption="🎫 Billetantal maks." measure="1" displayFolder="" measureGroup="Tilmeldinger_1f" count="0" oneField="1">
      <fieldsUsage count="1">
        <fieldUsage x="9"/>
      </fieldsUsage>
    </cacheHierarchy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 oneField="1">
      <fieldsUsage count="1">
        <fieldUsage x="12"/>
      </fieldsUsage>
    </cacheHierarchy>
    <cacheHierarchy uniqueName="[Measures].[🎫 Billetsalg afbud]" caption="🎫 Billetsalg afbud" measure="1" displayFolder="" measureGroup="Tilmeldinger_1f" count="0" oneField="1">
      <fieldsUsage count="1">
        <fieldUsage x="13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 oneField="1">
      <fieldsUsage count="1">
        <fieldUsage x="18"/>
      </fieldsUsage>
    </cacheHierarchy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1.941927893517" createdVersion="6" refreshedVersion="8" minRefreshableVersion="3" recordCount="0" supportSubquery="1" supportAdvancedDrill="1" xr:uid="{6B2A7D0E-BEBB-4ABA-B891-1D109E9CB80B}">
  <cacheSource type="external" connectionId="14"/>
  <cacheFields count="27">
    <cacheField name="[Measures].[🎫 Ordreuge- og dato]" caption="🎫 Ordreuge- og dato" numFmtId="0" hierarchy="113" level="32767"/>
    <cacheField name="[Measures].[⠀👥 Køn⠀]" caption="⠀👥 Køn⠀" numFmtId="0" hierarchy="115" level="32767"/>
    <cacheField name="[Measures].[🎫 Tilmeldingstype]" caption="🎫 Tilmeldingstype" numFmtId="0" hierarchy="125" level="32767"/>
    <cacheField name="[Measures].[💪 Rating⠀⠀⠀⠀⠀⠀⠀⠀⠀⠀⠀⠀⠀⠀]" caption="💪 Rating⠀⠀⠀⠀⠀⠀⠀⠀⠀⠀⠀⠀⠀⠀" numFmtId="0" hierarchy="120" level="32767"/>
    <cacheField name="[Tilmeldinger_1f].[K: Tilmeldingsnr.].[K: Tilmeldingsnr.]" caption="K: Tilmeldingsnr." numFmtId="0" hierarchy="53" level="1">
      <sharedItems containsSemiMixedTypes="0" containsString="0" containsNumber="1" containsInteger="1" minValue="1" maxValue="25" count="2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</sharedItems>
      <extLst>
        <ext xmlns:x15="http://schemas.microsoft.com/office/spreadsheetml/2010/11/main" uri="{4F2E5C28-24EA-4eb8-9CBF-B6C8F9C3D259}">
          <x15:cachedUniqueNames>
            <x15:cachedUniqueName index="0" name="[Tilmeldinger_1f].[K: Tilmeldingsnr.].&amp;[1]"/>
            <x15:cachedUniqueName index="1" name="[Tilmeldinger_1f].[K: Tilmeldingsnr.].&amp;[2]"/>
            <x15:cachedUniqueName index="2" name="[Tilmeldinger_1f].[K: Tilmeldingsnr.].&amp;[3]"/>
            <x15:cachedUniqueName index="3" name="[Tilmeldinger_1f].[K: Tilmeldingsnr.].&amp;[4]"/>
            <x15:cachedUniqueName index="4" name="[Tilmeldinger_1f].[K: Tilmeldingsnr.].&amp;[5]"/>
            <x15:cachedUniqueName index="5" name="[Tilmeldinger_1f].[K: Tilmeldingsnr.].&amp;[6]"/>
            <x15:cachedUniqueName index="6" name="[Tilmeldinger_1f].[K: Tilmeldingsnr.].&amp;[7]"/>
            <x15:cachedUniqueName index="7" name="[Tilmeldinger_1f].[K: Tilmeldingsnr.].&amp;[8]"/>
            <x15:cachedUniqueName index="8" name="[Tilmeldinger_1f].[K: Tilmeldingsnr.].&amp;[9]"/>
            <x15:cachedUniqueName index="9" name="[Tilmeldinger_1f].[K: Tilmeldingsnr.].&amp;[10]"/>
            <x15:cachedUniqueName index="10" name="[Tilmeldinger_1f].[K: Tilmeldingsnr.].&amp;[11]"/>
            <x15:cachedUniqueName index="11" name="[Tilmeldinger_1f].[K: Tilmeldingsnr.].&amp;[12]"/>
            <x15:cachedUniqueName index="12" name="[Tilmeldinger_1f].[K: Tilmeldingsnr.].&amp;[13]"/>
            <x15:cachedUniqueName index="13" name="[Tilmeldinger_1f].[K: Tilmeldingsnr.].&amp;[14]"/>
            <x15:cachedUniqueName index="14" name="[Tilmeldinger_1f].[K: Tilmeldingsnr.].&amp;[15]"/>
            <x15:cachedUniqueName index="15" name="[Tilmeldinger_1f].[K: Tilmeldingsnr.].&amp;[16]"/>
            <x15:cachedUniqueName index="16" name="[Tilmeldinger_1f].[K: Tilmeldingsnr.].&amp;[17]"/>
            <x15:cachedUniqueName index="17" name="[Tilmeldinger_1f].[K: Tilmeldingsnr.].&amp;[18]"/>
            <x15:cachedUniqueName index="18" name="[Tilmeldinger_1f].[K: Tilmeldingsnr.].&amp;[19]"/>
            <x15:cachedUniqueName index="19" name="[Tilmeldinger_1f].[K: Tilmeldingsnr.].&amp;[20]"/>
            <x15:cachedUniqueName index="20" name="[Tilmeldinger_1f].[K: Tilmeldingsnr.].&amp;[21]"/>
            <x15:cachedUniqueName index="21" name="[Tilmeldinger_1f].[K: Tilmeldingsnr.].&amp;[22]"/>
            <x15:cachedUniqueName index="22" name="[Tilmeldinger_1f].[K: Tilmeldingsnr.].&amp;[23]"/>
            <x15:cachedUniqueName index="23" name="[Tilmeldinger_1f].[K: Tilmeldingsnr.].&amp;[24]"/>
            <x15:cachedUniqueName index="24" name="[Tilmeldinger_1f].[K: Tilmeldingsnr.].&amp;[25]"/>
          </x15:cachedUniqueNames>
        </ext>
      </extLst>
    </cacheField>
    <cacheField name="[Measures].[🏛️ Område⠀⠀⠀⠀⠀⠀⠀⠀⠀⠀⠀⠀⠀⠀⠀⠀⠀⠀⠀⠀⠀⠀⠀⠀]" caption="🏛️ Område⠀⠀⠀⠀⠀⠀⠀⠀⠀⠀⠀⠀⠀⠀⠀⠀⠀⠀⠀⠀⠀⠀⠀⠀" numFmtId="0" hierarchy="118" level="32767"/>
    <cacheField name="[Measures].[👥 Spillertype⠀⠀⠀⠀⠀⠀]" caption="👥 Spillertype⠀⠀⠀⠀⠀⠀" numFmtId="0" hierarchy="129" level="32767"/>
    <cacheField name="[Measures].[👤 Navn og bordtennisklub]" caption="👤 Navn og bordtennisklub" numFmtId="0" hierarchy="114" level="32767"/>
    <cacheField name="[Measures].[🔃 Gentilmeldinger]" caption="🔃 Gentilmeldinger" numFmtId="0" hierarchy="145" level="32767"/>
    <cacheField name="[Measures].[📅 Fødselsdato og alder⠀⠀⠀⠀⠀⠀⠀]" caption="📅 Fødselsdato og alder⠀⠀⠀⠀⠀⠀⠀" numFmtId="0" hierarchy="116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5" level="1">
      <sharedItems containsSemiMixedTypes="0" containsNonDate="0" containsString="0"/>
    </cacheField>
    <cacheField name="[Landsdel_d2].[K: Landsdel].[K: Landsdel]" caption="K: Landsdel" numFmtId="0" hierarchy="43" level="1">
      <sharedItems containsSemiMixedTypes="0" containsNonDate="0" containsString="0"/>
    </cacheField>
    <cacheField name="[Køn_d1].[K: Køn].[K: Køn]" caption="K: Køn" numFmtId="0" hierarchy="41" level="1">
      <sharedItems containsSemiMixedTypes="0" containsNonDate="0" containsString="0"/>
    </cacheField>
    <cacheField name="[Spillertype_d1].[K: Spillertype].[K: Spillertype]" caption="K: Spillertype" numFmtId="0" hierarchy="46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4" level="1">
      <sharedItems containsSemiMixedTypes="0" containsNonDate="0" containsString="0"/>
    </cacheField>
    <cacheField name="[Tilmeldingstype_d1].[K: Tilmeldingstype].[K: Tilmeldingstype]" caption="K: Tilmeldingstype" numFmtId="0" hierarchy="57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40" level="1">
      <sharedItems containsSemiMixedTypes="0" containsNonDate="0" containsString="0"/>
    </cacheField>
    <cacheField name="[Tilmeldingsstatus_d1].[K: Tilmeldingsstatus].[K: Tilmeldingsstatus]" caption="K: Tilmeldingsstatus" numFmtId="0" hierarchy="54" level="1">
      <sharedItems containsSemiMixedTypes="0" containsNonDate="0" containsString="0"/>
    </cacheField>
    <cacheField name="[Gentilmeldinger_d1].[K: Gentilmeldinger].[K: Gentilmeldinger]" caption="K: Gentilmeldinger" numFmtId="0" hierarchy="28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9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22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2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4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1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2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2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17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16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20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15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18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>
      <fieldsUsage count="2">
        <fieldUsage x="-1"/>
        <fieldUsage x="4"/>
      </fieldsUsage>
    </cacheHierarchy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2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21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12"/>
      </fieldsUsage>
    </cacheHierarchy>
    <cacheHierarchy uniqueName="[Measures].[💰 Omsætning]" caption="💰 Omsætning" measure="1" displayFolder="" measureGroup="Tilmeldinger_1f" count="0" oneField="1">
      <fieldsUsage count="1">
        <fieldUsage x="10"/>
      </fieldsUsage>
    </cacheHierarchy>
    <cacheHierarchy uniqueName="[Measures].[💰 Arrangørpris]" caption="💰 Arrangørpris" measure="1" displayFolder="" measureGroup="Tilmeldinger_1f" count="0" oneField="1">
      <fieldsUsage count="1">
        <fieldUsage x="11"/>
      </fieldsUsage>
    </cacheHierarchy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 oneField="1">
      <fieldsUsage count="1">
        <fieldUsage x="0"/>
      </fieldsUsage>
    </cacheHierarchy>
    <cacheHierarchy uniqueName="[Measures].[👤 Navn og bordtennisklub]" caption="👤 Navn og bordtennisklub" measure="1" displayFolder="" measureGroup="Tilmeldinger_1f" count="0" oneField="1">
      <fieldsUsage count="1">
        <fieldUsage x="7"/>
      </fieldsUsage>
    </cacheHierarchy>
    <cacheHierarchy uniqueName="[Measures].[⠀👥 Køn⠀]" caption="⠀👥 Køn⠀" measure="1" displayFolder="" measureGroup="Tilmeldinger_1f" count="0" oneField="1">
      <fieldsUsage count="1">
        <fieldUsage x="1"/>
      </fieldsUsage>
    </cacheHierarchy>
    <cacheHierarchy uniqueName="[Measures].[📅 Fødselsdato og alder⠀⠀⠀⠀⠀⠀⠀]" caption="📅 Fødselsdato og alder⠀⠀⠀⠀⠀⠀⠀" measure="1" displayFolder="" measureGroup="Tilmeldinger_1f" count="0" oneField="1">
      <fieldsUsage count="1">
        <fieldUsage x="9"/>
      </fieldsUsage>
    </cacheHierarchy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 oneField="1">
      <fieldsUsage count="1">
        <fieldUsage x="5"/>
      </fieldsUsage>
    </cacheHierarchy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 oneField="1">
      <fieldsUsage count="1">
        <fieldUsage x="3"/>
      </fieldsUsage>
    </cacheHierarchy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 oneField="1">
      <fieldsUsage count="1">
        <fieldUsage x="2"/>
      </fieldsUsage>
    </cacheHierarchy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 oneField="1">
      <fieldsUsage count="1">
        <fieldUsage x="6"/>
      </fieldsUsage>
    </cacheHierarchy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 oneField="1">
      <fieldsUsage count="1">
        <fieldUsage x="8"/>
      </fieldsUsage>
    </cacheHierarchy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1.941864004628" createdVersion="3" refreshedVersion="8" minRefreshableVersion="3" recordCount="0" supportSubquery="1" supportAdvancedDrill="1" xr:uid="{2ED87B83-E563-4145-94CA-EF4C6782F563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extLst>
    <ext xmlns:x14="http://schemas.microsoft.com/office/spreadsheetml/2009/9/main" uri="{725AE2AE-9491-48be-B2B4-4EB974FC3084}">
      <x14:pivotCacheDefinition slicerData="1" pivotCacheId="347943029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1.941875810182" createdVersion="5" refreshedVersion="8" minRefreshableVersion="3" recordCount="0" supportSubquery="1" supportAdvancedDrill="1" xr:uid="{7C74463D-1FED-481B-9CCD-E56CA05FC30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Gentilmeldinger_d1].[K: Gentilmeldinger].[K: Gentilmeldinger]" caption="K: Gentilmeldinger" numFmtId="0" hierarchy="28" level="1">
      <sharedItems count="2">
        <s v="🆕 Debutant"/>
        <s v="🔃 Gentilmelding"/>
      </sharedItems>
      <extLst>
        <ext xmlns:x15="http://schemas.microsoft.com/office/spreadsheetml/2010/11/main" uri="{4F2E5C28-24EA-4eb8-9CBF-B6C8F9C3D259}">
          <x15:cachedUniqueNames>
            <x15:cachedUniqueName index="0" name="[Gentilmeldinger_d1].[K: Gentilmeldinger].&amp;[🆕 Debutant]"/>
            <x15:cachedUniqueName index="1" name="[Gentilmeldinger_d1].[K: Gentilmeldinger].&amp;[🔃 Gentilmeldin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5" level="1">
      <sharedItems containsSemiMixedTypes="0" containsNonDate="0" containsString="0"/>
    </cacheField>
    <cacheField name="[Landsdel_d2].[K: Landsdel].[K: Landsdel]" caption="K: Landsdel" numFmtId="0" hierarchy="43" level="1">
      <sharedItems containsSemiMixedTypes="0" containsNonDate="0" containsString="0"/>
    </cacheField>
    <cacheField name="[Køn_d1].[K: Køn].[K: Køn]" caption="K: Køn" numFmtId="0" hierarchy="41" level="1">
      <sharedItems containsSemiMixedTypes="0" containsNonDate="0" containsString="0"/>
    </cacheField>
    <cacheField name="[Spillertype_d1].[K: Spillertype].[K: Spillertype]" caption="K: Spillertype" numFmtId="0" hierarchy="46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4" level="1">
      <sharedItems containsSemiMixedTypes="0" containsNonDate="0" containsString="0"/>
    </cacheField>
    <cacheField name="[Tilmeldingstype_d1].[K: Tilmeldingstype].[K: Tilmeldingstype]" caption="K: Tilmeldingstype" numFmtId="0" hierarchy="57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40" level="1">
      <sharedItems containsSemiMixedTypes="0" containsNonDate="0" containsString="0"/>
    </cacheField>
    <cacheField name="[Tilmeldingsstatus_d1].[K: Tilmeldingsstatus].[K: Tilmeldingsstatus]" caption="K: Tilmeldingsstatus" numFmtId="0" hierarchy="54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4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0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2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3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55998273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1.941879050923" createdVersion="5" refreshedVersion="8" minRefreshableVersion="3" recordCount="0" supportSubquery="1" supportAdvancedDrill="1" xr:uid="{DD1662C2-60CA-4A31-8F61-9F59A6349E44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Køn_d1].[K: Køn].[K: Køn]" caption="K: Køn" numFmtId="0" hierarchy="41" level="1">
      <sharedItems count="2">
        <s v="♂️ Herre"/>
        <s v="♀️ Dame" u="1"/>
      </sharedItems>
      <extLst>
        <ext xmlns:x15="http://schemas.microsoft.com/office/spreadsheetml/2010/11/main" uri="{4F2E5C28-24EA-4eb8-9CBF-B6C8F9C3D259}">
          <x15:cachedUniqueNames>
            <x15:cachedUniqueName index="0" name="[Køn_d1].[K: Køn].&amp;[♂️ Herre]"/>
            <x15:cachedUniqueName index="1" name="[Køn_d1].[K: Køn].&amp;[♀️ Dame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5" level="1">
      <sharedItems containsSemiMixedTypes="0" containsNonDate="0" containsString="0"/>
    </cacheField>
    <cacheField name="[Landsdel_d2].[K: Landsdel].[K: Landsdel]" caption="K: Landsdel" numFmtId="0" hierarchy="43" level="1">
      <sharedItems containsSemiMixedTypes="0" containsNonDate="0" containsString="0"/>
    </cacheField>
    <cacheField name="[Spillertype_d1].[K: Spillertype].[K: Spillertype]" caption="K: Spillertype" numFmtId="0" hierarchy="46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4" level="1">
      <sharedItems containsSemiMixedTypes="0" containsNonDate="0" containsString="0"/>
    </cacheField>
    <cacheField name="[Tilmeldingstype_d1].[K: Tilmeldingstype].[K: Tilmeldingstype]" caption="K: Tilmeldingstype" numFmtId="0" hierarchy="57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40" level="1">
      <sharedItems containsSemiMixedTypes="0" containsNonDate="0" containsString="0"/>
    </cacheField>
    <cacheField name="[Tilmeldingsstatus_d1].[K: Tilmeldingsstatus].[K: Tilmeldingsstatus]" caption="K: Tilmeldingsstatus" numFmtId="0" hierarchy="54" level="1">
      <sharedItems containsSemiMixedTypes="0" containsNonDate="0" containsString="0"/>
    </cacheField>
    <cacheField name="[Gentilmeldinger_d1].[K: Gentilmeldinger].[K: Gentilmeldinger]" caption="K: Gentilmeldinger" numFmtId="0" hierarchy="28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4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3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1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0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2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093682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1.941882523148" createdVersion="5" refreshedVersion="8" minRefreshableVersion="3" recordCount="0" supportSubquery="1" supportAdvancedDrill="1" xr:uid="{279DF962-426D-447F-A6E7-F1EC19AEFF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Tilmeldingstype_d1].[K: Tilmeldingstype].[K: Tilmeldingstype]" caption="K: Tilmeldingstype" numFmtId="0" hierarchy="57" level="1">
      <sharedItems count="2">
        <s v="✔️ Ordinær"/>
        <s v="🏃 Drive-in" u="1"/>
      </sharedItems>
      <extLst>
        <ext xmlns:x15="http://schemas.microsoft.com/office/spreadsheetml/2010/11/main" uri="{4F2E5C28-24EA-4eb8-9CBF-B6C8F9C3D259}">
          <x15:cachedUniqueNames>
            <x15:cachedUniqueName index="0" name="[Tilmeldingstype_d1].[K: Tilmeldingstype].&amp;[✔️ Ordinær]"/>
            <x15:cachedUniqueName index="1" name="[Tilmeldingstype_d1].[K: Tilmeldingstype].&amp;[🏃 Drive-in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5" level="1">
      <sharedItems containsSemiMixedTypes="0" containsNonDate="0" containsString="0"/>
    </cacheField>
    <cacheField name="[Landsdel_d2].[K: Landsdel].[K: Landsdel]" caption="K: Landsdel" numFmtId="0" hierarchy="43" level="1">
      <sharedItems containsSemiMixedTypes="0" containsNonDate="0" containsString="0"/>
    </cacheField>
    <cacheField name="[Køn_d1].[K: Køn].[K: Køn]" caption="K: Køn" numFmtId="0" hierarchy="41" level="1">
      <sharedItems containsSemiMixedTypes="0" containsNonDate="0" containsString="0"/>
    </cacheField>
    <cacheField name="[Spillertype_d1].[K: Spillertype].[K: Spillertype]" caption="K: Spillertype" numFmtId="0" hierarchy="46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4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40" level="1">
      <sharedItems containsSemiMixedTypes="0" containsNonDate="0" containsString="0"/>
    </cacheField>
    <cacheField name="[Tilmeldingsstatus_d1].[K: Tilmeldingsstatus].[K: Tilmeldingsstatus]" caption="K: Tilmeldingsstatus" numFmtId="0" hierarchy="54" level="1">
      <sharedItems containsSemiMixedTypes="0" containsNonDate="0" containsString="0"/>
    </cacheField>
    <cacheField name="[Gentilmeldinger_d1].[K: Gentilmeldinger].[K: Gentilmeldinger]" caption="K: Gentilmeldinger" numFmtId="0" hierarchy="28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4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3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1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2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70044547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1.941886111112" createdVersion="5" refreshedVersion="8" minRefreshableVersion="3" recordCount="0" supportSubquery="1" supportAdvancedDrill="1" xr:uid="{9AC16935-1118-405E-A038-7890BED1C47E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Billetsalg_pr_tilmelding_d1].[K: Billetsalg pr. tilmelding].[K: Billetsalg pr. tilmelding]" caption="K: Billetsalg pr. tilmelding" numFmtId="0" hierarchy="1" level="1">
      <sharedItems count="3">
        <s v="Billetsalg 1 stk."/>
        <s v="Billetsalg 2 stk."/>
        <s v="Billetsalg 3 stk." u="1"/>
      </sharedItems>
      <extLst>
        <ext xmlns:x15="http://schemas.microsoft.com/office/spreadsheetml/2010/11/main" uri="{4F2E5C28-24EA-4eb8-9CBF-B6C8F9C3D259}">
          <x15:cachedUniqueNames>
            <x15:cachedUniqueName index="0" name="[Billetsalg_pr_tilmelding_d1].[K: Billetsalg pr. tilmelding].&amp;[Billetsalg 1 stk.]"/>
            <x15:cachedUniqueName index="1" name="[Billetsalg_pr_tilmelding_d1].[K: Billetsalg pr. tilmelding].&amp;[Billetsalg 2 stk.]"/>
            <x15:cachedUniqueName index="2" name="[Billetsalg_pr_tilmelding_d1].[K: Billetsalg pr. tilmelding].&amp;[Billetsalg 3 stk.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5" level="1">
      <sharedItems containsSemiMixedTypes="0" containsNonDate="0" containsString="0"/>
    </cacheField>
    <cacheField name="[Landsdel_d2].[K: Landsdel].[K: Landsdel]" caption="K: Landsdel" numFmtId="0" hierarchy="43" level="1">
      <sharedItems containsSemiMixedTypes="0" containsNonDate="0" containsString="0"/>
    </cacheField>
    <cacheField name="[Køn_d1].[K: Køn].[K: Køn]" caption="K: Køn" numFmtId="0" hierarchy="41" level="1">
      <sharedItems containsSemiMixedTypes="0" containsNonDate="0" containsString="0"/>
    </cacheField>
    <cacheField name="[Spillertype_d1].[K: Spillertype].[K: Spillertype]" caption="K: Spillertype" numFmtId="0" hierarchy="46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4" level="1">
      <sharedItems containsSemiMixedTypes="0" containsNonDate="0" containsString="0"/>
    </cacheField>
    <cacheField name="[Tilmeldingstype_d1].[K: Tilmeldingstype].[K: Tilmeldingstype]" caption="K: Tilmeldingstype" numFmtId="0" hierarchy="57" level="1">
      <sharedItems containsSemiMixedTypes="0" containsNonDate="0" containsString="0"/>
    </cacheField>
    <cacheField name="[Klokkeslætsinterval_d1].[K: Klokkeslætsinterval].[K: Klokkeslætsinterval]" caption="K: Klokkeslætsinterval" numFmtId="0" hierarchy="40" level="1">
      <sharedItems containsSemiMixedTypes="0" containsNonDate="0" containsString="0"/>
    </cacheField>
    <cacheField name="[Tilmeldingsstatus_d1].[K: Tilmeldingsstatus].[K: Tilmeldingsstatus]" caption="K: Tilmeldingsstatus" numFmtId="0" hierarchy="54" level="1">
      <sharedItems containsSemiMixedTypes="0" containsNonDate="0" containsString="0"/>
    </cacheField>
    <cacheField name="[Gentilmeldinger_d1].[K: Gentilmeldinger].[K: Gentilmeldinger]" caption="K: Gentilmeldinger" numFmtId="0" hierarchy="28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4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3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1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2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7043527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1.941889467591" createdVersion="5" refreshedVersion="8" minRefreshableVersion="3" recordCount="0" supportSubquery="1" supportAdvancedDrill="1" xr:uid="{8FF1ABD6-F53E-4851-80A8-320F32D60DA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Spillertype_d1].[K: Spillertype].[K: Spillertype]" caption="K: Spillertype" numFmtId="0" hierarchy="46" level="1">
      <sharedItems count="2">
        <s v="🏓 Bordtennisspiller"/>
        <s v="👤 Ikke-bordtennisspiller"/>
      </sharedItems>
      <extLst>
        <ext xmlns:x15="http://schemas.microsoft.com/office/spreadsheetml/2010/11/main" uri="{4F2E5C28-24EA-4eb8-9CBF-B6C8F9C3D259}">
          <x15:cachedUniqueNames>
            <x15:cachedUniqueName index="0" name="[Spillertype_d1].[K: Spillertype].&amp;[🏓 Bordtennisspiller]"/>
            <x15:cachedUniqueName index="1" name="[Spillertype_d1].[K: Spillertype].&amp;[👤 Ikke-bordtennisspiller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5" level="1">
      <sharedItems containsSemiMixedTypes="0" containsNonDate="0" containsString="0"/>
    </cacheField>
    <cacheField name="[Landsdel_d2].[K: Landsdel].[K: Landsdel]" caption="K: Landsdel" numFmtId="0" hierarchy="43" level="1">
      <sharedItems containsSemiMixedTypes="0" containsNonDate="0" containsString="0"/>
    </cacheField>
    <cacheField name="[Køn_d1].[K: Køn].[K: Køn]" caption="K: Køn" numFmtId="0" hierarchy="41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4" level="1">
      <sharedItems containsSemiMixedTypes="0" containsNonDate="0" containsString="0"/>
    </cacheField>
    <cacheField name="[Tilmeldingstype_d1].[K: Tilmeldingstype].[K: Tilmeldingstype]" caption="K: Tilmeldingstype" numFmtId="0" hierarchy="57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40" level="1">
      <sharedItems containsSemiMixedTypes="0" containsNonDate="0" containsString="0"/>
    </cacheField>
    <cacheField name="[Tilmeldingsstatus_d1].[K: Tilmeldingsstatus].[K: Tilmeldingsstatus]" caption="K: Tilmeldingsstatus" numFmtId="0" hierarchy="54" level="1">
      <sharedItems containsSemiMixedTypes="0" containsNonDate="0" containsString="0"/>
    </cacheField>
    <cacheField name="[Gentilmeldinger_d1].[K: Gentilmeldinger].[K: Gentilmeldinger]" caption="K: Gentilmeldinger" numFmtId="0" hierarchy="28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4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3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1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0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2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443146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1.941892824078" createdVersion="5" refreshedVersion="8" minRefreshableVersion="3" recordCount="0" supportSubquery="1" supportAdvancedDrill="1" xr:uid="{D3F3A31F-E1C7-4416-836D-7548814C396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Measures].[👥 Tilmeldingsantal]" caption="👥 Tilmeldingsantal" numFmtId="0" hierarchy="136" level="32767"/>
    <cacheField name="[Ratinggruppe_d1].[K: Ratinggruppe].[K: Ratinggruppe]" caption="K: Ratinggruppe" numFmtId="0" hierarchy="44" level="1">
      <sharedItems count="2">
        <s v="[&gt;=2000] Elite"/>
        <s v="[&lt;=1999] Ikke-elite"/>
      </sharedItems>
      <extLst>
        <ext xmlns:x15="http://schemas.microsoft.com/office/spreadsheetml/2010/11/main" uri="{4F2E5C28-24EA-4eb8-9CBF-B6C8F9C3D259}">
          <x15:cachedUniqueNames>
            <x15:cachedUniqueName index="0" name="[Ratinggruppe_d1].[K: Ratinggruppe].&amp;[[&gt;=2000]] Elite]"/>
            <x15:cachedUniqueName index="1" name="[Ratinggruppe_d1].[K: Ratinggruppe].&amp;[[&lt;=1999]] Ikke-elite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5" level="1">
      <sharedItems containsSemiMixedTypes="0" containsNonDate="0" containsString="0"/>
    </cacheField>
    <cacheField name="[Landsdel_d2].[K: Landsdel].[K: Landsdel]" caption="K: Landsdel" numFmtId="0" hierarchy="43" level="1">
      <sharedItems containsSemiMixedTypes="0" containsNonDate="0" containsString="0"/>
    </cacheField>
    <cacheField name="[Køn_d1].[K: Køn].[K: Køn]" caption="K: Køn" numFmtId="0" hierarchy="41" level="1">
      <sharedItems containsSemiMixedTypes="0" containsNonDate="0" containsString="0"/>
    </cacheField>
    <cacheField name="[Spillertype_d1].[K: Spillertype].[K: Spillertype]" caption="K: Spillertype" numFmtId="0" hierarchy="46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Tilmeldingstype_d1].[K: Tilmeldingstype].[K: Tilmeldingstype]" caption="K: Tilmeldingstype" numFmtId="0" hierarchy="57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40" level="1">
      <sharedItems containsSemiMixedTypes="0" containsNonDate="0" containsString="0"/>
    </cacheField>
    <cacheField name="[Tilmeldingsstatus_d1].[K: Tilmeldingsstatus].[K: Tilmeldingsstatus]" caption="K: Tilmeldingsstatus" numFmtId="0" hierarchy="54" level="1">
      <sharedItems containsSemiMixedTypes="0" containsNonDate="0" containsString="0"/>
    </cacheField>
    <cacheField name="[Gentilmeldinger_d1].[K: Gentilmeldinger].[K: Gentilmeldinger]" caption="K: Gentilmeldinger" numFmtId="0" hierarchy="28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4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3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1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2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74093404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1.941896296295" createdVersion="5" refreshedVersion="8" minRefreshableVersion="3" recordCount="0" supportSubquery="1" supportAdvancedDrill="1" xr:uid="{5DB229D8-85DB-4BD8-8033-C92DFE0D9C5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Measures].[👥 Tilmeldingsantal]" caption="👥 Tilmeldingsantal" numFmtId="0" hierarchy="136" level="32767"/>
    <cacheField name="[Aldersgruppe_d1].[K: Aldersgruppe].[K: Aldersgruppe]" caption="K: Aldersgruppe" numFmtId="0" level="1">
      <sharedItems count="3">
        <s v="[&lt;=17] Ungdom"/>
        <s v="[&lt;=39] Senior"/>
        <s v="[&gt;=40] Veteran"/>
      </sharedItems>
      <extLst>
        <ext xmlns:x15="http://schemas.microsoft.com/office/spreadsheetml/2010/11/main" uri="{4F2E5C28-24EA-4eb8-9CBF-B6C8F9C3D259}">
          <x15:cachedUniqueNames>
            <x15:cachedUniqueName index="0" name="[Aldersgruppe_d1].[K: Aldersgruppe].&amp;[[&lt;=17]] Ungdom]"/>
            <x15:cachedUniqueName index="1" name="[Aldersgruppe_d1].[K: Aldersgruppe].&amp;[[&lt;=39]] Senior]"/>
            <x15:cachedUniqueName index="2" name="[Aldersgruppe_d1].[K: Aldersgruppe].&amp;[[&gt;=40]] Veteran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5" level="1">
      <sharedItems containsSemiMixedTypes="0" containsNonDate="0" containsString="0"/>
    </cacheField>
    <cacheField name="[Landsdel_d2].[K: Landsdel].[K: Landsdel]" caption="K: Landsdel" numFmtId="0" hierarchy="43" level="1">
      <sharedItems containsSemiMixedTypes="0" containsNonDate="0" containsString="0"/>
    </cacheField>
    <cacheField name="[Køn_d1].[K: Køn].[K: Køn]" caption="K: Køn" numFmtId="0" hierarchy="41" level="1">
      <sharedItems containsSemiMixedTypes="0" containsNonDate="0" containsString="0"/>
    </cacheField>
    <cacheField name="[Spillertype_d1].[K: Spillertype].[K: Spillertype]" caption="K: Spillertype" numFmtId="0" hierarchy="46" level="1">
      <sharedItems containsSemiMixedTypes="0" containsNonDate="0" containsString="0"/>
    </cacheField>
    <cacheField name="[Ratinggruppe_d1].[K: Ratinggruppe].[K: Ratinggruppe]" caption="K: Ratinggruppe" numFmtId="0" hierarchy="44" level="1">
      <sharedItems containsSemiMixedTypes="0" containsNonDate="0" containsString="0"/>
    </cacheField>
    <cacheField name="[Tilmeldingstype_d1].[K: Tilmeldingstype].[K: Tilmeldingstype]" caption="K: Tilmeldingstype" numFmtId="0" hierarchy="57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40" level="1">
      <sharedItems containsSemiMixedTypes="0" containsNonDate="0" containsString="0"/>
    </cacheField>
    <cacheField name="[Tilmeldingsstatus_d1].[K: Tilmeldingsstatus].[K: Tilmeldingsstatus]" caption="K: Tilmeldingsstatus" numFmtId="0" hierarchy="54" level="1">
      <sharedItems containsSemiMixedTypes="0" containsNonDate="0" containsString="0"/>
    </cacheField>
    <cacheField name="[Gentilmeldinger_d1].[K: Gentilmeldinger].[K: Gentilmeldinger]" caption="K: Gentilmeldinger" numFmtId="0" hierarchy="28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4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3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1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2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2999242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1.941899537036" createdVersion="5" refreshedVersion="8" minRefreshableVersion="3" recordCount="0" supportSubquery="1" supportAdvancedDrill="1" xr:uid="{F8979820-EA76-41A1-9D5D-1F2B85A7961C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Region_d2].[K: Region].[K: Region]" caption="K: Region" numFmtId="0" hierarchy="45" level="1">
      <sharedItems count="3">
        <s v="Region Nordjylland"/>
        <s v="Region Midtjylland"/>
        <s v="(Ukendt region)"/>
      </sharedItems>
      <extLst>
        <ext xmlns:x15="http://schemas.microsoft.com/office/spreadsheetml/2010/11/main" uri="{4F2E5C28-24EA-4eb8-9CBF-B6C8F9C3D259}">
          <x15:cachedUniqueNames>
            <x15:cachedUniqueName index="0" name="[Region_d2].[K: Region].&amp;[Region Nordjylland]"/>
            <x15:cachedUniqueName index="1" name="[Region_d2].[K: Region].&amp;[Region Midtjylland]"/>
            <x15:cachedUniqueName index="2" name="[Region_d2].[K: Region].&amp;[(Ukendt region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Landsdel_d2].[K: Landsdel].[K: Landsdel]" caption="K: Landsdel" numFmtId="0" hierarchy="43" level="1">
      <sharedItems containsSemiMixedTypes="0" containsNonDate="0" containsString="0"/>
    </cacheField>
    <cacheField name="[Køn_d1].[K: Køn].[K: Køn]" caption="K: Køn" numFmtId="0" hierarchy="41" level="1">
      <sharedItems containsSemiMixedTypes="0" containsNonDate="0" containsString="0"/>
    </cacheField>
    <cacheField name="[Spillertype_d1].[K: Spillertype].[K: Spillertype]" caption="K: Spillertype" numFmtId="0" hierarchy="46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4" level="1">
      <sharedItems containsSemiMixedTypes="0" containsNonDate="0" containsString="0"/>
    </cacheField>
    <cacheField name="[Tilmeldingstype_d1].[K: Tilmeldingstype].[K: Tilmeldingstype]" caption="K: Tilmeldingstype" numFmtId="0" hierarchy="57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40" level="1">
      <sharedItems containsSemiMixedTypes="0" containsNonDate="0" containsString="0"/>
    </cacheField>
    <cacheField name="[Tilmeldingsstatus_d1].[K: Tilmeldingsstatus].[K: Tilmeldingsstatus]" caption="K: Tilmeldingsstatus" numFmtId="0" hierarchy="54" level="1">
      <sharedItems containsSemiMixedTypes="0" containsNonDate="0" containsString="0"/>
    </cacheField>
    <cacheField name="[Gentilmeldinger_d1].[K: Gentilmeldinger].[K: Gentilmeldinger]" caption="K: Gentilmeldinger" numFmtId="0" hierarchy="28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4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3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1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5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4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0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2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4719225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1.941903472223" createdVersion="5" refreshedVersion="8" minRefreshableVersion="3" recordCount="0" supportSubquery="1" supportAdvancedDrill="1" xr:uid="{11EA0C68-D874-40B1-9E98-33C987727D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Measures].[👥 Tilmeldingsantal]" caption="👥 Tilmeldingsantal" numFmtId="0" hierarchy="136" level="32767"/>
    <cacheField name="[Kalender].[K: Uge].[K: Uge]" caption="K: Uge" numFmtId="0" hierarchy="39" level="1">
      <sharedItems count="8">
        <s v="Uge 11"/>
        <s v="Uge 12"/>
        <s v="Uge 13"/>
        <s v="Uge 14"/>
        <s v="Uge 15"/>
        <s v="Uge 17"/>
        <s v="Uge 18"/>
        <s v="Uge 19"/>
      </sharedItems>
      <extLst>
        <ext xmlns:x15="http://schemas.microsoft.com/office/spreadsheetml/2010/11/main" uri="{4F2E5C28-24EA-4eb8-9CBF-B6C8F9C3D259}">
          <x15:cachedUniqueNames>
            <x15:cachedUniqueName index="0" name="[Kalender].[K: Uge].&amp;[Uge 11]"/>
            <x15:cachedUniqueName index="1" name="[Kalender].[K: Uge].&amp;[Uge 12]"/>
            <x15:cachedUniqueName index="2" name="[Kalender].[K: Uge].&amp;[Uge 13]"/>
            <x15:cachedUniqueName index="3" name="[Kalender].[K: Uge].&amp;[Uge 14]"/>
            <x15:cachedUniqueName index="4" name="[Kalender].[K: Uge].&amp;[Uge 15]"/>
            <x15:cachedUniqueName index="5" name="[Kalender].[K: Uge].&amp;[Uge 17]"/>
            <x15:cachedUniqueName index="6" name="[Kalender].[K: Uge].&amp;[Uge 18]"/>
            <x15:cachedUniqueName index="7" name="[Kalender].[K: Uge].&amp;[Uge 19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5" level="1">
      <sharedItems containsSemiMixedTypes="0" containsNonDate="0" containsString="0"/>
    </cacheField>
    <cacheField name="[Landsdel_d2].[K: Landsdel].[K: Landsdel]" caption="K: Landsdel" numFmtId="0" hierarchy="43" level="1">
      <sharedItems containsSemiMixedTypes="0" containsNonDate="0" containsString="0"/>
    </cacheField>
    <cacheField name="[Køn_d1].[K: Køn].[K: Køn]" caption="K: Køn" numFmtId="0" hierarchy="41" level="1">
      <sharedItems containsSemiMixedTypes="0" containsNonDate="0" containsString="0"/>
    </cacheField>
    <cacheField name="[Spillertype_d1].[K: Spillertype].[K: Spillertype]" caption="K: Spillertype" numFmtId="0" hierarchy="46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4" level="1">
      <sharedItems containsSemiMixedTypes="0" containsNonDate="0" containsString="0"/>
    </cacheField>
    <cacheField name="[Tilmeldingstype_d1].[K: Tilmeldingstype].[K: Tilmeldingstype]" caption="K: Tilmeldingstype" numFmtId="0" hierarchy="57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40" level="1">
      <sharedItems containsSemiMixedTypes="0" containsNonDate="0" containsString="0"/>
    </cacheField>
    <cacheField name="[Tilmeldingsstatus_d1].[K: Tilmeldingsstatus].[K: Tilmeldingsstatus]" caption="K: Tilmeldingsstatus" numFmtId="0" hierarchy="54" level="1">
      <sharedItems containsSemiMixedTypes="0" containsNonDate="0" containsString="0"/>
    </cacheField>
    <cacheField name="[Gentilmeldinger_d1].[K: Gentilmeldinger].[K: Gentilmeldinger]" caption="K: Gentilmeldinger" numFmtId="0" hierarchy="28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  <cacheField name="Dummy0" numFmtId="0" hierarchy="18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5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4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>
      <fieldsUsage count="2">
        <fieldUsage x="-1"/>
        <fieldUsage x="1"/>
      </fieldsUsage>
    </cacheHierarchy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2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3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  <cacheHierarchy uniqueName="Dummy0" caption="K: Aldersgrupp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3768050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1.941906944441" createdVersion="5" refreshedVersion="8" minRefreshableVersion="3" recordCount="0" supportSubquery="1" supportAdvancedDrill="1" xr:uid="{E242B6F6-6DA2-4ED8-81EE-2752F2DB8226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Landsdel_d2].[K: Landsdel].[K: Landsdel]" caption="K: Landsdel" numFmtId="0" hierarchy="43" level="1">
      <sharedItems count="2">
        <s v="Jylland"/>
        <s v="(Ukendt landsdel)"/>
      </sharedItems>
      <extLst>
        <ext xmlns:x15="http://schemas.microsoft.com/office/spreadsheetml/2010/11/main" uri="{4F2E5C28-24EA-4eb8-9CBF-B6C8F9C3D259}">
          <x15:cachedUniqueNames>
            <x15:cachedUniqueName index="0" name="[Landsdel_d2].[K: Landsdel].&amp;[Jylland]"/>
            <x15:cachedUniqueName index="1" name="[Landsdel_d2].[K: Landsdel].&amp;[(Ukendt landsdel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5" level="1">
      <sharedItems containsSemiMixedTypes="0" containsNonDate="0" containsString="0"/>
    </cacheField>
    <cacheField name="[Køn_d1].[K: Køn].[K: Køn]" caption="K: Køn" numFmtId="0" hierarchy="41" level="1">
      <sharedItems containsSemiMixedTypes="0" containsNonDate="0" containsString="0"/>
    </cacheField>
    <cacheField name="[Spillertype_d1].[K: Spillertype].[K: Spillertype]" caption="K: Spillertype" numFmtId="0" hierarchy="46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4" level="1">
      <sharedItems containsSemiMixedTypes="0" containsNonDate="0" containsString="0"/>
    </cacheField>
    <cacheField name="[Tilmeldingstype_d1].[K: Tilmeldingstype].[K: Tilmeldingstype]" caption="K: Tilmeldingstype" numFmtId="0" hierarchy="57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40" level="1">
      <sharedItems containsSemiMixedTypes="0" containsNonDate="0" containsString="0"/>
    </cacheField>
    <cacheField name="[Tilmeldingsstatus_d1].[K: Tilmeldingsstatus].[K: Tilmeldingsstatus]" caption="K: Tilmeldingsstatus" numFmtId="0" hierarchy="54" level="1">
      <sharedItems containsSemiMixedTypes="0" containsNonDate="0" containsString="0"/>
    </cacheField>
    <cacheField name="[Gentilmeldinger_d1].[K: Gentilmeldinger].[K: Gentilmeldinger]" caption="K: Gentilmeldinger" numFmtId="0" hierarchy="28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4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3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1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5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2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4676043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1.94191134259" createdVersion="5" refreshedVersion="8" minRefreshableVersion="3" recordCount="0" supportSubquery="1" supportAdvancedDrill="1" xr:uid="{68F56D76-71E7-40D8-B56D-7B20F68071E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8"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🎫 Billetsalg afbud]" caption="🎫 Billetsalg afbud" numFmtId="0" hierarchy="158" level="32767"/>
    <cacheField name="[Event_år_d2].[K: Event &amp; år].[K: Event &amp; år]" caption="K: Event &amp; år" numFmtId="0" hierarchy="27" level="1">
      <sharedItems containsSemiMixedTypes="0" containsNonDate="0" containsString="0"/>
    </cacheField>
    <cacheField name="[Billettype_d2].[K: Billettype emoji].[K: Billettype emoji]" caption="K: Billettype emoji" numFmtId="0" hierarchy="3" level="1">
      <sharedItems count="2">
        <s v="🏓"/>
        <s v="🥳"/>
      </sharedItems>
      <extLst>
        <ext xmlns:x15="http://schemas.microsoft.com/office/spreadsheetml/2010/11/main" uri="{4F2E5C28-24EA-4eb8-9CBF-B6C8F9C3D259}">
          <x15:cachedUniqueNames>
            <x15:cachedUniqueName index="0" name="[Billettype_d2].[K: Billettype emoji].&amp;[🏓]"/>
            <x15:cachedUniqueName index="1" name="[Billettype_d2].[K: Billettype emoji].&amp;[🥳]"/>
          </x15:cachedUniqueNames>
        </ext>
      </extLst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5" level="1">
      <sharedItems containsSemiMixedTypes="0" containsNonDate="0" containsString="0"/>
    </cacheField>
    <cacheField name="[Landsdel_d2].[K: Landsdel].[K: Landsdel]" caption="K: Landsdel" numFmtId="0" hierarchy="43" level="1">
      <sharedItems containsSemiMixedTypes="0" containsNonDate="0" containsString="0"/>
    </cacheField>
    <cacheField name="[Køn_d1].[K: Køn].[K: Køn]" caption="K: Køn" numFmtId="0" hierarchy="41" level="1">
      <sharedItems containsSemiMixedTypes="0" containsNonDate="0" containsString="0"/>
    </cacheField>
    <cacheField name="[Spillertype_d1].[K: Spillertype].[K: Spillertype]" caption="K: Spillertype" numFmtId="0" hierarchy="46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4" level="1">
      <sharedItems containsSemiMixedTypes="0" containsNonDate="0" containsString="0"/>
    </cacheField>
    <cacheField name="[Tilmeldingstype_d1].[K: Tilmeldingstype].[K: Tilmeldingstype]" caption="K: Tilmeldingstype" numFmtId="0" hierarchy="57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40" level="1">
      <sharedItems containsSemiMixedTypes="0" containsNonDate="0" containsString="0"/>
    </cacheField>
    <cacheField name="[Tilmeldingsstatus_d1].[K: Tilmeldingsstatus].[K: Tilmeldingsstatus]" caption="K: Tilmeldingsstatus" numFmtId="0" hierarchy="54" level="1">
      <sharedItems containsSemiMixedTypes="0" containsNonDate="0" containsString="0"/>
    </cacheField>
    <cacheField name="[Gentilmeldinger_d1].[K: Gentilmeldinger].[K: Gentilmeldinger]" caption="K: Gentilmeldinger" numFmtId="0" hierarchy="28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0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3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7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4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5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6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4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8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7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6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9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5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2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0"/>
      </fieldsUsage>
    </cacheHierarchy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 oneField="1">
      <fieldsUsage count="1">
        <fieldUsage x="2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1846320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1.941915046293" createdVersion="5" refreshedVersion="8" minRefreshableVersion="3" recordCount="0" supportSubquery="1" supportAdvancedDrill="1" xr:uid="{A9F9864F-6AE8-44CE-A22B-4D8AFC6E232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Measures].[👥 Tilmeldingsantal]" caption="👥 Tilmeldingsantal" numFmtId="0" hierarchy="136" level="32767"/>
    <cacheField name="[Bordtennisklub_d1].[K: Bordtennisklub].[K: Bordtennisklub]" caption="K: Bordtennisklub" numFmtId="0" hierarchy="4" level="1">
      <sharedItems count="11">
        <s v="BTK Tateni"/>
        <s v="BTK Viby"/>
        <s v="Hørning BTK"/>
        <s v="Rønde BTK"/>
        <s v="Silkeborg BTK"/>
        <s v="Sisu/MBK"/>
        <s v="Sjørring BTK"/>
        <s v="SKF"/>
        <s v="Team Nørreå"/>
        <s v="Aarhus Bordtennis"/>
        <s v="(Udlandet)"/>
      </sharedItems>
      <extLst>
        <ext xmlns:x15="http://schemas.microsoft.com/office/spreadsheetml/2010/11/main" uri="{4F2E5C28-24EA-4eb8-9CBF-B6C8F9C3D259}">
          <x15:cachedUniqueNames>
            <x15:cachedUniqueName index="0" name="[Bordtennisklub_d1].[K: Bordtennisklub].&amp;[BTK Tateni]"/>
            <x15:cachedUniqueName index="1" name="[Bordtennisklub_d1].[K: Bordtennisklub].&amp;[BTK Viby]"/>
            <x15:cachedUniqueName index="2" name="[Bordtennisklub_d1].[K: Bordtennisklub].&amp;[Hørning BTK]"/>
            <x15:cachedUniqueName index="3" name="[Bordtennisklub_d1].[K: Bordtennisklub].&amp;[Rønde BTK]"/>
            <x15:cachedUniqueName index="4" name="[Bordtennisklub_d1].[K: Bordtennisklub].&amp;[Silkeborg BTK]"/>
            <x15:cachedUniqueName index="5" name="[Bordtennisklub_d1].[K: Bordtennisklub].&amp;[Sisu/MBK]"/>
            <x15:cachedUniqueName index="6" name="[Bordtennisklub_d1].[K: Bordtennisklub].&amp;[Sjørring BTK]"/>
            <x15:cachedUniqueName index="7" name="[Bordtennisklub_d1].[K: Bordtennisklub].&amp;[SKF]"/>
            <x15:cachedUniqueName index="8" name="[Bordtennisklub_d1].[K: Bordtennisklub].&amp;[Team Nørreå]"/>
            <x15:cachedUniqueName index="9" name="[Bordtennisklub_d1].[K: Bordtennisklub].&amp;[Aarhus Bordtennis]"/>
            <x15:cachedUniqueName index="10" name="[Bordtennisklub_d1].[K: Bordtennisklub].&amp;[(Udlandet)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  <cacheField name="[Region_d2].[K: Region].[K: Region]" caption="K: Region" numFmtId="0" hierarchy="45" level="1">
      <sharedItems containsSemiMixedTypes="0" containsNonDate="0" containsString="0"/>
    </cacheField>
    <cacheField name="[Landsdel_d2].[K: Landsdel].[K: Landsdel]" caption="K: Landsdel" numFmtId="0" hierarchy="43" level="1">
      <sharedItems containsSemiMixedTypes="0" containsNonDate="0" containsString="0"/>
    </cacheField>
    <cacheField name="[Køn_d1].[K: Køn].[K: Køn]" caption="K: Køn" numFmtId="0" hierarchy="41" level="1">
      <sharedItems containsSemiMixedTypes="0" containsNonDate="0" containsString="0"/>
    </cacheField>
    <cacheField name="[Spillertype_d1].[K: Spillertype].[K: Spillertype]" caption="K: Spillertype" numFmtId="0" hierarchy="46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4" level="1">
      <sharedItems containsSemiMixedTypes="0" containsNonDate="0" containsString="0"/>
    </cacheField>
    <cacheField name="[Tilmeldingstype_d1].[K: Tilmeldingstype].[K: Tilmeldingstype]" caption="K: Tilmeldingstype" numFmtId="0" hierarchy="57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40" level="1">
      <sharedItems containsSemiMixedTypes="0" containsNonDate="0" containsString="0"/>
    </cacheField>
    <cacheField name="[Tilmeldingsstatus_d1].[K: Tilmeldingsstatus].[K: Tilmeldingsstatus]" caption="K: Tilmeldingsstatus" numFmtId="0" hierarchy="54" level="1">
      <sharedItems containsSemiMixedTypes="0" containsNonDate="0" containsString="0"/>
    </cacheField>
    <cacheField name="[Gentilmeldinger_d1].[K: Gentilmeldinger].[K: Gentilmeldinger]" caption="K: Gentilmeldinger" numFmtId="0" hierarchy="28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4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3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1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5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4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3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2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149931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1.941918634257" createdVersion="5" refreshedVersion="8" minRefreshableVersion="3" recordCount="0" supportSubquery="1" supportAdvancedDrill="1" xr:uid="{38488E03-325E-427F-A526-60E90893B24A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Klokkeslætsinterval_d1].[K: Klokkeslætsinterval].[K: Klokkeslætsinterval]" caption="K: Klokkeslætsinterval" numFmtId="0" hierarchy="40" level="1">
      <sharedItems count="2">
        <s v="[&gt;=18] Aften"/>
        <s v="[&gt;=00] Øvrig"/>
      </sharedItems>
      <extLst>
        <ext xmlns:x15="http://schemas.microsoft.com/office/spreadsheetml/2010/11/main" uri="{4F2E5C28-24EA-4eb8-9CBF-B6C8F9C3D259}">
          <x15:cachedUniqueNames>
            <x15:cachedUniqueName index="0" name="[Klokkeslætsinterval_d1].[K: Klokkeslætsinterval].&amp;[[&gt;=18]] Aften]"/>
            <x15:cachedUniqueName index="1" name="[Klokkeslætsinterval_d1].[K: Klokkeslætsinterval].&amp;[[&gt;=00]] Øvri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5" level="1">
      <sharedItems containsSemiMixedTypes="0" containsNonDate="0" containsString="0"/>
    </cacheField>
    <cacheField name="[Landsdel_d2].[K: Landsdel].[K: Landsdel]" caption="K: Landsdel" numFmtId="0" hierarchy="43" level="1">
      <sharedItems containsSemiMixedTypes="0" containsNonDate="0" containsString="0"/>
    </cacheField>
    <cacheField name="[Køn_d1].[K: Køn].[K: Køn]" caption="K: Køn" numFmtId="0" hierarchy="41" level="1">
      <sharedItems containsSemiMixedTypes="0" containsNonDate="0" containsString="0"/>
    </cacheField>
    <cacheField name="[Spillertype_d1].[K: Spillertype].[K: Spillertype]" caption="K: Spillertype" numFmtId="0" hierarchy="46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4" level="1">
      <sharedItems containsSemiMixedTypes="0" containsNonDate="0" containsString="0"/>
    </cacheField>
    <cacheField name="[Tilmeldingstype_d1].[K: Tilmeldingstype].[K: Tilmeldingstype]" caption="K: Tilmeldingstype" numFmtId="0" hierarchy="57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Tilmeldingsstatus_d1].[K: Tilmeldingsstatus].[K: Tilmeldingsstatus]" caption="K: Tilmeldingsstatus" numFmtId="0" hierarchy="54" level="1">
      <sharedItems containsSemiMixedTypes="0" containsNonDate="0" containsString="0"/>
    </cacheField>
    <cacheField name="[Gentilmeldinger_d1].[K: Gentilmeldinger].[K: Gentilmeldinger]" caption="K: Gentilmeldinger" numFmtId="0" hierarchy="28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4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3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0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2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919797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1.941922106482" createdVersion="5" refreshedVersion="8" minRefreshableVersion="3" recordCount="0" supportSubquery="1" supportAdvancedDrill="1" xr:uid="{8E39FEBF-F94B-4706-BDD0-3131F488D41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6">
    <cacheField name="[Measures].[👥 Tilmeldingsantal (inkl. afbud)]" caption="👥 Tilmeldingsantal (inkl. afbud)" numFmtId="0" hierarchy="155" level="32767"/>
    <cacheField name="[Tilmeldingsstatus_d1].[K: Tilmeldingsstatus simpel].[K: Tilmeldingsstatus simpel]" caption="K: Tilmeldingsstatus simpel" numFmtId="0" hierarchy="56" level="1">
      <sharedItems count="2">
        <s v="✔️ Tilmeldt"/>
        <s v="❌ Afbud" u="1"/>
      </sharedItems>
      <extLst>
        <ext xmlns:x15="http://schemas.microsoft.com/office/spreadsheetml/2010/11/main" uri="{4F2E5C28-24EA-4eb8-9CBF-B6C8F9C3D259}">
          <x15:cachedUniqueNames>
            <x15:cachedUniqueName index="0" name="[Tilmeldingsstatus_d1].[K: Tilmeldingsstatus simpel].&amp;[✔️ Tilmeldt]"/>
            <x15:cachedUniqueName index="1" name="[Tilmeldingsstatus_d1].[K: Tilmeldingsstatus simpel].&amp;[❌ Afbud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45" level="1">
      <sharedItems containsSemiMixedTypes="0" containsNonDate="0" containsString="0"/>
    </cacheField>
    <cacheField name="[Landsdel_d2].[K: Landsdel].[K: Landsdel]" caption="K: Landsdel" numFmtId="0" hierarchy="43" level="1">
      <sharedItems containsSemiMixedTypes="0" containsNonDate="0" containsString="0"/>
    </cacheField>
    <cacheField name="[Køn_d1].[K: Køn].[K: Køn]" caption="K: Køn" numFmtId="0" hierarchy="41" level="1">
      <sharedItems containsSemiMixedTypes="0" containsNonDate="0" containsString="0"/>
    </cacheField>
    <cacheField name="[Spillertype_d1].[K: Spillertype].[K: Spillertype]" caption="K: Spillertype" numFmtId="0" hierarchy="46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44" level="1">
      <sharedItems containsSemiMixedTypes="0" containsNonDate="0" containsString="0"/>
    </cacheField>
    <cacheField name="[Tilmeldingstype_d1].[K: Tilmeldingstype].[K: Tilmeldingstype]" caption="K: Tilmeldingstype" numFmtId="0" hierarchy="57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lokkeslætsinterval_d1].[K: Klokkeslætsinterval].[K: Klokkeslætsinterval]" caption="K: Klokkeslætsinterval" numFmtId="0" hierarchy="40" level="1">
      <sharedItems containsSemiMixedTypes="0" containsNonDate="0" containsString="0"/>
    </cacheField>
    <cacheField name="[Tilmeldingsstatus_d1].[K: Tilmeldingsstatus].[K: Tilmeldingsstatus]" caption="K: Tilmeldingsstatus" numFmtId="0" hierarchy="54" level="1">
      <sharedItems containsSemiMixedTypes="0" containsNonDate="0" containsString="0"/>
    </cacheField>
    <cacheField name="[Gentilmeldinger_d1].[K: Gentilmeldinger].[K: Gentilmeldinger]" caption="K: Gentilmeldinger" numFmtId="0" hierarchy="28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5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4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2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3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>
      <fieldsUsage count="2">
        <fieldUsage x="-1"/>
        <fieldUsage x="1"/>
      </fieldsUsage>
    </cacheHierarchy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 oneField="1">
      <fieldsUsage count="1">
        <fieldUsage x="0"/>
      </fieldsUsage>
    </cacheHierarchy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544024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99356-25BB-478F-8100-0FC465EEB3B1}" name="PivotChartTable9" cacheId="62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3" firstHeaderRow="1" firstDataRow="1" firstDataCol="1"/>
  <pivotFields count="16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2">
    <i>
      <x/>
    </i>
    <i t="grand">
      <x/>
    </i>
  </rowItems>
  <colItems count="1">
    <i/>
  </colItems>
  <dataFields count="1">
    <dataField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2" columnCount="1" cacheId="1354402406">
        <x15:pivotRow count="1">
          <x15:c>
            <x15:v>25</x15:v>
            <x15:x in="0"/>
          </x15:c>
        </x15:pivotRow>
        <x15:pivotRow count="1">
          <x15:c>
            <x15:v>25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status_d1]"/>
        <x15:activeTabTopLevelEntity name="[Kalender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Event_år_billettype_d1]"/>
        <x15:activeTabTopLevelEntity name="[Billetsalg_pr_tilmelding_d1]"/>
        <x15:activeTabTopLevelEntity name="[Tilmeldingstype_d1]"/>
        <x15:activeTabTopLevelEntity name="[Gentilmeldinger_d1]"/>
        <x15:activeTabTopLevelEntity name="[Klokkeslætsinterval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048AD-A2D4-46A6-BF82-190673A11D09}" name="PivotChartTable13" cacheId="623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5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91979718">
        <x15:pivotRow count="1">
          <x15:c>
            <x15:v>14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25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lokkeslætsinterval_d1]"/>
        <x15:activeTabTopLevelEntity name="[Tilmeldinger_1f]"/>
        <x15:activeTabTopLevelEntity name="[Deltager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Kalender]"/>
        <x15:activeTabTopLevelEntity name="[Tilmeldingstype_d1]"/>
        <x15:activeTabTopLevelEntity name="[Billetsalg_pr_tilmelding_d1]"/>
        <x15:activeTabTopLevelEntity name="[Event_år_billettype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E5176-DDB6-4D07-AA12-F7198246CA46}" name="PivotChartTable5" cacheId="590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3" firstHeaderRow="1" firstDataRow="1" firstDataCol="1"/>
  <pivotFields count="15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2" columnCount="1" cacheId="1809368291">
        <x15:pivotRow count="1">
          <x15:c>
            <x15:v>25</x15:v>
            <x15:x in="0"/>
          </x15:c>
        </x15:pivotRow>
        <x15:pivotRow count="1">
          <x15:c>
            <x15:v>25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øn_d1]"/>
        <x15:activeTabTopLevelEntity name="[Tilmeldinger_1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1E9FD-78D3-47C0-A81C-9E49EB35764E}" name="PivotChartTable2" cacheId="593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3" firstHeaderRow="1" firstDataRow="1" firstDataCol="1"/>
  <pivotFields count="15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2" columnCount="1" cacheId="1700445470">
        <x15:pivotRow count="1">
          <x15:c>
            <x15:v>25</x15:v>
            <x15:x in="0"/>
          </x15:c>
        </x15:pivotRow>
        <x15:pivotRow count="1">
          <x15:c>
            <x15:v>25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Event_år_billettype_d1]"/>
        <x15:activeTabTopLevelEntity name="[Billetsalg_pr_tilmelding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0" cacheId="620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B13" firstHeaderRow="1" firstDataRow="1" firstDataCol="1"/>
  <pivotFields count="15">
    <pivotField dataField="1" subtotalTop="0" showAll="0" defaultSubtotal="0"/>
    <pivotField axis="axisRow" allDrilled="1" subtotalTop="0" showAll="0" sortType="descending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12">
    <i>
      <x v="2"/>
    </i>
    <i>
      <x v="5"/>
    </i>
    <i>
      <x v="9"/>
    </i>
    <i>
      <x v="1"/>
    </i>
    <i>
      <x v="8"/>
    </i>
    <i>
      <x v="7"/>
    </i>
    <i>
      <x v="3"/>
    </i>
    <i>
      <x v="4"/>
    </i>
    <i>
      <x v="10"/>
    </i>
    <i>
      <x/>
    </i>
    <i>
      <x v="6"/>
    </i>
    <i t="grand">
      <x/>
    </i>
  </rowItems>
  <colItems count="1">
    <i/>
  </colItems>
  <dataFields count="1">
    <dataField fld="0" subtotal="count" baseField="0" baseItem="0"/>
  </dataFields>
  <chartFormats count="9">
    <chartFormat chart="16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2" columnCount="1" cacheId="1314993199">
        <x15:pivotRow count="1">
          <x15:c>
            <x15:v>10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25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Bordtennisklub_d1]"/>
        <x15:activeTabTopLevelEntity name="[Landsdel_d2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1" cacheId="61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6">
  <location ref="A1:D4" firstHeaderRow="0" firstDataRow="1" firstDataCol="1"/>
  <pivotFields count="18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chartFormats count="20">
    <chartFormat chart="1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6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3">
        <x15:serverFormat format="#,0"/>
        <x15:serverFormat format="0"/>
        <x15:serverFormat format=""/>
      </x15:pivotTableServerFormats>
    </ext>
    <ext xmlns:x15="http://schemas.microsoft.com/office/spreadsheetml/2010/11/main" uri="{44433962-1CF7-4059-B4EE-95C3D5FFCF73}">
      <x15:pivotTableData rowCount="3" columnCount="3" cacheId="2018463201">
        <x15:pivotRow count="3">
          <x15:c>
            <x15:v>24</x15:v>
            <x15:x in="0"/>
          </x15:c>
          <x15:c>
            <x15:v>72</x15:v>
            <x15:x in="1"/>
          </x15:c>
          <x15:c t="e">
            <x15:v/>
            <x15:x in="2"/>
          </x15:c>
        </x15:pivotRow>
        <x15:pivotRow count="3">
          <x15:c>
            <x15:v>15</x15:v>
            <x15:x in="0"/>
          </x15:c>
          <x15:c>
            <x15:v>135</x15:v>
            <x15:x in="1"/>
          </x15:c>
          <x15:c t="e">
            <x15:v/>
            <x15:x in="2"/>
          </x15:c>
        </x15:pivotRow>
        <x15:pivotRow count="3">
          <x15:c>
            <x15:v>39</x15:v>
            <x15:x in="0"/>
          </x15:c>
          <x15:c>
            <x15:v>207</x15:v>
            <x15:x in="1"/>
          </x15:c>
          <x15:c t="e">
            <x15:v/>
            <x15:x in="2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2" cacheId="61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5">
  <location ref="A1:B4" firstHeaderRow="1" firstDataRow="1" firstDataCol="1"/>
  <pivotFields count="15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1">
    <chartFormat chart="31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846760434">
        <x15:pivotRow count="1">
          <x15:c>
            <x15:v>24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25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5" cacheId="611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C10" firstHeaderRow="0" firstDataRow="1" firstDataCol="1"/>
  <pivotFields count="17">
    <pivotField dataField="1" subtotalTop="0" showAll="0" defaultSubtotal="0"/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👥 Tilmeldingsantal2" fld="16" subtotal="count" baseField="0" baseItem="0">
      <extLst>
        <ext xmlns:x14="http://schemas.microsoft.com/office/spreadsheetml/2009/9/main" uri="{E15A36E0-9728-4e99-A89B-3F7291B0FE68}">
          <x14:dataField sourceField="0" uniqueName="[__Xl2].[Measures].[👥 Tilmeldingsantal]"/>
        </ext>
      </extLst>
    </dataField>
  </dataFields>
  <chartFormats count="4">
    <chartFormat chart="20" format="3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90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rowHierarchiesUsage count="1">
    <rowHierarchyUsage hierarchyUsage="3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9" columnCount="2" cacheId="376805023"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2</x15:v>
            <x15:x in="0"/>
          </x15:c>
          <x15:c>
            <x15:v>2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25</x15:v>
            <x15:x in="0"/>
          </x15:c>
          <x15:c>
            <x15:v>25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4" cacheId="608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9">
  <location ref="A1:B5" firstHeaderRow="1" firstDataRow="1" firstDataCol="1"/>
  <pivotFields count="15">
    <pivotField axis="axisRow" allDrilled="1" subtotalTop="0" showAll="0" sortType="descending" dataSourceSort="1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 v="1"/>
    </i>
    <i>
      <x/>
    </i>
    <i>
      <x v="2"/>
    </i>
    <i t="grand">
      <x/>
    </i>
  </rowItems>
  <colItems count="1">
    <i/>
  </colItems>
  <dataFields count="1">
    <dataField fld="1" subtotal="count" baseField="0" baseItem="0"/>
  </dataFields>
  <chartFormats count="1">
    <chartFormat chart="38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147192258">
        <x15:pivotRow count="1">
          <x15:c>
            <x15:v>22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25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6" cacheId="60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1">
  <location ref="A1:B5" firstHeaderRow="1" firstDataRow="1" firstDataCol="1"/>
  <pivotFields count="15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9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29992427">
        <x15:pivotRow count="1">
          <x15:c>
            <x15:v>2</x15:v>
            <x15:x in="0"/>
          </x15:c>
        </x15:pivotRow>
        <x15:pivotRow count="1">
          <x15:c>
            <x15:v>13</x15:v>
            <x15:x in="0"/>
          </x15:c>
        </x15:pivotRow>
        <x15:pivotRow count="1">
          <x15:c>
            <x15:v>10</x15:v>
            <x15:x in="0"/>
          </x15:c>
        </x15:pivotRow>
        <x15:pivotRow count="1">
          <x15:c>
            <x15:v>25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7" cacheId="602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0">
  <location ref="A1:B4" firstHeaderRow="1" firstDataRow="1" firstDataCol="1"/>
  <pivotFields count="15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11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2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740934046">
        <x15:pivotRow count="1">
          <x15:c>
            <x15:v>1</x15:v>
            <x15:x in="0"/>
          </x15:c>
        </x15:pivotRow>
        <x15:pivotRow count="1">
          <x15:c>
            <x15:v>24</x15:v>
            <x15:x in="0"/>
          </x15:c>
        </x15:pivotRow>
        <x15:pivotRow count="1">
          <x15:c>
            <x15:v>25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Tilvalg_d2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8" cacheId="599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7">
  <location ref="A1:B4" firstHeaderRow="1" firstDataRow="1" firstDataCol="1"/>
  <pivotFields count="15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5">
    <chartFormat chart="33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44314655">
        <x15:pivotRow count="1">
          <x15:c>
            <x15:v>23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25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6345E-5BA7-407A-A9DA-A94A9CD76514}" name="PivotChartTable1" cacheId="59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5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70435273">
        <x15:pivotRow count="1">
          <x15:c>
            <x15:v>11</x15:v>
            <x15:x in="0"/>
          </x15:c>
        </x15:pivotRow>
        <x15:pivotRow count="1">
          <x15:c>
            <x15:v>14</x15:v>
            <x15:x in="0"/>
          </x15:c>
        </x15:pivotRow>
        <x15:pivotRow count="1">
          <x15:c>
            <x15:v>25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Billetsalg_pr_tilmelding_d1]"/>
        <x15:activeTabTopLevelEntity name="[Tilmeldinger_1f]"/>
        <x15:activeTabTopLevelEntity name="[Event_år_billet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Tilmeldingstyp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EA279-01A4-4FB4-8D11-B85AF2D3E9A2}" name="PivotChartTable3" cacheId="58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5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559982739">
        <x15:pivotRow count="1">
          <x15:c>
            <x15:v>17</x15:v>
            <x15:x in="0"/>
          </x15:c>
        </x15:pivotRow>
        <x15:pivotRow count="1">
          <x15:c>
            <x15:v>8</x15:v>
            <x15:x in="0"/>
          </x15:c>
        </x15:pivotRow>
        <x15:pivotRow count="1">
          <x15:c>
            <x15:v>25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Tilmeldingstype_d1]"/>
        <x15:activeTabTopLevelEntity name="[Billetsalg_pr_tilmelding_d1]"/>
        <x15:activeTabTopLevelEntity name="[Kalender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2D60B-6BA3-446A-9812-E880AD8DAAAF}" name="PT - KPI" cacheId="584" dataOnRows="1" applyNumberFormats="0" applyBorderFormats="0" applyFontFormats="0" applyPatternFormats="0" applyAlignmentFormats="0" applyWidthHeightFormats="1" dataCaption="Værdier" grandTotalCaption="Total" showMissing="0" tag="5f26b7f8-68dd-421c-aeb0-0c3a803a8da3" updatedVersion="8" minRefreshableVersion="3" subtotalHiddenItems="1" rowGrandTotals="0" colGrandTotals="0" itemPrintTitles="1" createdVersion="6" indent="0" showHeaders="0" outline="1" outlineData="1" multipleFieldFilters="0">
  <location ref="B6:C27" firstHeaderRow="0" firstDataRow="0" firstDataCol="1"/>
  <pivotFields count="36">
    <pivotField dataField="1" showAll="0" defaultSubtota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-2"/>
  </rowFields>
  <row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rowItems>
  <colItems count="1">
    <i/>
  </colItems>
  <dataFields count="22">
    <dataField fld="6" subtotal="count" baseField="0" baseItem="0"/>
    <dataField fld="4" subtotal="count" baseField="0" baseItem="0"/>
    <dataField fld="9" subtotal="count" baseField="0" baseItem="0"/>
    <dataField fld="11" subtotal="count" baseField="0" baseItem="0"/>
    <dataField fld="0" subtotal="count" baseField="0" baseItem="0"/>
    <dataField fld="12" subtotal="count" baseField="0" baseItem="0"/>
    <dataField fld="18" subtotal="count" baseField="0" baseItem="0"/>
    <dataField fld="10" subtotal="count" baseField="0" baseItem="0"/>
    <dataField fld="13" subtotal="count" baseField="0" baseItem="0"/>
    <dataField fld="2" subtotal="count" baseField="0" baseItem="0"/>
    <dataField fld="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7" subtotal="count" baseField="0" baseItem="0"/>
    <dataField fld="8" subtotal="count" baseField="0" baseItem="0"/>
    <dataField fld="5" subtotal="count" baseField="0" baseItem="0"/>
    <dataField fld="1" subtotal="count" baseField="0" baseItem="0"/>
    <dataField fld="19" subtotal="count" baseField="0" baseItem="0"/>
    <dataField fld="20" subtotal="count" baseField="0" baseItem="0"/>
    <dataField fld="21" subtotal="count" baseField="0" baseItem="0"/>
  </dataFields>
  <formats count="55">
    <format dxfId="1125">
      <pivotArea dataOnly="0" labelOnly="1" grandCol="1" outline="0" fieldPosition="0"/>
    </format>
    <format dxfId="1124">
      <pivotArea type="origin" dataOnly="0" labelOnly="1" outline="0" fieldPosition="0"/>
    </format>
    <format dxfId="1123">
      <pivotArea type="topRight" dataOnly="0" labelOnly="1" outline="0" fieldPosition="0"/>
    </format>
    <format dxfId="1122">
      <pivotArea outline="0" collapsedLevelsAreSubtotals="1" fieldPosition="0"/>
    </format>
    <format dxfId="1121">
      <pivotArea type="all" dataOnly="0" outline="0" fieldPosition="0"/>
    </format>
    <format dxfId="1120">
      <pivotArea dataOnly="0" labelOnly="1" outline="0" axis="axisValues" fieldPosition="0"/>
    </format>
    <format dxfId="1119">
      <pivotArea dataOnly="0" labelOnly="1" grandRow="1" outline="0" fieldPosition="0"/>
    </format>
    <format dxfId="1118">
      <pivotArea outline="0" collapsedLevelsAreSubtotals="1" fieldPosition="0"/>
    </format>
    <format dxfId="1117">
      <pivotArea fieldPosition="0">
        <references count="1">
          <reference field="4294967294" count="1">
            <x v="4"/>
          </reference>
        </references>
      </pivotArea>
    </format>
    <format dxfId="1116">
      <pivotArea outline="0" collapsedLevelsAreSubtotals="1" fieldPosition="0"/>
    </format>
    <format dxfId="1115">
      <pivotArea fieldPosition="0">
        <references count="1">
          <reference field="4294967294" count="1">
            <x v="4"/>
          </reference>
        </references>
      </pivotArea>
    </format>
    <format dxfId="1114">
      <pivotArea outline="0" collapsedLevelsAreSubtotals="1" fieldPosition="0"/>
    </format>
    <format dxfId="1113">
      <pivotArea fieldPosition="0">
        <references count="1">
          <reference field="4294967294" count="1">
            <x v="4"/>
          </reference>
        </references>
      </pivotArea>
    </format>
    <format dxfId="1112">
      <pivotArea dataOnly="0" labelOnly="1" outline="0" fieldPosition="0">
        <references count="1">
          <reference field="4294967294" count="2">
            <x v="4"/>
            <x v="18"/>
          </reference>
        </references>
      </pivotArea>
    </format>
    <format dxfId="1111">
      <pivotArea type="all" dataOnly="0" outline="0" fieldPosition="0"/>
    </format>
    <format dxfId="1110">
      <pivotArea dataOnly="0" labelOnly="1" fieldPosition="0">
        <references count="1">
          <reference field="4294967294" count="0"/>
        </references>
      </pivotArea>
    </format>
    <format dxfId="1109">
      <pivotArea type="all" dataOnly="0" outline="0" fieldPosition="0"/>
    </format>
    <format dxfId="1108">
      <pivotArea collapsedLevelsAreSubtotals="1" fieldPosition="0">
        <references count="1">
          <reference field="4294967294" count="1">
            <x v="9"/>
          </reference>
        </references>
      </pivotArea>
    </format>
    <format dxfId="1107">
      <pivotArea type="all" dataOnly="0" outline="0" fieldPosition="0"/>
    </format>
    <format dxfId="1106">
      <pivotArea type="all" dataOnly="0" outline="0" fieldPosition="0"/>
    </format>
    <format dxfId="1105">
      <pivotArea collapsedLevelsAreSubtotals="1" fieldPosition="0">
        <references count="1">
          <reference field="4294967294" count="2">
            <x v="17"/>
            <x v="18"/>
          </reference>
        </references>
      </pivotArea>
    </format>
    <format dxfId="1104">
      <pivotArea type="all" dataOnly="0" outline="0" fieldPosition="0"/>
    </format>
    <format dxfId="1103">
      <pivotArea dataOnly="0" labelOnly="1" outline="0" fieldPosition="0">
        <references count="1">
          <reference field="4294967294" count="9">
            <x v="0"/>
            <x v="1"/>
            <x v="4"/>
            <x v="9"/>
            <x v="10"/>
            <x v="15"/>
            <x v="16"/>
            <x v="17"/>
            <x v="18"/>
          </reference>
        </references>
      </pivotArea>
    </format>
    <format dxfId="1102">
      <pivotArea fieldPosition="0">
        <references count="1">
          <reference field="4294967294" count="1">
            <x v="4"/>
          </reference>
        </references>
      </pivotArea>
    </format>
    <format dxfId="1101">
      <pivotArea collapsedLevelsAreSubtotals="1" fieldPosition="0">
        <references count="1">
          <reference field="4294967294" count="2">
            <x v="15"/>
            <x v="16"/>
          </reference>
        </references>
      </pivotArea>
    </format>
    <format dxfId="1100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1099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1098">
      <pivotArea fieldPosition="0">
        <references count="1">
          <reference field="4294967294" count="1">
            <x v="0"/>
          </reference>
        </references>
      </pivotArea>
    </format>
    <format dxfId="1097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109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95">
      <pivotArea fieldPosition="0">
        <references count="1">
          <reference field="4294967294" count="1">
            <x v="0"/>
          </reference>
        </references>
      </pivotArea>
    </format>
    <format dxfId="1094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1093">
      <pivotArea fieldPosition="0">
        <references count="1">
          <reference field="4294967294" count="1">
            <x v="0"/>
          </reference>
        </references>
      </pivotArea>
    </format>
    <format dxfId="1092">
      <pivotArea collapsedLevelsAreSubtotals="1" fieldPosition="0">
        <references count="1">
          <reference field="4294967294" count="1">
            <x v="2"/>
          </reference>
        </references>
      </pivotArea>
    </format>
    <format dxfId="109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090">
      <pivotArea type="all" dataOnly="0" outline="0" fieldPosition="0"/>
    </format>
    <format dxfId="1089">
      <pivotArea dataOnly="0" labelOnly="1" outline="0" fieldPosition="0">
        <references count="1">
          <reference field="4294967294" count="10">
            <x v="0"/>
            <x v="1"/>
            <x v="2"/>
            <x v="4"/>
            <x v="9"/>
            <x v="10"/>
            <x v="15"/>
            <x v="16"/>
            <x v="17"/>
            <x v="18"/>
          </reference>
        </references>
      </pivotArea>
    </format>
    <format dxfId="1088">
      <pivotArea fieldPosition="0">
        <references count="1">
          <reference field="4294967294" count="1">
            <x v="0"/>
          </reference>
        </references>
      </pivotArea>
    </format>
    <format dxfId="1087">
      <pivotArea collapsedLevelsAreSubtotals="1" fieldPosition="0">
        <references count="1">
          <reference field="4294967294" count="1">
            <x v="3"/>
          </reference>
        </references>
      </pivotArea>
    </format>
    <format dxfId="1086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085">
      <pivotArea fieldPosition="0">
        <references count="1">
          <reference field="4294967294" count="1">
            <x v="0"/>
          </reference>
        </references>
      </pivotArea>
    </format>
    <format dxfId="1084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1083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1082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108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80">
      <pivotArea fieldPosition="0">
        <references count="1">
          <reference field="4294967294" count="1">
            <x v="0"/>
          </reference>
        </references>
      </pivotArea>
    </format>
    <format dxfId="1079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1078">
      <pivotArea fieldPosition="0">
        <references count="1">
          <reference field="4294967294" count="1">
            <x v="0"/>
          </reference>
        </references>
      </pivotArea>
    </format>
    <format dxfId="1077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1076">
      <pivotArea type="all" dataOnly="0" outline="0" fieldPosition="0"/>
    </format>
    <format dxfId="1075">
      <pivotArea outline="0" collapsedLevelsAreSubtotals="1" fieldPosition="0"/>
    </format>
    <format dxfId="1074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7"/>
            <x v="9"/>
            <x v="10"/>
            <x v="15"/>
            <x v="16"/>
            <x v="17"/>
            <x v="18"/>
          </reference>
        </references>
      </pivotArea>
    </format>
    <format dxfId="1073">
      <pivotArea fieldPosition="0">
        <references count="1">
          <reference field="4294967294" count="1">
            <x v="0"/>
          </reference>
        </references>
      </pivotArea>
    </format>
    <format dxfId="1072">
      <pivotArea collapsedLevelsAreSubtotals="1" fieldPosition="0">
        <references count="1">
          <reference field="4294967294" count="2">
            <x v="11"/>
            <x v="12"/>
          </reference>
        </references>
      </pivotArea>
    </format>
    <format dxfId="1071">
      <pivotArea collapsedLevelsAreSubtotals="1" fieldPosition="0">
        <references count="1">
          <reference field="4294967294" count="3">
            <x v="19"/>
            <x v="20"/>
            <x v="21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09EA5-D3AF-4967-AED3-94BB8A6A8D21}" name="PT - Tilmeldinger" cacheId="629" applyNumberFormats="0" applyBorderFormats="0" applyFontFormats="0" applyPatternFormats="0" applyAlignmentFormats="0" applyWidthHeightFormats="1" dataCaption="Værdier" grandTotalCaption="Total" showMissing="0" tag="0be10a5c-2227-4d40-a5ad-e793727ddabe" updatedVersion="8" minRefreshableVersion="3" subtotalHiddenItems="1" rowGrandTotals="0" colGrandTotals="0" itemPrintTitles="1" createdVersion="6" indent="0" showHeaders="0" outline="1" outlineData="1" multipleFieldFilters="0">
  <location ref="A35:M60" firstHeaderRow="0" firstDataRow="1" firstDataCol="1"/>
  <pivotFields count="27"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axis="axisRow" allDrilled="1" subtotalTop="0" showAll="0" sortType="ascending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4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fld="0" subtotal="count" baseField="0" baseItem="0" numFmtId="49"/>
    <dataField fld="7" subtotal="count" baseField="0" baseItem="0" numFmtId="49"/>
    <dataField fld="9" subtotal="count" baseField="0" baseItem="0" numFmtId="49"/>
    <dataField fld="1" subtotal="count" baseField="0" baseItem="0" numFmtId="49"/>
    <dataField fld="3" subtotal="count" baseField="0" baseItem="0" numFmtId="49"/>
    <dataField fld="5" subtotal="count" baseField="0" baseItem="0" numFmtId="49"/>
    <dataField fld="6" subtotal="count" baseField="0" baseItem="0" numFmtId="49"/>
    <dataField fld="2" subtotal="count" baseField="0" baseItem="0" numFmtId="49"/>
    <dataField fld="8" subtotal="count" baseField="0" baseItem="0" numFmtId="49"/>
    <dataField fld="10" subtotal="count" baseField="0" baseItem="0"/>
    <dataField fld="11" subtotal="count" baseField="0" baseItem="0"/>
    <dataField fld="12" subtotal="count" baseField="0" baseItem="0"/>
  </dataFields>
  <formats count="29">
    <format dxfId="1154">
      <pivotArea outline="0" collapsedLevelsAreSubtotals="1" fieldPosition="0"/>
    </format>
    <format dxfId="1153">
      <pivotArea dataOnly="0" labelOnly="1" grandCol="1" outline="0" fieldPosition="0"/>
    </format>
    <format dxfId="1152">
      <pivotArea type="origin" dataOnly="0" labelOnly="1" outline="0" fieldPosition="0"/>
    </format>
    <format dxfId="1151">
      <pivotArea type="topRight" dataOnly="0" labelOnly="1" outline="0" fieldPosition="0"/>
    </format>
    <format dxfId="115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149">
      <pivotArea outline="0" fieldPosition="0">
        <references count="1">
          <reference field="4294967294" count="1">
            <x v="0"/>
          </reference>
        </references>
      </pivotArea>
    </format>
    <format dxfId="1148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14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14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45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144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143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1142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141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140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139">
      <pivotArea dataOnly="0" labelOnly="1" fieldPosition="0">
        <references count="1">
          <reference field="4" count="0"/>
        </references>
      </pivotArea>
    </format>
    <format dxfId="1138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137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113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13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13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133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132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13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130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129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1128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1127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112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5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13" xr16:uid="{1BE4550A-5F9D-4451-BC1D-F530B45ECEC8}" autoFormatId="16" applyNumberFormats="0" applyBorderFormats="0" applyFontFormats="0" applyPatternFormats="0" applyAlignmentFormats="0" applyWidthHeightFormats="0">
  <queryTableRefresh nextId="16">
    <queryTableFields count="9">
      <queryTableField id="9" name="Nr." tableColumnId="1"/>
      <queryTableField id="1" name="Navn" tableColumnId="25"/>
      <queryTableField id="2" name="Bordtennisklub" tableColumnId="26"/>
      <queryTableField id="3" name="Alder" tableColumnId="27"/>
      <queryTableField id="11" name="Køn" tableColumnId="2"/>
      <queryTableField id="13" name="Ordredato med tid" tableColumnId="3"/>
      <queryTableField id="7" name="Billettype" tableColumnId="31"/>
      <queryTableField id="8" name="Status" tableColumnId="32"/>
      <queryTableField id="15" name="Billetpri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6" adjustColumnWidth="0" connectionId="12" xr16:uid="{6A30259C-4EB0-4CF5-BE2B-7AF15C54F934}" autoFormatId="16" applyNumberFormats="0" applyBorderFormats="0" applyFontFormats="0" applyPatternFormats="0" applyAlignmentFormats="0" applyWidthHeightFormats="0">
  <queryTableRefresh nextId="8">
    <queryTableFields count="5">
      <queryTableField id="4" name="Nr." tableColumnId="1"/>
      <queryTableField id="1" name="Navn og bordtennisklub" tableColumnId="10"/>
      <queryTableField id="2" name="Alder" tableColumnId="11"/>
      <queryTableField id="6" name="Køn" tableColumnId="2"/>
      <queryTableField id="3" name="Billettyp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7" adjustColumnWidth="0" connectionId="6" xr16:uid="{E414B055-3FC0-4C3D-9594-59D912575301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2" name="Foreløbige tilmeldinger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8" adjustColumnWidth="0" connectionId="5" xr16:uid="{CD4A9E35-A19A-48DC-8CDF-A53AC6897748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3" name="Tilmeldinger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9" adjustColumnWidth="0" connectionId="10" xr16:uid="{8514ADE6-B541-40BF-8C71-FA51D4F9DB65}" autoFormatId="16" applyNumberFormats="0" applyBorderFormats="0" applyFontFormats="0" applyPatternFormats="0" applyAlignmentFormats="0" applyWidthHeightFormats="0">
  <queryTableRefresh nextId="39">
    <queryTableFields count="4">
      <queryTableField id="35" name="Ordredato" tableColumnId="1"/>
      <queryTableField id="29" name="Deltager-ID" tableColumnId="29"/>
      <queryTableField id="37" name="Køn" tableColumnId="2"/>
      <queryTableField id="28" name="Rating" tableColumnId="2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0" adjustColumnWidth="0" connectionId="11" xr16:uid="{0F8626F3-6B68-491E-BC2A-F9E8125FAE54}" autoFormatId="16" applyNumberFormats="0" applyBorderFormats="0" applyFontFormats="0" applyPatternFormats="0" applyAlignmentFormats="0" applyWidthHeightFormats="0">
  <queryTableRefresh nextId="5">
    <queryTableFields count="4">
      <queryTableField id="1" name="Nr." tableColumnId="1"/>
      <queryTableField id="2" name="Navn og bordtennisklub" tableColumnId="2"/>
      <queryTableField id="3" name="Alder" tableColumnId="3"/>
      <queryTableField id="4" name="Rating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1" adjustColumnWidth="0" connectionId="7" xr16:uid="{DD0BFFEF-E4C7-4206-AC98-C4E4944C32EB}" autoFormatId="16" applyNumberFormats="0" applyBorderFormats="0" applyFontFormats="0" applyPatternFormats="0" applyAlignmentFormats="0" applyWidthHeightFormats="0">
  <queryTableRefresh nextId="22">
    <queryTableFields count="1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2" adjustColumnWidth="0" connectionId="8" xr16:uid="{ED3CE338-5918-41C4-9C50-068421536823}" autoFormatId="16" applyNumberFormats="0" applyBorderFormats="0" applyFontFormats="0" applyPatternFormats="0" applyAlignmentFormats="0" applyWidthHeightFormats="0">
  <queryTableRefresh nextId="30">
    <queryTableFields count="2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  <queryTableField id="20" name="Seedningslag 5" tableColumnId="20"/>
      <queryTableField id="21" name="Nr.⁵" tableColumnId="21"/>
      <queryTableField id="22" name="Navn og bordtennisklub⁵" tableColumnId="22"/>
      <queryTableField id="23" name="Alder⁵" tableColumnId="23"/>
      <queryTableField id="24" name="Rating⁵" tableColumnId="24"/>
      <queryTableField id="25" name="Seedningslag 6" tableColumnId="25"/>
      <queryTableField id="26" name="Nr.⁶" tableColumnId="26"/>
      <queryTableField id="27" name="Navn og bordtennisklub⁶" tableColumnId="27"/>
      <queryTableField id="28" name="Alder⁶" tableColumnId="28"/>
      <queryTableField id="29" name="Rating⁶" tableColumnId="2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ordtennisklub" xr10:uid="{2DF579A0-5D95-49FF-A239-21D1067855FA}" sourceName="[Bordtennisklub_d1].[K: Bordtennisklub]">
  <pivotTables>
    <pivotTable tabId="42" name="PT - Tilmeldinger"/>
    <pivotTable tabId="42" name="PT - KPI"/>
  </pivotTables>
  <data>
    <olap pivotCacheId="347943029">
      <levels count="2">
        <level uniqueName="[Bordtennisklub_d1].[K: Bordtennisklub].[(All)]" sourceCaption="(All)" count="0"/>
        <level uniqueName="[Bordtennisklub_d1].[K: Bordtennisklub].[K: Bordtennisklub]" sourceCaption="K: Bordtennisklub" count="37">
          <ranges>
            <range startItem="0">
              <i n="[Bordtennisklub_d1].[K: Bordtennisklub].&amp;[BTK Tateni]" c="BTK Tateni"/>
              <i n="[Bordtennisklub_d1].[K: Bordtennisklub].&amp;[BTK Viby]" c="BTK Viby"/>
              <i n="[Bordtennisklub_d1].[K: Bordtennisklub].&amp;[Hørning BTK]" c="Hørning BTK"/>
              <i n="[Bordtennisklub_d1].[K: Bordtennisklub].&amp;[Rønde BTK]" c="Rønde BTK"/>
              <i n="[Bordtennisklub_d1].[K: Bordtennisklub].&amp;[Silkeborg BTK]" c="Silkeborg BTK"/>
              <i n="[Bordtennisklub_d1].[K: Bordtennisklub].&amp;[Sisu/MBK]" c="Sisu/MBK"/>
              <i n="[Bordtennisklub_d1].[K: Bordtennisklub].&amp;[Sjørring BTK]" c="Sjørring BTK"/>
              <i n="[Bordtennisklub_d1].[K: Bordtennisklub].&amp;[SKF]" c="SKF"/>
              <i n="[Bordtennisklub_d1].[K: Bordtennisklub].&amp;[Team Nørreå]" c="Team Nørreå"/>
              <i n="[Bordtennisklub_d1].[K: Bordtennisklub].&amp;[Aarhus Bordtennis]" c="Aarhus Bordtennis"/>
              <i n="[Bordtennisklub_d1].[K: Bordtennisklub].&amp;[(Udlandet)]" c="(Udlandet)"/>
              <i n="[Bordtennisklub_d1].[K: Bordtennisklub].&amp;[Amager BTK]" c="Amager BTK"/>
              <i n="[Bordtennisklub_d1].[K: Bordtennisklub].&amp;[B75]" c="B75"/>
              <i n="[Bordtennisklub_d1].[K: Bordtennisklub].&amp;[Brønderslev]" c="Brønderslev"/>
              <i n="[Bordtennisklub_d1].[K: Bordtennisklub].&amp;[Brønshøj BTK]" c="Brønshøj BTK"/>
              <i n="[Bordtennisklub_d1].[K: Bordtennisklub].&amp;[BTK Midtjylland]" c="BTK Midtjylland"/>
              <i n="[Bordtennisklub_d1].[K: Bordtennisklub].&amp;[Esbjerg BTK]" c="Esbjerg BTK"/>
              <i n="[Bordtennisklub_d1].[K: Bordtennisklub].&amp;[Galten FS]" c="Galten FS"/>
              <i n="[Bordtennisklub_d1].[K: Bordtennisklub].&amp;[Hillerød GI]" c="Hillerød GI"/>
              <i n="[Bordtennisklub_d1].[K: Bordtennisklub].&amp;[Holbæk BTK]" c="Holbæk BTK"/>
              <i n="[Bordtennisklub_d1].[K: Bordtennisklub].&amp;[Hvidovre BTK]" c="Hvidovre BTK"/>
              <i n="[Bordtennisklub_d1].[K: Bordtennisklub].&amp;[Københavns BTK]" c="Københavns BTK"/>
              <i n="[Bordtennisklub_d1].[K: Bordtennisklub].&amp;[OB Bordtennis]" c="OB Bordtennis"/>
              <i n="[Bordtennisklub_d1].[K: Bordtennisklub].&amp;[Ringkøbing]" c="Ringkøbing"/>
              <i n="[Bordtennisklub_d1].[K: Bordtennisklub].&amp;[Vejle BTK]" c="Vejle BTK"/>
              <i n="[Bordtennisklub_d1].[K: Bordtennisklub].&amp;[Viborg BTK]" c="Viborg BTK"/>
              <i n="[Bordtennisklub_d1].[K: Bordtennisklub].&amp;[Virum Sorgenfri BTK]" c="Virum Sorgenfri BTK"/>
              <i n="[Bordtennisklub_d1].[K: Bordtennisklub].&amp;[(Ingen klub)]" c="(Ingen klub)"/>
              <i n="[Bordtennisklub_d1].[K: Bordtennisklub].&amp;[Brøndby BC]" c="Brøndby BC" nd="1"/>
              <i n="[Bordtennisklub_d1].[K: Bordtennisklub].&amp;[BTK Grenå]" c="BTK Grenå" nd="1"/>
              <i n="[Bordtennisklub_d1].[K: Bordtennisklub].&amp;[Frederiksberg BTK]" c="Frederiksberg BTK" nd="1"/>
              <i n="[Bordtennisklub_d1].[K: Bordtennisklub].&amp;[Greve BTK]" c="Greve BTK" nd="1"/>
              <i n="[Bordtennisklub_d1].[K: Bordtennisklub].&amp;[Hasle IF]" c="Hasle IF" nd="1"/>
              <i n="[Bordtennisklub_d1].[K: Bordtennisklub].&amp;[Nyborg G &amp; IF]" c="Nyborg G &amp; IF" nd="1"/>
              <i n="[Bordtennisklub_d1].[K: Bordtennisklub].&amp;[Næstved BTK]" c="Næstved BTK" nd="1"/>
              <i n="[Bordtennisklub_d1].[K: Bordtennisklub].&amp;[Roskilde BTK]" c="Roskilde BTK" nd="1"/>
              <i n="[Bordtennisklub_d1].[K: Bordtennisklub].&amp;[Triton]" c="Triton" nd="1"/>
            </range>
          </ranges>
        </level>
      </levels>
      <selections count="1">
        <selection n="[Bordtennisklub_d1].[K: Bordtennisklub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13"/>
        <pivotTable tabId="4294967295" name="PivotChartTable9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egion" xr10:uid="{87272B04-28E6-4F7A-8C36-17D387F7C7D1}" sourceName="[Region_d2].[K: Region]">
  <pivotTables>
    <pivotTable tabId="42" name="PT - KPI"/>
    <pivotTable tabId="42" name="PT - Tilmeldinger"/>
  </pivotTables>
  <data>
    <olap pivotCacheId="347943029">
      <levels count="2">
        <level uniqueName="[Region_d2].[K: Region].[(All)]" sourceCaption="(All)" count="0"/>
        <level uniqueName="[Region_d2].[K: Region].[K: Region]" sourceCaption="K: Region" count="6">
          <ranges>
            <range startItem="0">
              <i n="[Region_d2].[K: Region].&amp;[Region Nordjylland]" c="Region Nordjylland"/>
              <i n="[Region_d2].[K: Region].&amp;[Region Midtjylland]" c="Region Midtjylland"/>
              <i n="[Region_d2].[K: Region].&amp;[Region Syddanmark]" c="Region Syddanmark"/>
              <i n="[Region_d2].[K: Region].&amp;[Region Sjælland]" c="Region Sjælland"/>
              <i n="[Region_d2].[K: Region].&amp;[Region Hovedstaden]" c="Region Hovedstaden"/>
              <i n="[Region_d2].[K: Region].&amp;[(Ukendt region)]" c="(Ukendt region)"/>
            </range>
          </ranges>
        </level>
      </levels>
      <selections count="1">
        <selection n="[Region_d2].[K: Regi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13"/>
        <pivotTable tabId="4294967295" name="PivotChartTable9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Landsdel" xr10:uid="{F40759E8-1387-4D93-B341-2F82345258CF}" sourceName="[Landsdel_d2].[K: Landsdel]">
  <pivotTables>
    <pivotTable tabId="42" name="PT - Tilmeldinger"/>
    <pivotTable tabId="42" name="PT - KPI"/>
  </pivotTables>
  <data>
    <olap pivotCacheId="347943029">
      <levels count="2">
        <level uniqueName="[Landsdel_d2].[K: Landsdel].[(All)]" sourceCaption="(All)" count="0"/>
        <level uniqueName="[Landsdel_d2].[K: Landsdel].[K: Landsdel]" sourceCaption="K: Landsdel" count="5">
          <ranges>
            <range startItem="0">
              <i n="[Landsdel_d2].[K: Landsdel].&amp;[Jylland]" c="Jylland"/>
              <i n="[Landsdel_d2].[K: Landsdel].&amp;[(Ukendt landsdel)]" c="(Ukendt landsdel)"/>
              <i n="[Landsdel_d2].[K: Landsdel].&amp;[Fyn]" c="Fyn"/>
              <i n="[Landsdel_d2].[K: Landsdel].&amp;[Sjælland]" c="Sjælland"/>
              <i n="[Landsdel_d2].[K: Landsdel].&amp;[Bornholm]" c="Bornholm" nd="1"/>
            </range>
          </ranges>
        </level>
      </levels>
      <selections count="1">
        <selection n="[Landsdel_d2].[K: Landsde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13"/>
        <pivotTable tabId="4294967295" name="PivotChartTable9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øn" xr10:uid="{73ECC5C6-6769-4F9F-98A6-CF037BEE3277}" sourceName="[Køn_d1].[K: Køn]">
  <pivotTables>
    <pivotTable tabId="42" name="PT - Tilmeldinger"/>
    <pivotTable tabId="42" name="PT - KPI"/>
  </pivotTables>
  <data>
    <olap pivotCacheId="347943029">
      <levels count="2">
        <level uniqueName="[Køn_d1].[K: Køn].[(All)]" sourceCaption="(All)" count="0"/>
        <level uniqueName="[Køn_d1].[K: Køn].[K: Køn]" sourceCaption="K: Køn" count="2">
          <ranges>
            <range startItem="0">
              <i n="[Køn_d1].[K: Køn].&amp;[♂️ Herre]" c="♂️ Herre"/>
              <i n="[Køn_d1].[K: Køn].&amp;[♀️ Dame]" c="♀️ Dame"/>
            </range>
          </ranges>
        </level>
      </levels>
      <selections count="1">
        <selection n="[Køn_d1].[K: Kø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Spillertype" xr10:uid="{5FFBB9D3-D6E9-42C4-A1DB-6C8C6B77A856}" sourceName="[Spillertype_d1].[K: Spillertype]">
  <pivotTables>
    <pivotTable tabId="42" name="PT - KPI"/>
    <pivotTable tabId="42" name="PT - Tilmeldinger"/>
  </pivotTables>
  <data>
    <olap pivotCacheId="347943029">
      <levels count="2">
        <level uniqueName="[Spillertype_d1].[K: Spillertype].[(All)]" sourceCaption="(All)" count="0"/>
        <level uniqueName="[Spillertype_d1].[K: Spillertype].[K: Spillertype]" sourceCaption="K: Spillertype" count="2">
          <ranges>
            <range startItem="0">
              <i n="[Spillertype_d1].[K: Spillertype].&amp;[🏓 Bordtennisspiller]" c="🏓 Bordtennisspiller"/>
              <i n="[Spillertype_d1].[K: Spillertype].&amp;[👤 Ikke-bordtennisspiller]" c="👤 Ikke-bordtennisspiller"/>
            </range>
          </ranges>
        </level>
      </levels>
      <selections count="1">
        <selection n="[Spillertype_d1].[K: Spiller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Alder_interval" xr10:uid="{840E0DB8-6BA2-4D11-A754-372742CC20D2}" sourceName="[Aldersgruppe_d1].[K: Aldersgruppe]">
  <pivotTables>
    <pivotTable tabId="42" name="PT - Tilmeldinger"/>
    <pivotTable tabId="42" name="PT - KPI"/>
  </pivotTables>
  <data>
    <olap pivotCacheId="347943029">
      <levels count="2">
        <level uniqueName="[Aldersgruppe_d1].[K: Aldersgruppe].[(All)]" sourceCaption="(All)" count="0"/>
        <level uniqueName="[Aldersgruppe_d1].[K: Aldersgruppe].[K: Aldersgruppe]" sourceCaption="K: Aldersgruppe" count="3">
          <ranges>
            <range startItem="0">
              <i n="[Aldersgruppe_d1].[K: Aldersgruppe].&amp;[[&lt;=17]] Ungdom]" c="[&lt;=17] Ungdom"/>
              <i n="[Aldersgruppe_d1].[K: Aldersgruppe].&amp;[[&lt;=39]] Senior]" c="[&lt;=39] Senior"/>
              <i n="[Aldersgruppe_d1].[K: Aldersgruppe].&amp;[[&gt;=40]] Veteran]" c="[&gt;=40] Veteran"/>
            </range>
          </ranges>
        </level>
      </levels>
      <selections count="1">
        <selection n="[Aldersgruppe_d1].[K: Alders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ating_interval" xr10:uid="{B9DDFC6A-C98D-4BB9-B548-7DB25084AD9D}" sourceName="[Ratinggruppe_d1].[K: Ratinggruppe]">
  <pivotTables>
    <pivotTable tabId="42" name="PT - KPI"/>
    <pivotTable tabId="42" name="PT - Tilmeldinger"/>
  </pivotTables>
  <data>
    <olap pivotCacheId="347943029">
      <levels count="2">
        <level uniqueName="[Ratinggruppe_d1].[K: Ratinggruppe].[(All)]" sourceCaption="(All)" count="0"/>
        <level uniqueName="[Ratinggruppe_d1].[K: Ratinggruppe].[K: Ratinggruppe]" sourceCaption="K: Ratinggruppe" count="2">
          <ranges>
            <range startItem="0">
              <i n="[Ratinggruppe_d1].[K: Ratinggruppe].&amp;[[&gt;=2000]] Elite]" c="[&gt;=2000] Elite"/>
              <i n="[Ratinggruppe_d1].[K: Ratinggruppe].&amp;[[&lt;=1999]] Ikke-elite]" c="[&lt;=1999] Ikke-elite"/>
            </range>
          </ranges>
        </level>
      </levels>
      <selections count="1">
        <selection n="[Ratinggruppe_d1].[K: Rating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kanal" xr10:uid="{2507CE3B-9DBC-4DE3-91CC-E945667D0545}" sourceName="[Tilmeldingstype_d1].[K: Tilmeldingstype]">
  <pivotTables>
    <pivotTable tabId="42" name="PT - Tilmeldinger"/>
    <pivotTable tabId="42" name="PT - KPI"/>
  </pivotTables>
  <data>
    <olap pivotCacheId="347943029">
      <levels count="2">
        <level uniqueName="[Tilmeldingstype_d1].[K: Tilmeldingstype].[(All)]" sourceCaption="(All)" count="0"/>
        <level uniqueName="[Tilmeldingstype_d1].[K: Tilmeldingstype].[K: Tilmeldingstype]" sourceCaption="K: Tilmeldingstype" count="3">
          <ranges>
            <range startItem="0">
              <i n="[Tilmeldingstype_d1].[K: Tilmeldingstype].&amp;[✔️ Ordinær]" c="✔️ Ordinær"/>
              <i n="[Tilmeldingstype_d1].[K: Tilmeldingstype].&amp;[🏃 Drive-in]" c="🏃 Drive-in"/>
              <i n="[Tilmeldingstype_d1].[K: Tilmeldingstype].&amp;[❌ Afbud]" c="❌ Afbud"/>
            </range>
          </ranges>
        </level>
      </levels>
      <selections count="1">
        <selection n="[Tilmeldingstype_d1].[K: Tilmeldings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13"/>
        <pivotTable tabId="4294967295" name="PivotChartTable9"/>
      </x15:slicerCachePivotTables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antal_pr._tilmelding" xr10:uid="{05CE41BD-75B6-4555-BC37-208DFE2ED342}" sourceName="[Billetsalg_pr_tilmelding_d1].[K: Billetsalg pr. tilmelding]">
  <pivotTables>
    <pivotTable tabId="42" name="PT - KPI"/>
    <pivotTable tabId="42" name="PT - Tilmeldinger"/>
  </pivotTables>
  <data>
    <olap pivotCacheId="347943029">
      <levels count="2">
        <level uniqueName="[Billetsalg_pr_tilmelding_d1].[K: Billetsalg pr. tilmelding].[(All)]" sourceCaption="(All)" count="0"/>
        <level uniqueName="[Billetsalg_pr_tilmelding_d1].[K: Billetsalg pr. tilmelding].[K: Billetsalg pr. tilmelding]" sourceCaption="K: Billetsalg pr. tilmelding" count="4">
          <ranges>
            <range startItem="0">
              <i n="[Billetsalg_pr_tilmelding_d1].[K: Billetsalg pr. tilmelding].&amp;[Billetsalg 1 stk.]" c="Billetsalg 1 stk."/>
              <i n="[Billetsalg_pr_tilmelding_d1].[K: Billetsalg pr. tilmelding].&amp;[Billetsalg 2 stk.]" c="Billetsalg 2 stk."/>
              <i n="[Billetsalg_pr_tilmelding_d1].[K: Billetsalg pr. tilmelding].&amp;[Billetsalg 3 stk.]" c="Billetsalg 3 stk."/>
              <i n="[Billetsalg_pr_tilmelding_d1].[K: Billetsalg pr. tilmelding].&amp;[Billetsalg 4 stk.]" c="Billetsalg 4 stk."/>
            </range>
          </ranges>
        </level>
      </levels>
      <selections count="1">
        <selection n="[Billetsalg_pr_tilmelding_d1].[K: Billetsalg pr. tilmelding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lokkeslætsinterval" xr10:uid="{5C4933BF-E57F-4A70-8C87-8B0F92119FFE}" sourceName="[Klokkeslætsinterval_d1].[K: Klokkeslætsinterval]">
  <pivotTables>
    <pivotTable tabId="42" name="PT - KPI"/>
    <pivotTable tabId="42" name="PT - Tilmeldinger"/>
  </pivotTables>
  <data>
    <olap pivotCacheId="347943029">
      <levels count="2">
        <level uniqueName="[Klokkeslætsinterval_d1].[K: Klokkeslætsinterval].[(All)]" sourceCaption="(All)" count="0"/>
        <level uniqueName="[Klokkeslætsinterval_d1].[K: Klokkeslætsinterval].[K: Klokkeslætsinterval]" sourceCaption="K: Klokkeslætsinterval" count="2">
          <ranges>
            <range startItem="0">
              <i n="[Klokkeslætsinterval_d1].[K: Klokkeslætsinterval].&amp;[[&gt;=18]] Aften]" c="[&gt;=18] Aften"/>
              <i n="[Klokkeslætsinterval_d1].[K: Klokkeslætsinterval].&amp;[[&gt;=00]] Øvrig]" c="[&gt;=00] Øvrig"/>
            </range>
          </ranges>
        </level>
      </levels>
      <selections count="1">
        <selection n="[Klokkeslætsinterval_d1].[K: Klokkeslætsinterva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status" xr10:uid="{66D434C3-CB45-4A95-A283-3F47875C7270}" sourceName="[Tilmeldingsstatus_d1].[K: Tilmeldingsstatus]">
  <pivotTables>
    <pivotTable tabId="42" name="PT - KPI"/>
    <pivotTable tabId="42" name="PT - Tilmeldinger"/>
  </pivotTables>
  <data>
    <olap pivotCacheId="347943029">
      <levels count="2">
        <level uniqueName="[Tilmeldingsstatus_d1].[K: Tilmeldingsstatus].[(All)]" sourceCaption="(All)" count="0"/>
        <level uniqueName="[Tilmeldingsstatus_d1].[K: Tilmeldingsstatus].[K: Tilmeldingsstatus]" sourceCaption="K: Tilmeldingsstatus" count="3">
          <ranges>
            <range startItem="0">
              <i n="[Tilmeldingsstatus_d1].[K: Tilmeldingsstatus].&amp;[✔️💲👍 Tilmeldt inkl. betaling]" c="✔️💲👍 Tilmeldt inkl. betaling"/>
              <i n="[Tilmeldingsstatus_d1].[K: Tilmeldingsstatus].&amp;[❌💸👍 Afbud inkl. refusion]" c="❌💸👍 Afbud inkl. refusion"/>
              <i n="[Tilmeldingsstatus_d1].[K: Tilmeldingsstatus].&amp;[❌💸👎 Afbud ekskl. refusion]" c="❌💸👎 Afbud ekskl. refusion" nd="1"/>
            </range>
          </ranges>
        </level>
      </levels>
      <selections count="1">
        <selection n="[Tilmeldingsstatus_d1].[K: Tilmeldingsstatus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Gentilmeldinger" xr10:uid="{75A7370B-7A1A-4AEF-B268-F764F29BFB46}" sourceName="[Gentilmeldinger_d1].[K: Gentilmeldinger]">
  <pivotTables>
    <pivotTable tabId="42" name="PT - KPI"/>
    <pivotTable tabId="42" name="PT - Tilmeldinger"/>
  </pivotTables>
  <data>
    <olap pivotCacheId="347943029">
      <levels count="2">
        <level uniqueName="[Gentilmeldinger_d1].[K: Gentilmeldinger].[(All)]" sourceCaption="(All)" count="0"/>
        <level uniqueName="[Gentilmeldinger_d1].[K: Gentilmeldinger].[K: Gentilmeldinger]" sourceCaption="K: Gentilmeldinger" count="3">
          <ranges>
            <range startItem="0">
              <i n="[Gentilmeldinger_d1].[K: Gentilmeldinger].&amp;[🆕 Debutant]" c="🆕 Debutant"/>
              <i n="[Gentilmeldinger_d1].[K: Gentilmeldinger].&amp;[🔃 Gentilmelding]" c="🔃 Gentilmelding"/>
              <i n="[Gentilmeldinger_d1].[K: Gentilmeldinger].&amp;[❌ Afbud]" c="❌ Afbud" nd="1"/>
            </range>
          </ranges>
        </level>
      </levels>
      <selections count="1">
        <selection n="[Gentilmeldinger_d1].[K: Gentilmeldinge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Event___år" xr10:uid="{0CF7FCC7-95BA-47DA-AD4C-2C37D3730714}" sourceName="[Event_år_d2].[K: Event &amp; år]">
  <pivotTables>
    <pivotTable tabId="42" name="PT - KPI"/>
    <pivotTable tabId="42" name="PT - Tilmeldinger"/>
  </pivotTables>
  <data>
    <olap pivotCacheId="347943029">
      <levels count="2">
        <level uniqueName="[Event_år_d2].[K: Event &amp; år].[(All)]" sourceCaption="(All)" count="0"/>
        <level uniqueName="[Event_år_d2].[K: Event &amp; år].[K: Event &amp; år]" sourceCaption="K: Event &amp; år" count="9">
          <ranges>
            <range startItem="0">
              <i n="[Event_år_d2].[K: Event &amp; år].&amp;[DM 2023]" c="DM 2023"/>
              <i n="[Event_år_d2].[K: Event &amp; år].&amp;[DM 2022]" c="DM 2022"/>
              <i n="[Event_år_d2].[K: Event &amp; år].&amp;[DM 2021]" c="DM 2021"/>
              <i n="[Event_år_d2].[K: Event &amp; år].&amp;[DM 2019]" c="DM 2019"/>
              <i n="[Event_år_d2].[K: Event &amp; år].&amp;[DM 2018]" c="DM 2018"/>
              <i n="[Event_år_d2].[K: Event &amp; år].&amp;[DM 2017]" c="DM 2017"/>
              <i n="[Event_år_d2].[K: Event &amp; år].&amp;[DM 2016]" c="DM 2016"/>
              <i n="[Event_år_d2].[K: Event &amp; år].&amp;[DM 2015]" c="DM 2015"/>
              <i n="[Event_år_d2].[K: Event &amp; år].&amp;[DM 2014]" c="DM 2014"/>
            </range>
          </ranges>
        </level>
      </levels>
      <selections count="1">
        <selection n="[Event_år_d2].[K: Event &amp; år].&amp;[DM 2023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type" xr10:uid="{708649EB-41D2-49C8-B4FB-6F22965A11D6}" sourceName="[Billettype_d2].[K: Billettype]">
  <pivotTables>
    <pivotTable tabId="42" name="PT - KPI"/>
    <pivotTable tabId="42" name="PT - Tilmeldinger"/>
  </pivotTables>
  <data>
    <olap pivotCacheId="347943029">
      <levels count="2">
        <level uniqueName="[Billettype_d2].[K: Billettype].[(All)]" sourceCaption="(All)" count="0"/>
        <level uniqueName="[Billettype_d2].[K: Billettype].[K: Billettype]" sourceCaption="K: Billettype" count="4">
          <ranges>
            <range startItem="0">
              <i n="[Billettype_d2].[K: Billettype].&amp;[🏓 DM i Ping Pong]" c="🏓 DM i Ping Pong"/>
              <i n="[Billettype_d2].[K: Billettype].&amp;[🥳 Fest om aftenen]" c="🥳 Fest om aftenen"/>
              <i n="[Billettype_d2].[K: Billettype].&amp;[🎉 The Old Irish Pub]" c="🎉 The Old Irish Pub"/>
              <i n="[Billettype_d2].[K: Billettype].&amp;[🥪 Frokost]" c="🥪 Frokost"/>
            </range>
          </ranges>
        </level>
      </levels>
      <selections count="1">
        <selection n="[Billettype_d2].[K: Billet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K: Bordtennisklub" xr10:uid="{3D94BB05-6C44-43AC-AF4B-E360A6C09F49}" cache="Udsnit_K__Bordtennisklub" caption="🛖 Bordtennisklub" level="1" lockedPosition="1" rowHeight="234950"/>
  <slicer name="K: Region" xr10:uid="{140635FD-9562-4BBB-9EB0-70317F2E2691}" cache="Udsnit_K__Region" caption="🏛️ Region" level="1" lockedPosition="1" rowHeight="234950"/>
  <slicer name="K: Landsdel" xr10:uid="{77C3EB58-C2FA-4F43-81DE-2546CE4F5F36}" cache="Udsnit_K__Landsdel" caption="🏛️ Landsdel" level="1" lockedPosition="1" rowHeight="234950"/>
  <slicer name="K: Køn" xr10:uid="{063274C9-574E-45C6-AD57-6D5C2446CA31}" cache="Udsnit_K__Køn" caption="👥 Køn" level="1" lockedPosition="1" rowHeight="234950"/>
  <slicer name="K: Spillertype" xr10:uid="{5EB879C2-677B-43F5-A1D3-9E1E069846AF}" cache="Udsnit_K__Spillertype" caption="👥 Spillertype" level="1" lockedPosition="1" rowHeight="234950"/>
  <slicer name="K: Aldersgruppe" xr10:uid="{9DC97272-975A-4B53-BFD0-76B1C2CEDB6E}" cache="Udsnit_K__Alder_interval" caption="📅 Aldersgruppe" level="1" lockedPosition="1" rowHeight="234950"/>
  <slicer name="K: Ratinggruppe" xr10:uid="{A4874272-B7AB-46F9-A7EB-6588173118FF}" cache="Udsnit_K__Rating_interval" caption="💪 Ratinggruppe" level="1" lockedPosition="1" rowHeight="234950"/>
  <slicer name="K: Tilmeldingstype" xr10:uid="{47AEA276-71CB-456D-9210-A650300C8374}" cache="Udsnit_K__Tilmeldingskanal" caption="🎫 Tilmeldingstype" level="1" style="Udsnitstypografi 3" lockedPosition="1" rowHeight="234950"/>
  <slicer name="K: Billetsalg pr. tilmelding" xr10:uid="{35FA16F3-289D-460E-B4C7-F1AD834FC458}" cache="Udsnit_K__Billetantal_pr._tilmelding" caption="🎫 Billetsalg pr. tilmelding" level="1" style="Udsnitstypografi 3" lockedPosition="1" rowHeight="234950"/>
  <slicer name="K: Klokkeslætsinterval" xr10:uid="{123377D6-147B-4791-81FB-CAB1996429EB}" cache="Udsnit_K__Klokkeslætsinterval" caption="⌚ Klokkeslætsinterval" level="1" style="Udsnitstypografi 3" lockedPosition="1" rowHeight="234950"/>
  <slicer name="K: Tilmeldingsstatus" xr10:uid="{E29C2601-5B37-43EC-A450-A448ACA058E2}" cache="Udsnit_K__Tilmeldingsstatus" caption="🎫 Tilmeldingsstatus" level="1" style="Udsnitstypografi 3" lockedPosition="1" rowHeight="234950"/>
  <slicer name="K: Gentilmeldinger" xr10:uid="{35B49487-B8D1-457C-B148-B252835B007E}" cache="Udsnit_K__Gentilmeldinger" caption="🔃 Gentilmeldinger" level="1" style="Udsnitstypografi 3" lockedPosition="1" rowHeight="234950"/>
  <slicer name="K: Event &amp; år" xr10:uid="{F466C770-2D47-40AF-8A9E-9CB430C57AC4}" cache="Udsnit_K__Event___år" caption="🎫 Event &amp; år" level="1" style="Udsnitstypografi 3" lockedPosition="1" rowHeight="234950"/>
  <slicer name="K: Billettype" xr10:uid="{2CF02921-FF47-43B6-B2C0-32F0B34E2D9B}" cache="Udsnit_K__Billettype" caption="🎫 Billettype" level="1" style="Udsnitstypografi 3" lockedPosition="1" rowHeight="234950"/>
</slicer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E7AF2-33B5-4690-AF8A-D7404148E3DA}" name="Event_år_billettype_d1" displayName="Event_år_billettype_d1" ref="U18:AC38" totalsRowShown="0" headerRowDxfId="1248">
  <autoFilter ref="U18:AC38" xr:uid="{9CC615D8-7294-42D4-8ABE-3BAB4CFDC38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5" xr3:uid="{3639EAF4-CE8B-429F-BCF8-0153823A5664}" name="Nr." dataDxfId="1247">
      <calculatedColumnFormula array="1">ROW()-ROW(Event_år_billettype_d1[#Headers])</calculatedColumnFormula>
    </tableColumn>
    <tableColumn id="7" xr3:uid="{80959DB8-9583-4231-A4DE-D492DAF3EB17}" name="K: Event &amp; år" dataDxfId="1246"/>
    <tableColumn id="1" xr3:uid="{A46255B1-FC2C-4932-8D85-0A77EB6CFCCA}" name="K: Billettype" dataDxfId="1245"/>
    <tableColumn id="6" xr3:uid="{3CA6228D-B258-44C3-BA4C-AFCABA1DF16A}" name="K: Billettype beskrivelse" dataDxfId="1244"/>
    <tableColumn id="9" xr3:uid="{5A37F70D-69FD-41EB-B872-67DF8E275E72}" name="K: Evt. billettype tilvalg" dataDxfId="1243"/>
    <tableColumn id="3" xr3:uid="{78F62B29-27C4-4802-BF16-92EF2F9943CE}" name="K: Billetpris" dataDxfId="1242"/>
    <tableColumn id="4" xr3:uid="{5039F285-C188-412E-B462-DAE3A8DF1984}" name="K: Arrangørpris" dataDxfId="1241"/>
    <tableColumn id="2" xr3:uid="{CC596BFB-D583-4449-9C5C-C21175493E36}" name="K: Billetantal maks." dataDxfId="1240"/>
    <tableColumn id="8" xr3:uid="{77EC5D13-DA0D-41C4-A52D-EEAEAB1AE468}" name="K: Event, år &amp; billettype" dataDxfId="1239">
      <calculatedColumnFormula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calculatedColumnFormula>
    </tableColumn>
  </tableColumns>
  <tableStyleInfo name="Gul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B358AB-871E-47A0-A961-513A88D533A0}" name="Aldersgruppe_d1" displayName="Aldersgruppe_d1" ref="O58:P61" totalsRowShown="0" headerRowDxfId="1238">
  <autoFilter ref="O58:P61" xr:uid="{EA991B26-A361-4ABC-92C0-092274ADD64C}">
    <filterColumn colId="0" hiddenButton="1"/>
    <filterColumn colId="1" hiddenButton="1"/>
  </autoFilter>
  <tableColumns count="2">
    <tableColumn id="5" xr3:uid="{CC499480-BB44-4B56-B449-D3392B090B60}" name="Nr." dataDxfId="1237">
      <calculatedColumnFormula array="1">ROW()-ROW(Aldersgruppe_d1[#Headers])</calculatedColumnFormula>
    </tableColumn>
    <tableColumn id="1" xr3:uid="{3E3A731F-0E41-467F-A4E9-B0CEE6021E03}" name="K: Aldersgruppe" dataDxfId="1236"/>
  </tableColumns>
  <tableStyleInfo name="Grøn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EE76BE-3346-4056-B513-43D077206456}" name="Landsdel_d2" displayName="Landsdel_d2" ref="O71:P76" totalsRowShown="0" headerRowDxfId="1235">
  <autoFilter ref="O71:P76" xr:uid="{B68E62EE-137A-4B20-8A53-DEFC109325EB}">
    <filterColumn colId="0" hiddenButton="1"/>
    <filterColumn colId="1" hiddenButton="1"/>
  </autoFilter>
  <tableColumns count="2">
    <tableColumn id="5" xr3:uid="{34BDFBF2-8804-45A0-BDCD-F65F8D5FA134}" name="Nr." dataDxfId="1234">
      <calculatedColumnFormula array="1">ROW()-ROW(Landsdel_d2[#Headers])</calculatedColumnFormula>
    </tableColumn>
    <tableColumn id="1" xr3:uid="{E155FC1A-EE5B-4D0B-A5CB-4C02EAAAD9A9}" name="K: Landsdel" dataDxfId="1233"/>
  </tableColumns>
  <tableStyleInfo name="Grøn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2AF88B-67BF-4F1F-9C05-B7BD22339C86}" name="Bordtennisklub_d1" displayName="Bordtennisklub_d1" ref="O5:S42" totalsRowShown="0" headerRowDxfId="1232">
  <autoFilter ref="O5:S42" xr:uid="{7C3FDDD7-889D-436A-BDDA-16D93CB955E6}">
    <filterColumn colId="0" hiddenButton="1"/>
    <filterColumn colId="1" hiddenButton="1"/>
    <filterColumn colId="2" hiddenButton="1"/>
    <filterColumn colId="3" hiddenButton="1"/>
    <filterColumn colId="4" hiddenButton="1"/>
  </autoFilter>
  <sortState xmlns:xlrd2="http://schemas.microsoft.com/office/spreadsheetml/2017/richdata2" ref="O6:S39">
    <sortCondition ref="P15:P39"/>
  </sortState>
  <tableColumns count="5">
    <tableColumn id="5" xr3:uid="{967D2CDF-A959-4453-BC63-63C3587A1983}" name="Nr." dataDxfId="1231">
      <calculatedColumnFormula array="1">ROW()-ROW(Bordtennisklub_d1[#Headers])</calculatedColumnFormula>
    </tableColumn>
    <tableColumn id="2" xr3:uid="{50E593F2-22CF-45E5-A73B-5E400D6C181A}" name="K: Bordtennisklub" dataDxfId="1230"/>
    <tableColumn id="3" xr3:uid="{C3A88C16-4DEF-4A50-AA81-AA3E05721FA3}" name="K: Postnr." dataDxfId="1229"/>
    <tableColumn id="4" xr3:uid="{C30DCD09-6AE0-409D-9CCB-9CC7B517D3ED}" name="K: By" dataDxfId="1228"/>
    <tableColumn id="1" xr3:uid="{5CE06508-50BE-403B-9AC8-FE5884266FFC}" name="K: Mail" dataDxfId="1227"/>
  </tableColumns>
  <tableStyleInfo name="Grøn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59D6074-0B40-455B-8E2E-A1958B025F79}" name="Tilmeldingstype_d1" displayName="Tilmeldingstype_d1" ref="U70:V73" totalsRowShown="0" headerRowDxfId="1226">
  <autoFilter ref="U70:V73" xr:uid="{2A62C5BA-8EBC-44C1-97F4-DE2F2D3DBC2C}">
    <filterColumn colId="0" hiddenButton="1"/>
    <filterColumn colId="1" hiddenButton="1"/>
  </autoFilter>
  <tableColumns count="2">
    <tableColumn id="1" xr3:uid="{6B68F869-DC08-4B56-81B2-2A0D419FE4A9}" name="Nr." dataDxfId="1225">
      <calculatedColumnFormula array="1">ROW()-ROW(Tilmeldingstype_d1[#Headers])</calculatedColumnFormula>
    </tableColumn>
    <tableColumn id="2" xr3:uid="{4A7721A4-14FF-4EAE-A1ED-80A3ADB4AE01}" name="K: Tilmeldingstype" dataDxfId="1224"/>
  </tableColumns>
  <tableStyleInfo name="Gu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571D10-87DE-403E-8192-C83F50521E6A}" name="Ratinggruppe_d1" displayName="Ratinggruppe_d1" ref="O65:P67" totalsRowShown="0" headerRowDxfId="1223">
  <autoFilter ref="O65:P67" xr:uid="{CE571D10-87DE-403E-8192-C83F50521E6A}">
    <filterColumn colId="0" hiddenButton="1"/>
    <filterColumn colId="1" hiddenButton="1"/>
  </autoFilter>
  <tableColumns count="2">
    <tableColumn id="5" xr3:uid="{F4E33A3B-7D80-45A5-9ADE-054098F8BCA4}" name="Nr." dataDxfId="1222">
      <calculatedColumnFormula array="1">ROW()-ROW(Ratinggruppe_d1[#Headers])</calculatedColumnFormula>
    </tableColumn>
    <tableColumn id="1" xr3:uid="{9E2B2E22-F39F-49ED-9FA5-4BD7F91EE559}" name="K: Ratinggruppe" dataDxfId="1221"/>
  </tableColumns>
  <tableStyleInfo name="Grøn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8B9AB83-57BD-484C-86E6-6B9F0A427FBF}" name="Spillertype_d1" displayName="Spillertype_d1" ref="O52:P54" totalsRowShown="0" headerRowDxfId="1220">
  <autoFilter ref="O52:P54" xr:uid="{D8B9AB83-57BD-484C-86E6-6B9F0A427FBF}">
    <filterColumn colId="0" hiddenButton="1"/>
    <filterColumn colId="1" hiddenButton="1"/>
  </autoFilter>
  <tableColumns count="2">
    <tableColumn id="1" xr3:uid="{3B6F0A18-161F-4938-A6D5-0B6E656E06DF}" name="Nr." dataDxfId="1219">
      <calculatedColumnFormula array="1">ROW()-ROW(Spillertype_d1[#Headers])</calculatedColumnFormula>
    </tableColumn>
    <tableColumn id="2" xr3:uid="{DA956683-D17A-4F61-A300-DE8679F5917D}" name="K: Spillertype" dataDxfId="1218"/>
  </tableColumns>
  <tableStyleInfo name="Grøn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544A231-00C0-4656-977D-CC4B4992C57C}" name="Region_d2" displayName="Region_d2" ref="O80:P86" totalsRowShown="0" headerRowDxfId="1217">
  <autoFilter ref="O80:P86" xr:uid="{D544A231-00C0-4656-977D-CC4B4992C57C}">
    <filterColumn colId="0" hiddenButton="1"/>
    <filterColumn colId="1" hiddenButton="1"/>
  </autoFilter>
  <tableColumns count="2">
    <tableColumn id="5" xr3:uid="{8DB5453F-020F-4762-A339-EC3B4C0F48DF}" name="Nr." dataDxfId="1216">
      <calculatedColumnFormula array="1">ROW()-ROW(Region_d2[#Headers])</calculatedColumnFormula>
    </tableColumn>
    <tableColumn id="1" xr3:uid="{5A21716B-0C56-4307-8C46-64013A2C28FE}" name="K: Region" dataDxfId="1215"/>
  </tableColumns>
  <tableStyleInfo name="Grøn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36E2FD8-060F-49EF-BD4D-F9C875E3B0B5}" name="Billetsalg_pr_tilmelding_d1" displayName="Billetsalg_pr_tilmelding_d1" ref="U62:V66" totalsRowShown="0" headerRowDxfId="1214">
  <autoFilter ref="U62:V66" xr:uid="{536E2FD8-060F-49EF-BD4D-F9C875E3B0B5}">
    <filterColumn colId="0" hiddenButton="1"/>
    <filterColumn colId="1" hiddenButton="1"/>
  </autoFilter>
  <tableColumns count="2">
    <tableColumn id="1" xr3:uid="{4C5D5E6B-C0DC-418B-B80A-B15521B371A0}" name="Nr." dataDxfId="1213">
      <calculatedColumnFormula array="1">ROW()-ROW(Billetsalg_pr_tilmelding_d1[#Headers])</calculatedColumnFormula>
    </tableColumn>
    <tableColumn id="2" xr3:uid="{BFE0A22F-3D5E-4D99-839A-690D20A0CD92}" name="K: Billetsalg pr. tilmelding" dataDxfId="1212"/>
  </tableColumns>
  <tableStyleInfo name="Gul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AF22CFF-291E-47A9-B271-D1981BFF43E7}" name="Klokkeslætsinterval_d1" displayName="Klokkeslætsinterval_d1" ref="U84:V86" totalsRowShown="0" headerRowDxfId="1211">
  <autoFilter ref="U84:V86" xr:uid="{BAF22CFF-291E-47A9-B271-D1981BFF43E7}">
    <filterColumn colId="0" hiddenButton="1"/>
    <filterColumn colId="1" hiddenButton="1"/>
  </autoFilter>
  <tableColumns count="2">
    <tableColumn id="1" xr3:uid="{2F09A83C-C3F5-4F29-9A1C-69436E8FD11E}" name="Nr." dataDxfId="1210">
      <calculatedColumnFormula array="1">ROW()-ROW(Klokkeslætsinterval_d1[#Headers])</calculatedColumnFormula>
    </tableColumn>
    <tableColumn id="2" xr3:uid="{D536EEC5-853E-4C30-93E9-2C65B7D94761}" name="K: Klokkeslætsinterval" dataDxfId="1209"/>
  </tableColumns>
  <tableStyleInfo name="Gu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7FF4766-6507-42E7-B52E-D5B5A8B9D4DC}" name="Tilmeldinger" displayName="Tilmeldinger" ref="A5:M233" totalsRowShown="0">
  <autoFilter ref="A5:M233" xr:uid="{27FF4766-6507-42E7-B52E-D5B5A8B9D4DC}"/>
  <sortState xmlns:xlrd2="http://schemas.microsoft.com/office/spreadsheetml/2017/richdata2" ref="A6:M233">
    <sortCondition descending="1" ref="E5:E233"/>
  </sortState>
  <tableColumns count="13">
    <tableColumn id="5" xr3:uid="{5B9EC761-1C72-423E-A9B3-649E82320CE2}" name="K: Deltager-ID" dataDxfId="1208"/>
    <tableColumn id="6" xr3:uid="{32B4E897-C382-4624-BE74-7D0BAC47FC9A}" name="K: Navn" dataDxfId="1207"/>
    <tableColumn id="8" xr3:uid="{226A1544-77A0-4B24-B892-31898AD67491}" name="K: Bordtennisklub" dataDxfId="1206"/>
    <tableColumn id="7" xr3:uid="{922B17BA-191B-4D20-B036-DF3D70D308F9}" name="K: Køn" dataDxfId="1205"/>
    <tableColumn id="1" xr3:uid="{0785FDFB-7B0E-4A05-B955-7D5E531E4A12}" name="K: Ordredato med tid" dataDxfId="1204"/>
    <tableColumn id="2" xr3:uid="{9D0F278E-742F-482C-A4DD-6BE7EF36E92F}" name="K: Event, år &amp; billettype" dataDxfId="1203"/>
    <tableColumn id="3" xr3:uid="{10E94542-FE51-477D-AC06-33E5468B1934}" name="K: Status" dataDxfId="1202"/>
    <tableColumn id="9" xr3:uid="{9250B6E2-E66F-46D8-9514-8695E833C2D6}" name="K: Evt. rang (1)" dataDxfId="1201"/>
    <tableColumn id="10" xr3:uid="{EFBF07F7-70FD-4602-88FA-CC7B358BBA48}" name="K: Evt. rating (2)" dataDxfId="1200"/>
    <tableColumn id="11" xr3:uid="{68F845E0-05B8-4AEA-BF27-752E66C581E2}" name="K: Evt. rang (3)" dataDxfId="1199"/>
    <tableColumn id="12" xr3:uid="{DD6C6E92-0BE9-443F-80B1-87B409FE5BD2}" name="K: Slutspil" dataDxfId="1198"/>
    <tableColumn id="4" xr3:uid="{72C4BE60-CDF6-4215-A287-1EDE31B22567}" name="K: Placering" dataDxfId="1197"/>
    <tableColumn id="13" xr3:uid="{5DA58D5A-0AA2-48FA-9B0F-19146B4334F5}" name="K: Præmiepenge" dataDxfId="1196"/>
  </tableColumns>
  <tableStyleInfo name="Blå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7BF6995-7374-44AB-AA88-C7AB6BDEB3DB}" name="Tilmeldingsstatus_d1" displayName="Tilmeldingsstatus_d1" ref="U55:V58" totalsRowShown="0" headerRowDxfId="1195">
  <autoFilter ref="U55:V58" xr:uid="{37BF6995-7374-44AB-AA88-C7AB6BDEB3DB}">
    <filterColumn colId="0" hiddenButton="1"/>
    <filterColumn colId="1" hiddenButton="1"/>
  </autoFilter>
  <tableColumns count="2">
    <tableColumn id="2" xr3:uid="{35161E48-7B3C-47CC-8CDE-B7F5B08F877B}" name="Nr." dataDxfId="1194">
      <calculatedColumnFormula array="1">ROW()-ROW(Tilmeldingsstatus_d1[#Headers])</calculatedColumnFormula>
    </tableColumn>
    <tableColumn id="1" xr3:uid="{B92F4224-0F2E-42BB-BE2E-68CB4DAE2157}" name="K: Tilmeldingsstatus" dataDxfId="1193"/>
  </tableColumns>
  <tableStyleInfo name="Gul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FB34333-0368-4825-B1EF-9E8D45F644FE}" name="Gentilmeldinger_d1" displayName="Gentilmeldinger_d1" ref="U77:V80" totalsRowShown="0" headerRowDxfId="1192">
  <autoFilter ref="U77:V80" xr:uid="{CFB34333-0368-4825-B1EF-9E8D45F644FE}">
    <filterColumn colId="0" hiddenButton="1"/>
    <filterColumn colId="1" hiddenButton="1"/>
  </autoFilter>
  <tableColumns count="2">
    <tableColumn id="2" xr3:uid="{D9F5604F-C0DD-4906-9B77-F339FFA9A114}" name="Nr." dataDxfId="1191">
      <calculatedColumnFormula array="1">ROW()-ROW(Gentilmeldinger_d1[#Headers])</calculatedColumnFormula>
    </tableColumn>
    <tableColumn id="1" xr3:uid="{85ECBF69-CF84-44CE-AC8A-6D65B4AB9F23}" name="K: Gentilmeldinger" dataDxfId="1190"/>
  </tableColumns>
  <tableStyleInfo name="Gul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6E5911-023E-4148-8825-3C8149B5A980}" name="Event_år_d2" displayName="Event_år_d2" ref="U5:AL14" totalsRowShown="0">
  <autoFilter ref="U5:AL14" xr:uid="{D26E5911-023E-4148-8825-3C8149B5A98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</autoFilter>
  <sortState xmlns:xlrd2="http://schemas.microsoft.com/office/spreadsheetml/2017/richdata2" ref="U6:AL14">
    <sortCondition descending="1" ref="W6:W14"/>
  </sortState>
  <tableColumns count="18">
    <tableColumn id="1" xr3:uid="{B92245EE-C080-4343-A42A-0B0B2484E30B}" name="Nr." dataDxfId="1189">
      <calculatedColumnFormula array="1">ROW()-ROW(Event_år_d2[#Headers])</calculatedColumnFormula>
    </tableColumn>
    <tableColumn id="3" xr3:uid="{53289FCF-0978-46B0-8963-C7F2CD15EFAB}" name="K: Event" dataDxfId="1188"/>
    <tableColumn id="2" xr3:uid="{E838C317-3624-414F-B0CC-7AB1D429ED47}" name="K: Eventdato" dataDxfId="1187"/>
    <tableColumn id="4" xr3:uid="{FC080A65-9B4F-4927-9480-4549F5AB9C1A}" name="K: Tilmeldingsfrist" dataDxfId="1186"/>
    <tableColumn id="7" xr3:uid="{130D7C68-5A22-4819-A421-C84300FDC4DB}" name="K: Åbningsdato" dataDxfId="1185"/>
    <tableColumn id="11" xr3:uid="{DE867128-A24F-4F11-87D1-495044C0873F}" name="K: Ratingopdatering" dataDxfId="1184"/>
    <tableColumn id="14" xr3:uid="{7FF16330-9622-48D1-9AF4-122B1E4674E0}" name="K: Puljeantal" dataDxfId="1183"/>
    <tableColumn id="15" xr3:uid="{2964F950-E0C3-4872-995C-A8605512FF0B}" name="K: Præmiepenge sponseret" dataDxfId="1182"/>
    <tableColumn id="6" xr3:uid="{03030C71-E60A-43C7-A279-70FAF3534BD9}" name="K: Eventsted" dataDxfId="1181"/>
    <tableColumn id="8" xr3:uid="{180DFADA-5F72-44F0-83D7-1A69B39472F5}" name="K: Eventadresse" dataDxfId="1180"/>
    <tableColumn id="9" xr3:uid="{54D0CEE6-EE94-4CE2-A36C-D265B56C4142}" name="K: Eventpostnr." dataDxfId="1179"/>
    <tableColumn id="10" xr3:uid="{AF803E42-D22F-4C1A-A891-5AB78210ABAD}" name="K: Eventby" dataDxfId="1178"/>
    <tableColumn id="16" xr3:uid="{6E10FF3C-C076-41D3-AB0F-BA692FEEB80B}" name="K: Eventsted URL" dataDxfId="1177"/>
    <tableColumn id="13" xr3:uid="{C4E7E57E-485D-44ED-9945-CFFDE1002555}" name="K: UUID" dataDxfId="1176"/>
    <tableColumn id="12" xr3:uid="{88A6BE16-8ECC-4B6D-9D1C-F506D1C1F057}" name="K: Token" dataDxfId="1175"/>
    <tableColumn id="18" xr3:uid="{60C202A6-D52F-4735-927D-28B1CC6B0C8C}" name="K: Farve 1" dataDxfId="1174"/>
    <tableColumn id="17" xr3:uid="{CA32F570-0D53-425E-8B17-65D0794BCEF3}" name="K: Farve 2" dataDxfId="1173"/>
    <tableColumn id="5" xr3:uid="{9BF8DF40-020E-4075-82D8-1E4C2664B176}" name="K: Event &amp; år" dataDxfId="1172">
      <calculatedColumnFormula array="1">IF(OR(ISBLANK(Event_år_d2[[#This Row],[K: Event]:[K: Eventdato]])),"",Event_år_d2[[#This Row],[K: Event]]&amp;" "&amp;YEAR(Event_år_d2[[#This Row],[K: Eventdato]]))</calculatedColumnFormula>
    </tableColumn>
  </tableColumns>
  <tableStyleInfo name="Gul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FC9995-DFFF-4AA2-9421-5122286B1518}" name="Event_d3" displayName="Event_d3" ref="U50:V51" totalsRowShown="0">
  <autoFilter ref="U50:V51" xr:uid="{6CFC9995-DFFF-4AA2-9421-5122286B1518}">
    <filterColumn colId="0" hiddenButton="1"/>
    <filterColumn colId="1" hiddenButton="1"/>
  </autoFilter>
  <tableColumns count="2">
    <tableColumn id="1" xr3:uid="{6721EB92-2151-4A76-8689-1342F50B53A8}" name="Nr." dataDxfId="1171">
      <calculatedColumnFormula array="1">ROW()-ROW(Event_d3[#Headers])</calculatedColumnFormula>
    </tableColumn>
    <tableColumn id="3" xr3:uid="{6047F41E-7386-4A7D-AEC5-CD30AC0B689B}" name="K: Event" dataDxfId="1170"/>
  </tableColumns>
  <tableStyleInfo name="Gul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5F8B59-C9BC-491E-9D7D-0EB7273B6236}" name="Billettype_d2" displayName="Billettype_d2" ref="U42:V46" totalsRowShown="0" headerRowDxfId="1169">
  <autoFilter ref="U42:V46" xr:uid="{CF5F8B59-C9BC-491E-9D7D-0EB7273B6236}">
    <filterColumn colId="0" hiddenButton="1"/>
    <filterColumn colId="1" hiddenButton="1"/>
  </autoFilter>
  <tableColumns count="2">
    <tableColumn id="2" xr3:uid="{58891D51-0175-4AA6-8154-3DD04AE96268}" name="Nr." dataDxfId="1168">
      <calculatedColumnFormula array="1">ROW()-ROW(Billettype_d2[#Headers])</calculatedColumnFormula>
    </tableColumn>
    <tableColumn id="1" xr3:uid="{3295272D-9479-4367-9BF4-C7CED2CCA3F9}" name="K: Billettype" dataDxfId="1167"/>
  </tableColumns>
  <tableStyleInfo name="Gul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95FB76F-4276-4A31-8BAB-DCE6D86319C1}" name="Slutspil_d1" displayName="Slutspil_d1" ref="U90:V92" totalsRowShown="0" headerRowDxfId="1166">
  <autoFilter ref="U90:V92" xr:uid="{A95FB76F-4276-4A31-8BAB-DCE6D86319C1}">
    <filterColumn colId="0" hiddenButton="1"/>
    <filterColumn colId="1" hiddenButton="1"/>
  </autoFilter>
  <tableColumns count="2">
    <tableColumn id="1" xr3:uid="{50E07318-57F8-40DF-9D8A-F79D65B9CC2A}" name="Nr." dataDxfId="1165">
      <calculatedColumnFormula array="1">ROW()-ROW(Slutspil_d1[#Headers])</calculatedColumnFormula>
    </tableColumn>
    <tableColumn id="2" xr3:uid="{63D4D435-1B02-441E-A2D5-7673D6044C5D}" name="K: Slutspil" dataDxfId="1164"/>
  </tableColumns>
  <tableStyleInfo name="Grå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9951AC2-B184-4437-8147-22931980127B}" name="Placering_d1" displayName="Placering_d1" ref="U96:V104" totalsRowShown="0" headerRowDxfId="1163">
  <autoFilter ref="U96:V104" xr:uid="{29951AC2-B184-4437-8147-22931980127B}">
    <filterColumn colId="0" hiddenButton="1"/>
    <filterColumn colId="1" hiddenButton="1"/>
  </autoFilter>
  <tableColumns count="2">
    <tableColumn id="1" xr3:uid="{53A04FC5-9541-407C-A2F4-26B5D3150846}" name="Nr." dataDxfId="1162">
      <calculatedColumnFormula array="1">ROW()-ROW(Placering_d1[#Headers])</calculatedColumnFormula>
    </tableColumn>
    <tableColumn id="2" xr3:uid="{DEF3CD1E-49CC-477B-B78E-CFA7CADD922B}" name="K: Placering" dataDxfId="1161"/>
  </tableColumns>
  <tableStyleInfo name="Grå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AB2D5E-4D79-4ED2-9C90-AC9C2508F92D}" name="TRUE_FALSE_d1" displayName="TRUE_FALSE_d1" ref="U108:V110" totalsRowShown="0" headerRowDxfId="1160">
  <autoFilter ref="U108:V110" xr:uid="{00AB2D5E-4D79-4ED2-9C90-AC9C2508F92D}">
    <filterColumn colId="0" hiddenButton="1"/>
    <filterColumn colId="1" hiddenButton="1"/>
  </autoFilter>
  <tableColumns count="2">
    <tableColumn id="1" xr3:uid="{8AF07DDA-67AD-4C69-8279-58893B2B41BA}" name="Nr." dataDxfId="1159">
      <calculatedColumnFormula array="1">ROW()-ROW(TRUE_FALSE_d1[#Headers])</calculatedColumnFormula>
    </tableColumn>
    <tableColumn id="2" xr3:uid="{B79941F9-C5AD-4E00-85EF-F25682ABF72B}" name="K: TRUE/FALSE" dataDxfId="1158"/>
  </tableColumns>
  <tableStyleInfo name="Grå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BEBE96-96BB-47A7-8EC9-93E6A5B0CF96}" name="Køn_d1" displayName="Køn_d1" ref="O46:P48" totalsRowShown="0" headerRowDxfId="1157">
  <autoFilter ref="O46:P48" xr:uid="{075C7E5A-7140-43A2-9A6C-310AA6FBD333}">
    <filterColumn colId="0" hiddenButton="1"/>
    <filterColumn colId="1" hiddenButton="1"/>
  </autoFilter>
  <tableColumns count="2">
    <tableColumn id="5" xr3:uid="{532EF60A-C37B-41A0-BEFF-EAB992579E1D}" name="Nr." dataDxfId="1156">
      <calculatedColumnFormula array="1">ROW()-ROW(Køn_d1[#Headers])</calculatedColumnFormula>
    </tableColumn>
    <tableColumn id="1" xr3:uid="{10C3CADD-1542-4FFA-B623-265322898E70}" name="K: Køn" dataDxfId="1155"/>
  </tableColumns>
  <tableStyleInfo name="Grøn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9D61926-6D6C-4E7A-8445-A3BE41FF7AA8}" name="Tilmeldingsstatus" displayName="Tilmeldingsstatus" ref="S21:AA60" tableType="queryTable" totalsRowShown="0">
  <tableColumns count="9">
    <tableColumn id="1" xr3:uid="{8FEEFC06-A103-488A-AD0B-28C9C3703E3A}" uniqueName="1" name="Nr." queryTableFieldId="9" dataDxfId="46"/>
    <tableColumn id="25" xr3:uid="{860FB654-E7A8-4CED-A75A-017D8FD745BE}" uniqueName="25" name="Navn" queryTableFieldId="1" dataDxfId="45"/>
    <tableColumn id="26" xr3:uid="{A1332EF1-3BD5-4EC6-84FF-57A5670D2EA4}" uniqueName="26" name="Bordtennisklub" queryTableFieldId="2" dataDxfId="44"/>
    <tableColumn id="27" xr3:uid="{BF104B8F-0D75-412B-B827-5045DACC08B7}" uniqueName="27" name="Alder" queryTableFieldId="3" dataDxfId="43"/>
    <tableColumn id="2" xr3:uid="{219A880C-9CDE-4C1E-B9B6-E5B6C39746F5}" uniqueName="2" name="Køn" queryTableFieldId="11" dataDxfId="42"/>
    <tableColumn id="3" xr3:uid="{9DE34DC1-8BE4-4D36-A0B5-2598BE9D9F78}" uniqueName="3" name="Ordredato med tid" queryTableFieldId="13" dataDxfId="41"/>
    <tableColumn id="31" xr3:uid="{1C029ED4-0CA9-41B0-B285-2B16DAE9B12B}" uniqueName="31" name="Billettype" queryTableFieldId="7" dataDxfId="40"/>
    <tableColumn id="32" xr3:uid="{436DB36F-2FDA-46B4-B250-662E490E5F64}" uniqueName="32" name="Status" queryTableFieldId="8" dataDxfId="39"/>
    <tableColumn id="4" xr3:uid="{FC47B4B1-2E77-49C9-B708-1E16BB1D476F}" uniqueName="4" name="Billetpris" queryTableFieldId="15" dataDxfId="38"/>
  </tableColumns>
  <tableStyleInfo name="Grå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C35EB05-9D67-434A-B736-A54C0347A623}" name="Tilmeldinger_billettype_2_alder" displayName="Tilmeldinger_billettype_2_alder" ref="M33:Q48" tableType="queryTable" totalsRowShown="0">
  <tableColumns count="5">
    <tableColumn id="1" xr3:uid="{84958A5A-2C34-497B-B447-FB33DE7CA1C7}" uniqueName="1" name="Nr." queryTableFieldId="4" dataDxfId="50"/>
    <tableColumn id="10" xr3:uid="{6EEC6182-7A39-461A-95ED-0FA4279699FE}" uniqueName="10" name="Navn og bordtennisklub" queryTableFieldId="1" dataDxfId="49"/>
    <tableColumn id="11" xr3:uid="{C8BBC31C-CB50-425D-8171-07CE480A2A39}" uniqueName="11" name="Alder" queryTableFieldId="2" dataDxfId="48"/>
    <tableColumn id="2" xr3:uid="{3173205B-F1A6-4458-80E4-05C98310623F}" uniqueName="2" name="Køn" queryTableFieldId="6"/>
    <tableColumn id="12" xr3:uid="{1C13D952-AB0E-4001-A87E-DA0AFD4F76E0}" uniqueName="12" name="Billettype" queryTableFieldId="3" dataDxfId="47"/>
  </tableColumns>
  <tableStyleInfo name="Orange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017CB78-05BA-42DF-9EB1-902180C2DFB0}" name="Foreløbige_tilmeldinger" displayName="Foreløbige_tilmeldinger" ref="A58:B83" tableType="queryTable" totalsRowShown="0">
  <autoFilter ref="A58:B83" xr:uid="{D017CB78-05BA-42DF-9EB1-902180C2DFB0}">
    <filterColumn colId="0" hiddenButton="1"/>
    <filterColumn colId="1" hiddenButton="1"/>
  </autoFilter>
  <tableColumns count="2">
    <tableColumn id="1" xr3:uid="{691F3936-ED47-442D-84DA-3DD55A5CA8C9}" uniqueName="1" name="Nr." queryTableFieldId="1" dataDxfId="52"/>
    <tableColumn id="2" xr3:uid="{2A1EC8A4-E654-48B1-8930-086BBB3FBE50}" uniqueName="2" name="Foreløbige tilmeldinger" queryTableFieldId="2" dataDxfId="51"/>
  </tableColumns>
  <tableStyleInfo name="Gu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65CD04B-B45D-4643-9F1C-B4A6C237CED0}" name="Endelige_tilmeldinger" displayName="Endelige_tilmeldinger" ref="D49:E74" tableType="queryTable" totalsRowShown="0">
  <autoFilter ref="D49:E74" xr:uid="{B65CD04B-B45D-4643-9F1C-B4A6C237CED0}">
    <filterColumn colId="0" hiddenButton="1"/>
  </autoFilter>
  <tableColumns count="2">
    <tableColumn id="1" xr3:uid="{07C66ED0-C518-44D5-A532-C4E03125AEFA}" uniqueName="1" name="Nr." queryTableFieldId="1" dataDxfId="54"/>
    <tableColumn id="2" xr3:uid="{5B25A058-76FB-4EFE-AD86-D31C02A7A6E8}" uniqueName="2" name="Tilmeldinger" queryTableFieldId="3" dataDxfId="53"/>
  </tableColumns>
  <tableStyleInfo name="Grøn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32B2EEB-BED7-4BA7-89BD-2212D6701F5D}" name="Tilmeldinger_billettype_1_klub" displayName="Tilmeldinger_billettype_1_klub" ref="G84:J129" tableType="queryTable" totalsRowShown="0">
  <autoFilter ref="G84:J129" xr:uid="{832B2EEB-BED7-4BA7-89BD-2212D6701F5D}">
    <filterColumn colId="0" hiddenButton="1"/>
    <filterColumn colId="1" hiddenButton="1"/>
    <filterColumn colId="2" hiddenButton="1"/>
    <filterColumn colId="3" hiddenButton="1"/>
  </autoFilter>
  <tableColumns count="4">
    <tableColumn id="1" xr3:uid="{190FE29F-F73F-4FC6-86C7-A77714094C9D}" uniqueName="1" name="Ordredato" queryTableFieldId="35" dataDxfId="58"/>
    <tableColumn id="29" xr3:uid="{1A03BD3B-2FC1-49B2-B4FA-8A69DD2A65A2}" uniqueName="29" name="Deltager-ID" queryTableFieldId="29" dataDxfId="57"/>
    <tableColumn id="2" xr3:uid="{41DBA2A0-0B9E-42D5-82F6-B13F231B6B50}" uniqueName="2" name="Køn" queryTableFieldId="37" dataDxfId="56"/>
    <tableColumn id="28" xr3:uid="{93A8F081-72F9-4A08-BE3C-BAE97C5EC6C5}" uniqueName="28" name="Rating" queryTableFieldId="28" dataDxfId="55"/>
  </tableColumns>
  <tableStyleInfo name="Blå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BBE70E-91A5-4D37-9AA7-08E9BF10EA45}" name="Tilmeldinger_billettype_1_seedning" displayName="Tilmeldinger_billettype_1_seedning" ref="G48:J72" tableType="queryTable" totalsRowShown="0">
  <autoFilter ref="G48:J72" xr:uid="{40BBE70E-91A5-4D37-9AA7-08E9BF10EA45}">
    <filterColumn colId="0" hiddenButton="1"/>
    <filterColumn colId="1" hiddenButton="1"/>
    <filterColumn colId="2" hiddenButton="1"/>
    <filterColumn colId="3" hiddenButton="1"/>
  </autoFilter>
  <tableColumns count="4">
    <tableColumn id="1" xr3:uid="{4737DCF8-2E1C-42B8-9D47-724CDC37A8C3}" uniqueName="1" name="Nr." queryTableFieldId="1" dataDxfId="62"/>
    <tableColumn id="2" xr3:uid="{ABF29075-ABEE-4D01-BACF-FCF09D6E6CAF}" uniqueName="2" name="Navn og bordtennisklub" queryTableFieldId="2" dataDxfId="61"/>
    <tableColumn id="3" xr3:uid="{4CC762B3-81F5-4A8D-8244-813BF7F3AF89}" uniqueName="3" name="Alder" queryTableFieldId="3" dataDxfId="60"/>
    <tableColumn id="4" xr3:uid="{E9480348-CE1A-4C68-B980-6A70B178E58B}" uniqueName="4" name="Rating" queryTableFieldId="4" dataDxfId="59"/>
  </tableColumns>
  <tableStyleInfo name="Blå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6699C4E-1C72-4D17-9074-72E445E86CF7}" name="Seedningslag_4_mandspuljer" displayName="Seedningslag_4_mandspuljer" ref="F64:X70" tableType="queryTable" totalsRowShown="0">
  <autoFilter ref="F64:X70" xr:uid="{96699C4E-1C72-4D17-9074-72E445E86CF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3759EF35-C516-4619-8D08-62AC04214740}" uniqueName="1" name="Nr.¹" queryTableFieldId="1" dataDxfId="14"/>
    <tableColumn id="2" xr3:uid="{04C9B779-8BA7-40FC-9C4E-9FCB6A15D9F4}" uniqueName="2" name="Navn og bordtennisklub¹" queryTableFieldId="2"/>
    <tableColumn id="3" xr3:uid="{3FF00B5E-4E9D-4F1B-B3DC-56E040BA8E52}" uniqueName="3" name="Alder¹" queryTableFieldId="3" dataDxfId="13"/>
    <tableColumn id="4" xr3:uid="{B09967F9-5D07-4010-9448-B9B1DAB6A282}" uniqueName="4" name="Rating¹" queryTableFieldId="4" dataDxfId="12"/>
    <tableColumn id="5" xr3:uid="{895E72D1-5F95-42D1-9F98-F73BB4BC569D}" uniqueName="5" name="Seedningslag 2" queryTableFieldId="5" dataDxfId="11"/>
    <tableColumn id="6" xr3:uid="{A991D087-FC2A-42E7-B721-176F213B393B}" uniqueName="6" name="Nr.²" queryTableFieldId="6" dataDxfId="10"/>
    <tableColumn id="7" xr3:uid="{6D1D1AE8-7477-44E8-98FD-957B2A8B5AE7}" uniqueName="7" name="Navn og bordtennisklub²" queryTableFieldId="7"/>
    <tableColumn id="8" xr3:uid="{91665930-EF4C-43A5-938A-9B4E657ACB4C}" uniqueName="8" name="Alder²" queryTableFieldId="8" dataDxfId="9"/>
    <tableColumn id="9" xr3:uid="{9EB0680B-CD86-41DE-A068-78EC9D2877A6}" uniqueName="9" name="Rating²" queryTableFieldId="9" dataDxfId="8"/>
    <tableColumn id="10" xr3:uid="{AF934ACD-AA26-4091-B572-B7899CD5BA6C}" uniqueName="10" name="Seedningslag 3" queryTableFieldId="10" dataDxfId="7"/>
    <tableColumn id="11" xr3:uid="{17CA309A-7D7F-487F-9B34-0CF6E854D443}" uniqueName="11" name="Nr.³" queryTableFieldId="11" dataDxfId="6"/>
    <tableColumn id="12" xr3:uid="{FCD0ED6E-3CE7-4D84-81E9-3E1C67AAAAE5}" uniqueName="12" name="Navn og bordtennisklub³" queryTableFieldId="12"/>
    <tableColumn id="13" xr3:uid="{29CF13C5-59C6-46FE-A450-FEBAC6EDCC5C}" uniqueName="13" name="Alder³" queryTableFieldId="13" dataDxfId="5"/>
    <tableColumn id="14" xr3:uid="{34226116-AB18-4131-9B5E-1700EBE3435F}" uniqueName="14" name="Rating³" queryTableFieldId="14" dataDxfId="4"/>
    <tableColumn id="15" xr3:uid="{223A36D9-F876-4893-85A8-01252CF845E7}" uniqueName="15" name="Seedningslag 4" queryTableFieldId="15" dataDxfId="3"/>
    <tableColumn id="16" xr3:uid="{0088AFAC-B2D5-4BFE-A7B8-DEBE2CA38157}" uniqueName="16" name="Nr.⁴" queryTableFieldId="16" dataDxfId="2"/>
    <tableColumn id="17" xr3:uid="{89A3F294-DD1B-4967-8F9D-F0A811DDD2EF}" uniqueName="17" name="Navn og bordtennisklub⁴" queryTableFieldId="17"/>
    <tableColumn id="18" xr3:uid="{F5B21146-2409-46E6-A8CA-AF5791DA9EF9}" uniqueName="18" name="Alder⁴" queryTableFieldId="18" dataDxfId="1"/>
    <tableColumn id="19" xr3:uid="{141E38E3-7E45-40B3-9FBF-49C691B679FC}" uniqueName="19" name="Rating⁴" queryTableFieldId="19" dataDxfId="0"/>
  </tableColumns>
  <tableStyleInfo name="Blå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A6BAF03-69F6-4036-9D8B-8DA893D83CC8}" name="Seedningslag_6_mandspuljer" displayName="Seedningslag_6_mandspuljer" ref="A7:AC11" tableType="queryTable" totalsRowShown="0">
  <autoFilter ref="A7:AC11" xr:uid="{2A6BAF03-69F6-4036-9D8B-8DA893D83CC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</autoFilter>
  <tableColumns count="29">
    <tableColumn id="1" xr3:uid="{48E7641D-3110-450D-825B-0110C85B2D34}" uniqueName="1" name="Nr.¹" queryTableFieldId="1" dataDxfId="37"/>
    <tableColumn id="2" xr3:uid="{1A82BB19-DEAA-473A-9127-8D31C812F6EF}" uniqueName="2" name="Navn og bordtennisklub¹" queryTableFieldId="2"/>
    <tableColumn id="3" xr3:uid="{8C5938BC-A430-4CD0-A696-9731D5D9D9BA}" uniqueName="3" name="Alder¹" queryTableFieldId="3" dataDxfId="36"/>
    <tableColumn id="4" xr3:uid="{F71977AC-C7C8-4441-91DB-C5953AF3C42C}" uniqueName="4" name="Rating¹" queryTableFieldId="4" dataDxfId="35"/>
    <tableColumn id="5" xr3:uid="{C4C74538-58D0-4608-8D72-34DBE55427C9}" uniqueName="5" name="Seedningslag 2" queryTableFieldId="5" dataDxfId="34"/>
    <tableColumn id="6" xr3:uid="{CD3A4BF8-CF2B-415F-9B30-B631E43B5F15}" uniqueName="6" name="Nr.²" queryTableFieldId="6" dataDxfId="33"/>
    <tableColumn id="7" xr3:uid="{4422CA17-CC88-4825-AAEC-3553738F214B}" uniqueName="7" name="Navn og bordtennisklub²" queryTableFieldId="7"/>
    <tableColumn id="8" xr3:uid="{D6C1F813-AEB1-46B8-AEE9-5EFDE4E339AB}" uniqueName="8" name="Alder²" queryTableFieldId="8" dataDxfId="32"/>
    <tableColumn id="9" xr3:uid="{AE31305F-3122-4869-8228-43AFA4BB7F27}" uniqueName="9" name="Rating²" queryTableFieldId="9" dataDxfId="31"/>
    <tableColumn id="10" xr3:uid="{A6FB48A5-AA24-46CD-928E-B8FEB26509CE}" uniqueName="10" name="Seedningslag 3" queryTableFieldId="10" dataDxfId="30"/>
    <tableColumn id="11" xr3:uid="{AFF8E0A9-6C08-45AA-A1EA-A89762B6F854}" uniqueName="11" name="Nr.³" queryTableFieldId="11" dataDxfId="29"/>
    <tableColumn id="12" xr3:uid="{DC961101-F911-4517-A509-1B5771450ED5}" uniqueName="12" name="Navn og bordtennisklub³" queryTableFieldId="12"/>
    <tableColumn id="13" xr3:uid="{A57EAF11-2728-4F06-A2F2-7895FE55DF96}" uniqueName="13" name="Alder³" queryTableFieldId="13" dataDxfId="28"/>
    <tableColumn id="14" xr3:uid="{A69D3FB2-DC2D-4212-8268-AA1BBF6EE6C5}" uniqueName="14" name="Rating³" queryTableFieldId="14" dataDxfId="27"/>
    <tableColumn id="15" xr3:uid="{CD5D7EAE-AF62-4632-B849-50E47519FC72}" uniqueName="15" name="Seedningslag 4" queryTableFieldId="15" dataDxfId="26"/>
    <tableColumn id="16" xr3:uid="{A34C98EE-DECC-46F5-BC0C-E57DA9A7120B}" uniqueName="16" name="Nr.⁴" queryTableFieldId="16" dataDxfId="25"/>
    <tableColumn id="17" xr3:uid="{63D9D999-3A90-4D1E-8C5E-924BC6E5FE58}" uniqueName="17" name="Navn og bordtennisklub⁴" queryTableFieldId="17"/>
    <tableColumn id="18" xr3:uid="{341ABA66-4843-49FF-BF3B-8C7BCB989BE2}" uniqueName="18" name="Alder⁴" queryTableFieldId="18" dataDxfId="24"/>
    <tableColumn id="19" xr3:uid="{8C022365-16EB-4C08-B8B1-3DFAF4A52F14}" uniqueName="19" name="Rating⁴" queryTableFieldId="19" dataDxfId="23"/>
    <tableColumn id="20" xr3:uid="{F28795AD-7612-491C-9963-90B8D0E5069D}" uniqueName="20" name="Seedningslag 5" queryTableFieldId="20" dataDxfId="22"/>
    <tableColumn id="21" xr3:uid="{A09D97DA-A15F-4DA8-8756-13FB4FF4DF48}" uniqueName="21" name="Nr.⁵" queryTableFieldId="21" dataDxfId="21"/>
    <tableColumn id="22" xr3:uid="{CC33B0F2-CD7C-4A81-ABB3-3419288F1D8E}" uniqueName="22" name="Navn og bordtennisklub⁵" queryTableFieldId="22"/>
    <tableColumn id="23" xr3:uid="{74461590-A101-40DE-BCB8-6E6C9AD7016B}" uniqueName="23" name="Alder⁵" queryTableFieldId="23" dataDxfId="20"/>
    <tableColumn id="24" xr3:uid="{CA401870-B72D-4AAF-9944-D0D5A4034A2A}" uniqueName="24" name="Rating⁵" queryTableFieldId="24" dataDxfId="19"/>
    <tableColumn id="25" xr3:uid="{B56244B1-1A1E-4392-ADFA-FF3D1C490745}" uniqueName="25" name="Seedningslag 6" queryTableFieldId="25" dataDxfId="18"/>
    <tableColumn id="26" xr3:uid="{0084C355-A09A-4015-8267-28150F812D24}" uniqueName="26" name="Nr.⁶" queryTableFieldId="26" dataDxfId="17"/>
    <tableColumn id="27" xr3:uid="{B884F7C0-07B9-4399-B4E8-823240270778}" uniqueName="27" name="Navn og bordtennisklub⁶" queryTableFieldId="27"/>
    <tableColumn id="28" xr3:uid="{EA410ADD-2E7C-4F6F-872C-83B1FB8F36E1}" uniqueName="28" name="Alder⁶" queryTableFieldId="28" dataDxfId="16"/>
    <tableColumn id="29" xr3:uid="{9E45D0DF-A9B0-4111-A117-803B6A4DD627}" uniqueName="29" name="Rating⁶" queryTableFieldId="29" dataDxfId="15"/>
  </tableColumns>
  <tableStyleInfo name="Blå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13" Type="http://schemas.openxmlformats.org/officeDocument/2006/relationships/table" Target="../tables/table11.xml"/><Relationship Id="rId18" Type="http://schemas.openxmlformats.org/officeDocument/2006/relationships/table" Target="../tables/table16.xml"/><Relationship Id="rId3" Type="http://schemas.openxmlformats.org/officeDocument/2006/relationships/table" Target="../tables/table1.xml"/><Relationship Id="rId21" Type="http://schemas.openxmlformats.org/officeDocument/2006/relationships/table" Target="../tables/table19.xml"/><Relationship Id="rId7" Type="http://schemas.openxmlformats.org/officeDocument/2006/relationships/table" Target="../tables/table5.xml"/><Relationship Id="rId12" Type="http://schemas.openxmlformats.org/officeDocument/2006/relationships/table" Target="../tables/table10.xml"/><Relationship Id="rId17" Type="http://schemas.openxmlformats.org/officeDocument/2006/relationships/table" Target="../tables/table15.xml"/><Relationship Id="rId2" Type="http://schemas.openxmlformats.org/officeDocument/2006/relationships/image" Target="../media/image1.png"/><Relationship Id="rId16" Type="http://schemas.openxmlformats.org/officeDocument/2006/relationships/table" Target="../tables/table14.xml"/><Relationship Id="rId20" Type="http://schemas.openxmlformats.org/officeDocument/2006/relationships/table" Target="../tables/table18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11" Type="http://schemas.openxmlformats.org/officeDocument/2006/relationships/table" Target="../tables/table9.xml"/><Relationship Id="rId5" Type="http://schemas.openxmlformats.org/officeDocument/2006/relationships/table" Target="../tables/table3.xml"/><Relationship Id="rId15" Type="http://schemas.openxmlformats.org/officeDocument/2006/relationships/table" Target="../tables/table13.xml"/><Relationship Id="rId10" Type="http://schemas.openxmlformats.org/officeDocument/2006/relationships/table" Target="../tables/table8.xml"/><Relationship Id="rId19" Type="http://schemas.openxmlformats.org/officeDocument/2006/relationships/table" Target="../tables/table17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Relationship Id="rId14" Type="http://schemas.openxmlformats.org/officeDocument/2006/relationships/table" Target="../tables/table12.xml"/><Relationship Id="rId22" Type="http://schemas.openxmlformats.org/officeDocument/2006/relationships/table" Target="../tables/table20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6.xml"/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28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image" Target="../media/image2.png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FC004-7A29-48E0-8CDE-C1E79E4362A2}">
  <sheetPr codeName="Ark1">
    <tabColor theme="4" tint="0.79998168889431442"/>
    <pageSetUpPr fitToPage="1"/>
  </sheetPr>
  <dimension ref="A1:AO233"/>
  <sheetViews>
    <sheetView showGridLines="0" tabSelected="1" zoomScaleNormal="100" workbookViewId="0">
      <pane xSplit="2" topLeftCell="C1" activePane="topRight" state="frozen"/>
      <selection sqref="A1:AO1"/>
      <selection pane="topRight" sqref="A1:AO1"/>
    </sheetView>
  </sheetViews>
  <sheetFormatPr defaultColWidth="18.109375" defaultRowHeight="14.4" x14ac:dyDescent="0.3"/>
  <cols>
    <col min="1" max="1" width="14.77734375" bestFit="1" customWidth="1"/>
    <col min="2" max="2" width="29.109375" bestFit="1" customWidth="1"/>
    <col min="3" max="3" width="18.21875" bestFit="1" customWidth="1"/>
    <col min="4" max="4" width="9" bestFit="1" customWidth="1"/>
    <col min="5" max="5" width="21.77734375" bestFit="1" customWidth="1"/>
    <col min="6" max="6" width="42.5546875" bestFit="1" customWidth="1"/>
    <col min="7" max="7" width="27.44140625" bestFit="1" customWidth="1"/>
    <col min="8" max="8" width="15.6640625" bestFit="1" customWidth="1"/>
    <col min="9" max="9" width="16.77734375" bestFit="1" customWidth="1"/>
    <col min="10" max="10" width="15.6640625" bestFit="1" customWidth="1"/>
    <col min="11" max="11" width="13.5546875" bestFit="1" customWidth="1"/>
    <col min="12" max="12" width="15.21875" bestFit="1" customWidth="1"/>
    <col min="13" max="13" width="17.109375" bestFit="1" customWidth="1"/>
    <col min="14" max="14" width="8.88671875" customWidth="1"/>
    <col min="15" max="15" width="3.5546875" bestFit="1" customWidth="1"/>
    <col min="16" max="16" width="22.88671875" bestFit="1" customWidth="1"/>
    <col min="17" max="17" width="14.33203125" bestFit="1" customWidth="1"/>
    <col min="18" max="18" width="12.88671875" bestFit="1" customWidth="1"/>
    <col min="19" max="19" width="30.77734375" bestFit="1" customWidth="1"/>
    <col min="20" max="20" width="8.88671875" customWidth="1"/>
    <col min="21" max="21" width="3.5546875" bestFit="1" customWidth="1"/>
    <col min="22" max="22" width="28.5546875" bestFit="1" customWidth="1"/>
    <col min="23" max="23" width="18.109375" bestFit="1" customWidth="1"/>
    <col min="24" max="24" width="20.88671875" bestFit="1" customWidth="1"/>
    <col min="25" max="25" width="34.109375" bestFit="1" customWidth="1"/>
    <col min="26" max="26" width="17.88671875" bestFit="1" customWidth="1"/>
    <col min="27" max="27" width="13.6640625" bestFit="1" customWidth="1"/>
    <col min="28" max="28" width="23.77734375" bestFit="1" customWidth="1"/>
    <col min="29" max="29" width="44.5546875" bestFit="1" customWidth="1"/>
    <col min="30" max="30" width="14.77734375" bestFit="1" customWidth="1"/>
    <col min="31" max="31" width="14" bestFit="1" customWidth="1"/>
    <col min="32" max="32" width="11.77734375" bestFit="1" customWidth="1"/>
    <col min="33" max="33" width="171.109375" bestFit="1" customWidth="1"/>
    <col min="34" max="34" width="33.109375" bestFit="1" customWidth="1"/>
    <col min="35" max="35" width="40.21875" bestFit="1" customWidth="1"/>
    <col min="36" max="37" width="9.109375" bestFit="1" customWidth="1"/>
    <col min="38" max="38" width="11.88671875" bestFit="1" customWidth="1"/>
    <col min="39" max="39" width="8.88671875" customWidth="1"/>
    <col min="40" max="40" width="12.88671875" bestFit="1" customWidth="1"/>
    <col min="41" max="41" width="5.5546875" bestFit="1" customWidth="1"/>
  </cols>
  <sheetData>
    <row r="1" spans="1:41" ht="30" customHeight="1" x14ac:dyDescent="0.6">
      <c r="A1" s="117" t="s">
        <v>655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N1" s="117"/>
      <c r="AO1" s="117"/>
    </row>
    <row r="3" spans="1:41" x14ac:dyDescent="0.3">
      <c r="A3" s="118" t="s">
        <v>445</v>
      </c>
      <c r="B3" s="118"/>
      <c r="E3" s="52" t="s">
        <v>459</v>
      </c>
      <c r="O3" s="118" t="s">
        <v>147</v>
      </c>
      <c r="P3" s="118"/>
      <c r="Q3" s="118"/>
      <c r="R3" s="118"/>
      <c r="S3" s="118"/>
      <c r="U3" s="118" t="s">
        <v>579</v>
      </c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</row>
    <row r="4" spans="1:41" x14ac:dyDescent="0.3">
      <c r="A4" s="119" t="str" cm="1">
        <f t="array" ref="A4">TEXT(COLUMNS(Tilmeldinger[]),"#.##0")&amp;" · "&amp;TEXT(ROWS(Tilmeldinger[]),"#.##0")&amp;" = "&amp;TEXT(SUMPRODUCT(COLUMNS(Tilmeldinger[]),ROWS(Tilmeldinger[])),"#.##0")
&amp;" ("&amp;IF(AND(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billettype],0)),FALSE,FALSE)))),
"✓","X")&amp;")"</f>
        <v>13 · 228 = 2.964 (✓)</v>
      </c>
      <c r="B4" s="119"/>
      <c r="E4" s="86">
        <v>2023</v>
      </c>
      <c r="O4" s="119" t="str" cm="1">
        <f t="array" ref="O4">TEXT(COLUMNS(Bordtennisklub_d1[]),"#.##0")&amp;" · "&amp;TEXT(ROWS(Bordtennisklub_d1[]),"#.##0")&amp;" = "&amp;TEXT(SUMPRODUCT(COLUMNS(Bordtennisklub_d1[]),ROWS(Bordtennisklub_d1[])),"#.##0")
&amp;" ("&amp;IF(AND(COUNTIF(Bordtennisklub_d1[K: Bordtennisklub],Bordtennisklub_d1[K: Bordtennisklub])&lt;2),"✓","X")&amp;")"</f>
        <v>5 · 37 = 185 (✓)</v>
      </c>
      <c r="P4" s="119"/>
      <c r="Q4" s="119"/>
      <c r="R4" s="119"/>
      <c r="S4" s="119"/>
      <c r="U4" s="119" t="str" cm="1">
        <f t="array" ref="U4">TEXT(COLUMNS(Event_år_d2[]),"#.##0")&amp;" · "&amp;TEXT(ROWS(Event_år_d2[]),"#.##0")&amp;" = "&amp;TEXT(SUMPRODUCT(COLUMNS(Event_år_d2[]),ROWS(Event_år_d2[])),"#.##0")
&amp;" ("&amp;IF(AND(COUNTIF(Event_år_d2[K: Event &amp; år],Event_år_d2[K: Event &amp; år])&lt;2),"✓","X")&amp;")"</f>
        <v>18 · 9 = 162 (✓)</v>
      </c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</row>
    <row r="5" spans="1:41" x14ac:dyDescent="0.3">
      <c r="A5" t="s">
        <v>560</v>
      </c>
      <c r="B5" t="s">
        <v>119</v>
      </c>
      <c r="C5" t="s">
        <v>40</v>
      </c>
      <c r="D5" t="s">
        <v>42</v>
      </c>
      <c r="E5" s="111" t="s">
        <v>529</v>
      </c>
      <c r="F5" s="2" t="s">
        <v>535</v>
      </c>
      <c r="G5" s="2" t="s">
        <v>526</v>
      </c>
      <c r="H5" t="s">
        <v>74</v>
      </c>
      <c r="I5" t="s">
        <v>76</v>
      </c>
      <c r="J5" t="s">
        <v>75</v>
      </c>
      <c r="K5" s="4" t="s">
        <v>583</v>
      </c>
      <c r="L5" s="4" t="s">
        <v>582</v>
      </c>
      <c r="M5" t="s">
        <v>581</v>
      </c>
      <c r="O5" s="3" t="s">
        <v>0</v>
      </c>
      <c r="P5" s="19" t="s">
        <v>40</v>
      </c>
      <c r="Q5" s="16" t="s">
        <v>345</v>
      </c>
      <c r="R5" s="2" t="s">
        <v>57</v>
      </c>
      <c r="S5" s="2" t="s">
        <v>279</v>
      </c>
      <c r="U5" t="s">
        <v>0</v>
      </c>
      <c r="V5" t="s">
        <v>531</v>
      </c>
      <c r="W5" s="4" t="s">
        <v>555</v>
      </c>
      <c r="X5" s="4" t="s">
        <v>534</v>
      </c>
      <c r="Y5" s="4" t="s">
        <v>577</v>
      </c>
      <c r="Z5" s="4" t="s">
        <v>578</v>
      </c>
      <c r="AA5" s="4" t="s">
        <v>633</v>
      </c>
      <c r="AB5" s="4" t="s">
        <v>650</v>
      </c>
      <c r="AC5" t="s">
        <v>551</v>
      </c>
      <c r="AD5" t="s">
        <v>552</v>
      </c>
      <c r="AE5" s="4" t="s">
        <v>553</v>
      </c>
      <c r="AF5" t="s">
        <v>554</v>
      </c>
      <c r="AG5" t="s">
        <v>656</v>
      </c>
      <c r="AH5" t="s">
        <v>586</v>
      </c>
      <c r="AI5" t="s">
        <v>587</v>
      </c>
      <c r="AJ5" t="s">
        <v>663</v>
      </c>
      <c r="AK5" t="s">
        <v>664</v>
      </c>
      <c r="AL5" t="s">
        <v>533</v>
      </c>
      <c r="AN5" s="93" t="s">
        <v>15</v>
      </c>
      <c r="AO5" s="94" t="s">
        <v>60</v>
      </c>
    </row>
    <row r="6" spans="1:41" x14ac:dyDescent="0.3">
      <c r="A6" t="s">
        <v>95</v>
      </c>
      <c r="B6" t="s">
        <v>109</v>
      </c>
      <c r="C6" t="s">
        <v>5</v>
      </c>
      <c r="D6" t="s">
        <v>210</v>
      </c>
      <c r="E6" s="111">
        <v>45059.712314814817</v>
      </c>
      <c r="F6" s="2" t="s">
        <v>604</v>
      </c>
      <c r="G6" s="2" t="s">
        <v>467</v>
      </c>
      <c r="H6">
        <v>4</v>
      </c>
      <c r="K6" s="4"/>
      <c r="L6" s="4"/>
      <c r="O6" s="92" cm="1">
        <f t="array" ref="O6">ROW()-ROW(Bordtennisklub_d1[#Headers])</f>
        <v>1</v>
      </c>
      <c r="P6" s="19" t="s">
        <v>9</v>
      </c>
      <c r="Q6" s="16">
        <v>2770</v>
      </c>
      <c r="R6" s="2" t="s">
        <v>49</v>
      </c>
      <c r="S6" s="2" t="s">
        <v>264</v>
      </c>
      <c r="U6" s="40" cm="1">
        <f t="array" ref="U6">ROW()-ROW(Event_år_d2[#Headers])</f>
        <v>1</v>
      </c>
      <c r="V6" s="2" t="s">
        <v>592</v>
      </c>
      <c r="W6" s="75">
        <v>45094.4375</v>
      </c>
      <c r="X6" s="75">
        <v>45081.999988425923</v>
      </c>
      <c r="Y6" s="75">
        <v>45000.770833333336</v>
      </c>
      <c r="Z6" s="114">
        <v>45086</v>
      </c>
      <c r="AA6" s="3">
        <v>6</v>
      </c>
      <c r="AB6" s="16" t="s">
        <v>652</v>
      </c>
      <c r="AC6" s="2" t="s">
        <v>548</v>
      </c>
      <c r="AD6" s="2" t="s">
        <v>549</v>
      </c>
      <c r="AE6" s="7">
        <v>8362</v>
      </c>
      <c r="AF6" s="2" t="s">
        <v>46</v>
      </c>
      <c r="AG6" s="2" t="s">
        <v>657</v>
      </c>
      <c r="AH6" s="2" t="s">
        <v>590</v>
      </c>
      <c r="AI6" s="2" t="s">
        <v>589</v>
      </c>
      <c r="AJ6" s="2" t="s">
        <v>665</v>
      </c>
      <c r="AK6" s="2" t="s">
        <v>666</v>
      </c>
      <c r="AL6" s="112" t="str" cm="1">
        <f t="array" ref="AL6">IF(OR(ISBLANK(Event_år_d2[[#This Row],[K: Event]:[K: Eventdato]])),"",Event_år_d2[[#This Row],[K: Event]]&amp;" "&amp;YEAR(Event_år_d2[[#This Row],[K: Eventdato]]))</f>
        <v>DM 2023</v>
      </c>
      <c r="AN6" s="95" t="s">
        <v>16</v>
      </c>
      <c r="AO6" s="80">
        <v>20</v>
      </c>
    </row>
    <row r="7" spans="1:41" x14ac:dyDescent="0.3">
      <c r="A7" t="s">
        <v>95</v>
      </c>
      <c r="B7" t="s">
        <v>109</v>
      </c>
      <c r="C7" t="s">
        <v>5</v>
      </c>
      <c r="D7" t="s">
        <v>210</v>
      </c>
      <c r="E7" s="111">
        <v>45059.712316478894</v>
      </c>
      <c r="F7" s="2" t="s">
        <v>634</v>
      </c>
      <c r="G7" s="2" t="s">
        <v>467</v>
      </c>
      <c r="H7">
        <v>4</v>
      </c>
      <c r="K7" s="4"/>
      <c r="L7" s="4"/>
      <c r="O7" s="92" cm="1">
        <f t="array" ref="O7">ROW()-ROW(Bordtennisklub_d1[#Headers])</f>
        <v>2</v>
      </c>
      <c r="P7" s="19" t="s">
        <v>11</v>
      </c>
      <c r="Q7" s="16">
        <v>9850</v>
      </c>
      <c r="R7" s="2" t="s">
        <v>48</v>
      </c>
      <c r="S7" s="2" t="s">
        <v>278</v>
      </c>
      <c r="U7" s="40" cm="1">
        <f t="array" ref="U7">ROW()-ROW(Event_år_d2[#Headers])</f>
        <v>2</v>
      </c>
      <c r="V7" s="2" t="s">
        <v>592</v>
      </c>
      <c r="W7" s="75">
        <v>44730.4375</v>
      </c>
      <c r="X7" s="75">
        <v>44717.999988425923</v>
      </c>
      <c r="Y7" s="75">
        <v>44668.5</v>
      </c>
      <c r="Z7" s="114">
        <v>44708</v>
      </c>
      <c r="AA7" s="3">
        <v>6</v>
      </c>
      <c r="AB7" s="16" t="s">
        <v>653</v>
      </c>
      <c r="AC7" s="2" t="s">
        <v>8</v>
      </c>
      <c r="AD7" s="2" t="s">
        <v>546</v>
      </c>
      <c r="AE7" s="7">
        <v>8000</v>
      </c>
      <c r="AF7" s="2" t="s">
        <v>547</v>
      </c>
      <c r="AG7" s="2" t="s">
        <v>658</v>
      </c>
      <c r="AH7" s="2" t="s">
        <v>588</v>
      </c>
      <c r="AI7" s="2" t="s">
        <v>589</v>
      </c>
      <c r="AJ7" s="2" t="s">
        <v>698</v>
      </c>
      <c r="AK7" s="2" t="s">
        <v>666</v>
      </c>
      <c r="AL7" s="112" t="str" cm="1">
        <f t="array" ref="AL7">IF(OR(ISBLANK(Event_år_d2[[#This Row],[K: Event]:[K: Eventdato]])),"",Event_år_d2[[#This Row],[K: Event]]&amp;" "&amp;YEAR(Event_år_d2[[#This Row],[K: Eventdato]]))</f>
        <v>DM 2022</v>
      </c>
      <c r="AN7" s="95" t="s">
        <v>17</v>
      </c>
      <c r="AO7" s="80">
        <f>COLUMNS(Tilmeldinger[])+
COLUMNS(Bordtennisklub_d1[])+
COLUMNS(Køn_d1[])+
COLUMNS(Spillertype_d1[])+
COLUMNS(Aldersgruppe_d1[])+
COLUMNS(Ratinggruppe_d1[])+
COLUMNS(Landsdel_d2[])+
COLUMNS(Region_d2[])+
COLUMNS(Event_år_d2[])+
COLUMNS(Event_år_billettype_d1[])+
COLUMNS(Billettype_d2[])+
COLUMNS(Event_d3[])+
COLUMNS(Tilmeldingsstatus_d1[])+
COLUMNS(Billetsalg_pr_tilmelding_d1[])+
COLUMNS(Tilmeldingstype_d1[])+
COLUMNS(Gentilmeldinger_d1[])+
COLUMNS(Klokkeslætsinterval_d1[])+
COLUMNS(Slutspil_d1[])+
COLUMNS(Placering_d1[])+
COLUMNS(TRUE_FALSE_d1[])</f>
        <v>77</v>
      </c>
    </row>
    <row r="8" spans="1:41" x14ac:dyDescent="0.3">
      <c r="A8" t="s">
        <v>811</v>
      </c>
      <c r="B8" t="s">
        <v>810</v>
      </c>
      <c r="C8" t="s">
        <v>4</v>
      </c>
      <c r="D8" t="s">
        <v>210</v>
      </c>
      <c r="E8" s="111">
        <v>45058.786038920778</v>
      </c>
      <c r="F8" s="2" t="s">
        <v>604</v>
      </c>
      <c r="G8" s="2" t="s">
        <v>467</v>
      </c>
      <c r="K8" s="4"/>
      <c r="L8" s="4"/>
      <c r="O8" s="92" cm="1">
        <f t="array" ref="O8">ROW()-ROW(Bordtennisklub_d1[#Headers])</f>
        <v>3</v>
      </c>
      <c r="P8" s="19" t="s">
        <v>297</v>
      </c>
      <c r="Q8" s="16">
        <v>2605</v>
      </c>
      <c r="R8" s="2" t="s">
        <v>298</v>
      </c>
      <c r="S8" s="2" t="s">
        <v>302</v>
      </c>
      <c r="U8" s="40" cm="1">
        <f t="array" ref="U8">ROW()-ROW(Event_år_d2[#Headers])</f>
        <v>3</v>
      </c>
      <c r="V8" s="2" t="s">
        <v>592</v>
      </c>
      <c r="W8" s="75">
        <v>44541.458333333336</v>
      </c>
      <c r="X8" s="75">
        <v>44526.999988425923</v>
      </c>
      <c r="Y8" s="75">
        <v>44462.670138888891</v>
      </c>
      <c r="Z8" s="114">
        <v>44539</v>
      </c>
      <c r="AA8" s="3">
        <v>4</v>
      </c>
      <c r="AB8" s="16" t="s">
        <v>653</v>
      </c>
      <c r="AC8" s="2" t="s">
        <v>544</v>
      </c>
      <c r="AD8" s="2" t="s">
        <v>545</v>
      </c>
      <c r="AE8" s="7">
        <v>5000</v>
      </c>
      <c r="AF8" s="2" t="s">
        <v>52</v>
      </c>
      <c r="AG8" s="2" t="s">
        <v>659</v>
      </c>
      <c r="AH8" s="2" t="s">
        <v>591</v>
      </c>
      <c r="AI8" s="2" t="s">
        <v>589</v>
      </c>
      <c r="AJ8" s="2" t="s">
        <v>667</v>
      </c>
      <c r="AK8" s="2" t="s">
        <v>668</v>
      </c>
      <c r="AL8" s="112" t="str" cm="1">
        <f t="array" ref="AL8">IF(OR(ISBLANK(Event_år_d2[[#This Row],[K: Event]:[K: Eventdato]])),"",Event_år_d2[[#This Row],[K: Event]]&amp;" "&amp;YEAR(Event_år_d2[[#This Row],[K: Eventdato]]))</f>
        <v>DM 2021</v>
      </c>
      <c r="AN8" s="95" t="s">
        <v>18</v>
      </c>
      <c r="AO8" s="80">
        <f>ROWS(Tilmeldinger[])+
ROWS(Bordtennisklub_d1[])+
ROWS(Køn_d1[])+
ROWS(Spillertype_d1[])+
ROWS(Aldersgruppe_d1[])+
ROWS(Ratinggruppe_d1[])+
ROWS(Landsdel_d2[])+
ROWS(Region_d2[])+
ROWS(Event_år_d2[])+
ROWS(Event_år_billettype_d1[])+
ROWS(Billettype_d2[])+
ROWS(Event_d3[])+
ROWS(Tilmeldingsstatus_d1[])+
ROWS(Billetsalg_pr_tilmelding_d1[])+
ROWS(Tilmeldingstype_d1[])+
ROWS(Gentilmeldinger_d1[])+
ROWS(Klokkeslætsinterval_d1[])+
ROWS(Slutspil_d1[])+
ROWS(Placering_d1[])+
ROWS(TRUE_FALSE_d1[])</f>
        <v>346</v>
      </c>
    </row>
    <row r="9" spans="1:41" x14ac:dyDescent="0.3">
      <c r="A9" t="s">
        <v>803</v>
      </c>
      <c r="B9" t="s">
        <v>804</v>
      </c>
      <c r="C9" t="s">
        <v>4</v>
      </c>
      <c r="D9" t="s">
        <v>210</v>
      </c>
      <c r="E9" s="111">
        <v>45054.749047403056</v>
      </c>
      <c r="F9" s="2" t="s">
        <v>604</v>
      </c>
      <c r="G9" s="2" t="s">
        <v>467</v>
      </c>
      <c r="K9" s="4"/>
      <c r="L9" s="4"/>
      <c r="O9" s="92" cm="1">
        <f t="array" ref="O9">ROW()-ROW(Bordtennisklub_d1[#Headers])</f>
        <v>4</v>
      </c>
      <c r="P9" s="19" t="s">
        <v>64</v>
      </c>
      <c r="Q9" s="16">
        <v>9700</v>
      </c>
      <c r="R9" s="2" t="s">
        <v>64</v>
      </c>
      <c r="S9" s="2" t="s">
        <v>265</v>
      </c>
      <c r="U9" s="40" cm="1">
        <f t="array" ref="U9">ROW()-ROW(Event_år_d2[#Headers])</f>
        <v>4</v>
      </c>
      <c r="V9" s="2" t="s">
        <v>592</v>
      </c>
      <c r="W9" s="75">
        <v>43638.416666666664</v>
      </c>
      <c r="X9" s="75">
        <v>43631.999988425923</v>
      </c>
      <c r="Y9" s="75"/>
      <c r="Z9" s="114">
        <v>43636</v>
      </c>
      <c r="AA9" s="3">
        <v>4</v>
      </c>
      <c r="AB9" s="16" t="s">
        <v>653</v>
      </c>
      <c r="AC9" s="2" t="s">
        <v>622</v>
      </c>
      <c r="AD9" s="2" t="s">
        <v>623</v>
      </c>
      <c r="AE9" s="7">
        <v>8600</v>
      </c>
      <c r="AF9" s="2" t="s">
        <v>47</v>
      </c>
      <c r="AG9" s="2" t="s">
        <v>660</v>
      </c>
      <c r="AH9" s="2"/>
      <c r="AI9" s="2"/>
      <c r="AJ9" s="2" t="s">
        <v>667</v>
      </c>
      <c r="AK9" s="2" t="s">
        <v>668</v>
      </c>
      <c r="AL9" s="112" t="str" cm="1">
        <f t="array" ref="AL9">IF(OR(ISBLANK(Event_år_d2[[#This Row],[K: Event]:[K: Eventdato]])),"",Event_år_d2[[#This Row],[K: Event]]&amp;" "&amp;YEAR(Event_år_d2[[#This Row],[K: Eventdato]]))</f>
        <v>DM 2019</v>
      </c>
      <c r="AN9" s="95" t="s">
        <v>19</v>
      </c>
      <c r="AO9" s="80">
        <f>SUMPRODUCT(COLUMNS(Tilmeldinger[]),ROWS(Tilmeldinger[]))+
SUMPRODUCT(COLUMNS(Bordtennisklub_d1[]),ROWS(Bordtennisklub_d1[]))+
SUMPRODUCT(COLUMNS(Køn_d1[]),ROWS(Køn_d1[]))+
SUMPRODUCT(COLUMNS(Spillertype_d1[]),ROWS(Spillertype_d1[]))+
SUMPRODUCT(COLUMNS(Aldersgruppe_d1[]),ROWS(Aldersgruppe_d1[]))+
SUMPRODUCT(COLUMNS(Ratinggruppe_d1[]),ROWS(Ratinggruppe_d1[]))+
SUMPRODUCT(COLUMNS(Landsdel_d2[]),ROWS(Landsdel_d2[]))+
SUMPRODUCT(COLUMNS(Region_d2[]),ROWS(Region_d2[]))+
SUMPRODUCT(COLUMNS(Event_år_d2[]),ROWS(Event_år_d2[]))+
SUMPRODUCT(COLUMNS(Event_år_billettype_d1[]),ROWS(Event_år_billettype_d1[]))+
SUMPRODUCT(COLUMNS(Billettype_d2[]),ROWS(Billettype_d2[]))+
SUMPRODUCT(COLUMNS(Event_d3[]),ROWS(Event_d3[]))+
SUMPRODUCT(COLUMNS(Tilmeldingsstatus_d1[]),ROWS(Tilmeldingsstatus_d1[]))+
SUMPRODUCT(COLUMNS(Billetsalg_pr_tilmelding_d1[]),ROWS(Billetsalg_pr_tilmelding_d1[]))+
SUMPRODUCT(COLUMNS(Tilmeldingstype_d1[]),ROWS(Tilmeldingstype_d1[]))+
SUMPRODUCT(COLUMNS(Gentilmeldinger_d1[]),ROWS(Gentilmeldinger_d1[]))+
SUMPRODUCT(COLUMNS(Klokkeslætsinterval_d1[]),ROWS(Klokkeslætsinterval_d1[]))+
SUMPRODUCT(COLUMNS(Slutspil_d1[]),ROWS(Slutspil_d1[]))+
SUMPRODUCT(COLUMNS(Placering_d1[]),ROWS(Placering_d1[]))+
SUMPRODUCT(COLUMNS(TRUE_FALSE_d1[]),ROWS(TRUE_FALSE_d1[]))</f>
        <v>3595</v>
      </c>
    </row>
    <row r="10" spans="1:41" x14ac:dyDescent="0.3">
      <c r="A10" s="2" t="s">
        <v>100</v>
      </c>
      <c r="B10" s="2" t="s">
        <v>22</v>
      </c>
      <c r="C10" s="2" t="s">
        <v>7</v>
      </c>
      <c r="D10" s="2" t="s">
        <v>210</v>
      </c>
      <c r="E10" s="111">
        <v>45051.364646391317</v>
      </c>
      <c r="F10" s="2" t="s">
        <v>604</v>
      </c>
      <c r="G10" s="2" t="s">
        <v>467</v>
      </c>
      <c r="K10" s="4"/>
      <c r="L10" s="4"/>
      <c r="O10" s="92" cm="1">
        <f t="array" ref="O10">ROW()-ROW(Bordtennisklub_d1[#Headers])</f>
        <v>5</v>
      </c>
      <c r="P10" s="19" t="s">
        <v>343</v>
      </c>
      <c r="Q10" s="16">
        <v>2400</v>
      </c>
      <c r="R10" s="2" t="s">
        <v>290</v>
      </c>
      <c r="S10" s="2" t="s">
        <v>291</v>
      </c>
      <c r="U10" s="40" cm="1">
        <f t="array" ref="U10">ROW()-ROW(Event_år_d2[#Headers])</f>
        <v>5</v>
      </c>
      <c r="V10" s="2" t="s">
        <v>592</v>
      </c>
      <c r="W10" s="75">
        <v>43449.416666666664</v>
      </c>
      <c r="X10" s="75">
        <v>43436.999988425923</v>
      </c>
      <c r="Y10" s="75"/>
      <c r="Z10" s="114">
        <v>43447</v>
      </c>
      <c r="AA10" s="3">
        <v>4</v>
      </c>
      <c r="AB10" s="16" t="s">
        <v>653</v>
      </c>
      <c r="AC10" s="2" t="s">
        <v>628</v>
      </c>
      <c r="AD10" s="2" t="s">
        <v>630</v>
      </c>
      <c r="AE10" s="7">
        <v>2100</v>
      </c>
      <c r="AF10" s="2" t="s">
        <v>51</v>
      </c>
      <c r="AG10" s="2" t="s">
        <v>661</v>
      </c>
      <c r="AH10" s="2"/>
      <c r="AI10" s="2"/>
      <c r="AJ10" s="2" t="s">
        <v>667</v>
      </c>
      <c r="AK10" s="2" t="s">
        <v>668</v>
      </c>
      <c r="AL10" s="112" t="str" cm="1">
        <f t="array" ref="AL10">IF(OR(ISBLANK(Event_år_d2[[#This Row],[K: Event]:[K: Eventdato]])),"",Event_år_d2[[#This Row],[K: Event]]&amp;" "&amp;YEAR(Event_år_d2[[#This Row],[K: Eventdato]]))</f>
        <v>DM 2018</v>
      </c>
      <c r="AN10" s="96" t="s">
        <v>20</v>
      </c>
      <c r="AO10" s="81" t="str" cm="1">
        <f t="array" ref="AO10">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billettype],0)),FALSE,FALSE))),
COUNTIF(Bordtennisklub_d1[K: Bordtennisklub],Bordtennisklub_d1[K: Bordtennisklub])&lt;2,
COUNTIF(Køn_d1[K: Køn],Køn_d1[K: Køn])&lt;2,
COUNTIF(Spillertype_d1[K: Spillertype],Spillertype_d1[K: Spillertype])&lt;2,
COUNTIF(Aldersgruppe_d1[K: Aldersgruppe],Aldersgruppe_d1[K: Aldersgruppe])&lt;2,
COUNTIF(Ratinggruppe_d1[K: Ratinggruppe],Ratinggruppe_d1[K: Ratinggruppe])&lt;2,
COUNTIF(Landsdel_d2[K: Landsdel],Landsdel_d2[K: Landsdel])&lt;2,
COUNTIF(Region_d2[K: Region],Region_d2[K: Region])&lt;2,
COUNTIF(Event_år_d2[K: Event &amp; år],Event_år_d2[K: Event &amp; år])&lt;2,
COUNTIF(Event_år_billettype_d1[K: Event, år &amp; billettype],Event_år_billettype_d1[K: Event, år &amp; billettype])&lt;2,
COUNTIF(Billettype_d2[K: Billettype],Billettype_d2[K: Billettype])&lt;2,
COUNTIF(Event_d3[K: Event],Event_d3[K: Event])&lt;2,
COUNTIF(Tilmeldingsstatus_d1[K: Tilmeldingsstatus],Tilmeldingsstatus_d1[K: Tilmeldingsstatus])&lt;2,
COUNTIF(Billetsalg_pr_tilmelding_d1[K: Billetsalg pr. tilmelding],Billetsalg_pr_tilmelding_d1[K: Billetsalg pr. tilmelding])&lt;2,
COUNTIF(Tilmeldingstype_d1[K: Tilmeldingstype],Tilmeldingstype_d1[K: Tilmeldingstype])&lt;2,
COUNTIF(Tilmeldingsstatus_d1[K: Tilmeldingsstatus],Tilmeldingsstatus_d1[K: Tilmeldingsstatus])&lt;2,
COUNTIF(Klokkeslætsinterval_d1[K: Klokkeslætsinterval],Klokkeslætsinterval_d1[K: Klokkeslætsinterval])&lt;2,
COUNTIF(Slutspil_d1[K: Slutspil],Slutspil_d1[K: Slutspil])&lt;2,
COUNTIF(Placering_d1[K: Placering],Placering_d1[K: Placering])&lt;2,
COUNTIF(TRUE_FALSE_d1[K: TRUE/FALSE],TRUE_FALSE_d1[K: TRUE/FALSE])&lt;2),
"✓","X")</f>
        <v>✓</v>
      </c>
    </row>
    <row r="11" spans="1:41" x14ac:dyDescent="0.3">
      <c r="A11" s="2" t="s">
        <v>100</v>
      </c>
      <c r="B11" s="2" t="s">
        <v>22</v>
      </c>
      <c r="C11" s="2" t="s">
        <v>7</v>
      </c>
      <c r="D11" s="2" t="s">
        <v>210</v>
      </c>
      <c r="E11" s="111">
        <v>45051.364646391317</v>
      </c>
      <c r="F11" s="2" t="s">
        <v>634</v>
      </c>
      <c r="G11" s="2" t="s">
        <v>467</v>
      </c>
      <c r="K11" s="4"/>
      <c r="L11" s="4"/>
      <c r="O11" s="92" cm="1">
        <f t="array" ref="O11">ROW()-ROW(Bordtennisklub_d1[#Headers])</f>
        <v>6</v>
      </c>
      <c r="P11" s="19" t="s">
        <v>358</v>
      </c>
      <c r="Q11" s="16">
        <v>8500</v>
      </c>
      <c r="R11" s="2" t="s">
        <v>359</v>
      </c>
      <c r="S11" s="2" t="s">
        <v>360</v>
      </c>
      <c r="U11" s="40" cm="1">
        <f t="array" ref="U11">ROW()-ROW(Event_år_d2[#Headers])</f>
        <v>6</v>
      </c>
      <c r="V11" s="2" t="s">
        <v>592</v>
      </c>
      <c r="W11" s="75">
        <v>43085.416666666664</v>
      </c>
      <c r="X11" s="75">
        <v>43072.999988425923</v>
      </c>
      <c r="Y11" s="75"/>
      <c r="Z11" s="114">
        <v>43083</v>
      </c>
      <c r="AA11" s="3">
        <v>4</v>
      </c>
      <c r="AB11" s="16" t="s">
        <v>653</v>
      </c>
      <c r="AC11" s="2" t="s">
        <v>628</v>
      </c>
      <c r="AD11" s="2" t="s">
        <v>630</v>
      </c>
      <c r="AE11" s="7">
        <v>2100</v>
      </c>
      <c r="AF11" s="2" t="s">
        <v>51</v>
      </c>
      <c r="AG11" s="2" t="s">
        <v>661</v>
      </c>
      <c r="AH11" s="2"/>
      <c r="AI11" s="2"/>
      <c r="AJ11" s="2" t="s">
        <v>667</v>
      </c>
      <c r="AK11" s="2" t="s">
        <v>668</v>
      </c>
      <c r="AL11" s="112" t="str" cm="1">
        <f t="array" ref="AL11">IF(OR(ISBLANK(Event_år_d2[[#This Row],[K: Event]:[K: Eventdato]])),"",Event_år_d2[[#This Row],[K: Event]]&amp;" "&amp;YEAR(Event_år_d2[[#This Row],[K: Eventdato]]))</f>
        <v>DM 2017</v>
      </c>
    </row>
    <row r="12" spans="1:41" x14ac:dyDescent="0.3">
      <c r="A12" t="s">
        <v>772</v>
      </c>
      <c r="B12" t="s">
        <v>768</v>
      </c>
      <c r="C12" t="s">
        <v>5</v>
      </c>
      <c r="D12" t="s">
        <v>210</v>
      </c>
      <c r="E12" s="111">
        <v>45045.827159681503</v>
      </c>
      <c r="F12" s="2" t="s">
        <v>604</v>
      </c>
      <c r="G12" s="2" t="s">
        <v>467</v>
      </c>
      <c r="K12" s="4"/>
      <c r="L12" s="4"/>
      <c r="O12" s="92" cm="1">
        <f t="array" ref="O12">ROW()-ROW(Bordtennisklub_d1[#Headers])</f>
        <v>7</v>
      </c>
      <c r="P12" s="19" t="s">
        <v>306</v>
      </c>
      <c r="Q12" s="16">
        <v>7400</v>
      </c>
      <c r="R12" s="2" t="s">
        <v>307</v>
      </c>
      <c r="S12" s="2" t="s">
        <v>305</v>
      </c>
      <c r="U12" s="40" cm="1">
        <f t="array" ref="U12">ROW()-ROW(Event_år_d2[#Headers])</f>
        <v>7</v>
      </c>
      <c r="V12" s="2" t="s">
        <v>592</v>
      </c>
      <c r="W12" s="75">
        <v>42721.416666666664</v>
      </c>
      <c r="X12" s="75">
        <v>42708.999988425923</v>
      </c>
      <c r="Y12" s="75"/>
      <c r="Z12" s="114">
        <v>42719</v>
      </c>
      <c r="AA12" s="3">
        <v>4</v>
      </c>
      <c r="AB12" s="16" t="s">
        <v>653</v>
      </c>
      <c r="AC12" s="2" t="s">
        <v>628</v>
      </c>
      <c r="AD12" s="2" t="s">
        <v>630</v>
      </c>
      <c r="AE12" s="7">
        <v>2100</v>
      </c>
      <c r="AF12" s="2" t="s">
        <v>51</v>
      </c>
      <c r="AG12" s="2" t="s">
        <v>661</v>
      </c>
      <c r="AH12" s="2"/>
      <c r="AI12" s="2"/>
      <c r="AJ12" s="2" t="s">
        <v>667</v>
      </c>
      <c r="AK12" s="2" t="s">
        <v>668</v>
      </c>
      <c r="AL12" s="112" t="str" cm="1">
        <f t="array" ref="AL12">IF(OR(ISBLANK(Event_år_d2[[#This Row],[K: Event]:[K: Eventdato]])),"",Event_år_d2[[#This Row],[K: Event]]&amp;" "&amp;YEAR(Event_år_d2[[#This Row],[K: Eventdato]]))</f>
        <v>DM 2016</v>
      </c>
    </row>
    <row r="13" spans="1:41" x14ac:dyDescent="0.3">
      <c r="A13" t="s">
        <v>772</v>
      </c>
      <c r="B13" t="s">
        <v>768</v>
      </c>
      <c r="C13" t="s">
        <v>5</v>
      </c>
      <c r="D13" t="s">
        <v>210</v>
      </c>
      <c r="E13" s="111">
        <v>45045.827159681503</v>
      </c>
      <c r="F13" s="2" t="s">
        <v>634</v>
      </c>
      <c r="G13" s="2" t="s">
        <v>467</v>
      </c>
      <c r="K13" s="4"/>
      <c r="L13" s="4"/>
      <c r="O13" s="92" cm="1">
        <f t="array" ref="O13">ROW()-ROW(Bordtennisklub_d1[#Headers])</f>
        <v>8</v>
      </c>
      <c r="P13" s="19" t="s">
        <v>428</v>
      </c>
      <c r="Q13" s="16">
        <v>9000</v>
      </c>
      <c r="R13" s="2" t="s">
        <v>429</v>
      </c>
      <c r="S13" s="2" t="s">
        <v>430</v>
      </c>
      <c r="U13" s="40" cm="1">
        <f t="array" ref="U13">ROW()-ROW(Event_år_d2[#Headers])</f>
        <v>8</v>
      </c>
      <c r="V13" s="2" t="s">
        <v>592</v>
      </c>
      <c r="W13" s="75">
        <v>42357.416666666664</v>
      </c>
      <c r="X13" s="75">
        <v>42344.999988425923</v>
      </c>
      <c r="Y13" s="75"/>
      <c r="Z13" s="114">
        <v>42355</v>
      </c>
      <c r="AA13" s="3">
        <v>4</v>
      </c>
      <c r="AB13" s="16" t="s">
        <v>653</v>
      </c>
      <c r="AC13" s="2" t="s">
        <v>11</v>
      </c>
      <c r="AD13" s="2" t="s">
        <v>629</v>
      </c>
      <c r="AE13" s="7">
        <v>9850</v>
      </c>
      <c r="AF13" s="2" t="s">
        <v>48</v>
      </c>
      <c r="AG13" s="2" t="s">
        <v>662</v>
      </c>
      <c r="AH13" s="2"/>
      <c r="AI13" s="2"/>
      <c r="AJ13" s="2" t="s">
        <v>667</v>
      </c>
      <c r="AK13" s="2" t="s">
        <v>668</v>
      </c>
      <c r="AL13" s="112" t="str" cm="1">
        <f t="array" ref="AL13">IF(OR(ISBLANK(Event_år_d2[[#This Row],[K: Event]:[K: Eventdato]])),"",Event_år_d2[[#This Row],[K: Event]]&amp;" "&amp;YEAR(Event_år_d2[[#This Row],[K: Eventdato]]))</f>
        <v>DM 2015</v>
      </c>
    </row>
    <row r="14" spans="1:41" x14ac:dyDescent="0.3">
      <c r="A14" t="s">
        <v>770</v>
      </c>
      <c r="B14" t="s">
        <v>771</v>
      </c>
      <c r="C14" t="s">
        <v>5</v>
      </c>
      <c r="D14" t="s">
        <v>210</v>
      </c>
      <c r="E14" s="111">
        <v>45045.820407066232</v>
      </c>
      <c r="F14" s="2" t="s">
        <v>604</v>
      </c>
      <c r="G14" s="2" t="s">
        <v>467</v>
      </c>
      <c r="K14" s="4"/>
      <c r="L14" s="4"/>
      <c r="O14" s="92" cm="1">
        <f t="array" ref="O14">ROW()-ROW(Bordtennisklub_d1[#Headers])</f>
        <v>9</v>
      </c>
      <c r="P14" s="19" t="s">
        <v>4</v>
      </c>
      <c r="Q14" s="16">
        <v>8260</v>
      </c>
      <c r="R14" s="2" t="s">
        <v>50</v>
      </c>
      <c r="S14" s="2" t="s">
        <v>266</v>
      </c>
      <c r="U14" s="40" cm="1">
        <f t="array" ref="U14">ROW()-ROW(Event_år_d2[#Headers])</f>
        <v>9</v>
      </c>
      <c r="V14" s="2" t="s">
        <v>592</v>
      </c>
      <c r="W14" s="75">
        <v>41993.416666666664</v>
      </c>
      <c r="X14" s="75">
        <v>41980.999988425923</v>
      </c>
      <c r="Y14" s="75"/>
      <c r="Z14" s="114">
        <v>41991</v>
      </c>
      <c r="AA14" s="3">
        <v>4</v>
      </c>
      <c r="AB14" s="16" t="s">
        <v>653</v>
      </c>
      <c r="AC14" s="2" t="s">
        <v>11</v>
      </c>
      <c r="AD14" s="2" t="s">
        <v>629</v>
      </c>
      <c r="AE14" s="7">
        <v>9850</v>
      </c>
      <c r="AF14" s="2" t="s">
        <v>48</v>
      </c>
      <c r="AG14" s="2" t="s">
        <v>662</v>
      </c>
      <c r="AH14" s="2"/>
      <c r="AI14" s="2"/>
      <c r="AJ14" s="2" t="s">
        <v>667</v>
      </c>
      <c r="AK14" s="2" t="s">
        <v>668</v>
      </c>
      <c r="AL14" s="112" t="str" cm="1">
        <f t="array" ref="AL14">IF(OR(ISBLANK(Event_år_d2[[#This Row],[K: Event]:[K: Eventdato]])),"",Event_år_d2[[#This Row],[K: Event]]&amp;" "&amp;YEAR(Event_år_d2[[#This Row],[K: Eventdato]]))</f>
        <v>DM 2014</v>
      </c>
    </row>
    <row r="15" spans="1:41" x14ac:dyDescent="0.3">
      <c r="A15" t="s">
        <v>770</v>
      </c>
      <c r="B15" t="s">
        <v>771</v>
      </c>
      <c r="C15" t="s">
        <v>5</v>
      </c>
      <c r="D15" t="s">
        <v>210</v>
      </c>
      <c r="E15" s="111">
        <v>45045.820407066232</v>
      </c>
      <c r="F15" s="2" t="s">
        <v>634</v>
      </c>
      <c r="G15" s="2" t="s">
        <v>467</v>
      </c>
      <c r="K15" s="4"/>
      <c r="L15" s="4"/>
      <c r="O15" s="92" cm="1">
        <f t="array" ref="O15">ROW()-ROW(Bordtennisklub_d1[#Headers])</f>
        <v>10</v>
      </c>
      <c r="P15" s="19" t="s">
        <v>32</v>
      </c>
      <c r="Q15" s="16">
        <v>6700</v>
      </c>
      <c r="R15" s="2" t="s">
        <v>45</v>
      </c>
      <c r="S15" s="2" t="s">
        <v>267</v>
      </c>
    </row>
    <row r="16" spans="1:41" x14ac:dyDescent="0.3">
      <c r="A16" t="s">
        <v>769</v>
      </c>
      <c r="B16" t="s">
        <v>767</v>
      </c>
      <c r="C16" t="s">
        <v>5</v>
      </c>
      <c r="D16" t="s">
        <v>210</v>
      </c>
      <c r="E16" s="111">
        <v>45045.817027080971</v>
      </c>
      <c r="F16" s="2" t="s">
        <v>604</v>
      </c>
      <c r="G16" s="2" t="s">
        <v>467</v>
      </c>
      <c r="K16" s="4"/>
      <c r="L16" s="4"/>
      <c r="O16" s="92" cm="1">
        <f t="array" ref="O16">ROW()-ROW(Bordtennisklub_d1[#Headers])</f>
        <v>11</v>
      </c>
      <c r="P16" s="19" t="s">
        <v>308</v>
      </c>
      <c r="Q16" s="16">
        <v>2000</v>
      </c>
      <c r="R16" s="2" t="s">
        <v>309</v>
      </c>
      <c r="S16" s="2" t="s">
        <v>310</v>
      </c>
      <c r="U16" s="118" t="s">
        <v>580</v>
      </c>
      <c r="V16" s="118"/>
      <c r="W16" s="118"/>
      <c r="X16" s="118"/>
      <c r="Y16" s="118"/>
      <c r="Z16" s="118"/>
      <c r="AA16" s="118"/>
      <c r="AB16" s="118"/>
      <c r="AC16" s="118"/>
    </row>
    <row r="17" spans="1:29" x14ac:dyDescent="0.3">
      <c r="A17" t="s">
        <v>765</v>
      </c>
      <c r="B17" t="s">
        <v>766</v>
      </c>
      <c r="C17" t="s">
        <v>416</v>
      </c>
      <c r="D17" t="s">
        <v>210</v>
      </c>
      <c r="E17" s="111">
        <v>45031.843686254651</v>
      </c>
      <c r="F17" s="2" t="s">
        <v>634</v>
      </c>
      <c r="G17" s="2" t="s">
        <v>467</v>
      </c>
      <c r="K17" s="4"/>
      <c r="L17" s="4"/>
      <c r="O17" s="92" cm="1">
        <f t="array" ref="O17">ROW()-ROW(Bordtennisklub_d1[#Headers])</f>
        <v>12</v>
      </c>
      <c r="P17" s="19" t="s">
        <v>63</v>
      </c>
      <c r="Q17" s="16">
        <v>8464</v>
      </c>
      <c r="R17" s="2" t="s">
        <v>62</v>
      </c>
      <c r="S17" s="2" t="s">
        <v>268</v>
      </c>
      <c r="U17" s="119" t="str" cm="1">
        <f t="array" ref="U17">TEXT(COLUMNS(Event_år_billettype_d1[]),"#.##0")&amp;" · "&amp;TEXT(ROWS(Event_år_billettype_d1[]),"#.##0")&amp;" = "&amp;TEXT(SUMPRODUCT(COLUMNS(Event_år_billettype_d1[]),ROWS(Event_år_billettype_d1[])),"#.##0")
&amp;" ("&amp;IF(AND(COUNTIF(Event_år_billettype_d1[K: Event, år &amp; billettype],Event_år_billettype_d1[K: Event, år &amp; billettype])&lt;2),"✓","X")&amp;")"</f>
        <v>9 · 20 = 180 (✓)</v>
      </c>
      <c r="V17" s="119"/>
      <c r="W17" s="119"/>
      <c r="X17" s="119"/>
      <c r="Y17" s="119"/>
      <c r="Z17" s="119"/>
      <c r="AA17" s="119"/>
      <c r="AB17" s="119"/>
      <c r="AC17" s="119"/>
    </row>
    <row r="18" spans="1:29" x14ac:dyDescent="0.3">
      <c r="A18" t="s">
        <v>765</v>
      </c>
      <c r="B18" t="s">
        <v>766</v>
      </c>
      <c r="C18" t="s">
        <v>416</v>
      </c>
      <c r="D18" t="s">
        <v>210</v>
      </c>
      <c r="E18" s="111">
        <v>45031.843686254651</v>
      </c>
      <c r="F18" s="2" t="s">
        <v>604</v>
      </c>
      <c r="G18" s="2" t="s">
        <v>467</v>
      </c>
      <c r="K18" s="4"/>
      <c r="L18" s="4"/>
      <c r="O18" s="92" cm="1">
        <f t="array" ref="O18">ROW()-ROW(Bordtennisklub_d1[#Headers])</f>
        <v>13</v>
      </c>
      <c r="P18" s="19" t="s">
        <v>299</v>
      </c>
      <c r="Q18" s="16">
        <v>2670</v>
      </c>
      <c r="R18" s="2" t="s">
        <v>300</v>
      </c>
      <c r="S18" s="2" t="s">
        <v>349</v>
      </c>
      <c r="U18" s="7" t="s">
        <v>0</v>
      </c>
      <c r="V18" s="19" t="s">
        <v>533</v>
      </c>
      <c r="W18" s="19" t="s">
        <v>13</v>
      </c>
      <c r="X18" t="s">
        <v>773</v>
      </c>
      <c r="Y18" s="19" t="s">
        <v>550</v>
      </c>
      <c r="Z18" s="79" t="s">
        <v>352</v>
      </c>
      <c r="AA18" s="79" t="s">
        <v>33</v>
      </c>
      <c r="AB18" s="3" t="s">
        <v>351</v>
      </c>
      <c r="AC18" t="s">
        <v>535</v>
      </c>
    </row>
    <row r="19" spans="1:29" x14ac:dyDescent="0.3">
      <c r="A19" t="s">
        <v>764</v>
      </c>
      <c r="B19" t="s">
        <v>763</v>
      </c>
      <c r="C19" t="s">
        <v>416</v>
      </c>
      <c r="D19" t="s">
        <v>210</v>
      </c>
      <c r="E19" s="111">
        <v>45031.776243421918</v>
      </c>
      <c r="F19" s="2" t="s">
        <v>634</v>
      </c>
      <c r="G19" s="2" t="s">
        <v>467</v>
      </c>
      <c r="K19" s="4"/>
      <c r="L19" s="4"/>
      <c r="O19" s="92" cm="1">
        <f t="array" ref="O19">ROW()-ROW(Bordtennisklub_d1[#Headers])</f>
        <v>14</v>
      </c>
      <c r="P19" s="19" t="s">
        <v>235</v>
      </c>
      <c r="Q19" s="16">
        <v>3790</v>
      </c>
      <c r="R19" s="2" t="s">
        <v>236</v>
      </c>
      <c r="S19" s="2" t="s">
        <v>269</v>
      </c>
      <c r="U19" s="40" cm="1">
        <f t="array" ref="U19">ROW()-ROW(Event_år_billettype_d1[#Headers])</f>
        <v>1</v>
      </c>
      <c r="V19" s="2" t="s">
        <v>593</v>
      </c>
      <c r="W19" s="2" t="s">
        <v>336</v>
      </c>
      <c r="X19" s="2" t="s">
        <v>774</v>
      </c>
      <c r="Y19" s="2"/>
      <c r="Z19" s="79">
        <v>150</v>
      </c>
      <c r="AA19" s="79">
        <v>150</v>
      </c>
      <c r="AB19" s="3">
        <v>96</v>
      </c>
      <c r="AC19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2023 - 🏓 DM i Ping Pong</v>
      </c>
    </row>
    <row r="20" spans="1:29" x14ac:dyDescent="0.3">
      <c r="A20" t="s">
        <v>764</v>
      </c>
      <c r="B20" t="s">
        <v>763</v>
      </c>
      <c r="C20" t="s">
        <v>416</v>
      </c>
      <c r="D20" t="s">
        <v>210</v>
      </c>
      <c r="E20" s="111">
        <v>45031.776243421918</v>
      </c>
      <c r="F20" s="2" t="s">
        <v>604</v>
      </c>
      <c r="G20" s="2" t="s">
        <v>467</v>
      </c>
      <c r="K20" s="4"/>
      <c r="L20" s="4"/>
      <c r="O20" s="92" cm="1">
        <f t="array" ref="O20">ROW()-ROW(Bordtennisklub_d1[#Headers])</f>
        <v>15</v>
      </c>
      <c r="P20" s="19" t="s">
        <v>281</v>
      </c>
      <c r="Q20" s="16">
        <v>3400</v>
      </c>
      <c r="R20" s="2" t="s">
        <v>282</v>
      </c>
      <c r="S20" s="2" t="s">
        <v>283</v>
      </c>
      <c r="U20" s="40" cm="1">
        <f t="array" ref="U20">ROW()-ROW(Event_år_billettype_d1[#Headers])</f>
        <v>2</v>
      </c>
      <c r="V20" s="2" t="s">
        <v>593</v>
      </c>
      <c r="W20" s="2" t="s">
        <v>514</v>
      </c>
      <c r="X20" s="2" t="s">
        <v>775</v>
      </c>
      <c r="Y20" s="2"/>
      <c r="Z20" s="79">
        <v>200</v>
      </c>
      <c r="AA20" s="79">
        <v>200</v>
      </c>
      <c r="AB20" s="3">
        <v>150</v>
      </c>
      <c r="AC20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2023 - 🥳 Fest om aftenen</v>
      </c>
    </row>
    <row r="21" spans="1:29" x14ac:dyDescent="0.3">
      <c r="A21" t="s">
        <v>746</v>
      </c>
      <c r="B21" t="s">
        <v>747</v>
      </c>
      <c r="C21" t="s">
        <v>5</v>
      </c>
      <c r="D21" t="s">
        <v>210</v>
      </c>
      <c r="E21" s="111">
        <v>45027.785646686629</v>
      </c>
      <c r="F21" s="2" t="s">
        <v>604</v>
      </c>
      <c r="G21" s="2" t="s">
        <v>467</v>
      </c>
      <c r="K21" s="4"/>
      <c r="L21" s="4"/>
      <c r="O21" s="92" cm="1">
        <f t="array" ref="O21">ROW()-ROW(Bordtennisklub_d1[#Headers])</f>
        <v>16</v>
      </c>
      <c r="P21" s="19" t="s">
        <v>312</v>
      </c>
      <c r="Q21" s="16">
        <v>4300</v>
      </c>
      <c r="R21" s="2" t="s">
        <v>314</v>
      </c>
      <c r="S21" s="2" t="s">
        <v>315</v>
      </c>
      <c r="U21" s="40" cm="1">
        <f t="array" ref="U21">ROW()-ROW(Event_år_billettype_d1[#Headers])</f>
        <v>3</v>
      </c>
      <c r="V21" s="2" t="s">
        <v>594</v>
      </c>
      <c r="W21" s="2" t="s">
        <v>336</v>
      </c>
      <c r="X21" s="2"/>
      <c r="Y21" s="2"/>
      <c r="Z21" s="79">
        <v>125</v>
      </c>
      <c r="AA21" s="79">
        <v>100</v>
      </c>
      <c r="AB21" s="3">
        <v>72</v>
      </c>
      <c r="AC21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2022 - 🏓 DM i Ping Pong</v>
      </c>
    </row>
    <row r="22" spans="1:29" x14ac:dyDescent="0.3">
      <c r="A22" t="s">
        <v>746</v>
      </c>
      <c r="B22" t="s">
        <v>747</v>
      </c>
      <c r="C22" t="s">
        <v>5</v>
      </c>
      <c r="D22" t="s">
        <v>210</v>
      </c>
      <c r="E22" s="111">
        <v>45027.785646686629</v>
      </c>
      <c r="F22" s="2" t="s">
        <v>634</v>
      </c>
      <c r="G22" s="2" t="s">
        <v>467</v>
      </c>
      <c r="K22" s="4"/>
      <c r="L22" s="4"/>
      <c r="O22" s="92" cm="1">
        <f t="array" ref="O22">ROW()-ROW(Bordtennisklub_d1[#Headers])</f>
        <v>17</v>
      </c>
      <c r="P22" s="19" t="s">
        <v>303</v>
      </c>
      <c r="Q22" s="16">
        <v>2650</v>
      </c>
      <c r="R22" s="2" t="s">
        <v>304</v>
      </c>
      <c r="S22" s="2" t="s">
        <v>301</v>
      </c>
      <c r="U22" s="40" cm="1">
        <f t="array" ref="U22">ROW()-ROW(Event_år_billettype_d1[#Headers])</f>
        <v>4</v>
      </c>
      <c r="V22" s="2" t="s">
        <v>594</v>
      </c>
      <c r="W22" s="2" t="s">
        <v>514</v>
      </c>
      <c r="X22" s="2"/>
      <c r="Y22" s="2"/>
      <c r="Z22" s="79">
        <v>150</v>
      </c>
      <c r="AA22" s="79">
        <v>150</v>
      </c>
      <c r="AB22" s="3">
        <v>120</v>
      </c>
      <c r="AC22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2022 - 🥳 Fest om aftenen</v>
      </c>
    </row>
    <row r="23" spans="1:29" x14ac:dyDescent="0.3">
      <c r="A23" t="s">
        <v>745</v>
      </c>
      <c r="B23" t="s">
        <v>744</v>
      </c>
      <c r="C23" t="s">
        <v>758</v>
      </c>
      <c r="D23" t="s">
        <v>210</v>
      </c>
      <c r="E23" s="111">
        <v>45027.482908555467</v>
      </c>
      <c r="F23" s="2" t="s">
        <v>604</v>
      </c>
      <c r="G23" s="2" t="s">
        <v>467</v>
      </c>
      <c r="K23" s="4"/>
      <c r="L23" s="4"/>
      <c r="O23" s="92" cm="1">
        <f t="array" ref="O23">ROW()-ROW(Bordtennisklub_d1[#Headers])</f>
        <v>18</v>
      </c>
      <c r="P23" s="19" t="s">
        <v>5</v>
      </c>
      <c r="Q23" s="16">
        <v>8362</v>
      </c>
      <c r="R23" s="2" t="s">
        <v>46</v>
      </c>
      <c r="S23" s="2" t="s">
        <v>270</v>
      </c>
      <c r="U23" s="40" cm="1">
        <f t="array" ref="U23">ROW()-ROW(Event_år_billettype_d1[#Headers])</f>
        <v>5</v>
      </c>
      <c r="V23" s="2" t="s">
        <v>595</v>
      </c>
      <c r="W23" s="2" t="s">
        <v>336</v>
      </c>
      <c r="X23" s="2"/>
      <c r="Y23" s="2"/>
      <c r="Z23" s="79">
        <v>125</v>
      </c>
      <c r="AA23" s="79">
        <v>100</v>
      </c>
      <c r="AB23" s="3">
        <v>64</v>
      </c>
      <c r="AC23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🏓 DM i Ping Pong</v>
      </c>
    </row>
    <row r="24" spans="1:29" x14ac:dyDescent="0.3">
      <c r="A24" t="s">
        <v>745</v>
      </c>
      <c r="B24" t="s">
        <v>744</v>
      </c>
      <c r="C24" t="s">
        <v>758</v>
      </c>
      <c r="D24" t="s">
        <v>210</v>
      </c>
      <c r="E24" s="111">
        <v>45027.482908555467</v>
      </c>
      <c r="F24" s="2" t="s">
        <v>634</v>
      </c>
      <c r="G24" s="2" t="s">
        <v>467</v>
      </c>
      <c r="K24" s="4"/>
      <c r="L24" s="4"/>
      <c r="O24" s="92" cm="1">
        <f t="array" ref="O24">ROW()-ROW(Bordtennisklub_d1[#Headers])</f>
        <v>19</v>
      </c>
      <c r="P24" s="19" t="s">
        <v>10</v>
      </c>
      <c r="Q24" s="16">
        <v>2100</v>
      </c>
      <c r="R24" s="2" t="s">
        <v>51</v>
      </c>
      <c r="S24" s="2" t="s">
        <v>271</v>
      </c>
      <c r="U24" s="40" cm="1">
        <f t="array" ref="U24">ROW()-ROW(Event_år_billettype_d1[#Headers])</f>
        <v>6</v>
      </c>
      <c r="V24" s="2" t="s">
        <v>595</v>
      </c>
      <c r="W24" s="2" t="s">
        <v>514</v>
      </c>
      <c r="X24" s="2"/>
      <c r="Y24" s="2"/>
      <c r="Z24" s="79">
        <v>229</v>
      </c>
      <c r="AA24" s="79">
        <v>229</v>
      </c>
      <c r="AB24" s="3">
        <v>15</v>
      </c>
      <c r="AC24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🥳 Fest om aftenen</v>
      </c>
    </row>
    <row r="25" spans="1:29" x14ac:dyDescent="0.3">
      <c r="A25" t="s">
        <v>703</v>
      </c>
      <c r="B25" t="s">
        <v>704</v>
      </c>
      <c r="C25" t="s">
        <v>5</v>
      </c>
      <c r="D25" t="s">
        <v>210</v>
      </c>
      <c r="E25" s="111">
        <v>45023.731859013147</v>
      </c>
      <c r="F25" s="2" t="s">
        <v>604</v>
      </c>
      <c r="G25" s="2" t="s">
        <v>467</v>
      </c>
      <c r="K25" s="4"/>
      <c r="L25" s="4"/>
      <c r="O25" s="92" cm="1">
        <f t="array" ref="O25">ROW()-ROW(Bordtennisklub_d1[#Headers])</f>
        <v>20</v>
      </c>
      <c r="P25" s="19" t="s">
        <v>252</v>
      </c>
      <c r="Q25" s="16">
        <v>5800</v>
      </c>
      <c r="R25" s="2" t="s">
        <v>253</v>
      </c>
      <c r="S25" s="2" t="s">
        <v>272</v>
      </c>
      <c r="U25" s="40" cm="1">
        <f t="array" ref="U25">ROW()-ROW(Event_år_billettype_d1[#Headers])</f>
        <v>7</v>
      </c>
      <c r="V25" s="2" t="s">
        <v>595</v>
      </c>
      <c r="W25" s="2" t="s">
        <v>536</v>
      </c>
      <c r="X25" s="2"/>
      <c r="Y25" s="2"/>
      <c r="Z25" s="79">
        <v>100</v>
      </c>
      <c r="AA25" s="79">
        <v>100</v>
      </c>
      <c r="AB25" s="3">
        <v>15</v>
      </c>
      <c r="AC25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🎉 The Old Irish Pub</v>
      </c>
    </row>
    <row r="26" spans="1:29" x14ac:dyDescent="0.3">
      <c r="A26" t="s">
        <v>702</v>
      </c>
      <c r="B26" t="s">
        <v>701</v>
      </c>
      <c r="C26" t="s">
        <v>5</v>
      </c>
      <c r="D26" t="s">
        <v>210</v>
      </c>
      <c r="E26" s="111">
        <v>45023.729862088083</v>
      </c>
      <c r="F26" s="2" t="s">
        <v>604</v>
      </c>
      <c r="G26" s="2" t="s">
        <v>467</v>
      </c>
      <c r="K26" s="4"/>
      <c r="L26" s="4"/>
      <c r="O26" s="92" cm="1">
        <f t="array" ref="O26">ROW()-ROW(Bordtennisklub_d1[#Headers])</f>
        <v>21</v>
      </c>
      <c r="P26" s="19" t="s">
        <v>288</v>
      </c>
      <c r="Q26" s="16">
        <v>4684</v>
      </c>
      <c r="R26" s="2" t="s">
        <v>289</v>
      </c>
      <c r="S26" s="2" t="s">
        <v>287</v>
      </c>
      <c r="U26" s="40" cm="1">
        <f t="array" ref="U26">ROW()-ROW(Event_år_billettype_d1[#Headers])</f>
        <v>8</v>
      </c>
      <c r="V26" s="2" t="s">
        <v>595</v>
      </c>
      <c r="W26" s="2" t="s">
        <v>527</v>
      </c>
      <c r="X26" s="2"/>
      <c r="Y26" s="2" t="s">
        <v>537</v>
      </c>
      <c r="Z26" s="79">
        <v>50</v>
      </c>
      <c r="AA26" s="79">
        <v>48</v>
      </c>
      <c r="AB26" s="3">
        <v>64</v>
      </c>
      <c r="AC26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Kylling &amp; bacon sandwich</v>
      </c>
    </row>
    <row r="27" spans="1:29" x14ac:dyDescent="0.3">
      <c r="A27" t="s">
        <v>699</v>
      </c>
      <c r="B27" t="s">
        <v>700</v>
      </c>
      <c r="C27" t="s">
        <v>5</v>
      </c>
      <c r="D27" t="s">
        <v>210</v>
      </c>
      <c r="E27" s="111">
        <v>45023.726613491897</v>
      </c>
      <c r="F27" s="2" t="s">
        <v>604</v>
      </c>
      <c r="G27" s="2" t="s">
        <v>467</v>
      </c>
      <c r="K27" s="4"/>
      <c r="L27" s="4"/>
      <c r="O27" s="92" cm="1">
        <f t="array" ref="O27">ROW()-ROW(Bordtennisklub_d1[#Headers])</f>
        <v>22</v>
      </c>
      <c r="P27" s="19" t="s">
        <v>53</v>
      </c>
      <c r="Q27" s="16">
        <v>5000</v>
      </c>
      <c r="R27" s="2" t="s">
        <v>52</v>
      </c>
      <c r="S27" s="2" t="s">
        <v>284</v>
      </c>
      <c r="U27" s="40" cm="1">
        <f t="array" ref="U27">ROW()-ROW(Event_år_billettype_d1[#Headers])</f>
        <v>9</v>
      </c>
      <c r="V27" s="2" t="s">
        <v>595</v>
      </c>
      <c r="W27" s="2" t="s">
        <v>527</v>
      </c>
      <c r="X27" s="2"/>
      <c r="Y27" s="2" t="s">
        <v>538</v>
      </c>
      <c r="Z27" s="79">
        <v>50</v>
      </c>
      <c r="AA27" s="79">
        <v>52</v>
      </c>
      <c r="AB27" s="3">
        <v>64</v>
      </c>
      <c r="AC27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Parmaskinke &amp; mozzarella sandwich</v>
      </c>
    </row>
    <row r="28" spans="1:29" x14ac:dyDescent="0.3">
      <c r="A28" t="s">
        <v>697</v>
      </c>
      <c r="B28" t="s">
        <v>693</v>
      </c>
      <c r="C28" t="s">
        <v>694</v>
      </c>
      <c r="D28" t="s">
        <v>210</v>
      </c>
      <c r="E28" s="111">
        <v>45021.399461526169</v>
      </c>
      <c r="F28" s="2" t="s">
        <v>604</v>
      </c>
      <c r="G28" s="2" t="s">
        <v>467</v>
      </c>
      <c r="K28" s="4"/>
      <c r="L28" s="4"/>
      <c r="O28" s="92" cm="1">
        <f t="array" ref="O28">ROW()-ROW(Bordtennisklub_d1[#Headers])</f>
        <v>23</v>
      </c>
      <c r="P28" s="19" t="s">
        <v>6</v>
      </c>
      <c r="Q28" s="16">
        <v>6950</v>
      </c>
      <c r="R28" s="2" t="s">
        <v>6</v>
      </c>
      <c r="S28" s="2" t="s">
        <v>273</v>
      </c>
      <c r="U28" s="40" cm="1">
        <f t="array" ref="U28">ROW()-ROW(Event_år_billettype_d1[#Headers])</f>
        <v>10</v>
      </c>
      <c r="V28" s="2" t="s">
        <v>595</v>
      </c>
      <c r="W28" s="2" t="s">
        <v>527</v>
      </c>
      <c r="X28" s="2"/>
      <c r="Y28" s="2" t="s">
        <v>539</v>
      </c>
      <c r="Z28" s="79">
        <v>50</v>
      </c>
      <c r="AA28" s="79">
        <v>52</v>
      </c>
      <c r="AB28" s="3">
        <v>64</v>
      </c>
      <c r="AC28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Oksekødsstrimler sandwich</v>
      </c>
    </row>
    <row r="29" spans="1:29" x14ac:dyDescent="0.3">
      <c r="A29" t="s">
        <v>495</v>
      </c>
      <c r="B29" t="s">
        <v>496</v>
      </c>
      <c r="C29" t="s">
        <v>5</v>
      </c>
      <c r="D29" t="s">
        <v>210</v>
      </c>
      <c r="E29" s="111">
        <v>45020.602166261713</v>
      </c>
      <c r="F29" s="2" t="s">
        <v>634</v>
      </c>
      <c r="G29" s="2" t="s">
        <v>467</v>
      </c>
      <c r="K29" s="4"/>
      <c r="L29" s="4"/>
      <c r="O29" s="92" cm="1">
        <f t="array" ref="O29">ROW()-ROW(Bordtennisklub_d1[#Headers])</f>
        <v>24</v>
      </c>
      <c r="P29" s="19" t="s">
        <v>644</v>
      </c>
      <c r="Q29" s="16">
        <v>4000</v>
      </c>
      <c r="R29" s="2" t="s">
        <v>285</v>
      </c>
      <c r="S29" s="2" t="s">
        <v>286</v>
      </c>
      <c r="U29" s="40" cm="1">
        <f t="array" ref="U29">ROW()-ROW(Event_år_billettype_d1[#Headers])</f>
        <v>11</v>
      </c>
      <c r="V29" s="2" t="s">
        <v>595</v>
      </c>
      <c r="W29" s="2" t="s">
        <v>527</v>
      </c>
      <c r="X29" s="2"/>
      <c r="Y29" s="2" t="s">
        <v>540</v>
      </c>
      <c r="Z29" s="79">
        <v>50</v>
      </c>
      <c r="AA29" s="79">
        <v>52</v>
      </c>
      <c r="AB29" s="3">
        <v>64</v>
      </c>
      <c r="AC29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Bresaola og parmesanost sandwich</v>
      </c>
    </row>
    <row r="30" spans="1:29" x14ac:dyDescent="0.3">
      <c r="A30" s="2" t="s">
        <v>241</v>
      </c>
      <c r="B30" s="2" t="s">
        <v>242</v>
      </c>
      <c r="C30" s="2" t="s">
        <v>41</v>
      </c>
      <c r="D30" s="2" t="s">
        <v>210</v>
      </c>
      <c r="E30" s="111">
        <v>45020.363842108527</v>
      </c>
      <c r="F30" s="2" t="s">
        <v>604</v>
      </c>
      <c r="G30" s="2" t="s">
        <v>467</v>
      </c>
      <c r="H30">
        <v>3</v>
      </c>
      <c r="K30" s="4"/>
      <c r="L30" s="4"/>
      <c r="O30" s="92" cm="1">
        <f t="array" ref="O30">ROW()-ROW(Bordtennisklub_d1[#Headers])</f>
        <v>25</v>
      </c>
      <c r="P30" s="19" t="s">
        <v>7</v>
      </c>
      <c r="Q30" s="16">
        <v>8200</v>
      </c>
      <c r="R30" s="2" t="s">
        <v>54</v>
      </c>
      <c r="S30" s="2" t="s">
        <v>316</v>
      </c>
      <c r="U30" s="40" cm="1">
        <f t="array" ref="U30">ROW()-ROW(Event_år_billettype_d1[#Headers])</f>
        <v>12</v>
      </c>
      <c r="V30" s="2" t="s">
        <v>595</v>
      </c>
      <c r="W30" s="2" t="s">
        <v>527</v>
      </c>
      <c r="X30" s="2"/>
      <c r="Y30" s="2" t="s">
        <v>541</v>
      </c>
      <c r="Z30" s="79">
        <v>50</v>
      </c>
      <c r="AA30" s="79">
        <v>49</v>
      </c>
      <c r="AB30" s="3">
        <v>64</v>
      </c>
      <c r="AC30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Tunsalat</v>
      </c>
    </row>
    <row r="31" spans="1:29" x14ac:dyDescent="0.3">
      <c r="A31" s="2" t="s">
        <v>241</v>
      </c>
      <c r="B31" s="2" t="s">
        <v>242</v>
      </c>
      <c r="C31" s="2" t="s">
        <v>41</v>
      </c>
      <c r="D31" s="2" t="s">
        <v>210</v>
      </c>
      <c r="E31" s="111">
        <v>45020.363842108527</v>
      </c>
      <c r="F31" s="2" t="s">
        <v>634</v>
      </c>
      <c r="G31" s="2" t="s">
        <v>467</v>
      </c>
      <c r="H31">
        <v>3</v>
      </c>
      <c r="K31" s="4"/>
      <c r="L31" s="4"/>
      <c r="O31" s="92" cm="1">
        <f t="array" ref="O31">ROW()-ROW(Bordtennisklub_d1[#Headers])</f>
        <v>26</v>
      </c>
      <c r="P31" s="19" t="s">
        <v>41</v>
      </c>
      <c r="Q31" s="16">
        <v>8600</v>
      </c>
      <c r="R31" s="2" t="s">
        <v>47</v>
      </c>
      <c r="S31" s="2" t="s">
        <v>274</v>
      </c>
      <c r="U31" s="40" cm="1">
        <f t="array" ref="U31">ROW()-ROW(Event_år_billettype_d1[#Headers])</f>
        <v>13</v>
      </c>
      <c r="V31" s="2" t="s">
        <v>595</v>
      </c>
      <c r="W31" s="2" t="s">
        <v>527</v>
      </c>
      <c r="X31" s="2"/>
      <c r="Y31" s="2" t="s">
        <v>542</v>
      </c>
      <c r="Z31" s="79">
        <v>50</v>
      </c>
      <c r="AA31" s="79">
        <v>49</v>
      </c>
      <c r="AB31" s="3">
        <v>64</v>
      </c>
      <c r="AC31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Kyllingesalat</v>
      </c>
    </row>
    <row r="32" spans="1:29" x14ac:dyDescent="0.3">
      <c r="A32" t="s">
        <v>689</v>
      </c>
      <c r="B32" t="s">
        <v>690</v>
      </c>
      <c r="C32" t="s">
        <v>645</v>
      </c>
      <c r="D32" t="s">
        <v>210</v>
      </c>
      <c r="E32" s="111">
        <v>45019.367144811062</v>
      </c>
      <c r="F32" s="2" t="s">
        <v>604</v>
      </c>
      <c r="G32" s="2" t="s">
        <v>467</v>
      </c>
      <c r="K32" s="4"/>
      <c r="L32" s="4"/>
      <c r="O32" s="92" cm="1">
        <f t="array" ref="O32">ROW()-ROW(Bordtennisklub_d1[#Headers])</f>
        <v>27</v>
      </c>
      <c r="P32" s="19" t="s">
        <v>8</v>
      </c>
      <c r="Q32" s="16">
        <v>8000</v>
      </c>
      <c r="R32" s="2" t="s">
        <v>55</v>
      </c>
      <c r="S32" s="2" t="s">
        <v>275</v>
      </c>
      <c r="U32" s="40" cm="1">
        <f t="array" ref="U32">ROW()-ROW(Event_år_billettype_d1[#Headers])</f>
        <v>14</v>
      </c>
      <c r="V32" s="2" t="s">
        <v>595</v>
      </c>
      <c r="W32" s="2" t="s">
        <v>527</v>
      </c>
      <c r="X32" s="2"/>
      <c r="Y32" s="2" t="s">
        <v>543</v>
      </c>
      <c r="Z32" s="79">
        <v>50</v>
      </c>
      <c r="AA32" s="79">
        <v>45</v>
      </c>
      <c r="AB32" s="3">
        <v>64</v>
      </c>
      <c r="AC32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Vegetarsalat</v>
      </c>
    </row>
    <row r="33" spans="1:29" x14ac:dyDescent="0.3">
      <c r="A33" t="s">
        <v>243</v>
      </c>
      <c r="B33" t="s">
        <v>244</v>
      </c>
      <c r="C33" t="s">
        <v>8</v>
      </c>
      <c r="D33" t="s">
        <v>210</v>
      </c>
      <c r="E33" s="111">
        <v>45018.845933259749</v>
      </c>
      <c r="F33" s="2" t="s">
        <v>604</v>
      </c>
      <c r="G33" s="2" t="s">
        <v>467</v>
      </c>
      <c r="K33" s="4"/>
      <c r="L33" s="4"/>
      <c r="O33" s="92" cm="1">
        <f t="array" ref="O33">ROW()-ROW(Bordtennisklub_d1[#Headers])</f>
        <v>28</v>
      </c>
      <c r="P33" s="19" t="s">
        <v>3</v>
      </c>
      <c r="Q33" s="16">
        <v>7700</v>
      </c>
      <c r="R33" s="2" t="s">
        <v>56</v>
      </c>
      <c r="S33" s="2" t="s">
        <v>276</v>
      </c>
      <c r="U33" s="40" cm="1">
        <f t="array" ref="U33">ROW()-ROW(Event_år_billettype_d1[#Headers])</f>
        <v>15</v>
      </c>
      <c r="V33" s="2" t="s">
        <v>608</v>
      </c>
      <c r="W33" s="2" t="s">
        <v>336</v>
      </c>
      <c r="X33" s="2"/>
      <c r="Y33" s="2"/>
      <c r="Z33" s="79">
        <v>225</v>
      </c>
      <c r="AA33" s="79">
        <v>200</v>
      </c>
      <c r="AB33" s="3">
        <v>64</v>
      </c>
      <c r="AC33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2019 - 🏓 DM i Ping Pong</v>
      </c>
    </row>
    <row r="34" spans="1:29" x14ac:dyDescent="0.3">
      <c r="A34" t="s">
        <v>678</v>
      </c>
      <c r="B34" t="s">
        <v>679</v>
      </c>
      <c r="C34" t="s">
        <v>645</v>
      </c>
      <c r="D34" t="s">
        <v>210</v>
      </c>
      <c r="E34" s="111">
        <v>45018.814162661343</v>
      </c>
      <c r="F34" s="2" t="s">
        <v>604</v>
      </c>
      <c r="G34" s="2" t="s">
        <v>467</v>
      </c>
      <c r="K34" s="16" t="s">
        <v>585</v>
      </c>
      <c r="L34" s="16" t="s">
        <v>639</v>
      </c>
      <c r="M34" s="79">
        <v>400</v>
      </c>
      <c r="O34" s="92" cm="1">
        <f t="array" ref="O34">ROW()-ROW(Bordtennisklub_d1[#Headers])</f>
        <v>29</v>
      </c>
      <c r="P34" s="19" t="s">
        <v>694</v>
      </c>
      <c r="Q34" s="16">
        <v>7470</v>
      </c>
      <c r="R34" s="2" t="s">
        <v>695</v>
      </c>
      <c r="S34" s="2" t="s">
        <v>696</v>
      </c>
      <c r="U34" s="40" cm="1">
        <f t="array" ref="U34">ROW()-ROW(Event_år_billettype_d1[#Headers])</f>
        <v>16</v>
      </c>
      <c r="V34" s="2" t="s">
        <v>609</v>
      </c>
      <c r="W34" s="2" t="s">
        <v>336</v>
      </c>
      <c r="X34" s="2"/>
      <c r="Y34" s="2"/>
      <c r="Z34" s="79"/>
      <c r="AA34" s="79"/>
      <c r="AB34" s="3"/>
      <c r="AC34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2018 - 🏓 DM i Ping Pong</v>
      </c>
    </row>
    <row r="35" spans="1:29" x14ac:dyDescent="0.3">
      <c r="A35" t="s">
        <v>676</v>
      </c>
      <c r="B35" t="s">
        <v>677</v>
      </c>
      <c r="C35" t="s">
        <v>428</v>
      </c>
      <c r="D35" t="s">
        <v>210</v>
      </c>
      <c r="E35" s="111">
        <v>45010.918559758647</v>
      </c>
      <c r="F35" s="2" t="s">
        <v>604</v>
      </c>
      <c r="G35" s="2" t="s">
        <v>467</v>
      </c>
      <c r="K35" s="16" t="s">
        <v>585</v>
      </c>
      <c r="L35" s="16" t="s">
        <v>636</v>
      </c>
      <c r="M35" s="79">
        <v>600</v>
      </c>
      <c r="O35" s="92" cm="1">
        <f t="array" ref="O35">ROW()-ROW(Bordtennisklub_d1[#Headers])</f>
        <v>30</v>
      </c>
      <c r="P35" s="19" t="s">
        <v>416</v>
      </c>
      <c r="Q35" s="16">
        <v>8850</v>
      </c>
      <c r="R35" s="2" t="s">
        <v>417</v>
      </c>
      <c r="S35" s="2" t="s">
        <v>418</v>
      </c>
      <c r="U35" s="40" cm="1">
        <f t="array" ref="U35">ROW()-ROW(Event_år_billettype_d1[#Headers])</f>
        <v>17</v>
      </c>
      <c r="V35" s="2" t="s">
        <v>610</v>
      </c>
      <c r="W35" s="2" t="s">
        <v>336</v>
      </c>
      <c r="X35" s="2"/>
      <c r="Y35" s="2"/>
      <c r="Z35" s="79"/>
      <c r="AA35" s="79"/>
      <c r="AB35" s="3"/>
      <c r="AC35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2017 - 🏓 DM i Ping Pong</v>
      </c>
    </row>
    <row r="36" spans="1:29" x14ac:dyDescent="0.3">
      <c r="A36" t="s">
        <v>676</v>
      </c>
      <c r="B36" t="s">
        <v>677</v>
      </c>
      <c r="C36" t="s">
        <v>428</v>
      </c>
      <c r="D36" t="s">
        <v>210</v>
      </c>
      <c r="E36" s="111">
        <v>45010.918559758647</v>
      </c>
      <c r="F36" s="2" t="s">
        <v>634</v>
      </c>
      <c r="G36" s="2" t="s">
        <v>467</v>
      </c>
      <c r="K36" s="4"/>
      <c r="L36" s="4"/>
      <c r="O36" s="92" cm="1">
        <f t="array" ref="O36">ROW()-ROW(Bordtennisklub_d1[#Headers])</f>
        <v>31</v>
      </c>
      <c r="P36" s="19" t="s">
        <v>348</v>
      </c>
      <c r="Q36" s="16">
        <v>5230</v>
      </c>
      <c r="R36" s="2" t="s">
        <v>295</v>
      </c>
      <c r="S36" s="2" t="s">
        <v>296</v>
      </c>
      <c r="U36" s="40" cm="1">
        <f t="array" ref="U36">ROW()-ROW(Event_år_billettype_d1[#Headers])</f>
        <v>18</v>
      </c>
      <c r="V36" s="2" t="s">
        <v>611</v>
      </c>
      <c r="W36" s="2" t="s">
        <v>336</v>
      </c>
      <c r="X36" s="2"/>
      <c r="Y36" s="2"/>
      <c r="Z36" s="79"/>
      <c r="AA36" s="79"/>
      <c r="AB36" s="3"/>
      <c r="AC36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2016 - 🏓 DM i Ping Pong</v>
      </c>
    </row>
    <row r="37" spans="1:29" x14ac:dyDescent="0.3">
      <c r="A37" t="s">
        <v>214</v>
      </c>
      <c r="B37" t="s">
        <v>215</v>
      </c>
      <c r="C37" t="s">
        <v>8</v>
      </c>
      <c r="D37" t="s">
        <v>210</v>
      </c>
      <c r="E37" s="111">
        <v>45001.928452294007</v>
      </c>
      <c r="F37" s="2" t="s">
        <v>604</v>
      </c>
      <c r="G37" s="2" t="s">
        <v>467</v>
      </c>
      <c r="K37" s="16" t="s">
        <v>584</v>
      </c>
      <c r="L37" s="16" t="s">
        <v>637</v>
      </c>
      <c r="M37" s="79">
        <v>1000</v>
      </c>
      <c r="O37" s="92" cm="1">
        <f t="array" ref="O37">ROW()-ROW(Bordtennisklub_d1[#Headers])</f>
        <v>32</v>
      </c>
      <c r="P37" s="19" t="s">
        <v>231</v>
      </c>
      <c r="Q37" s="16">
        <v>7100</v>
      </c>
      <c r="R37" s="2" t="s">
        <v>232</v>
      </c>
      <c r="S37" s="2" t="s">
        <v>277</v>
      </c>
      <c r="U37" s="40" cm="1">
        <f t="array" ref="U37">ROW()-ROW(Event_år_billettype_d1[#Headers])</f>
        <v>19</v>
      </c>
      <c r="V37" s="2" t="s">
        <v>612</v>
      </c>
      <c r="W37" s="2" t="s">
        <v>336</v>
      </c>
      <c r="X37" s="2"/>
      <c r="Y37" s="2"/>
      <c r="Z37" s="79"/>
      <c r="AA37" s="79"/>
      <c r="AB37" s="3"/>
      <c r="AC37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2015 - 🏓 DM i Ping Pong</v>
      </c>
    </row>
    <row r="38" spans="1:29" x14ac:dyDescent="0.3">
      <c r="A38" t="s">
        <v>214</v>
      </c>
      <c r="B38" t="s">
        <v>215</v>
      </c>
      <c r="C38" t="s">
        <v>8</v>
      </c>
      <c r="D38" t="s">
        <v>210</v>
      </c>
      <c r="E38" s="111">
        <v>45001.928452294007</v>
      </c>
      <c r="F38" s="2" t="s">
        <v>634</v>
      </c>
      <c r="G38" s="2" t="s">
        <v>467</v>
      </c>
      <c r="K38" s="4"/>
      <c r="L38" s="4"/>
      <c r="O38" s="92" cm="1">
        <f t="array" ref="O38">ROW()-ROW(Bordtennisklub_d1[#Headers])</f>
        <v>33</v>
      </c>
      <c r="P38" s="19" t="s">
        <v>451</v>
      </c>
      <c r="Q38" s="16">
        <v>8800</v>
      </c>
      <c r="R38" s="2" t="s">
        <v>452</v>
      </c>
      <c r="S38" s="2" t="s">
        <v>453</v>
      </c>
      <c r="U38" s="40" cm="1">
        <f t="array" ref="U38">ROW()-ROW(Event_år_billettype_d1[#Headers])</f>
        <v>20</v>
      </c>
      <c r="V38" s="2" t="s">
        <v>613</v>
      </c>
      <c r="W38" s="2" t="s">
        <v>336</v>
      </c>
      <c r="X38" s="2"/>
      <c r="Y38" s="2"/>
      <c r="Z38" s="79"/>
      <c r="AA38" s="79"/>
      <c r="AB38" s="3"/>
      <c r="AC38" s="112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2014 - 🏓 DM i Ping Pong</v>
      </c>
    </row>
    <row r="39" spans="1:29" x14ac:dyDescent="0.3">
      <c r="A39" s="2" t="s">
        <v>106</v>
      </c>
      <c r="B39" s="2" t="s">
        <v>61</v>
      </c>
      <c r="C39" s="2" t="s">
        <v>3</v>
      </c>
      <c r="D39" s="2" t="s">
        <v>210</v>
      </c>
      <c r="E39" s="111">
        <v>45000.805357324403</v>
      </c>
      <c r="F39" s="2" t="s">
        <v>604</v>
      </c>
      <c r="G39" s="2" t="s">
        <v>467</v>
      </c>
      <c r="H39" s="7"/>
      <c r="I39" s="7"/>
      <c r="J39" s="7"/>
      <c r="K39" s="16" t="s">
        <v>584</v>
      </c>
      <c r="L39" s="16" t="s">
        <v>638</v>
      </c>
      <c r="M39" s="79">
        <v>1500</v>
      </c>
      <c r="O39" s="92" cm="1">
        <f t="array" ref="O39">ROW()-ROW(Bordtennisklub_d1[#Headers])</f>
        <v>34</v>
      </c>
      <c r="P39" s="19" t="s">
        <v>292</v>
      </c>
      <c r="Q39" s="16">
        <v>2830</v>
      </c>
      <c r="R39" s="2" t="s">
        <v>293</v>
      </c>
      <c r="S39" s="2" t="s">
        <v>294</v>
      </c>
    </row>
    <row r="40" spans="1:29" x14ac:dyDescent="0.3">
      <c r="A40" s="2" t="s">
        <v>106</v>
      </c>
      <c r="B40" s="2" t="s">
        <v>61</v>
      </c>
      <c r="C40" s="2" t="s">
        <v>3</v>
      </c>
      <c r="D40" s="2" t="s">
        <v>210</v>
      </c>
      <c r="E40" s="111">
        <v>45000.805357324403</v>
      </c>
      <c r="F40" s="2" t="s">
        <v>634</v>
      </c>
      <c r="G40" s="2" t="s">
        <v>467</v>
      </c>
      <c r="H40" s="7"/>
      <c r="I40" s="7"/>
      <c r="J40" s="7"/>
      <c r="K40" s="16"/>
      <c r="L40" s="16"/>
      <c r="M40" s="79"/>
      <c r="O40" s="92" cm="1">
        <f t="array" ref="O40">ROW()-ROW(Bordtennisklub_d1[#Headers])</f>
        <v>35</v>
      </c>
      <c r="P40" s="19" t="s">
        <v>645</v>
      </c>
      <c r="Q40" s="16">
        <v>8210</v>
      </c>
      <c r="R40" s="2" t="s">
        <v>646</v>
      </c>
      <c r="S40" s="2" t="s">
        <v>647</v>
      </c>
      <c r="U40" s="192" t="s">
        <v>142</v>
      </c>
      <c r="V40" s="192"/>
    </row>
    <row r="41" spans="1:29" x14ac:dyDescent="0.3">
      <c r="A41" s="2" t="s">
        <v>104</v>
      </c>
      <c r="B41" s="2" t="s">
        <v>27</v>
      </c>
      <c r="C41" s="2" t="s">
        <v>8</v>
      </c>
      <c r="D41" s="2" t="s">
        <v>210</v>
      </c>
      <c r="E41" s="111">
        <v>45000.805223392868</v>
      </c>
      <c r="F41" s="2" t="s">
        <v>634</v>
      </c>
      <c r="G41" s="2" t="s">
        <v>467</v>
      </c>
      <c r="H41" s="7"/>
      <c r="I41" s="7"/>
      <c r="J41" s="7"/>
      <c r="K41" s="16"/>
      <c r="L41" s="16"/>
      <c r="M41" s="79"/>
      <c r="O41" s="92" cm="1">
        <f t="array" ref="O41">ROW()-ROW(Bordtennisklub_d1[#Headers])</f>
        <v>36</v>
      </c>
      <c r="P41" s="19" t="s">
        <v>78</v>
      </c>
      <c r="Q41" s="16" t="s">
        <v>346</v>
      </c>
      <c r="R41" s="2" t="s">
        <v>82</v>
      </c>
      <c r="S41" s="2" t="s">
        <v>347</v>
      </c>
      <c r="U41" s="193" t="str" cm="1">
        <f t="array" ref="U41">TEXT(COLUMNS(Billettype_d2[]),"#.##0")&amp;" · "&amp;TEXT(ROWS(Billettype_d2[]),"#.##0")&amp;" = "&amp;TEXT(SUMPRODUCT(COLUMNS(Billettype_d2[]),ROWS(Billettype_d2[])),"#.##0")
&amp;" ("&amp;IF(AND(COUNTIF(Billettype_d2[K: Billettype],Billettype_d2[K: Billettype])&lt;2),"✓","X")&amp;")"</f>
        <v>2 · 4 = 8 (✓)</v>
      </c>
      <c r="V41" s="193"/>
    </row>
    <row r="42" spans="1:29" x14ac:dyDescent="0.3">
      <c r="A42" s="2" t="s">
        <v>104</v>
      </c>
      <c r="B42" s="2" t="s">
        <v>27</v>
      </c>
      <c r="C42" s="2" t="s">
        <v>8</v>
      </c>
      <c r="D42" s="2" t="s">
        <v>210</v>
      </c>
      <c r="E42" s="111">
        <v>45000.805223392868</v>
      </c>
      <c r="F42" s="2" t="s">
        <v>604</v>
      </c>
      <c r="G42" s="2" t="s">
        <v>467</v>
      </c>
      <c r="H42" s="7"/>
      <c r="I42" s="7"/>
      <c r="J42" s="7"/>
      <c r="K42" s="16" t="s">
        <v>584</v>
      </c>
      <c r="L42" s="16" t="s">
        <v>639</v>
      </c>
      <c r="M42" s="79">
        <v>2500</v>
      </c>
      <c r="O42" s="92" cm="1">
        <f t="array" ref="O42">ROW()-ROW(Bordtennisklub_d1[#Headers])</f>
        <v>37</v>
      </c>
      <c r="P42" s="19" t="s">
        <v>758</v>
      </c>
      <c r="Q42" s="16" t="s">
        <v>346</v>
      </c>
      <c r="R42" s="2" t="s">
        <v>82</v>
      </c>
      <c r="S42" s="2" t="s">
        <v>347</v>
      </c>
      <c r="U42" s="7" t="s">
        <v>0</v>
      </c>
      <c r="V42" s="19" t="s">
        <v>13</v>
      </c>
    </row>
    <row r="43" spans="1:29" x14ac:dyDescent="0.3">
      <c r="A43" s="2" t="s">
        <v>121</v>
      </c>
      <c r="B43" s="2" t="s">
        <v>21</v>
      </c>
      <c r="C43" s="2" t="s">
        <v>5</v>
      </c>
      <c r="D43" s="2" t="s">
        <v>210</v>
      </c>
      <c r="E43" s="111">
        <v>45000.772518363381</v>
      </c>
      <c r="F43" s="2" t="s">
        <v>604</v>
      </c>
      <c r="G43" s="2" t="s">
        <v>467</v>
      </c>
      <c r="H43" s="7">
        <v>1</v>
      </c>
      <c r="I43" s="7">
        <v>2525</v>
      </c>
      <c r="J43" s="7"/>
      <c r="K43" s="16" t="s">
        <v>584</v>
      </c>
      <c r="L43" s="16" t="s">
        <v>636</v>
      </c>
      <c r="M43" s="79">
        <v>4000</v>
      </c>
      <c r="U43" s="40" cm="1">
        <f t="array" ref="U43">ROW()-ROW(Billettype_d2[#Headers])</f>
        <v>1</v>
      </c>
      <c r="V43" s="19" t="s">
        <v>336</v>
      </c>
    </row>
    <row r="44" spans="1:29" x14ac:dyDescent="0.3">
      <c r="A44" s="2" t="s">
        <v>121</v>
      </c>
      <c r="B44" s="2" t="s">
        <v>21</v>
      </c>
      <c r="C44" s="2" t="s">
        <v>5</v>
      </c>
      <c r="D44" s="2" t="s">
        <v>210</v>
      </c>
      <c r="E44" s="111">
        <v>45000.772518363381</v>
      </c>
      <c r="F44" s="2" t="s">
        <v>634</v>
      </c>
      <c r="G44" s="2" t="s">
        <v>467</v>
      </c>
      <c r="H44" s="7">
        <v>1</v>
      </c>
      <c r="I44" s="7">
        <v>2525</v>
      </c>
      <c r="J44" s="7"/>
      <c r="K44" s="16"/>
      <c r="L44" s="16"/>
      <c r="M44" s="79"/>
      <c r="O44" s="192" t="s">
        <v>148</v>
      </c>
      <c r="P44" s="192"/>
      <c r="U44" s="40" cm="1">
        <f t="array" ref="U44">ROW()-ROW(Billettype_d2[#Headers])</f>
        <v>2</v>
      </c>
      <c r="V44" s="19" t="s">
        <v>514</v>
      </c>
    </row>
    <row r="45" spans="1:29" x14ac:dyDescent="0.3">
      <c r="A45" s="2" t="s">
        <v>561</v>
      </c>
      <c r="B45" s="2" t="s">
        <v>511</v>
      </c>
      <c r="C45" s="2" t="s">
        <v>41</v>
      </c>
      <c r="D45" s="2" t="s">
        <v>210</v>
      </c>
      <c r="E45" s="111">
        <v>44730.463888888888</v>
      </c>
      <c r="F45" s="2" t="s">
        <v>603</v>
      </c>
      <c r="G45" s="2" t="s">
        <v>467</v>
      </c>
      <c r="H45" s="7"/>
      <c r="I45" s="7"/>
      <c r="J45" s="7"/>
      <c r="K45" s="16"/>
      <c r="L45" s="16"/>
      <c r="M45" s="79"/>
      <c r="O45" s="193" t="str" cm="1">
        <f t="array" ref="O45">TEXT(COLUMNS(Køn_d1[]),"#.##0")&amp;" · "&amp;TEXT(ROWS(Køn_d1[]),"#.##0")&amp;" = "&amp;TEXT(SUMPRODUCT(COLUMNS(Køn_d1[]),ROWS(Køn_d1[])),"#.##0")
&amp;" ("&amp;IF(AND(COUNTIF(Køn_d1[K: Køn],Køn_d1[K: Køn])&lt;2),"✓","X")&amp;")"</f>
        <v>2 · 2 = 4 (✓)</v>
      </c>
      <c r="P45" s="193"/>
      <c r="U45" s="40" cm="1">
        <f t="array" ref="U45">ROW()-ROW(Billettype_d2[#Headers])</f>
        <v>3</v>
      </c>
      <c r="V45" s="19" t="s">
        <v>536</v>
      </c>
    </row>
    <row r="46" spans="1:29" x14ac:dyDescent="0.3">
      <c r="A46" s="2" t="s">
        <v>503</v>
      </c>
      <c r="B46" s="2" t="s">
        <v>504</v>
      </c>
      <c r="C46" s="2" t="s">
        <v>8</v>
      </c>
      <c r="D46" s="2" t="s">
        <v>210</v>
      </c>
      <c r="E46" s="111">
        <v>44729.473611111112</v>
      </c>
      <c r="F46" s="2" t="s">
        <v>602</v>
      </c>
      <c r="G46" s="2" t="s">
        <v>467</v>
      </c>
      <c r="H46" s="7"/>
      <c r="I46" s="7">
        <v>1117</v>
      </c>
      <c r="J46" s="7"/>
      <c r="K46" s="16"/>
      <c r="L46" s="16"/>
      <c r="M46" s="79"/>
      <c r="O46" s="7" t="s">
        <v>0</v>
      </c>
      <c r="P46" s="19" t="s">
        <v>42</v>
      </c>
      <c r="U46" s="40" cm="1">
        <f t="array" ref="U46">ROW()-ROW(Billettype_d2[#Headers])</f>
        <v>4</v>
      </c>
      <c r="V46" s="19" t="s">
        <v>527</v>
      </c>
    </row>
    <row r="47" spans="1:29" x14ac:dyDescent="0.3">
      <c r="A47" s="2" t="s">
        <v>495</v>
      </c>
      <c r="B47" s="2" t="s">
        <v>496</v>
      </c>
      <c r="C47" s="2" t="s">
        <v>5</v>
      </c>
      <c r="D47" s="2" t="s">
        <v>210</v>
      </c>
      <c r="E47" s="111">
        <v>44728.906944444447</v>
      </c>
      <c r="F47" s="2" t="s">
        <v>602</v>
      </c>
      <c r="G47" s="2" t="s">
        <v>467</v>
      </c>
      <c r="H47" s="7"/>
      <c r="I47" s="7">
        <v>1220</v>
      </c>
      <c r="J47" s="7"/>
      <c r="K47" s="16"/>
      <c r="L47" s="16"/>
      <c r="M47" s="79"/>
      <c r="O47" s="39" cm="1">
        <f t="array" ref="O47">ROW()-ROW(Køn_d1[#Headers])</f>
        <v>1</v>
      </c>
      <c r="P47" s="19" t="s">
        <v>210</v>
      </c>
    </row>
    <row r="48" spans="1:29" x14ac:dyDescent="0.3">
      <c r="A48" s="2" t="s">
        <v>497</v>
      </c>
      <c r="B48" s="2" t="s">
        <v>498</v>
      </c>
      <c r="C48" s="2" t="s">
        <v>7</v>
      </c>
      <c r="D48" s="2" t="s">
        <v>210</v>
      </c>
      <c r="E48" s="111">
        <v>44728.859027777777</v>
      </c>
      <c r="F48" s="2" t="s">
        <v>602</v>
      </c>
      <c r="G48" s="2" t="s">
        <v>467</v>
      </c>
      <c r="H48" s="7"/>
      <c r="I48" s="7">
        <v>2380</v>
      </c>
      <c r="J48" s="7"/>
      <c r="K48" s="16"/>
      <c r="L48" s="16"/>
      <c r="M48" s="79"/>
      <c r="O48" s="39" cm="1">
        <f t="array" ref="O48">ROW()-ROW(Køn_d1[#Headers])</f>
        <v>2</v>
      </c>
      <c r="P48" s="19" t="s">
        <v>211</v>
      </c>
      <c r="U48" s="192" t="s">
        <v>532</v>
      </c>
      <c r="V48" s="192"/>
    </row>
    <row r="49" spans="1:22" x14ac:dyDescent="0.3">
      <c r="A49" s="2" t="s">
        <v>206</v>
      </c>
      <c r="B49" s="2" t="s">
        <v>209</v>
      </c>
      <c r="C49" s="2" t="s">
        <v>8</v>
      </c>
      <c r="D49" s="2" t="s">
        <v>210</v>
      </c>
      <c r="E49" s="111">
        <v>44728.751388888886</v>
      </c>
      <c r="F49" s="2" t="s">
        <v>603</v>
      </c>
      <c r="G49" s="2" t="s">
        <v>467</v>
      </c>
      <c r="H49" s="7"/>
      <c r="I49" s="7">
        <v>1647</v>
      </c>
      <c r="J49" s="7"/>
      <c r="K49" s="16"/>
      <c r="L49" s="16"/>
      <c r="M49" s="79"/>
      <c r="U49" s="193" t="str" cm="1">
        <f t="array" ref="U49">TEXT(COLUMNS(Event_d3[]),"#.##0")&amp;" · "&amp;TEXT(ROWS(Event_d3[]),"#.##0")&amp;" = "&amp;TEXT(SUMPRODUCT(COLUMNS(Event_d3[]),ROWS(Event_d3[])),"#.##0")
&amp;" ("&amp;IF(AND(COUNTIF(Event_d3[K: Event],Event_d3[K: Event])&lt;2),"✓","X")&amp;")"</f>
        <v>2 · 1 = 2 (✓)</v>
      </c>
      <c r="V49" s="193"/>
    </row>
    <row r="50" spans="1:22" x14ac:dyDescent="0.3">
      <c r="A50" s="2" t="s">
        <v>562</v>
      </c>
      <c r="B50" s="2" t="s">
        <v>499</v>
      </c>
      <c r="C50" s="2" t="s">
        <v>8</v>
      </c>
      <c r="D50" s="2" t="s">
        <v>210</v>
      </c>
      <c r="E50" s="111">
        <v>44728.737500000003</v>
      </c>
      <c r="F50" s="2" t="s">
        <v>602</v>
      </c>
      <c r="G50" s="2" t="s">
        <v>467</v>
      </c>
      <c r="H50" s="7"/>
      <c r="I50" s="7">
        <v>914</v>
      </c>
      <c r="J50" s="7"/>
      <c r="K50" s="16"/>
      <c r="L50" s="16"/>
      <c r="M50" s="79"/>
      <c r="O50" s="192" t="s">
        <v>149</v>
      </c>
      <c r="P50" s="192"/>
      <c r="U50" t="s">
        <v>0</v>
      </c>
      <c r="V50" t="s">
        <v>531</v>
      </c>
    </row>
    <row r="51" spans="1:22" x14ac:dyDescent="0.3">
      <c r="A51" s="2" t="s">
        <v>500</v>
      </c>
      <c r="B51" s="2" t="s">
        <v>501</v>
      </c>
      <c r="C51" s="2" t="s">
        <v>8</v>
      </c>
      <c r="D51" s="2" t="s">
        <v>210</v>
      </c>
      <c r="E51" s="111">
        <v>44728.724999999999</v>
      </c>
      <c r="F51" s="2" t="s">
        <v>602</v>
      </c>
      <c r="G51" s="2" t="s">
        <v>467</v>
      </c>
      <c r="H51" s="7"/>
      <c r="I51" s="7">
        <v>2057</v>
      </c>
      <c r="J51" s="7"/>
      <c r="K51" s="16" t="s">
        <v>585</v>
      </c>
      <c r="L51" s="16" t="s">
        <v>636</v>
      </c>
      <c r="M51" s="79">
        <v>540</v>
      </c>
      <c r="O51" s="193" t="str" cm="1">
        <f t="array" ref="O51">TEXT(COLUMNS(Spillertype_d1[]),"#.##0")&amp;" · "&amp;TEXT(ROWS(Spillertype_d1[]),"#.##0")&amp;" = "&amp;TEXT(SUMPRODUCT(COLUMNS(Spillertype_d1[]),ROWS(Spillertype_d1[])),"#.##0")
&amp;" ("&amp;IF(AND(COUNTIF(Spillertype_d1[K: Spillertype],Spillertype_d1[K: Spillertype])&lt;2),"✓","X")&amp;")"</f>
        <v>2 · 2 = 4 (✓)</v>
      </c>
      <c r="P51" s="193"/>
      <c r="U51" s="40" cm="1">
        <f t="array" ref="U51">ROW()-ROW(Event_d3[#Headers])</f>
        <v>1</v>
      </c>
      <c r="V51" s="24" t="s">
        <v>592</v>
      </c>
    </row>
    <row r="52" spans="1:22" x14ac:dyDescent="0.3">
      <c r="A52" s="2" t="s">
        <v>248</v>
      </c>
      <c r="B52" s="2" t="s">
        <v>378</v>
      </c>
      <c r="C52" s="2" t="s">
        <v>4</v>
      </c>
      <c r="D52" s="2" t="s">
        <v>210</v>
      </c>
      <c r="E52" s="111">
        <v>44728.695833333331</v>
      </c>
      <c r="F52" s="2" t="s">
        <v>603</v>
      </c>
      <c r="G52" s="2" t="s">
        <v>467</v>
      </c>
      <c r="H52" s="7"/>
      <c r="I52" s="7">
        <v>2587</v>
      </c>
      <c r="J52" s="7"/>
      <c r="K52" s="16"/>
      <c r="L52" s="16"/>
      <c r="M52" s="79"/>
      <c r="O52" s="7" t="s">
        <v>0</v>
      </c>
      <c r="P52" s="19" t="s">
        <v>107</v>
      </c>
    </row>
    <row r="53" spans="1:22" x14ac:dyDescent="0.3">
      <c r="A53" s="2" t="s">
        <v>493</v>
      </c>
      <c r="B53" s="2" t="s">
        <v>494</v>
      </c>
      <c r="C53" s="2" t="s">
        <v>41</v>
      </c>
      <c r="D53" s="2" t="s">
        <v>210</v>
      </c>
      <c r="E53" s="111">
        <v>44728.307638888888</v>
      </c>
      <c r="F53" s="2" t="s">
        <v>602</v>
      </c>
      <c r="G53" s="2" t="s">
        <v>467</v>
      </c>
      <c r="H53" s="7"/>
      <c r="I53" s="7">
        <v>1643</v>
      </c>
      <c r="J53" s="7"/>
      <c r="K53" s="16"/>
      <c r="L53" s="16"/>
      <c r="M53" s="79"/>
      <c r="O53" s="39" cm="1">
        <f t="array" ref="O53">ROW()-ROW(Spillertype_d1[#Headers])</f>
        <v>1</v>
      </c>
      <c r="P53" s="19" t="s">
        <v>381</v>
      </c>
      <c r="U53" s="192" t="s">
        <v>460</v>
      </c>
      <c r="V53" s="192"/>
    </row>
    <row r="54" spans="1:22" x14ac:dyDescent="0.3">
      <c r="A54" s="2" t="s">
        <v>91</v>
      </c>
      <c r="B54" s="2" t="s">
        <v>65</v>
      </c>
      <c r="C54" s="2" t="s">
        <v>64</v>
      </c>
      <c r="D54" s="2" t="s">
        <v>210</v>
      </c>
      <c r="E54" s="111">
        <v>44725.526388888888</v>
      </c>
      <c r="F54" s="2" t="s">
        <v>602</v>
      </c>
      <c r="G54" s="2" t="s">
        <v>467</v>
      </c>
      <c r="H54" s="7"/>
      <c r="I54" s="7">
        <v>2284</v>
      </c>
      <c r="J54" s="7"/>
      <c r="K54" s="16"/>
      <c r="L54" s="16"/>
      <c r="M54" s="79"/>
      <c r="O54" s="39" cm="1">
        <f t="array" ref="O54">ROW()-ROW(Spillertype_d1[#Headers])</f>
        <v>2</v>
      </c>
      <c r="P54" s="19" t="s">
        <v>380</v>
      </c>
      <c r="U54" s="193" t="str" cm="1">
        <f t="array" ref="U54">TEXT(COLUMNS(Tilmeldingsstatus_d1[]),"#.##0")&amp;" · "&amp;TEXT(ROWS(Tilmeldingsstatus_d1[]),"#.##0")&amp;" = "&amp;TEXT(SUMPRODUCT(COLUMNS(Tilmeldingsstatus_d1[]),ROWS(Tilmeldingsstatus_d1[])),"#.##0")
&amp;" ("&amp;IF(AND(COUNTIF(Tilmeldingsstatus_d1[K: Tilmeldingsstatus],Tilmeldingsstatus_d1[K: Tilmeldingsstatus])&lt;2),"✓","X")&amp;")"</f>
        <v>2 · 3 = 6 (✓)</v>
      </c>
      <c r="V54" s="193"/>
    </row>
    <row r="55" spans="1:22" x14ac:dyDescent="0.3">
      <c r="A55" s="2" t="s">
        <v>457</v>
      </c>
      <c r="B55" s="2" t="s">
        <v>458</v>
      </c>
      <c r="C55" s="2" t="s">
        <v>281</v>
      </c>
      <c r="D55" s="2" t="s">
        <v>210</v>
      </c>
      <c r="E55" s="111">
        <v>44723.748611111114</v>
      </c>
      <c r="F55" s="2" t="s">
        <v>602</v>
      </c>
      <c r="G55" s="2" t="s">
        <v>467</v>
      </c>
      <c r="H55" s="7"/>
      <c r="I55" s="7"/>
      <c r="J55" s="7">
        <v>4</v>
      </c>
      <c r="K55" s="16"/>
      <c r="L55" s="16"/>
      <c r="M55" s="79"/>
      <c r="U55" s="7" t="s">
        <v>0</v>
      </c>
      <c r="V55" s="19" t="s">
        <v>454</v>
      </c>
    </row>
    <row r="56" spans="1:22" x14ac:dyDescent="0.3">
      <c r="A56" s="2" t="s">
        <v>457</v>
      </c>
      <c r="B56" s="2" t="s">
        <v>458</v>
      </c>
      <c r="C56" s="2" t="s">
        <v>281</v>
      </c>
      <c r="D56" s="2" t="s">
        <v>210</v>
      </c>
      <c r="E56" s="111">
        <v>44723.748611111114</v>
      </c>
      <c r="F56" s="2" t="s">
        <v>603</v>
      </c>
      <c r="G56" s="2" t="s">
        <v>467</v>
      </c>
      <c r="H56" s="7"/>
      <c r="I56" s="7"/>
      <c r="J56" s="7">
        <v>4</v>
      </c>
      <c r="K56" s="16"/>
      <c r="L56" s="16"/>
      <c r="M56" s="79"/>
      <c r="O56" s="192" t="s">
        <v>390</v>
      </c>
      <c r="P56" s="192"/>
      <c r="U56" s="40" cm="1">
        <f t="array" ref="U56">ROW()-ROW(Tilmeldingsstatus_d1[#Headers])</f>
        <v>1</v>
      </c>
      <c r="V56" s="19" t="s">
        <v>467</v>
      </c>
    </row>
    <row r="57" spans="1:22" x14ac:dyDescent="0.3">
      <c r="A57" s="2" t="s">
        <v>256</v>
      </c>
      <c r="B57" s="2" t="s">
        <v>448</v>
      </c>
      <c r="C57" s="2" t="s">
        <v>4</v>
      </c>
      <c r="D57" s="2" t="s">
        <v>210</v>
      </c>
      <c r="E57" s="111">
        <v>44722.859027777777</v>
      </c>
      <c r="F57" s="2" t="s">
        <v>602</v>
      </c>
      <c r="G57" s="2" t="s">
        <v>467</v>
      </c>
      <c r="H57" s="7"/>
      <c r="I57" s="7">
        <v>2042</v>
      </c>
      <c r="J57" s="7"/>
      <c r="K57" s="16"/>
      <c r="L57" s="16"/>
      <c r="M57" s="79"/>
      <c r="O57" s="193" t="str" cm="1">
        <f t="array" ref="O57">TEXT(COLUMNS(Aldersgruppe_d1[]),"#.##0")&amp;" · "&amp;TEXT(ROWS(Aldersgruppe_d1[]),"#.##0")&amp;" = "&amp;TEXT(SUMPRODUCT(COLUMNS(Aldersgruppe_d1[]),ROWS(Aldersgruppe_d1[])),"#.##0")
&amp;" ("&amp;IF(AND(COUNTIF(Aldersgruppe_d1[K: Aldersgruppe],Aldersgruppe_d1[K: Aldersgruppe])&lt;2),"✓","X")&amp;")"</f>
        <v>2 · 3 = 6 (✓)</v>
      </c>
      <c r="P57" s="193"/>
      <c r="U57" s="40" cm="1">
        <f t="array" ref="U57">ROW()-ROW(Tilmeldingsstatus_d1[#Headers])</f>
        <v>2</v>
      </c>
      <c r="V57" s="19" t="s">
        <v>465</v>
      </c>
    </row>
    <row r="58" spans="1:22" x14ac:dyDescent="0.3">
      <c r="A58" s="2" t="s">
        <v>256</v>
      </c>
      <c r="B58" s="2" t="s">
        <v>448</v>
      </c>
      <c r="C58" s="2" t="s">
        <v>4</v>
      </c>
      <c r="D58" s="2" t="s">
        <v>210</v>
      </c>
      <c r="E58" s="111">
        <v>44722.859027777777</v>
      </c>
      <c r="F58" s="2" t="s">
        <v>603</v>
      </c>
      <c r="G58" s="2" t="s">
        <v>467</v>
      </c>
      <c r="H58" s="7"/>
      <c r="I58" s="7">
        <v>2042</v>
      </c>
      <c r="J58" s="7"/>
      <c r="K58" s="16"/>
      <c r="L58" s="16"/>
      <c r="M58" s="79"/>
      <c r="O58" s="7" t="s">
        <v>0</v>
      </c>
      <c r="P58" s="19" t="s">
        <v>320</v>
      </c>
      <c r="U58" s="40" cm="1">
        <f t="array" ref="U58">ROW()-ROW(Tilmeldingsstatus_d1[#Headers])</f>
        <v>3</v>
      </c>
      <c r="V58" s="19" t="s">
        <v>466</v>
      </c>
    </row>
    <row r="59" spans="1:22" x14ac:dyDescent="0.3">
      <c r="A59" s="2" t="s">
        <v>449</v>
      </c>
      <c r="B59" s="2" t="s">
        <v>450</v>
      </c>
      <c r="C59" s="2" t="s">
        <v>451</v>
      </c>
      <c r="D59" s="2" t="s">
        <v>210</v>
      </c>
      <c r="E59" s="111">
        <v>44722.759027777778</v>
      </c>
      <c r="F59" s="2" t="s">
        <v>602</v>
      </c>
      <c r="G59" s="2" t="s">
        <v>465</v>
      </c>
      <c r="H59" s="7"/>
      <c r="I59" s="7">
        <v>1788</v>
      </c>
      <c r="J59" s="7"/>
      <c r="K59" s="16"/>
      <c r="L59" s="16"/>
      <c r="M59" s="79"/>
      <c r="O59" s="39" cm="1">
        <f t="array" ref="O59">ROW()-ROW(Aldersgruppe_d1[#Headers])</f>
        <v>1</v>
      </c>
      <c r="P59" s="19" t="s">
        <v>321</v>
      </c>
    </row>
    <row r="60" spans="1:22" x14ac:dyDescent="0.3">
      <c r="A60" s="2" t="s">
        <v>443</v>
      </c>
      <c r="B60" s="2" t="s">
        <v>444</v>
      </c>
      <c r="C60" s="2" t="s">
        <v>4</v>
      </c>
      <c r="D60" s="2" t="s">
        <v>210</v>
      </c>
      <c r="E60" s="111">
        <v>44719.868750000001</v>
      </c>
      <c r="F60" s="2" t="s">
        <v>602</v>
      </c>
      <c r="G60" s="2" t="s">
        <v>467</v>
      </c>
      <c r="H60" s="7"/>
      <c r="I60" s="7">
        <v>2025</v>
      </c>
      <c r="J60" s="7"/>
      <c r="K60" s="16"/>
      <c r="L60" s="16"/>
      <c r="M60" s="79"/>
      <c r="O60" s="39" cm="1">
        <f t="array" ref="O60">ROW()-ROW(Aldersgruppe_d1[#Headers])</f>
        <v>2</v>
      </c>
      <c r="P60" s="19" t="s">
        <v>322</v>
      </c>
      <c r="U60" s="192" t="s">
        <v>372</v>
      </c>
      <c r="V60" s="192"/>
    </row>
    <row r="61" spans="1:22" x14ac:dyDescent="0.3">
      <c r="A61" s="2" t="s">
        <v>436</v>
      </c>
      <c r="B61" s="2" t="s">
        <v>437</v>
      </c>
      <c r="C61" s="2" t="s">
        <v>416</v>
      </c>
      <c r="D61" s="2" t="s">
        <v>210</v>
      </c>
      <c r="E61" s="111">
        <v>44717.959027777775</v>
      </c>
      <c r="F61" s="2" t="s">
        <v>602</v>
      </c>
      <c r="G61" s="2" t="s">
        <v>467</v>
      </c>
      <c r="H61" s="7"/>
      <c r="I61" s="7">
        <v>2547</v>
      </c>
      <c r="J61" s="7"/>
      <c r="K61" s="16"/>
      <c r="L61" s="16"/>
      <c r="M61" s="79"/>
      <c r="O61" s="39" cm="1">
        <f t="array" ref="O61">ROW()-ROW(Aldersgruppe_d1[#Headers])</f>
        <v>3</v>
      </c>
      <c r="P61" s="19" t="s">
        <v>323</v>
      </c>
      <c r="U61" s="193" t="str" cm="1">
        <f t="array" ref="U61">TEXT(COLUMNS(Billetsalg_pr_tilmelding_d1[]),"#.##0")&amp;" · "&amp;TEXT(ROWS(Billetsalg_pr_tilmelding_d1[]),"#.##0")&amp;" = "&amp;TEXT(SUMPRODUCT(COLUMNS(Billetsalg_pr_tilmelding_d1[]),ROWS(Billetsalg_pr_tilmelding_d1[])),"#.##0")
&amp;" ("&amp;IF(AND(COUNTIF(Billetsalg_pr_tilmelding_d1[K: Billetsalg pr. tilmelding],Billetsalg_pr_tilmelding_d1[K: Billetsalg pr. tilmelding])&lt;2),"✓","X")&amp;")"</f>
        <v>2 · 4 = 8 (✓)</v>
      </c>
      <c r="V61" s="193"/>
    </row>
    <row r="62" spans="1:22" x14ac:dyDescent="0.3">
      <c r="A62" s="2" t="s">
        <v>436</v>
      </c>
      <c r="B62" s="2" t="s">
        <v>437</v>
      </c>
      <c r="C62" s="2" t="s">
        <v>416</v>
      </c>
      <c r="D62" s="2" t="s">
        <v>210</v>
      </c>
      <c r="E62" s="111">
        <v>44717.959027777775</v>
      </c>
      <c r="F62" s="2" t="s">
        <v>603</v>
      </c>
      <c r="G62" s="2" t="s">
        <v>467</v>
      </c>
      <c r="H62" s="7"/>
      <c r="I62" s="7">
        <v>2547</v>
      </c>
      <c r="J62" s="7"/>
      <c r="K62" s="16"/>
      <c r="L62" s="16"/>
      <c r="M62" s="79"/>
      <c r="U62" s="7" t="s">
        <v>0</v>
      </c>
      <c r="V62" s="19" t="s">
        <v>371</v>
      </c>
    </row>
    <row r="63" spans="1:22" x14ac:dyDescent="0.3">
      <c r="A63" s="2" t="s">
        <v>251</v>
      </c>
      <c r="B63" s="2" t="s">
        <v>434</v>
      </c>
      <c r="C63" s="2" t="s">
        <v>4</v>
      </c>
      <c r="D63" s="2" t="s">
        <v>210</v>
      </c>
      <c r="E63" s="111">
        <v>44717.945833333331</v>
      </c>
      <c r="F63" s="2" t="s">
        <v>602</v>
      </c>
      <c r="G63" s="2" t="s">
        <v>467</v>
      </c>
      <c r="H63" s="7"/>
      <c r="I63" s="7">
        <v>2374</v>
      </c>
      <c r="J63" s="7"/>
      <c r="K63" s="16"/>
      <c r="L63" s="16"/>
      <c r="M63" s="79"/>
      <c r="O63" s="118" t="s">
        <v>389</v>
      </c>
      <c r="P63" s="118"/>
      <c r="U63" s="40" cm="1">
        <f t="array" ref="U63">ROW()-ROW(Billetsalg_pr_tilmelding_d1[#Headers])</f>
        <v>1</v>
      </c>
      <c r="V63" s="19" t="s">
        <v>369</v>
      </c>
    </row>
    <row r="64" spans="1:22" x14ac:dyDescent="0.3">
      <c r="A64" s="2" t="s">
        <v>251</v>
      </c>
      <c r="B64" s="2" t="s">
        <v>434</v>
      </c>
      <c r="C64" s="2" t="s">
        <v>4</v>
      </c>
      <c r="D64" s="2" t="s">
        <v>210</v>
      </c>
      <c r="E64" s="111">
        <v>44717.945833333331</v>
      </c>
      <c r="F64" s="2" t="s">
        <v>603</v>
      </c>
      <c r="G64" s="2" t="s">
        <v>467</v>
      </c>
      <c r="H64" s="7"/>
      <c r="I64" s="7">
        <v>2374</v>
      </c>
      <c r="J64" s="7"/>
      <c r="K64" s="16"/>
      <c r="L64" s="16"/>
      <c r="M64" s="79"/>
      <c r="O64" s="119" t="str" cm="1">
        <f t="array" ref="O64">TEXT(COLUMNS(Ratinggruppe_d1[]),"#.##0")&amp;" · "&amp;TEXT(ROWS(Ratinggruppe_d1[]),"#.##0")&amp;" = "&amp;TEXT(SUMPRODUCT(COLUMNS(Ratinggruppe_d1[]),ROWS(Ratinggruppe_d1[])),"#.##0")
&amp;" ("&amp;IF(AND(COUNTIF(Ratinggruppe_d1[K: Ratinggruppe],Ratinggruppe_d1[K: Ratinggruppe])&lt;2),"✓","X")&amp;")"</f>
        <v>2 · 2 = 4 (✓)</v>
      </c>
      <c r="P64" s="119"/>
      <c r="U64" s="40" cm="1">
        <f t="array" ref="U64">ROW()-ROW(Billetsalg_pr_tilmelding_d1[#Headers])</f>
        <v>2</v>
      </c>
      <c r="V64" s="19" t="s">
        <v>370</v>
      </c>
    </row>
    <row r="65" spans="1:22" x14ac:dyDescent="0.3">
      <c r="A65" s="2" t="s">
        <v>96</v>
      </c>
      <c r="B65" s="2" t="s">
        <v>432</v>
      </c>
      <c r="C65" s="2" t="s">
        <v>5</v>
      </c>
      <c r="D65" s="2" t="s">
        <v>210</v>
      </c>
      <c r="E65" s="111">
        <v>44717.939583333333</v>
      </c>
      <c r="F65" s="2" t="s">
        <v>602</v>
      </c>
      <c r="G65" s="2" t="s">
        <v>465</v>
      </c>
      <c r="H65" s="7"/>
      <c r="I65" s="7">
        <v>1928</v>
      </c>
      <c r="J65" s="7"/>
      <c r="K65" s="16"/>
      <c r="L65" s="16"/>
      <c r="M65" s="79"/>
      <c r="O65" s="7" t="s">
        <v>0</v>
      </c>
      <c r="P65" s="19" t="s">
        <v>364</v>
      </c>
      <c r="U65" s="40" cm="1">
        <f t="array" ref="U65">ROW()-ROW(Billetsalg_pr_tilmelding_d1[#Headers])</f>
        <v>3</v>
      </c>
      <c r="V65" s="19" t="s">
        <v>528</v>
      </c>
    </row>
    <row r="66" spans="1:22" x14ac:dyDescent="0.3">
      <c r="A66" s="2" t="s">
        <v>96</v>
      </c>
      <c r="B66" s="2" t="s">
        <v>432</v>
      </c>
      <c r="C66" s="2" t="s">
        <v>5</v>
      </c>
      <c r="D66" s="2" t="s">
        <v>210</v>
      </c>
      <c r="E66" s="111">
        <v>44717.939583333333</v>
      </c>
      <c r="F66" s="2" t="s">
        <v>603</v>
      </c>
      <c r="G66" s="2" t="s">
        <v>465</v>
      </c>
      <c r="H66" s="7"/>
      <c r="I66" s="7">
        <v>1928</v>
      </c>
      <c r="J66" s="7"/>
      <c r="K66" s="16"/>
      <c r="L66" s="16"/>
      <c r="M66" s="79"/>
      <c r="O66" s="39" cm="1">
        <f t="array" ref="O66">ROW()-ROW(Ratinggruppe_d1[#Headers])</f>
        <v>1</v>
      </c>
      <c r="P66" s="19" t="s">
        <v>406</v>
      </c>
      <c r="U66" s="40" cm="1">
        <f t="array" ref="U66">ROW()-ROW(Billetsalg_pr_tilmelding_d1[#Headers])</f>
        <v>4</v>
      </c>
      <c r="V66" s="19" t="s">
        <v>556</v>
      </c>
    </row>
    <row r="67" spans="1:22" x14ac:dyDescent="0.3">
      <c r="A67" s="2" t="s">
        <v>563</v>
      </c>
      <c r="B67" s="2" t="s">
        <v>433</v>
      </c>
      <c r="C67" s="2" t="s">
        <v>8</v>
      </c>
      <c r="D67" s="2" t="s">
        <v>210</v>
      </c>
      <c r="E67" s="111">
        <v>44717.938194444447</v>
      </c>
      <c r="F67" s="2" t="s">
        <v>602</v>
      </c>
      <c r="G67" s="2" t="s">
        <v>465</v>
      </c>
      <c r="H67" s="7"/>
      <c r="I67" s="7">
        <v>2164</v>
      </c>
      <c r="J67" s="7"/>
      <c r="K67" s="16"/>
      <c r="L67" s="16"/>
      <c r="M67" s="79"/>
      <c r="O67" s="39" cm="1">
        <f t="array" ref="O67">ROW()-ROW(Ratinggruppe_d1[#Headers])</f>
        <v>2</v>
      </c>
      <c r="P67" s="19" t="s">
        <v>407</v>
      </c>
    </row>
    <row r="68" spans="1:22" x14ac:dyDescent="0.3">
      <c r="A68" s="2" t="s">
        <v>563</v>
      </c>
      <c r="B68" s="2" t="s">
        <v>433</v>
      </c>
      <c r="C68" s="2" t="s">
        <v>8</v>
      </c>
      <c r="D68" s="2" t="s">
        <v>210</v>
      </c>
      <c r="E68" s="111">
        <v>44717.938194444447</v>
      </c>
      <c r="F68" s="2" t="s">
        <v>603</v>
      </c>
      <c r="G68" s="2" t="s">
        <v>467</v>
      </c>
      <c r="H68" s="7"/>
      <c r="I68" s="7">
        <v>2164</v>
      </c>
      <c r="J68" s="7"/>
      <c r="K68" s="16"/>
      <c r="L68" s="16"/>
      <c r="M68" s="79"/>
      <c r="U68" s="192" t="s">
        <v>373</v>
      </c>
      <c r="V68" s="192"/>
    </row>
    <row r="69" spans="1:22" x14ac:dyDescent="0.3">
      <c r="A69" s="2" t="s">
        <v>426</v>
      </c>
      <c r="B69" s="2" t="s">
        <v>427</v>
      </c>
      <c r="C69" s="2" t="s">
        <v>428</v>
      </c>
      <c r="D69" s="2" t="s">
        <v>210</v>
      </c>
      <c r="E69" s="111">
        <v>44717.919444444444</v>
      </c>
      <c r="F69" s="2" t="s">
        <v>602</v>
      </c>
      <c r="G69" s="2" t="s">
        <v>467</v>
      </c>
      <c r="H69" s="7"/>
      <c r="I69" s="7">
        <v>1485</v>
      </c>
      <c r="J69" s="7"/>
      <c r="K69" s="16"/>
      <c r="L69" s="16"/>
      <c r="M69" s="79"/>
      <c r="O69" s="192" t="s">
        <v>143</v>
      </c>
      <c r="P69" s="192"/>
      <c r="U69" s="193" t="str" cm="1">
        <f t="array" ref="U69">TEXT(COLUMNS(Tilmeldingstype_d1[]),"#.##0")&amp;" · "&amp;TEXT(ROWS(Tilmeldingstype_d1[]),"#.##0")&amp;" = "&amp;TEXT(SUMPRODUCT(COLUMNS(Tilmeldingstype_d1[]),ROWS(Tilmeldingstype_d1[])),"#.##0")
&amp;" ("&amp;IF(AND(COUNTIF(Tilmeldingstype_d1[K: Tilmeldingstype],Tilmeldingstype_d1[K: Tilmeldingstype])&lt;2),"✓","X")&amp;")"</f>
        <v>2 · 3 = 6 (✓)</v>
      </c>
      <c r="V69" s="193"/>
    </row>
    <row r="70" spans="1:22" x14ac:dyDescent="0.3">
      <c r="A70" s="2" t="s">
        <v>419</v>
      </c>
      <c r="B70" s="2" t="s">
        <v>420</v>
      </c>
      <c r="C70" s="2" t="s">
        <v>416</v>
      </c>
      <c r="D70" s="2" t="s">
        <v>210</v>
      </c>
      <c r="E70" s="111">
        <v>44717.879861111112</v>
      </c>
      <c r="F70" s="2" t="s">
        <v>602</v>
      </c>
      <c r="G70" s="2" t="s">
        <v>467</v>
      </c>
      <c r="H70" s="7"/>
      <c r="I70" s="7">
        <v>2229</v>
      </c>
      <c r="J70" s="7"/>
      <c r="K70" s="16"/>
      <c r="L70" s="16"/>
      <c r="M70" s="79"/>
      <c r="O70" s="193" t="str" cm="1">
        <f t="array" ref="O70">TEXT(COLUMNS(Landsdel_d2[]),"#.##0")&amp;" · "&amp;TEXT(ROWS(Landsdel_d2[]),"#.##0")&amp;" = "&amp;TEXT(SUMPRODUCT(COLUMNS(Landsdel_d2[]),ROWS(Landsdel_d2[])),"#.##0")
&amp;" ("&amp;IF(AND(COUNTIF(Landsdel_d2[K: Landsdel],Landsdel_d2[K: Landsdel])&lt;2),"✓","X")&amp;")"</f>
        <v>2 · 5 = 10 (✓)</v>
      </c>
      <c r="P70" s="193"/>
      <c r="U70" s="7" t="s">
        <v>0</v>
      </c>
      <c r="V70" s="19" t="s">
        <v>374</v>
      </c>
    </row>
    <row r="71" spans="1:22" x14ac:dyDescent="0.3">
      <c r="A71" s="2" t="s">
        <v>419</v>
      </c>
      <c r="B71" s="2" t="s">
        <v>420</v>
      </c>
      <c r="C71" s="2" t="s">
        <v>416</v>
      </c>
      <c r="D71" s="2" t="s">
        <v>210</v>
      </c>
      <c r="E71" s="111">
        <v>44717.879861111112</v>
      </c>
      <c r="F71" s="2" t="s">
        <v>603</v>
      </c>
      <c r="G71" s="2" t="s">
        <v>467</v>
      </c>
      <c r="H71" s="7"/>
      <c r="I71" s="7">
        <v>2229</v>
      </c>
      <c r="J71" s="7"/>
      <c r="K71" s="16"/>
      <c r="L71" s="16"/>
      <c r="M71" s="79"/>
      <c r="O71" s="7" t="s">
        <v>0</v>
      </c>
      <c r="P71" s="19" t="s">
        <v>36</v>
      </c>
      <c r="U71" s="40" cm="1">
        <f t="array" ref="U71">ROW()-ROW(Tilmeldingstype_d1[#Headers])</f>
        <v>1</v>
      </c>
      <c r="V71" s="19" t="s">
        <v>521</v>
      </c>
    </row>
    <row r="72" spans="1:22" x14ac:dyDescent="0.3">
      <c r="A72" s="2" t="s">
        <v>413</v>
      </c>
      <c r="B72" s="2" t="s">
        <v>414</v>
      </c>
      <c r="C72" s="2" t="s">
        <v>416</v>
      </c>
      <c r="D72" s="2" t="s">
        <v>210</v>
      </c>
      <c r="E72" s="111">
        <v>44717.878472222219</v>
      </c>
      <c r="F72" s="2" t="s">
        <v>602</v>
      </c>
      <c r="G72" s="2" t="s">
        <v>467</v>
      </c>
      <c r="H72" s="7"/>
      <c r="I72" s="7">
        <v>2068</v>
      </c>
      <c r="J72" s="7"/>
      <c r="K72" s="16"/>
      <c r="L72" s="16"/>
      <c r="M72" s="79"/>
      <c r="O72" s="39" cm="1">
        <f t="array" ref="O72">ROW()-ROW(Landsdel_d2[#Headers])</f>
        <v>1</v>
      </c>
      <c r="P72" s="19" t="s">
        <v>37</v>
      </c>
      <c r="U72" s="40" cm="1">
        <f t="array" ref="U72">ROW()-ROW(Tilmeldingstype_d1[#Headers])</f>
        <v>2</v>
      </c>
      <c r="V72" s="19" t="s">
        <v>379</v>
      </c>
    </row>
    <row r="73" spans="1:22" x14ac:dyDescent="0.3">
      <c r="A73" s="2" t="s">
        <v>413</v>
      </c>
      <c r="B73" s="2" t="s">
        <v>414</v>
      </c>
      <c r="C73" s="2" t="s">
        <v>416</v>
      </c>
      <c r="D73" s="2" t="s">
        <v>210</v>
      </c>
      <c r="E73" s="111">
        <v>44717.878472222219</v>
      </c>
      <c r="F73" s="2" t="s">
        <v>603</v>
      </c>
      <c r="G73" s="2" t="s">
        <v>467</v>
      </c>
      <c r="H73" s="7"/>
      <c r="I73" s="7">
        <v>2068</v>
      </c>
      <c r="J73" s="7"/>
      <c r="K73" s="16"/>
      <c r="L73" s="16"/>
      <c r="M73" s="79"/>
      <c r="O73" s="39" cm="1">
        <f t="array" ref="O73">ROW()-ROW(Landsdel_d2[#Headers])</f>
        <v>2</v>
      </c>
      <c r="P73" s="19" t="s">
        <v>38</v>
      </c>
      <c r="U73" s="40" cm="1">
        <f t="array" ref="U73">ROW()-ROW(Tilmeldingstype_d1[#Headers])</f>
        <v>3</v>
      </c>
      <c r="V73" s="19" t="s">
        <v>520</v>
      </c>
    </row>
    <row r="74" spans="1:22" x14ac:dyDescent="0.3">
      <c r="A74" s="2" t="s">
        <v>230</v>
      </c>
      <c r="B74" s="2" t="s">
        <v>421</v>
      </c>
      <c r="C74" s="2" t="s">
        <v>231</v>
      </c>
      <c r="D74" s="2" t="s">
        <v>210</v>
      </c>
      <c r="E74" s="111">
        <v>44717.869444444441</v>
      </c>
      <c r="F74" s="2" t="s">
        <v>602</v>
      </c>
      <c r="G74" s="2" t="s">
        <v>467</v>
      </c>
      <c r="H74" s="7"/>
      <c r="I74" s="7">
        <v>2265</v>
      </c>
      <c r="J74" s="7"/>
      <c r="K74" s="16" t="s">
        <v>584</v>
      </c>
      <c r="L74" s="16" t="s">
        <v>640</v>
      </c>
      <c r="M74" s="79"/>
      <c r="O74" s="39" cm="1">
        <f t="array" ref="O74">ROW()-ROW(Landsdel_d2[#Headers])</f>
        <v>3</v>
      </c>
      <c r="P74" s="19" t="s">
        <v>39</v>
      </c>
    </row>
    <row r="75" spans="1:22" x14ac:dyDescent="0.3">
      <c r="A75" s="2" t="s">
        <v>230</v>
      </c>
      <c r="B75" s="2" t="s">
        <v>421</v>
      </c>
      <c r="C75" s="2" t="s">
        <v>231</v>
      </c>
      <c r="D75" s="2" t="s">
        <v>210</v>
      </c>
      <c r="E75" s="111">
        <v>44717.869444444441</v>
      </c>
      <c r="F75" s="2" t="s">
        <v>603</v>
      </c>
      <c r="G75" s="2" t="s">
        <v>467</v>
      </c>
      <c r="H75" s="7"/>
      <c r="I75" s="7">
        <v>2265</v>
      </c>
      <c r="J75" s="7"/>
      <c r="K75" s="16"/>
      <c r="L75" s="16"/>
      <c r="M75" s="79"/>
      <c r="O75" s="39" cm="1">
        <f t="array" ref="O75">ROW()-ROW(Landsdel_d2[#Headers])</f>
        <v>4</v>
      </c>
      <c r="P75" s="19" t="s">
        <v>110</v>
      </c>
      <c r="U75" s="192" t="s">
        <v>455</v>
      </c>
      <c r="V75" s="192"/>
    </row>
    <row r="76" spans="1:22" x14ac:dyDescent="0.3">
      <c r="A76" s="2" t="s">
        <v>422</v>
      </c>
      <c r="B76" s="2" t="s">
        <v>423</v>
      </c>
      <c r="C76" s="2" t="s">
        <v>9</v>
      </c>
      <c r="D76" s="2" t="s">
        <v>210</v>
      </c>
      <c r="E76" s="111">
        <v>44717.861111111109</v>
      </c>
      <c r="F76" s="2" t="s">
        <v>602</v>
      </c>
      <c r="G76" s="2" t="s">
        <v>467</v>
      </c>
      <c r="H76" s="7"/>
      <c r="I76" s="7">
        <v>2376</v>
      </c>
      <c r="J76" s="7"/>
      <c r="K76" s="16"/>
      <c r="L76" s="16"/>
      <c r="M76" s="79"/>
      <c r="O76" s="39" cm="1">
        <f t="array" ref="O76">ROW()-ROW(Landsdel_d2[#Headers])</f>
        <v>5</v>
      </c>
      <c r="P76" s="19" t="s">
        <v>80</v>
      </c>
      <c r="U76" s="193" t="str" cm="1">
        <f t="array" ref="U76">TEXT(COLUMNS(Gentilmeldinger_d1[]),"#.##0")&amp;" · "&amp;TEXT(ROWS(Gentilmeldinger_d1[]),"#.##0")&amp;" = "&amp;TEXT(SUMPRODUCT(COLUMNS(Gentilmeldinger_d1[]),ROWS(Gentilmeldinger_d1[])),"#.##0")
&amp;" ("&amp;IF(AND(COUNTIF(Gentilmeldinger_d1[K: Gentilmeldinger],Gentilmeldinger_d1[K: Gentilmeldinger])&lt;2),"✓","X")&amp;")"</f>
        <v>2 · 3 = 6 (✓)</v>
      </c>
      <c r="V76" s="193"/>
    </row>
    <row r="77" spans="1:22" x14ac:dyDescent="0.3">
      <c r="A77" s="2" t="s">
        <v>422</v>
      </c>
      <c r="B77" s="2" t="s">
        <v>423</v>
      </c>
      <c r="C77" s="2" t="s">
        <v>9</v>
      </c>
      <c r="D77" s="2" t="s">
        <v>210</v>
      </c>
      <c r="E77" s="111">
        <v>44717.861111111109</v>
      </c>
      <c r="F77" s="2" t="s">
        <v>603</v>
      </c>
      <c r="G77" s="2" t="s">
        <v>467</v>
      </c>
      <c r="H77" s="7"/>
      <c r="I77" s="7">
        <v>2376</v>
      </c>
      <c r="J77" s="7"/>
      <c r="K77" s="16"/>
      <c r="L77" s="16"/>
      <c r="M77" s="79"/>
      <c r="U77" s="7" t="s">
        <v>0</v>
      </c>
      <c r="V77" s="19" t="s">
        <v>456</v>
      </c>
    </row>
    <row r="78" spans="1:22" x14ac:dyDescent="0.3">
      <c r="A78" s="2" t="s">
        <v>412</v>
      </c>
      <c r="B78" s="2" t="s">
        <v>411</v>
      </c>
      <c r="C78" s="2" t="s">
        <v>8</v>
      </c>
      <c r="D78" s="2" t="s">
        <v>211</v>
      </c>
      <c r="E78" s="111">
        <v>44717.824305555558</v>
      </c>
      <c r="F78" s="2" t="s">
        <v>603</v>
      </c>
      <c r="G78" s="2" t="s">
        <v>467</v>
      </c>
      <c r="H78" s="7"/>
      <c r="I78" s="7">
        <v>1516</v>
      </c>
      <c r="J78" s="7"/>
      <c r="K78" s="16"/>
      <c r="L78" s="16"/>
      <c r="M78" s="79"/>
      <c r="O78" s="192" t="s">
        <v>144</v>
      </c>
      <c r="P78" s="192"/>
      <c r="U78" s="40" cm="1">
        <f t="array" ref="U78">ROW()-ROW(Gentilmeldinger_d1[#Headers])</f>
        <v>1</v>
      </c>
      <c r="V78" s="19" t="s">
        <v>575</v>
      </c>
    </row>
    <row r="79" spans="1:22" x14ac:dyDescent="0.3">
      <c r="A79" s="2" t="s">
        <v>410</v>
      </c>
      <c r="B79" s="2" t="s">
        <v>415</v>
      </c>
      <c r="C79" s="2" t="s">
        <v>8</v>
      </c>
      <c r="D79" s="2" t="s">
        <v>211</v>
      </c>
      <c r="E79" s="111">
        <v>44717.819444444445</v>
      </c>
      <c r="F79" s="2" t="s">
        <v>603</v>
      </c>
      <c r="G79" s="2" t="s">
        <v>467</v>
      </c>
      <c r="H79" s="7"/>
      <c r="I79" s="7">
        <v>1531</v>
      </c>
      <c r="J79" s="7"/>
      <c r="K79" s="16"/>
      <c r="L79" s="16"/>
      <c r="M79" s="79"/>
      <c r="O79" s="193" t="str" cm="1">
        <f t="array" ref="O79">TEXT(COLUMNS(Region_d2[]),"#.##0")&amp;" · "&amp;TEXT(ROWS(Region_d2[]),"#.##0")&amp;" = "&amp;TEXT(SUMPRODUCT(COLUMNS(Region_d2[]),ROWS(Region_d2[])),"#.##0")
&amp;" ("&amp;IF(AND(COUNTIF(Region_d2[K: Region],Region_d2[K: Region])&lt;2),"✓","X")&amp;")"</f>
        <v>2 · 6 = 12 (✓)</v>
      </c>
      <c r="P79" s="193"/>
      <c r="U79" s="40" cm="1">
        <f t="array" ref="U79">ROW()-ROW(Gentilmeldinger_d1[#Headers])</f>
        <v>2</v>
      </c>
      <c r="V79" s="19" t="s">
        <v>576</v>
      </c>
    </row>
    <row r="80" spans="1:22" x14ac:dyDescent="0.3">
      <c r="A80" s="2" t="s">
        <v>574</v>
      </c>
      <c r="B80" s="2" t="s">
        <v>408</v>
      </c>
      <c r="C80" s="2" t="s">
        <v>8</v>
      </c>
      <c r="D80" s="2" t="s">
        <v>210</v>
      </c>
      <c r="E80" s="111">
        <v>44717.660416666666</v>
      </c>
      <c r="F80" s="2" t="s">
        <v>602</v>
      </c>
      <c r="G80" s="2" t="s">
        <v>467</v>
      </c>
      <c r="H80" s="7"/>
      <c r="I80" s="7">
        <v>2048</v>
      </c>
      <c r="J80" s="7"/>
      <c r="K80" s="16"/>
      <c r="L80" s="16"/>
      <c r="M80" s="79"/>
      <c r="O80" s="7" t="s">
        <v>0</v>
      </c>
      <c r="P80" s="19" t="s">
        <v>111</v>
      </c>
      <c r="U80" s="40" cm="1">
        <f t="array" ref="U80">ROW()-ROW(Gentilmeldinger_d1[#Headers])</f>
        <v>3</v>
      </c>
      <c r="V80" s="19" t="s">
        <v>520</v>
      </c>
    </row>
    <row r="81" spans="1:22" x14ac:dyDescent="0.3">
      <c r="A81" s="2" t="s">
        <v>574</v>
      </c>
      <c r="B81" s="2" t="s">
        <v>408</v>
      </c>
      <c r="C81" s="2" t="s">
        <v>8</v>
      </c>
      <c r="D81" s="2" t="s">
        <v>210</v>
      </c>
      <c r="E81" s="111">
        <v>44717.660416666666</v>
      </c>
      <c r="F81" s="2" t="s">
        <v>603</v>
      </c>
      <c r="G81" s="2" t="s">
        <v>467</v>
      </c>
      <c r="H81" s="7"/>
      <c r="I81" s="7">
        <v>2048</v>
      </c>
      <c r="J81" s="7"/>
      <c r="K81" s="16"/>
      <c r="L81" s="16"/>
      <c r="M81" s="79"/>
      <c r="O81" s="39" cm="1">
        <f t="array" ref="O81">ROW()-ROW(Region_d2[#Headers])</f>
        <v>1</v>
      </c>
      <c r="P81" s="19" t="s">
        <v>113</v>
      </c>
    </row>
    <row r="82" spans="1:22" x14ac:dyDescent="0.3">
      <c r="A82" s="2" t="s">
        <v>254</v>
      </c>
      <c r="B82" s="2" t="s">
        <v>404</v>
      </c>
      <c r="C82" s="2" t="s">
        <v>41</v>
      </c>
      <c r="D82" s="2" t="s">
        <v>210</v>
      </c>
      <c r="E82" s="111">
        <v>44717.536805555559</v>
      </c>
      <c r="F82" s="2" t="s">
        <v>603</v>
      </c>
      <c r="G82" s="2" t="s">
        <v>467</v>
      </c>
      <c r="H82" s="7"/>
      <c r="I82" s="7">
        <v>2050</v>
      </c>
      <c r="J82" s="7"/>
      <c r="K82" s="16"/>
      <c r="L82" s="16"/>
      <c r="M82" s="79"/>
      <c r="O82" s="39" cm="1">
        <f t="array" ref="O82">ROW()-ROW(Region_d2[#Headers])</f>
        <v>2</v>
      </c>
      <c r="P82" s="19" t="s">
        <v>114</v>
      </c>
      <c r="U82" s="192" t="s">
        <v>440</v>
      </c>
      <c r="V82" s="192"/>
    </row>
    <row r="83" spans="1:22" x14ac:dyDescent="0.3">
      <c r="A83" s="2" t="s">
        <v>401</v>
      </c>
      <c r="B83" s="2" t="s">
        <v>402</v>
      </c>
      <c r="C83" s="2" t="s">
        <v>303</v>
      </c>
      <c r="D83" s="2" t="s">
        <v>210</v>
      </c>
      <c r="E83" s="111">
        <v>44716.847222222219</v>
      </c>
      <c r="F83" s="2" t="s">
        <v>602</v>
      </c>
      <c r="G83" s="2" t="s">
        <v>467</v>
      </c>
      <c r="H83" s="7"/>
      <c r="I83" s="7">
        <v>2269</v>
      </c>
      <c r="J83" s="7"/>
      <c r="K83" s="16"/>
      <c r="L83" s="16"/>
      <c r="M83" s="79"/>
      <c r="O83" s="39" cm="1">
        <f t="array" ref="O83">ROW()-ROW(Region_d2[#Headers])</f>
        <v>3</v>
      </c>
      <c r="P83" s="19" t="s">
        <v>115</v>
      </c>
      <c r="U83" s="193" t="str" cm="1">
        <f t="array" ref="U83">TEXT(COLUMNS(Klokkeslætsinterval_d1[]),"#.##0")&amp;" · "&amp;TEXT(ROWS(Klokkeslætsinterval_d1[]),"#.##0")&amp;" = "&amp;TEXT(SUMPRODUCT(COLUMNS(Klokkeslætsinterval_d1[]),ROWS(Klokkeslætsinterval_d1[])),"#.##0")
&amp;" ("&amp;IF(AND(COUNTIF(Klokkeslætsinterval_d1[K: Klokkeslætsinterval],Klokkeslætsinterval_d1[K: Klokkeslætsinterval])&lt;2),"✓","X")&amp;")"</f>
        <v>2 · 2 = 4 (✓)</v>
      </c>
      <c r="V83" s="193"/>
    </row>
    <row r="84" spans="1:22" x14ac:dyDescent="0.3">
      <c r="A84" s="2" t="s">
        <v>255</v>
      </c>
      <c r="B84" s="2" t="s">
        <v>400</v>
      </c>
      <c r="C84" s="2" t="s">
        <v>8</v>
      </c>
      <c r="D84" s="2" t="s">
        <v>210</v>
      </c>
      <c r="E84" s="111">
        <v>44716.84375</v>
      </c>
      <c r="F84" s="2" t="s">
        <v>602</v>
      </c>
      <c r="G84" s="2" t="s">
        <v>467</v>
      </c>
      <c r="H84" s="7"/>
      <c r="I84" s="7">
        <v>2092</v>
      </c>
      <c r="J84" s="7"/>
      <c r="K84" s="16"/>
      <c r="L84" s="16"/>
      <c r="M84" s="79"/>
      <c r="O84" s="39" cm="1">
        <f t="array" ref="O84">ROW()-ROW(Region_d2[#Headers])</f>
        <v>4</v>
      </c>
      <c r="P84" s="19" t="s">
        <v>116</v>
      </c>
      <c r="U84" s="7" t="s">
        <v>0</v>
      </c>
      <c r="V84" s="19" t="s">
        <v>439</v>
      </c>
    </row>
    <row r="85" spans="1:22" x14ac:dyDescent="0.3">
      <c r="A85" s="2" t="s">
        <v>255</v>
      </c>
      <c r="B85" s="2" t="s">
        <v>400</v>
      </c>
      <c r="C85" s="2" t="s">
        <v>8</v>
      </c>
      <c r="D85" s="2" t="s">
        <v>210</v>
      </c>
      <c r="E85" s="111">
        <v>44716.84375</v>
      </c>
      <c r="F85" s="2" t="s">
        <v>603</v>
      </c>
      <c r="G85" s="2" t="s">
        <v>467</v>
      </c>
      <c r="H85" s="7"/>
      <c r="I85" s="7">
        <v>2092</v>
      </c>
      <c r="J85" s="7"/>
      <c r="K85" s="16"/>
      <c r="L85" s="16"/>
      <c r="M85" s="79"/>
      <c r="O85" s="39" cm="1">
        <f t="array" ref="O85">ROW()-ROW(Region_d2[#Headers])</f>
        <v>5</v>
      </c>
      <c r="P85" s="19" t="s">
        <v>117</v>
      </c>
      <c r="U85" s="40" cm="1">
        <f t="array" ref="U85">ROW()-ROW(Klokkeslætsinterval_d1[#Headers])</f>
        <v>1</v>
      </c>
      <c r="V85" s="19" t="s">
        <v>442</v>
      </c>
    </row>
    <row r="86" spans="1:22" x14ac:dyDescent="0.3">
      <c r="A86" s="2" t="s">
        <v>401</v>
      </c>
      <c r="B86" s="2" t="s">
        <v>402</v>
      </c>
      <c r="C86" s="2" t="s">
        <v>303</v>
      </c>
      <c r="D86" s="2" t="s">
        <v>210</v>
      </c>
      <c r="E86" s="111">
        <v>44716.841666666667</v>
      </c>
      <c r="F86" s="2" t="s">
        <v>603</v>
      </c>
      <c r="G86" s="2" t="s">
        <v>467</v>
      </c>
      <c r="H86" s="7"/>
      <c r="I86" s="7">
        <v>2269</v>
      </c>
      <c r="J86" s="7"/>
      <c r="K86" s="16"/>
      <c r="L86" s="16"/>
      <c r="M86" s="79"/>
      <c r="O86" s="39" cm="1">
        <f t="array" ref="O86">ROW()-ROW(Region_d2[#Headers])</f>
        <v>6</v>
      </c>
      <c r="P86" s="19" t="s">
        <v>112</v>
      </c>
      <c r="U86" s="40" cm="1">
        <f t="array" ref="U86">ROW()-ROW(Klokkeslætsinterval_d1[#Headers])</f>
        <v>2</v>
      </c>
      <c r="V86" s="19" t="s">
        <v>441</v>
      </c>
    </row>
    <row r="87" spans="1:22" x14ac:dyDescent="0.3">
      <c r="A87" s="2" t="s">
        <v>398</v>
      </c>
      <c r="B87" s="2" t="s">
        <v>399</v>
      </c>
      <c r="C87" s="2" t="s">
        <v>8</v>
      </c>
      <c r="D87" s="2" t="s">
        <v>210</v>
      </c>
      <c r="E87" s="111">
        <v>44716.684027777781</v>
      </c>
      <c r="F87" s="2" t="s">
        <v>603</v>
      </c>
      <c r="G87" s="2" t="s">
        <v>467</v>
      </c>
      <c r="H87" s="7"/>
      <c r="I87" s="7">
        <v>1913</v>
      </c>
      <c r="J87" s="7"/>
      <c r="K87" s="16"/>
      <c r="L87" s="16"/>
      <c r="M87" s="79"/>
    </row>
    <row r="88" spans="1:22" x14ac:dyDescent="0.3">
      <c r="A88" s="2" t="s">
        <v>564</v>
      </c>
      <c r="B88" s="2" t="s">
        <v>383</v>
      </c>
      <c r="C88" s="2" t="s">
        <v>78</v>
      </c>
      <c r="D88" s="2" t="s">
        <v>211</v>
      </c>
      <c r="E88" s="111">
        <v>44715.844444444447</v>
      </c>
      <c r="F88" s="2" t="s">
        <v>603</v>
      </c>
      <c r="G88" s="2" t="s">
        <v>467</v>
      </c>
      <c r="H88" s="7"/>
      <c r="I88" s="7"/>
      <c r="J88" s="7"/>
      <c r="K88" s="16"/>
      <c r="L88" s="16"/>
      <c r="M88" s="79"/>
      <c r="U88" s="118" t="s">
        <v>648</v>
      </c>
      <c r="V88" s="118"/>
    </row>
    <row r="89" spans="1:22" x14ac:dyDescent="0.3">
      <c r="A89" s="2" t="s">
        <v>565</v>
      </c>
      <c r="B89" s="2" t="s">
        <v>382</v>
      </c>
      <c r="C89" s="2" t="s">
        <v>78</v>
      </c>
      <c r="D89" s="2" t="s">
        <v>211</v>
      </c>
      <c r="E89" s="111">
        <v>44715.844444444447</v>
      </c>
      <c r="F89" s="2" t="s">
        <v>603</v>
      </c>
      <c r="G89" s="2" t="s">
        <v>467</v>
      </c>
      <c r="H89" s="7"/>
      <c r="I89" s="7"/>
      <c r="J89" s="7"/>
      <c r="K89" s="16"/>
      <c r="L89" s="16"/>
      <c r="M89" s="79"/>
      <c r="U89" s="119" t="str" cm="1">
        <f t="array" ref="U89">TEXT(COLUMNS(Slutspil_d1[]),"#.##0")&amp;" · "&amp;TEXT(ROWS(Slutspil_d1[]),"#.##0")&amp;" = "&amp;TEXT(SUMPRODUCT(COLUMNS(Slutspil_d1[]),ROWS(Slutspil_d1[])),"#.##0")
&amp;" ("&amp;IF(AND(COUNTIF(Slutspil_d1[K: Slutspil],Slutspil_d1[K: Slutspil])&lt;2),"✓","X")&amp;")"</f>
        <v>2 · 2 = 4 (✓)</v>
      </c>
      <c r="V89" s="119"/>
    </row>
    <row r="90" spans="1:22" x14ac:dyDescent="0.3">
      <c r="A90" s="2" t="s">
        <v>248</v>
      </c>
      <c r="B90" s="2" t="s">
        <v>378</v>
      </c>
      <c r="C90" s="2" t="s">
        <v>4</v>
      </c>
      <c r="D90" s="2" t="s">
        <v>210</v>
      </c>
      <c r="E90" s="111">
        <v>44715.702777777777</v>
      </c>
      <c r="F90" s="2" t="s">
        <v>602</v>
      </c>
      <c r="G90" s="2" t="s">
        <v>467</v>
      </c>
      <c r="H90" s="7"/>
      <c r="I90" s="7">
        <v>2587</v>
      </c>
      <c r="J90" s="7"/>
      <c r="K90" s="16" t="s">
        <v>584</v>
      </c>
      <c r="L90" s="16" t="s">
        <v>641</v>
      </c>
      <c r="M90" s="79"/>
      <c r="U90" s="7" t="s">
        <v>0</v>
      </c>
      <c r="V90" s="19" t="s">
        <v>583</v>
      </c>
    </row>
    <row r="91" spans="1:22" x14ac:dyDescent="0.3">
      <c r="A91" s="2" t="s">
        <v>566</v>
      </c>
      <c r="B91" s="2" t="s">
        <v>375</v>
      </c>
      <c r="C91" s="2" t="s">
        <v>78</v>
      </c>
      <c r="D91" s="2" t="s">
        <v>210</v>
      </c>
      <c r="E91" s="111">
        <v>44715.603472222225</v>
      </c>
      <c r="F91" s="2" t="s">
        <v>602</v>
      </c>
      <c r="G91" s="2" t="s">
        <v>467</v>
      </c>
      <c r="H91" s="7"/>
      <c r="I91" s="7"/>
      <c r="J91" s="7">
        <v>3</v>
      </c>
      <c r="K91" s="16"/>
      <c r="L91" s="16"/>
      <c r="M91" s="79"/>
      <c r="U91" s="115" cm="1">
        <f t="array" ref="U91">ROW()-ROW(Slutspil_d1[#Headers])</f>
        <v>1</v>
      </c>
      <c r="V91" s="19" t="s">
        <v>584</v>
      </c>
    </row>
    <row r="92" spans="1:22" x14ac:dyDescent="0.3">
      <c r="A92" s="2" t="s">
        <v>566</v>
      </c>
      <c r="B92" s="2" t="s">
        <v>375</v>
      </c>
      <c r="C92" s="2" t="s">
        <v>78</v>
      </c>
      <c r="D92" s="2" t="s">
        <v>210</v>
      </c>
      <c r="E92" s="111">
        <v>44715.603472222225</v>
      </c>
      <c r="F92" s="2" t="s">
        <v>603</v>
      </c>
      <c r="G92" s="2" t="s">
        <v>467</v>
      </c>
      <c r="H92" s="7"/>
      <c r="I92" s="7"/>
      <c r="J92" s="7">
        <v>3</v>
      </c>
      <c r="K92" s="16"/>
      <c r="L92" s="16"/>
      <c r="M92" s="79"/>
      <c r="U92" s="115" cm="1">
        <f t="array" ref="U92">ROW()-ROW(Slutspil_d1[#Headers])</f>
        <v>2</v>
      </c>
      <c r="V92" s="19" t="s">
        <v>585</v>
      </c>
    </row>
    <row r="93" spans="1:22" x14ac:dyDescent="0.3">
      <c r="A93" s="2" t="s">
        <v>567</v>
      </c>
      <c r="B93" s="2" t="s">
        <v>376</v>
      </c>
      <c r="C93" s="2" t="s">
        <v>78</v>
      </c>
      <c r="D93" s="2" t="s">
        <v>210</v>
      </c>
      <c r="E93" s="111">
        <v>44715.602777777778</v>
      </c>
      <c r="F93" s="2" t="s">
        <v>603</v>
      </c>
      <c r="G93" s="2" t="s">
        <v>467</v>
      </c>
      <c r="H93" s="7"/>
      <c r="I93" s="7"/>
      <c r="J93" s="7"/>
      <c r="K93" s="16"/>
      <c r="L93" s="16"/>
      <c r="M93" s="79"/>
    </row>
    <row r="94" spans="1:22" x14ac:dyDescent="0.3">
      <c r="A94" s="2" t="s">
        <v>568</v>
      </c>
      <c r="B94" s="2" t="s">
        <v>377</v>
      </c>
      <c r="C94" s="2" t="s">
        <v>32</v>
      </c>
      <c r="D94" s="2" t="s">
        <v>210</v>
      </c>
      <c r="E94" s="111">
        <v>44715.602083333331</v>
      </c>
      <c r="F94" s="2" t="s">
        <v>602</v>
      </c>
      <c r="G94" s="2" t="s">
        <v>467</v>
      </c>
      <c r="H94" s="7"/>
      <c r="I94" s="7">
        <v>1685</v>
      </c>
      <c r="J94" s="7"/>
      <c r="K94" s="16" t="s">
        <v>585</v>
      </c>
      <c r="L94" s="16" t="s">
        <v>639</v>
      </c>
      <c r="M94" s="79">
        <v>360</v>
      </c>
      <c r="U94" s="118" t="s">
        <v>649</v>
      </c>
      <c r="V94" s="118"/>
    </row>
    <row r="95" spans="1:22" x14ac:dyDescent="0.3">
      <c r="A95" s="2" t="s">
        <v>568</v>
      </c>
      <c r="B95" s="2" t="s">
        <v>377</v>
      </c>
      <c r="C95" s="2" t="s">
        <v>32</v>
      </c>
      <c r="D95" s="2" t="s">
        <v>210</v>
      </c>
      <c r="E95" s="111">
        <v>44715.602083333331</v>
      </c>
      <c r="F95" s="2" t="s">
        <v>603</v>
      </c>
      <c r="G95" s="2" t="s">
        <v>467</v>
      </c>
      <c r="H95" s="7"/>
      <c r="I95" s="7">
        <v>1685</v>
      </c>
      <c r="J95" s="7"/>
      <c r="K95" s="16"/>
      <c r="L95" s="16"/>
      <c r="M95" s="79"/>
      <c r="U95" s="119" t="str" cm="1">
        <f t="array" ref="U95">TEXT(COLUMNS(Placering_d1[]),"#.##0")&amp;" · "&amp;TEXT(ROWS(Placering_d1[]),"#.##0")&amp;" = "&amp;TEXT(SUMPRODUCT(COLUMNS(Placering_d1[]),ROWS(Placering_d1[])),"#.##0")
&amp;" ("&amp;IF(AND(COUNTIF(Placering_d1[K: Placering],Placering_d1[K: Placering])&lt;2),"✓","X")&amp;")"</f>
        <v>2 · 8 = 16 (✓)</v>
      </c>
      <c r="V95" s="119"/>
    </row>
    <row r="96" spans="1:22" x14ac:dyDescent="0.3">
      <c r="A96" s="2" t="s">
        <v>365</v>
      </c>
      <c r="B96" s="2" t="s">
        <v>366</v>
      </c>
      <c r="C96" s="2" t="s">
        <v>306</v>
      </c>
      <c r="D96" s="2" t="s">
        <v>210</v>
      </c>
      <c r="E96" s="111">
        <v>44713.955555555556</v>
      </c>
      <c r="F96" s="2" t="s">
        <v>602</v>
      </c>
      <c r="G96" s="2" t="s">
        <v>465</v>
      </c>
      <c r="H96" s="7"/>
      <c r="I96" s="7">
        <v>1717</v>
      </c>
      <c r="J96" s="7"/>
      <c r="K96" s="16"/>
      <c r="L96" s="16"/>
      <c r="M96" s="79"/>
      <c r="U96" s="7" t="s">
        <v>0</v>
      </c>
      <c r="V96" s="19" t="s">
        <v>582</v>
      </c>
    </row>
    <row r="97" spans="1:22" x14ac:dyDescent="0.3">
      <c r="A97" s="2" t="s">
        <v>362</v>
      </c>
      <c r="B97" s="2" t="s">
        <v>363</v>
      </c>
      <c r="C97" s="2" t="s">
        <v>306</v>
      </c>
      <c r="D97" s="2" t="s">
        <v>210</v>
      </c>
      <c r="E97" s="111">
        <v>44713.90902777778</v>
      </c>
      <c r="F97" s="2" t="s">
        <v>602</v>
      </c>
      <c r="G97" s="2" t="s">
        <v>467</v>
      </c>
      <c r="H97" s="7"/>
      <c r="I97" s="7">
        <v>1867</v>
      </c>
      <c r="J97" s="7"/>
      <c r="K97" s="16"/>
      <c r="L97" s="16"/>
      <c r="M97" s="79"/>
      <c r="U97" s="115" cm="1">
        <f t="array" ref="U97">ROW()-ROW(Placering_d1[#Headers])</f>
        <v>1</v>
      </c>
      <c r="V97" s="19" t="s">
        <v>636</v>
      </c>
    </row>
    <row r="98" spans="1:22" x14ac:dyDescent="0.3">
      <c r="A98" s="2" t="s">
        <v>241</v>
      </c>
      <c r="B98" s="2" t="s">
        <v>242</v>
      </c>
      <c r="C98" s="2" t="s">
        <v>41</v>
      </c>
      <c r="D98" s="2" t="s">
        <v>210</v>
      </c>
      <c r="E98" s="111">
        <v>44713.765277777777</v>
      </c>
      <c r="F98" s="2" t="s">
        <v>602</v>
      </c>
      <c r="G98" s="2" t="s">
        <v>467</v>
      </c>
      <c r="H98" s="7"/>
      <c r="I98" s="7">
        <v>2352</v>
      </c>
      <c r="J98" s="7"/>
      <c r="K98" s="16" t="s">
        <v>584</v>
      </c>
      <c r="L98" s="16" t="s">
        <v>638</v>
      </c>
      <c r="M98" s="79">
        <v>1080</v>
      </c>
      <c r="U98" s="115" cm="1">
        <f t="array" ref="U98">ROW()-ROW(Placering_d1[#Headers])</f>
        <v>2</v>
      </c>
      <c r="V98" s="19" t="s">
        <v>639</v>
      </c>
    </row>
    <row r="99" spans="1:22" x14ac:dyDescent="0.3">
      <c r="A99" s="2" t="s">
        <v>241</v>
      </c>
      <c r="B99" s="2" t="s">
        <v>242</v>
      </c>
      <c r="C99" s="2" t="s">
        <v>41</v>
      </c>
      <c r="D99" s="2" t="s">
        <v>210</v>
      </c>
      <c r="E99" s="111">
        <v>44713.765277777777</v>
      </c>
      <c r="F99" s="2" t="s">
        <v>603</v>
      </c>
      <c r="G99" s="2" t="s">
        <v>467</v>
      </c>
      <c r="H99" s="7"/>
      <c r="I99" s="7">
        <v>2352</v>
      </c>
      <c r="J99" s="7"/>
      <c r="K99" s="16"/>
      <c r="L99" s="16"/>
      <c r="M99" s="79"/>
      <c r="U99" s="115" cm="1">
        <f t="array" ref="U99">ROW()-ROW(Placering_d1[#Headers])</f>
        <v>3</v>
      </c>
      <c r="V99" s="19" t="s">
        <v>638</v>
      </c>
    </row>
    <row r="100" spans="1:22" x14ac:dyDescent="0.3">
      <c r="A100" s="2" t="s">
        <v>569</v>
      </c>
      <c r="B100" s="2" t="s">
        <v>280</v>
      </c>
      <c r="C100" s="2" t="s">
        <v>78</v>
      </c>
      <c r="D100" s="2" t="s">
        <v>210</v>
      </c>
      <c r="E100" s="111">
        <v>44713.481249999997</v>
      </c>
      <c r="F100" s="2" t="s">
        <v>603</v>
      </c>
      <c r="G100" s="2" t="s">
        <v>467</v>
      </c>
      <c r="H100" s="7"/>
      <c r="I100" s="7"/>
      <c r="J100" s="7">
        <v>2</v>
      </c>
      <c r="K100" s="16"/>
      <c r="L100" s="16"/>
      <c r="M100" s="79"/>
      <c r="U100" s="115" cm="1">
        <f t="array" ref="U100">ROW()-ROW(Placering_d1[#Headers])</f>
        <v>4</v>
      </c>
      <c r="V100" s="19" t="s">
        <v>637</v>
      </c>
    </row>
    <row r="101" spans="1:22" x14ac:dyDescent="0.3">
      <c r="A101" s="2" t="s">
        <v>570</v>
      </c>
      <c r="B101" s="2" t="s">
        <v>505</v>
      </c>
      <c r="C101" s="2" t="s">
        <v>78</v>
      </c>
      <c r="D101" s="2" t="s">
        <v>210</v>
      </c>
      <c r="E101" s="111">
        <v>44711.988888888889</v>
      </c>
      <c r="F101" s="2" t="s">
        <v>602</v>
      </c>
      <c r="G101" s="2" t="s">
        <v>465</v>
      </c>
      <c r="H101" s="7"/>
      <c r="I101" s="7"/>
      <c r="J101" s="7">
        <v>5</v>
      </c>
      <c r="K101" s="16"/>
      <c r="L101" s="16"/>
      <c r="M101" s="79"/>
      <c r="U101" s="115" cm="1">
        <f t="array" ref="U101">ROW()-ROW(Placering_d1[#Headers])</f>
        <v>5</v>
      </c>
      <c r="V101" s="19" t="s">
        <v>640</v>
      </c>
    </row>
    <row r="102" spans="1:22" x14ac:dyDescent="0.3">
      <c r="A102" s="2" t="s">
        <v>341</v>
      </c>
      <c r="B102" s="2" t="s">
        <v>342</v>
      </c>
      <c r="C102" s="2" t="s">
        <v>303</v>
      </c>
      <c r="D102" s="2" t="s">
        <v>211</v>
      </c>
      <c r="E102" s="111">
        <v>44710.816666666666</v>
      </c>
      <c r="F102" s="2" t="s">
        <v>603</v>
      </c>
      <c r="G102" s="2" t="s">
        <v>467</v>
      </c>
      <c r="H102" s="7"/>
      <c r="I102" s="7">
        <v>2187</v>
      </c>
      <c r="J102" s="7"/>
      <c r="K102" s="16"/>
      <c r="L102" s="16"/>
      <c r="M102" s="79"/>
      <c r="U102" s="115" cm="1">
        <f t="array" ref="U102">ROW()-ROW(Placering_d1[#Headers])</f>
        <v>6</v>
      </c>
      <c r="V102" s="19" t="s">
        <v>643</v>
      </c>
    </row>
    <row r="103" spans="1:22" x14ac:dyDescent="0.3">
      <c r="A103" s="2" t="s">
        <v>246</v>
      </c>
      <c r="B103" s="2" t="s">
        <v>247</v>
      </c>
      <c r="C103" s="2" t="s">
        <v>8</v>
      </c>
      <c r="D103" s="2" t="s">
        <v>211</v>
      </c>
      <c r="E103" s="111">
        <v>44710.638888888891</v>
      </c>
      <c r="F103" s="2" t="s">
        <v>603</v>
      </c>
      <c r="G103" s="2" t="s">
        <v>467</v>
      </c>
      <c r="H103" s="7"/>
      <c r="I103" s="7">
        <v>2295</v>
      </c>
      <c r="J103" s="7"/>
      <c r="K103" s="16"/>
      <c r="L103" s="16"/>
      <c r="M103" s="79"/>
      <c r="U103" s="115" cm="1">
        <f t="array" ref="U103">ROW()-ROW(Placering_d1[#Headers])</f>
        <v>7</v>
      </c>
      <c r="V103" s="19" t="s">
        <v>641</v>
      </c>
    </row>
    <row r="104" spans="1:22" x14ac:dyDescent="0.3">
      <c r="A104" s="2" t="s">
        <v>333</v>
      </c>
      <c r="B104" s="2" t="s">
        <v>334</v>
      </c>
      <c r="C104" s="2" t="s">
        <v>343</v>
      </c>
      <c r="D104" s="2" t="s">
        <v>210</v>
      </c>
      <c r="E104" s="111">
        <v>44709.570138888892</v>
      </c>
      <c r="F104" s="2" t="s">
        <v>602</v>
      </c>
      <c r="G104" s="2" t="s">
        <v>465</v>
      </c>
      <c r="H104" s="7"/>
      <c r="I104" s="7">
        <v>2803</v>
      </c>
      <c r="J104" s="7"/>
      <c r="K104" s="16"/>
      <c r="L104" s="16"/>
      <c r="M104" s="79"/>
      <c r="U104" s="115" cm="1">
        <f t="array" ref="U104">ROW()-ROW(Placering_d1[#Headers])</f>
        <v>8</v>
      </c>
      <c r="V104" s="19" t="s">
        <v>642</v>
      </c>
    </row>
    <row r="105" spans="1:22" x14ac:dyDescent="0.3">
      <c r="A105" s="2" t="s">
        <v>333</v>
      </c>
      <c r="B105" s="2" t="s">
        <v>334</v>
      </c>
      <c r="C105" s="2" t="s">
        <v>343</v>
      </c>
      <c r="D105" s="2" t="s">
        <v>210</v>
      </c>
      <c r="E105" s="111">
        <v>44709.567361111112</v>
      </c>
      <c r="F105" s="2" t="s">
        <v>603</v>
      </c>
      <c r="G105" s="2" t="s">
        <v>465</v>
      </c>
      <c r="H105" s="7"/>
      <c r="I105" s="7">
        <v>2803</v>
      </c>
      <c r="J105" s="7"/>
      <c r="K105" s="16"/>
      <c r="L105" s="16"/>
      <c r="M105" s="79"/>
    </row>
    <row r="106" spans="1:22" x14ac:dyDescent="0.3">
      <c r="A106" s="2" t="s">
        <v>318</v>
      </c>
      <c r="B106" s="2" t="s">
        <v>319</v>
      </c>
      <c r="C106" s="2" t="s">
        <v>8</v>
      </c>
      <c r="D106" s="2" t="s">
        <v>210</v>
      </c>
      <c r="E106" s="111">
        <v>44708.784722222219</v>
      </c>
      <c r="F106" s="2" t="s">
        <v>602</v>
      </c>
      <c r="G106" s="2" t="s">
        <v>467</v>
      </c>
      <c r="H106" s="7"/>
      <c r="I106" s="7">
        <v>1790</v>
      </c>
      <c r="J106" s="7"/>
      <c r="K106" s="16"/>
      <c r="L106" s="16"/>
      <c r="M106" s="79"/>
      <c r="U106" s="118" t="s">
        <v>651</v>
      </c>
      <c r="V106" s="118"/>
    </row>
    <row r="107" spans="1:22" x14ac:dyDescent="0.3">
      <c r="A107" s="2" t="s">
        <v>105</v>
      </c>
      <c r="B107" s="2" t="s">
        <v>58</v>
      </c>
      <c r="C107" s="2" t="s">
        <v>8</v>
      </c>
      <c r="D107" s="2" t="s">
        <v>210</v>
      </c>
      <c r="E107" s="111">
        <v>44708.69027777778</v>
      </c>
      <c r="F107" s="2" t="s">
        <v>602</v>
      </c>
      <c r="G107" s="2" t="s">
        <v>467</v>
      </c>
      <c r="H107" s="7"/>
      <c r="I107" s="7">
        <v>2042</v>
      </c>
      <c r="J107" s="7"/>
      <c r="K107" s="16"/>
      <c r="L107" s="16"/>
      <c r="M107" s="79"/>
      <c r="U107" s="119" t="str" cm="1">
        <f t="array" ref="U107">TEXT(COLUMNS(TRUE_FALSE_d1[]),"#.##0")&amp;" · "&amp;TEXT(ROWS(TRUE_FALSE_d1[]),"#.##0")&amp;" = "&amp;TEXT(SUMPRODUCT(COLUMNS(TRUE_FALSE_d1[]),ROWS(TRUE_FALSE_d1[])),"#.##0")
&amp;" ("&amp;IF(AND(COUNTIF(TRUE_FALSE_d1[K: TRUE/FALSE],TRUE_FALSE_d1[K: TRUE/FALSE])&lt;2),"✓","X")&amp;")"</f>
        <v>2 · 2 = 4 (✓)</v>
      </c>
      <c r="V107" s="119"/>
    </row>
    <row r="108" spans="1:22" x14ac:dyDescent="0.3">
      <c r="A108" s="2" t="s">
        <v>260</v>
      </c>
      <c r="B108" s="2" t="s">
        <v>261</v>
      </c>
      <c r="C108" s="2" t="s">
        <v>5</v>
      </c>
      <c r="D108" s="2" t="s">
        <v>210</v>
      </c>
      <c r="E108" s="111">
        <v>44708.527777777781</v>
      </c>
      <c r="F108" s="2" t="s">
        <v>602</v>
      </c>
      <c r="G108" s="2" t="s">
        <v>467</v>
      </c>
      <c r="H108" s="7"/>
      <c r="I108" s="7">
        <v>1363</v>
      </c>
      <c r="J108" s="7"/>
      <c r="K108" s="16"/>
      <c r="L108" s="16"/>
      <c r="M108" s="79"/>
      <c r="U108" s="7" t="s">
        <v>0</v>
      </c>
      <c r="V108" s="19" t="s">
        <v>654</v>
      </c>
    </row>
    <row r="109" spans="1:22" x14ac:dyDescent="0.3">
      <c r="A109" s="2" t="s">
        <v>262</v>
      </c>
      <c r="B109" s="2" t="s">
        <v>263</v>
      </c>
      <c r="C109" s="2" t="s">
        <v>5</v>
      </c>
      <c r="D109" s="2" t="s">
        <v>210</v>
      </c>
      <c r="E109" s="111">
        <v>44708.524305555555</v>
      </c>
      <c r="F109" s="2" t="s">
        <v>602</v>
      </c>
      <c r="G109" s="2" t="s">
        <v>467</v>
      </c>
      <c r="H109" s="7"/>
      <c r="I109" s="7">
        <v>1166</v>
      </c>
      <c r="J109" s="7"/>
      <c r="K109" s="16"/>
      <c r="L109" s="16"/>
      <c r="M109" s="79"/>
      <c r="U109" s="115" cm="1">
        <f t="array" ref="U109">ROW()-ROW(TRUE_FALSE_d1[#Headers])</f>
        <v>1</v>
      </c>
      <c r="V109" s="19" t="s">
        <v>652</v>
      </c>
    </row>
    <row r="110" spans="1:22" x14ac:dyDescent="0.3">
      <c r="A110" s="2" t="s">
        <v>258</v>
      </c>
      <c r="B110" s="2" t="s">
        <v>259</v>
      </c>
      <c r="C110" s="2" t="s">
        <v>5</v>
      </c>
      <c r="D110" s="2" t="s">
        <v>210</v>
      </c>
      <c r="E110" s="111">
        <v>44708.522222222222</v>
      </c>
      <c r="F110" s="2" t="s">
        <v>602</v>
      </c>
      <c r="G110" s="2" t="s">
        <v>467</v>
      </c>
      <c r="H110" s="7"/>
      <c r="I110" s="7">
        <v>2413</v>
      </c>
      <c r="J110" s="7"/>
      <c r="K110" s="16" t="s">
        <v>584</v>
      </c>
      <c r="L110" s="16" t="s">
        <v>643</v>
      </c>
      <c r="M110" s="79"/>
      <c r="U110" s="115" cm="1">
        <f t="array" ref="U110">ROW()-ROW(TRUE_FALSE_d1[#Headers])</f>
        <v>2</v>
      </c>
      <c r="V110" s="19" t="s">
        <v>653</v>
      </c>
    </row>
    <row r="111" spans="1:22" x14ac:dyDescent="0.3">
      <c r="A111" s="2" t="s">
        <v>571</v>
      </c>
      <c r="B111" s="2" t="s">
        <v>317</v>
      </c>
      <c r="C111" s="2" t="s">
        <v>8</v>
      </c>
      <c r="D111" s="2" t="s">
        <v>210</v>
      </c>
      <c r="E111" s="111">
        <v>44704.757638888892</v>
      </c>
      <c r="F111" s="2" t="s">
        <v>602</v>
      </c>
      <c r="G111" s="2" t="s">
        <v>467</v>
      </c>
      <c r="H111" s="7"/>
      <c r="I111" s="7">
        <v>1067</v>
      </c>
      <c r="J111" s="7"/>
      <c r="K111" s="16"/>
      <c r="L111" s="16"/>
      <c r="M111" s="79"/>
    </row>
    <row r="112" spans="1:22" x14ac:dyDescent="0.3">
      <c r="A112" s="2" t="s">
        <v>311</v>
      </c>
      <c r="B112" s="2" t="s">
        <v>313</v>
      </c>
      <c r="C112" s="2" t="s">
        <v>312</v>
      </c>
      <c r="D112" s="2" t="s">
        <v>210</v>
      </c>
      <c r="E112" s="111">
        <v>44702.731944444444</v>
      </c>
      <c r="F112" s="2" t="s">
        <v>602</v>
      </c>
      <c r="G112" s="2" t="s">
        <v>467</v>
      </c>
      <c r="H112" s="7"/>
      <c r="I112" s="7">
        <v>1491</v>
      </c>
      <c r="J112" s="7"/>
      <c r="K112" s="16"/>
      <c r="L112" s="16"/>
      <c r="M112" s="79"/>
    </row>
    <row r="113" spans="1:13" x14ac:dyDescent="0.3">
      <c r="A113" s="2" t="s">
        <v>569</v>
      </c>
      <c r="B113" s="2" t="s">
        <v>280</v>
      </c>
      <c r="C113" s="2" t="s">
        <v>78</v>
      </c>
      <c r="D113" s="2" t="s">
        <v>210</v>
      </c>
      <c r="E113" s="111">
        <v>44702.537499999999</v>
      </c>
      <c r="F113" s="2" t="s">
        <v>602</v>
      </c>
      <c r="G113" s="2" t="s">
        <v>467</v>
      </c>
      <c r="H113" s="7"/>
      <c r="I113" s="7"/>
      <c r="J113" s="7">
        <v>2</v>
      </c>
      <c r="K113" s="16"/>
      <c r="L113" s="16"/>
      <c r="M113" s="79"/>
    </row>
    <row r="114" spans="1:13" x14ac:dyDescent="0.3">
      <c r="A114" s="2" t="s">
        <v>95</v>
      </c>
      <c r="B114" s="2" t="s">
        <v>109</v>
      </c>
      <c r="C114" s="2" t="s">
        <v>5</v>
      </c>
      <c r="D114" s="2" t="s">
        <v>210</v>
      </c>
      <c r="E114" s="111">
        <v>44701.754861111112</v>
      </c>
      <c r="F114" s="2" t="s">
        <v>602</v>
      </c>
      <c r="G114" s="2" t="s">
        <v>467</v>
      </c>
      <c r="H114" s="7">
        <v>3</v>
      </c>
      <c r="I114" s="7">
        <v>2553</v>
      </c>
      <c r="J114" s="7"/>
      <c r="K114" s="16" t="s">
        <v>584</v>
      </c>
      <c r="L114" s="16" t="s">
        <v>637</v>
      </c>
      <c r="M114" s="79">
        <v>720</v>
      </c>
    </row>
    <row r="115" spans="1:13" x14ac:dyDescent="0.3">
      <c r="A115" s="2" t="s">
        <v>95</v>
      </c>
      <c r="B115" s="2" t="s">
        <v>109</v>
      </c>
      <c r="C115" s="2" t="s">
        <v>5</v>
      </c>
      <c r="D115" s="2" t="s">
        <v>210</v>
      </c>
      <c r="E115" s="111">
        <v>44701.754861111112</v>
      </c>
      <c r="F115" s="2" t="s">
        <v>603</v>
      </c>
      <c r="G115" s="2" t="s">
        <v>467</v>
      </c>
      <c r="H115" s="7">
        <v>3</v>
      </c>
      <c r="I115" s="7">
        <v>2553</v>
      </c>
      <c r="J115" s="7"/>
      <c r="K115" s="16"/>
      <c r="L115" s="16"/>
      <c r="M115" s="79"/>
    </row>
    <row r="116" spans="1:13" x14ac:dyDescent="0.3">
      <c r="A116" s="2" t="s">
        <v>249</v>
      </c>
      <c r="B116" s="2" t="s">
        <v>250</v>
      </c>
      <c r="C116" s="2" t="s">
        <v>4</v>
      </c>
      <c r="D116" s="2" t="s">
        <v>210</v>
      </c>
      <c r="E116" s="111">
        <v>44701.75</v>
      </c>
      <c r="F116" s="2" t="s">
        <v>602</v>
      </c>
      <c r="G116" s="2" t="s">
        <v>467</v>
      </c>
      <c r="H116" s="7"/>
      <c r="I116" s="7">
        <v>2381</v>
      </c>
      <c r="J116" s="7"/>
      <c r="K116" s="16"/>
      <c r="L116" s="16"/>
      <c r="M116" s="79"/>
    </row>
    <row r="117" spans="1:13" x14ac:dyDescent="0.3">
      <c r="A117" s="2" t="s">
        <v>249</v>
      </c>
      <c r="B117" s="2" t="s">
        <v>250</v>
      </c>
      <c r="C117" s="2" t="s">
        <v>4</v>
      </c>
      <c r="D117" s="2" t="s">
        <v>210</v>
      </c>
      <c r="E117" s="111">
        <v>44701.75</v>
      </c>
      <c r="F117" s="2" t="s">
        <v>603</v>
      </c>
      <c r="G117" s="2" t="s">
        <v>467</v>
      </c>
      <c r="H117" s="7"/>
      <c r="I117" s="7">
        <v>2381</v>
      </c>
      <c r="J117" s="7"/>
      <c r="K117" s="16"/>
      <c r="L117" s="16"/>
      <c r="M117" s="79"/>
    </row>
    <row r="118" spans="1:13" x14ac:dyDescent="0.3">
      <c r="A118" s="2" t="s">
        <v>87</v>
      </c>
      <c r="B118" s="2" t="s">
        <v>23</v>
      </c>
      <c r="C118" s="2" t="s">
        <v>4</v>
      </c>
      <c r="D118" s="2" t="s">
        <v>210</v>
      </c>
      <c r="E118" s="111">
        <v>44696.911805555559</v>
      </c>
      <c r="F118" s="2" t="s">
        <v>602</v>
      </c>
      <c r="G118" s="2" t="s">
        <v>467</v>
      </c>
      <c r="H118" s="7">
        <v>2</v>
      </c>
      <c r="I118" s="7">
        <v>2362</v>
      </c>
      <c r="J118" s="7"/>
      <c r="K118" s="16" t="s">
        <v>584</v>
      </c>
      <c r="L118" s="16" t="s">
        <v>639</v>
      </c>
      <c r="M118" s="79">
        <v>1800</v>
      </c>
    </row>
    <row r="119" spans="1:13" x14ac:dyDescent="0.3">
      <c r="A119" s="2" t="s">
        <v>87</v>
      </c>
      <c r="B119" s="2" t="s">
        <v>23</v>
      </c>
      <c r="C119" s="2" t="s">
        <v>4</v>
      </c>
      <c r="D119" s="2" t="s">
        <v>210</v>
      </c>
      <c r="E119" s="111">
        <v>44696.911805555559</v>
      </c>
      <c r="F119" s="2" t="s">
        <v>603</v>
      </c>
      <c r="G119" s="2" t="s">
        <v>467</v>
      </c>
      <c r="H119" s="7">
        <v>2</v>
      </c>
      <c r="I119" s="7">
        <v>2362</v>
      </c>
      <c r="J119" s="7"/>
      <c r="K119" s="16"/>
      <c r="L119" s="16"/>
      <c r="M119" s="79"/>
    </row>
    <row r="120" spans="1:13" x14ac:dyDescent="0.3">
      <c r="A120" s="2" t="s">
        <v>105</v>
      </c>
      <c r="B120" s="2" t="s">
        <v>58</v>
      </c>
      <c r="C120" s="2" t="s">
        <v>8</v>
      </c>
      <c r="D120" s="2" t="s">
        <v>210</v>
      </c>
      <c r="E120" s="111">
        <v>44693.757638888892</v>
      </c>
      <c r="F120" s="2" t="s">
        <v>603</v>
      </c>
      <c r="G120" s="2" t="s">
        <v>467</v>
      </c>
      <c r="H120" s="7"/>
      <c r="I120" s="7">
        <v>2042</v>
      </c>
      <c r="J120" s="7"/>
      <c r="K120" s="16"/>
      <c r="L120" s="16"/>
      <c r="M120" s="79"/>
    </row>
    <row r="121" spans="1:13" x14ac:dyDescent="0.3">
      <c r="A121" s="2" t="s">
        <v>100</v>
      </c>
      <c r="B121" s="2" t="s">
        <v>22</v>
      </c>
      <c r="C121" s="2" t="s">
        <v>7</v>
      </c>
      <c r="D121" s="2" t="s">
        <v>210</v>
      </c>
      <c r="E121" s="111">
        <v>44691.591666666667</v>
      </c>
      <c r="F121" s="2" t="s">
        <v>602</v>
      </c>
      <c r="G121" s="2" t="s">
        <v>467</v>
      </c>
      <c r="H121" s="7"/>
      <c r="I121" s="7">
        <v>2455</v>
      </c>
      <c r="J121" s="7"/>
      <c r="K121" s="16" t="s">
        <v>584</v>
      </c>
      <c r="L121" s="16" t="s">
        <v>642</v>
      </c>
      <c r="M121" s="79"/>
    </row>
    <row r="122" spans="1:13" x14ac:dyDescent="0.3">
      <c r="A122" s="2" t="s">
        <v>239</v>
      </c>
      <c r="B122" s="2" t="s">
        <v>240</v>
      </c>
      <c r="C122" s="2" t="s">
        <v>4</v>
      </c>
      <c r="D122" s="2" t="s">
        <v>210</v>
      </c>
      <c r="E122" s="111">
        <v>44684.895138888889</v>
      </c>
      <c r="F122" s="2" t="s">
        <v>602</v>
      </c>
      <c r="G122" s="2" t="s">
        <v>467</v>
      </c>
      <c r="H122" s="7"/>
      <c r="I122" s="7">
        <v>2369</v>
      </c>
      <c r="J122" s="7"/>
      <c r="K122" s="16"/>
      <c r="L122" s="16"/>
      <c r="M122" s="79"/>
    </row>
    <row r="123" spans="1:13" x14ac:dyDescent="0.3">
      <c r="A123" s="2" t="s">
        <v>239</v>
      </c>
      <c r="B123" s="2" t="s">
        <v>240</v>
      </c>
      <c r="C123" s="2" t="s">
        <v>4</v>
      </c>
      <c r="D123" s="2" t="s">
        <v>210</v>
      </c>
      <c r="E123" s="111">
        <v>44684.89166666667</v>
      </c>
      <c r="F123" s="2" t="s">
        <v>603</v>
      </c>
      <c r="G123" s="2" t="s">
        <v>467</v>
      </c>
      <c r="H123" s="7"/>
      <c r="I123" s="7">
        <v>2369</v>
      </c>
      <c r="J123" s="7"/>
      <c r="K123" s="16"/>
      <c r="L123" s="16"/>
      <c r="M123" s="79"/>
    </row>
    <row r="124" spans="1:13" x14ac:dyDescent="0.3">
      <c r="A124" s="2" t="s">
        <v>572</v>
      </c>
      <c r="B124" s="2" t="s">
        <v>245</v>
      </c>
      <c r="C124" s="2" t="s">
        <v>78</v>
      </c>
      <c r="D124" s="2" t="s">
        <v>210</v>
      </c>
      <c r="E124" s="111">
        <v>44681.845833333333</v>
      </c>
      <c r="F124" s="2" t="s">
        <v>602</v>
      </c>
      <c r="G124" s="2" t="s">
        <v>467</v>
      </c>
      <c r="H124" s="7"/>
      <c r="I124" s="7"/>
      <c r="J124" s="7">
        <v>1</v>
      </c>
      <c r="K124" s="16"/>
      <c r="L124" s="16"/>
      <c r="M124" s="79"/>
    </row>
    <row r="125" spans="1:13" x14ac:dyDescent="0.3">
      <c r="A125" s="2" t="s">
        <v>572</v>
      </c>
      <c r="B125" s="2" t="s">
        <v>245</v>
      </c>
      <c r="C125" s="2" t="s">
        <v>78</v>
      </c>
      <c r="D125" s="2" t="s">
        <v>210</v>
      </c>
      <c r="E125" s="111">
        <v>44681.845833333333</v>
      </c>
      <c r="F125" s="2" t="s">
        <v>603</v>
      </c>
      <c r="G125" s="2" t="s">
        <v>467</v>
      </c>
      <c r="H125" s="7"/>
      <c r="I125" s="7"/>
      <c r="J125" s="7">
        <v>1</v>
      </c>
      <c r="K125" s="16"/>
      <c r="L125" s="16"/>
      <c r="M125" s="79"/>
    </row>
    <row r="126" spans="1:13" x14ac:dyDescent="0.3">
      <c r="A126" s="2" t="s">
        <v>243</v>
      </c>
      <c r="B126" s="2" t="s">
        <v>244</v>
      </c>
      <c r="C126" s="2" t="s">
        <v>8</v>
      </c>
      <c r="D126" s="2" t="s">
        <v>210</v>
      </c>
      <c r="E126" s="111">
        <v>44680.863888888889</v>
      </c>
      <c r="F126" s="2" t="s">
        <v>602</v>
      </c>
      <c r="G126" s="2" t="s">
        <v>465</v>
      </c>
      <c r="H126" s="7"/>
      <c r="I126" s="7">
        <v>2468</v>
      </c>
      <c r="J126" s="7"/>
      <c r="K126" s="16"/>
      <c r="L126" s="16"/>
      <c r="M126" s="79"/>
    </row>
    <row r="127" spans="1:13" x14ac:dyDescent="0.3">
      <c r="A127" s="2" t="s">
        <v>243</v>
      </c>
      <c r="B127" s="2" t="s">
        <v>244</v>
      </c>
      <c r="C127" s="2" t="s">
        <v>8</v>
      </c>
      <c r="D127" s="2" t="s">
        <v>210</v>
      </c>
      <c r="E127" s="111">
        <v>44680.863888888889</v>
      </c>
      <c r="F127" s="2" t="s">
        <v>603</v>
      </c>
      <c r="G127" s="2" t="s">
        <v>465</v>
      </c>
      <c r="H127" s="7"/>
      <c r="I127" s="7">
        <v>2468</v>
      </c>
      <c r="J127" s="7"/>
      <c r="K127" s="16"/>
      <c r="L127" s="16"/>
      <c r="M127" s="79"/>
    </row>
    <row r="128" spans="1:13" x14ac:dyDescent="0.3">
      <c r="A128" s="2" t="s">
        <v>237</v>
      </c>
      <c r="B128" s="2" t="s">
        <v>238</v>
      </c>
      <c r="C128" s="2" t="s">
        <v>8</v>
      </c>
      <c r="D128" s="2" t="s">
        <v>210</v>
      </c>
      <c r="E128" s="111">
        <v>44677.94027777778</v>
      </c>
      <c r="F128" s="2" t="s">
        <v>602</v>
      </c>
      <c r="G128" s="2" t="s">
        <v>467</v>
      </c>
      <c r="H128" s="7"/>
      <c r="I128" s="7">
        <v>1944</v>
      </c>
      <c r="J128" s="7"/>
      <c r="K128" s="16"/>
      <c r="L128" s="16"/>
      <c r="M128" s="79"/>
    </row>
    <row r="129" spans="1:13" x14ac:dyDescent="0.3">
      <c r="A129" s="2" t="s">
        <v>237</v>
      </c>
      <c r="B129" s="2" t="s">
        <v>238</v>
      </c>
      <c r="C129" s="2" t="s">
        <v>8</v>
      </c>
      <c r="D129" s="2" t="s">
        <v>210</v>
      </c>
      <c r="E129" s="111">
        <v>44677.94027777778</v>
      </c>
      <c r="F129" s="2" t="s">
        <v>603</v>
      </c>
      <c r="G129" s="2" t="s">
        <v>467</v>
      </c>
      <c r="H129" s="7"/>
      <c r="I129" s="7">
        <v>1944</v>
      </c>
      <c r="J129" s="7"/>
      <c r="K129" s="16"/>
      <c r="L129" s="16"/>
      <c r="M129" s="79"/>
    </row>
    <row r="130" spans="1:13" x14ac:dyDescent="0.3">
      <c r="A130" s="2" t="s">
        <v>98</v>
      </c>
      <c r="B130" s="2" t="s">
        <v>25</v>
      </c>
      <c r="C130" s="2" t="s">
        <v>6</v>
      </c>
      <c r="D130" s="2" t="s">
        <v>210</v>
      </c>
      <c r="E130" s="111">
        <v>44677.732638888891</v>
      </c>
      <c r="F130" s="2" t="s">
        <v>602</v>
      </c>
      <c r="G130" s="2" t="s">
        <v>465</v>
      </c>
      <c r="H130" s="7"/>
      <c r="I130" s="7">
        <v>1646</v>
      </c>
      <c r="J130" s="7"/>
      <c r="K130" s="16"/>
      <c r="L130" s="16"/>
      <c r="M130" s="79"/>
    </row>
    <row r="131" spans="1:13" x14ac:dyDescent="0.3">
      <c r="A131" s="2" t="s">
        <v>233</v>
      </c>
      <c r="B131" s="2" t="s">
        <v>234</v>
      </c>
      <c r="C131" s="2" t="s">
        <v>8</v>
      </c>
      <c r="D131" s="2" t="s">
        <v>210</v>
      </c>
      <c r="E131" s="111">
        <v>44676.413888888892</v>
      </c>
      <c r="F131" s="2" t="s">
        <v>602</v>
      </c>
      <c r="G131" s="2" t="s">
        <v>467</v>
      </c>
      <c r="H131" s="7"/>
      <c r="I131" s="7">
        <v>2094</v>
      </c>
      <c r="J131" s="7"/>
      <c r="K131" s="16"/>
      <c r="L131" s="16"/>
      <c r="M131" s="79"/>
    </row>
    <row r="132" spans="1:13" x14ac:dyDescent="0.3">
      <c r="A132" s="2" t="s">
        <v>214</v>
      </c>
      <c r="B132" s="2" t="s">
        <v>215</v>
      </c>
      <c r="C132" s="2" t="s">
        <v>8</v>
      </c>
      <c r="D132" s="2" t="s">
        <v>210</v>
      </c>
      <c r="E132" s="111">
        <v>44674.414583333331</v>
      </c>
      <c r="F132" s="2" t="s">
        <v>602</v>
      </c>
      <c r="G132" s="2" t="s">
        <v>467</v>
      </c>
      <c r="H132" s="7"/>
      <c r="I132" s="7">
        <v>1942</v>
      </c>
      <c r="J132" s="7"/>
      <c r="K132" s="16"/>
      <c r="L132" s="16"/>
      <c r="M132" s="79"/>
    </row>
    <row r="133" spans="1:13" x14ac:dyDescent="0.3">
      <c r="A133" s="2" t="s">
        <v>214</v>
      </c>
      <c r="B133" s="2" t="s">
        <v>215</v>
      </c>
      <c r="C133" s="2" t="s">
        <v>8</v>
      </c>
      <c r="D133" s="2" t="s">
        <v>210</v>
      </c>
      <c r="E133" s="111">
        <v>44674.414583333331</v>
      </c>
      <c r="F133" s="2" t="s">
        <v>603</v>
      </c>
      <c r="G133" s="2" t="s">
        <v>467</v>
      </c>
      <c r="H133" s="7"/>
      <c r="I133" s="7">
        <v>1942</v>
      </c>
      <c r="J133" s="7"/>
      <c r="K133" s="16"/>
      <c r="L133" s="16"/>
      <c r="M133" s="79"/>
    </row>
    <row r="134" spans="1:13" x14ac:dyDescent="0.3">
      <c r="A134" s="2" t="s">
        <v>106</v>
      </c>
      <c r="B134" s="2" t="s">
        <v>61</v>
      </c>
      <c r="C134" s="2" t="s">
        <v>3</v>
      </c>
      <c r="D134" s="2" t="s">
        <v>210</v>
      </c>
      <c r="E134" s="111">
        <v>44672.62777777778</v>
      </c>
      <c r="F134" s="2" t="s">
        <v>602</v>
      </c>
      <c r="G134" s="2" t="s">
        <v>467</v>
      </c>
      <c r="H134" s="7"/>
      <c r="I134" s="7">
        <v>2064</v>
      </c>
      <c r="J134" s="7"/>
      <c r="K134" s="16"/>
      <c r="L134" s="16"/>
      <c r="M134" s="79"/>
    </row>
    <row r="135" spans="1:13" x14ac:dyDescent="0.3">
      <c r="A135" s="2" t="s">
        <v>106</v>
      </c>
      <c r="B135" s="2" t="s">
        <v>61</v>
      </c>
      <c r="C135" s="2" t="s">
        <v>3</v>
      </c>
      <c r="D135" s="2" t="s">
        <v>210</v>
      </c>
      <c r="E135" s="111">
        <v>44672.62777777778</v>
      </c>
      <c r="F135" s="2" t="s">
        <v>603</v>
      </c>
      <c r="G135" s="2" t="s">
        <v>467</v>
      </c>
      <c r="H135" s="7"/>
      <c r="I135" s="7">
        <v>2064</v>
      </c>
      <c r="J135" s="7"/>
      <c r="K135" s="16"/>
      <c r="L135" s="16"/>
      <c r="M135" s="79"/>
    </row>
    <row r="136" spans="1:13" x14ac:dyDescent="0.3">
      <c r="A136" s="2" t="s">
        <v>104</v>
      </c>
      <c r="B136" s="2" t="s">
        <v>27</v>
      </c>
      <c r="C136" s="2" t="s">
        <v>8</v>
      </c>
      <c r="D136" s="2" t="s">
        <v>210</v>
      </c>
      <c r="E136" s="111">
        <v>44672.620833333334</v>
      </c>
      <c r="F136" s="2" t="s">
        <v>602</v>
      </c>
      <c r="G136" s="2" t="s">
        <v>467</v>
      </c>
      <c r="H136" s="7"/>
      <c r="I136" s="7">
        <v>2067</v>
      </c>
      <c r="J136" s="7"/>
      <c r="K136" s="16"/>
      <c r="L136" s="16"/>
      <c r="M136" s="79"/>
    </row>
    <row r="137" spans="1:13" x14ac:dyDescent="0.3">
      <c r="A137" s="2" t="s">
        <v>104</v>
      </c>
      <c r="B137" s="2" t="s">
        <v>27</v>
      </c>
      <c r="C137" s="2" t="s">
        <v>8</v>
      </c>
      <c r="D137" s="2" t="s">
        <v>210</v>
      </c>
      <c r="E137" s="111">
        <v>44672.620833333334</v>
      </c>
      <c r="F137" s="2" t="s">
        <v>603</v>
      </c>
      <c r="G137" s="2" t="s">
        <v>467</v>
      </c>
      <c r="H137" s="7"/>
      <c r="I137" s="7">
        <v>2067</v>
      </c>
      <c r="J137" s="7"/>
      <c r="K137" s="16"/>
      <c r="L137" s="16"/>
      <c r="M137" s="79"/>
    </row>
    <row r="138" spans="1:13" x14ac:dyDescent="0.3">
      <c r="A138" s="2" t="s">
        <v>206</v>
      </c>
      <c r="B138" s="2" t="s">
        <v>209</v>
      </c>
      <c r="C138" s="2" t="s">
        <v>8</v>
      </c>
      <c r="D138" s="2" t="s">
        <v>210</v>
      </c>
      <c r="E138" s="111">
        <v>44669.447222222225</v>
      </c>
      <c r="F138" s="2" t="s">
        <v>602</v>
      </c>
      <c r="G138" s="2" t="s">
        <v>467</v>
      </c>
      <c r="H138" s="7"/>
      <c r="I138" s="7">
        <v>1647</v>
      </c>
      <c r="J138" s="7"/>
      <c r="K138" s="16"/>
      <c r="L138" s="16"/>
      <c r="M138" s="79"/>
    </row>
    <row r="139" spans="1:13" x14ac:dyDescent="0.3">
      <c r="A139" s="2" t="s">
        <v>207</v>
      </c>
      <c r="B139" s="2" t="s">
        <v>208</v>
      </c>
      <c r="C139" s="2" t="s">
        <v>8</v>
      </c>
      <c r="D139" s="2" t="s">
        <v>210</v>
      </c>
      <c r="E139" s="111">
        <v>44669.404861111114</v>
      </c>
      <c r="F139" s="2" t="s">
        <v>602</v>
      </c>
      <c r="G139" s="2" t="s">
        <v>467</v>
      </c>
      <c r="H139" s="7"/>
      <c r="I139" s="7">
        <v>2119</v>
      </c>
      <c r="J139" s="7"/>
      <c r="K139" s="16"/>
      <c r="L139" s="16"/>
      <c r="M139" s="79"/>
    </row>
    <row r="140" spans="1:13" x14ac:dyDescent="0.3">
      <c r="A140" s="2" t="s">
        <v>207</v>
      </c>
      <c r="B140" s="2" t="s">
        <v>208</v>
      </c>
      <c r="C140" s="2" t="s">
        <v>8</v>
      </c>
      <c r="D140" s="2" t="s">
        <v>210</v>
      </c>
      <c r="E140" s="111">
        <v>44669.404861111114</v>
      </c>
      <c r="F140" s="2" t="s">
        <v>603</v>
      </c>
      <c r="G140" s="2" t="s">
        <v>467</v>
      </c>
      <c r="H140" s="7"/>
      <c r="I140" s="7">
        <v>2119</v>
      </c>
      <c r="J140" s="7"/>
      <c r="K140" s="16"/>
      <c r="L140" s="16"/>
      <c r="M140" s="79"/>
    </row>
    <row r="141" spans="1:13" x14ac:dyDescent="0.3">
      <c r="A141" s="2" t="s">
        <v>203</v>
      </c>
      <c r="B141" s="2" t="s">
        <v>204</v>
      </c>
      <c r="C141" s="2" t="s">
        <v>41</v>
      </c>
      <c r="D141" s="2" t="s">
        <v>210</v>
      </c>
      <c r="E141" s="111">
        <v>44668.746527777781</v>
      </c>
      <c r="F141" s="2" t="s">
        <v>602</v>
      </c>
      <c r="G141" s="2" t="s">
        <v>467</v>
      </c>
      <c r="H141" s="7"/>
      <c r="I141" s="7">
        <v>1547</v>
      </c>
      <c r="J141" s="7"/>
      <c r="K141" s="16"/>
      <c r="L141" s="16"/>
      <c r="M141" s="79"/>
    </row>
    <row r="142" spans="1:13" x14ac:dyDescent="0.3">
      <c r="A142" s="2" t="s">
        <v>203</v>
      </c>
      <c r="B142" s="2" t="s">
        <v>204</v>
      </c>
      <c r="C142" s="2" t="s">
        <v>41</v>
      </c>
      <c r="D142" s="2" t="s">
        <v>210</v>
      </c>
      <c r="E142" s="111">
        <v>44668.746527777781</v>
      </c>
      <c r="F142" s="2" t="s">
        <v>603</v>
      </c>
      <c r="G142" s="2" t="s">
        <v>467</v>
      </c>
      <c r="H142" s="7"/>
      <c r="I142" s="7">
        <v>1547</v>
      </c>
      <c r="J142" s="7"/>
      <c r="K142" s="16"/>
      <c r="L142" s="16"/>
      <c r="M142" s="79"/>
    </row>
    <row r="143" spans="1:13" x14ac:dyDescent="0.3">
      <c r="A143" s="2" t="s">
        <v>217</v>
      </c>
      <c r="B143" s="2" t="s">
        <v>205</v>
      </c>
      <c r="C143" s="2" t="s">
        <v>41</v>
      </c>
      <c r="D143" s="2" t="s">
        <v>210</v>
      </c>
      <c r="E143" s="111">
        <v>44668.722916666666</v>
      </c>
      <c r="F143" s="2" t="s">
        <v>603</v>
      </c>
      <c r="G143" s="2" t="s">
        <v>467</v>
      </c>
      <c r="H143" s="7"/>
      <c r="I143" s="7">
        <v>2100</v>
      </c>
      <c r="J143" s="7"/>
      <c r="K143" s="16"/>
      <c r="L143" s="16"/>
      <c r="M143" s="79"/>
    </row>
    <row r="144" spans="1:13" x14ac:dyDescent="0.3">
      <c r="A144" s="2" t="s">
        <v>121</v>
      </c>
      <c r="B144" s="2" t="s">
        <v>21</v>
      </c>
      <c r="C144" s="2" t="s">
        <v>5</v>
      </c>
      <c r="D144" s="2" t="s">
        <v>210</v>
      </c>
      <c r="E144" s="111">
        <v>44668.5</v>
      </c>
      <c r="F144" s="2" t="s">
        <v>602</v>
      </c>
      <c r="G144" s="2" t="s">
        <v>467</v>
      </c>
      <c r="H144" s="7">
        <v>1</v>
      </c>
      <c r="I144" s="7">
        <v>2551</v>
      </c>
      <c r="J144" s="7"/>
      <c r="K144" s="16" t="s">
        <v>584</v>
      </c>
      <c r="L144" s="16" t="s">
        <v>636</v>
      </c>
      <c r="M144" s="79">
        <v>2700</v>
      </c>
    </row>
    <row r="145" spans="1:13" x14ac:dyDescent="0.3">
      <c r="A145" s="2" t="s">
        <v>121</v>
      </c>
      <c r="B145" s="2" t="s">
        <v>21</v>
      </c>
      <c r="C145" s="2" t="s">
        <v>5</v>
      </c>
      <c r="D145" s="2" t="s">
        <v>210</v>
      </c>
      <c r="E145" s="111">
        <v>44668.5</v>
      </c>
      <c r="F145" s="2" t="s">
        <v>603</v>
      </c>
      <c r="G145" s="2" t="s">
        <v>467</v>
      </c>
      <c r="H145" s="7">
        <v>1</v>
      </c>
      <c r="I145" s="7">
        <v>2551</v>
      </c>
      <c r="J145" s="7"/>
      <c r="K145" s="16"/>
      <c r="L145" s="16"/>
      <c r="M145" s="79"/>
    </row>
    <row r="146" spans="1:13" x14ac:dyDescent="0.3">
      <c r="A146" s="2" t="s">
        <v>94</v>
      </c>
      <c r="B146" s="2" t="s">
        <v>384</v>
      </c>
      <c r="C146" s="2" t="s">
        <v>63</v>
      </c>
      <c r="D146" s="2" t="s">
        <v>210</v>
      </c>
      <c r="E146" s="111">
        <v>44537.339583333334</v>
      </c>
      <c r="F146" s="2" t="s">
        <v>597</v>
      </c>
      <c r="G146" s="2" t="s">
        <v>467</v>
      </c>
      <c r="H146" s="7"/>
      <c r="I146" s="7">
        <v>2335</v>
      </c>
      <c r="J146" s="7"/>
      <c r="K146" s="16"/>
      <c r="L146" s="16"/>
      <c r="M146" s="79"/>
    </row>
    <row r="147" spans="1:13" x14ac:dyDescent="0.3">
      <c r="A147" s="2" t="s">
        <v>102</v>
      </c>
      <c r="B147" s="2" t="s">
        <v>59</v>
      </c>
      <c r="C147" s="2" t="s">
        <v>53</v>
      </c>
      <c r="D147" s="2" t="s">
        <v>210</v>
      </c>
      <c r="E147" s="111">
        <v>44535.942361111112</v>
      </c>
      <c r="F147" s="2" t="s">
        <v>597</v>
      </c>
      <c r="G147" s="2" t="s">
        <v>467</v>
      </c>
      <c r="H147" s="7"/>
      <c r="I147" s="7">
        <v>1276</v>
      </c>
      <c r="J147" s="7"/>
      <c r="K147" s="16"/>
      <c r="L147" s="16"/>
      <c r="M147" s="79"/>
    </row>
    <row r="148" spans="1:13" x14ac:dyDescent="0.3">
      <c r="A148" s="2" t="s">
        <v>103</v>
      </c>
      <c r="B148" s="2" t="s">
        <v>605</v>
      </c>
      <c r="C148" s="2" t="s">
        <v>7</v>
      </c>
      <c r="D148" s="2" t="s">
        <v>210</v>
      </c>
      <c r="E148" s="111">
        <v>44527.730555555558</v>
      </c>
      <c r="F148" s="2" t="s">
        <v>635</v>
      </c>
      <c r="G148" s="2" t="s">
        <v>465</v>
      </c>
      <c r="H148" s="7">
        <v>4</v>
      </c>
      <c r="I148" s="7">
        <v>2527</v>
      </c>
      <c r="J148" s="7"/>
      <c r="K148" s="16"/>
      <c r="L148" s="16"/>
      <c r="M148" s="79"/>
    </row>
    <row r="149" spans="1:13" x14ac:dyDescent="0.3">
      <c r="A149" s="2" t="s">
        <v>103</v>
      </c>
      <c r="B149" s="2" t="s">
        <v>605</v>
      </c>
      <c r="C149" s="2" t="s">
        <v>7</v>
      </c>
      <c r="D149" s="2" t="s">
        <v>210</v>
      </c>
      <c r="E149" s="111">
        <v>44527.730555555558</v>
      </c>
      <c r="F149" s="2" t="s">
        <v>596</v>
      </c>
      <c r="G149" s="2" t="s">
        <v>465</v>
      </c>
      <c r="H149" s="7">
        <v>4</v>
      </c>
      <c r="I149" s="7">
        <v>2527</v>
      </c>
      <c r="J149" s="7"/>
      <c r="K149" s="16"/>
      <c r="L149" s="16"/>
      <c r="M149" s="79"/>
    </row>
    <row r="150" spans="1:13" x14ac:dyDescent="0.3">
      <c r="A150" s="2" t="s">
        <v>103</v>
      </c>
      <c r="B150" s="2" t="s">
        <v>605</v>
      </c>
      <c r="C150" s="2" t="s">
        <v>7</v>
      </c>
      <c r="D150" s="2" t="s">
        <v>210</v>
      </c>
      <c r="E150" s="111">
        <v>44527.730555555558</v>
      </c>
      <c r="F150" s="2" t="s">
        <v>597</v>
      </c>
      <c r="G150" s="2" t="s">
        <v>467</v>
      </c>
      <c r="H150" s="7">
        <v>4</v>
      </c>
      <c r="I150" s="7">
        <v>2527</v>
      </c>
      <c r="J150" s="7"/>
      <c r="K150" s="16"/>
      <c r="L150" s="16"/>
      <c r="M150" s="79"/>
    </row>
    <row r="151" spans="1:13" x14ac:dyDescent="0.3">
      <c r="A151" s="2" t="s">
        <v>103</v>
      </c>
      <c r="B151" s="2" t="s">
        <v>605</v>
      </c>
      <c r="C151" s="2" t="s">
        <v>7</v>
      </c>
      <c r="D151" s="2" t="s">
        <v>210</v>
      </c>
      <c r="E151" s="111">
        <v>44527.730555555558</v>
      </c>
      <c r="F151" s="2" t="s">
        <v>600</v>
      </c>
      <c r="G151" s="2" t="s">
        <v>467</v>
      </c>
      <c r="H151" s="7">
        <v>4</v>
      </c>
      <c r="I151" s="7">
        <v>2527</v>
      </c>
      <c r="J151" s="7"/>
      <c r="K151" s="16"/>
      <c r="L151" s="16"/>
      <c r="M151" s="79"/>
    </row>
    <row r="152" spans="1:13" x14ac:dyDescent="0.3">
      <c r="A152" s="2" t="s">
        <v>90</v>
      </c>
      <c r="B152" s="2" t="s">
        <v>44</v>
      </c>
      <c r="C152" s="2" t="s">
        <v>53</v>
      </c>
      <c r="D152" s="2" t="s">
        <v>210</v>
      </c>
      <c r="E152" s="111">
        <v>44526.679166666669</v>
      </c>
      <c r="F152" s="2" t="s">
        <v>597</v>
      </c>
      <c r="G152" s="2" t="s">
        <v>467</v>
      </c>
      <c r="H152" s="7"/>
      <c r="I152" s="7">
        <v>1917</v>
      </c>
      <c r="J152" s="7"/>
      <c r="K152" s="16"/>
      <c r="L152" s="16"/>
      <c r="M152" s="79"/>
    </row>
    <row r="153" spans="1:13" x14ac:dyDescent="0.3">
      <c r="A153" s="2" t="s">
        <v>90</v>
      </c>
      <c r="B153" s="2" t="s">
        <v>44</v>
      </c>
      <c r="C153" s="2" t="s">
        <v>53</v>
      </c>
      <c r="D153" s="2" t="s">
        <v>210</v>
      </c>
      <c r="E153" s="111">
        <v>44526.679166666669</v>
      </c>
      <c r="F153" s="2" t="s">
        <v>600</v>
      </c>
      <c r="G153" s="2" t="s">
        <v>467</v>
      </c>
      <c r="H153" s="7"/>
      <c r="I153" s="7">
        <v>1917</v>
      </c>
      <c r="J153" s="7"/>
      <c r="K153" s="16"/>
      <c r="L153" s="16"/>
      <c r="M153" s="79"/>
    </row>
    <row r="154" spans="1:13" x14ac:dyDescent="0.3">
      <c r="A154" s="2" t="s">
        <v>573</v>
      </c>
      <c r="B154" s="2" t="s">
        <v>435</v>
      </c>
      <c r="C154" s="2" t="s">
        <v>78</v>
      </c>
      <c r="D154" s="2" t="s">
        <v>210</v>
      </c>
      <c r="E154" s="111">
        <v>44526.666666666664</v>
      </c>
      <c r="F154" s="2" t="s">
        <v>596</v>
      </c>
      <c r="G154" s="2" t="s">
        <v>465</v>
      </c>
      <c r="H154" s="7"/>
      <c r="I154" s="7"/>
      <c r="J154" s="7">
        <v>1</v>
      </c>
      <c r="K154" s="16"/>
      <c r="L154" s="16"/>
      <c r="M154" s="79"/>
    </row>
    <row r="155" spans="1:13" x14ac:dyDescent="0.3">
      <c r="A155" s="2" t="s">
        <v>573</v>
      </c>
      <c r="B155" s="2" t="s">
        <v>435</v>
      </c>
      <c r="C155" s="2" t="s">
        <v>78</v>
      </c>
      <c r="D155" s="2" t="s">
        <v>210</v>
      </c>
      <c r="E155" s="111">
        <v>44526.666666666664</v>
      </c>
      <c r="F155" s="2" t="s">
        <v>597</v>
      </c>
      <c r="G155" s="2" t="s">
        <v>465</v>
      </c>
      <c r="H155" s="7"/>
      <c r="I155" s="7"/>
      <c r="J155" s="7">
        <v>1</v>
      </c>
      <c r="K155" s="16"/>
      <c r="L155" s="16"/>
      <c r="M155" s="79"/>
    </row>
    <row r="156" spans="1:13" x14ac:dyDescent="0.3">
      <c r="A156" s="2" t="s">
        <v>89</v>
      </c>
      <c r="B156" s="2" t="s">
        <v>43</v>
      </c>
      <c r="C156" s="2" t="s">
        <v>53</v>
      </c>
      <c r="D156" s="2" t="s">
        <v>210</v>
      </c>
      <c r="E156" s="111">
        <v>44525.699305555558</v>
      </c>
      <c r="F156" s="2" t="s">
        <v>597</v>
      </c>
      <c r="G156" s="2" t="s">
        <v>467</v>
      </c>
      <c r="H156" s="7"/>
      <c r="I156" s="7">
        <v>1098</v>
      </c>
      <c r="J156" s="7"/>
      <c r="K156" s="16"/>
      <c r="L156" s="16"/>
      <c r="M156" s="79"/>
    </row>
    <row r="157" spans="1:13" x14ac:dyDescent="0.3">
      <c r="A157" s="2" t="s">
        <v>89</v>
      </c>
      <c r="B157" s="2" t="s">
        <v>43</v>
      </c>
      <c r="C157" s="2" t="s">
        <v>53</v>
      </c>
      <c r="D157" s="2" t="s">
        <v>210</v>
      </c>
      <c r="E157" s="111">
        <v>44525.699305555558</v>
      </c>
      <c r="F157" s="2" t="s">
        <v>600</v>
      </c>
      <c r="G157" s="2" t="s">
        <v>467</v>
      </c>
      <c r="H157" s="7"/>
      <c r="I157" s="7">
        <v>1098</v>
      </c>
      <c r="J157" s="7"/>
      <c r="K157" s="16"/>
      <c r="L157" s="16"/>
      <c r="M157" s="79"/>
    </row>
    <row r="158" spans="1:13" x14ac:dyDescent="0.3">
      <c r="A158" s="2" t="s">
        <v>101</v>
      </c>
      <c r="B158" s="2" t="s">
        <v>409</v>
      </c>
      <c r="C158" s="2" t="s">
        <v>5</v>
      </c>
      <c r="D158" s="2" t="s">
        <v>210</v>
      </c>
      <c r="E158" s="111">
        <v>44523.897916666669</v>
      </c>
      <c r="F158" s="2" t="s">
        <v>597</v>
      </c>
      <c r="G158" s="2" t="s">
        <v>465</v>
      </c>
      <c r="H158" s="7"/>
      <c r="I158" s="7">
        <v>1187</v>
      </c>
      <c r="J158" s="7"/>
      <c r="K158" s="16"/>
      <c r="L158" s="16"/>
      <c r="M158" s="79"/>
    </row>
    <row r="159" spans="1:13" x14ac:dyDescent="0.3">
      <c r="A159" s="2" t="s">
        <v>93</v>
      </c>
      <c r="B159" s="2" t="s">
        <v>35</v>
      </c>
      <c r="C159" s="2" t="s">
        <v>32</v>
      </c>
      <c r="D159" s="2" t="s">
        <v>210</v>
      </c>
      <c r="E159" s="111">
        <v>44517.490972222222</v>
      </c>
      <c r="F159" s="2" t="s">
        <v>597</v>
      </c>
      <c r="G159" s="2" t="s">
        <v>467</v>
      </c>
      <c r="H159" s="7"/>
      <c r="I159" s="7">
        <v>1000</v>
      </c>
      <c r="J159" s="7"/>
      <c r="K159" s="16"/>
      <c r="L159" s="16"/>
      <c r="M159" s="79"/>
    </row>
    <row r="160" spans="1:13" x14ac:dyDescent="0.3">
      <c r="A160" s="2" t="s">
        <v>93</v>
      </c>
      <c r="B160" s="2" t="s">
        <v>35</v>
      </c>
      <c r="C160" s="2" t="s">
        <v>32</v>
      </c>
      <c r="D160" s="2" t="s">
        <v>210</v>
      </c>
      <c r="E160" s="111">
        <v>44517.490972222222</v>
      </c>
      <c r="F160" s="2" t="s">
        <v>600</v>
      </c>
      <c r="G160" s="2" t="s">
        <v>467</v>
      </c>
      <c r="H160" s="7"/>
      <c r="I160" s="7">
        <v>1000</v>
      </c>
      <c r="J160" s="7"/>
      <c r="K160" s="16"/>
      <c r="L160" s="16"/>
      <c r="M160" s="79"/>
    </row>
    <row r="161" spans="1:13" x14ac:dyDescent="0.3">
      <c r="A161" s="2" t="s">
        <v>92</v>
      </c>
      <c r="B161" s="2" t="s">
        <v>34</v>
      </c>
      <c r="C161" s="2" t="s">
        <v>32</v>
      </c>
      <c r="D161" s="2" t="s">
        <v>210</v>
      </c>
      <c r="E161" s="111">
        <v>44517.488194444442</v>
      </c>
      <c r="F161" s="2" t="s">
        <v>597</v>
      </c>
      <c r="G161" s="2" t="s">
        <v>467</v>
      </c>
      <c r="H161" s="7"/>
      <c r="I161" s="7">
        <v>1324</v>
      </c>
      <c r="J161" s="7"/>
      <c r="K161" s="16" t="s">
        <v>585</v>
      </c>
      <c r="L161" s="16" t="s">
        <v>639</v>
      </c>
      <c r="M161" s="79">
        <v>320</v>
      </c>
    </row>
    <row r="162" spans="1:13" x14ac:dyDescent="0.3">
      <c r="A162" s="2" t="s">
        <v>92</v>
      </c>
      <c r="B162" s="2" t="s">
        <v>34</v>
      </c>
      <c r="C162" s="2" t="s">
        <v>32</v>
      </c>
      <c r="D162" s="2" t="s">
        <v>210</v>
      </c>
      <c r="E162" s="111">
        <v>44517.488194444442</v>
      </c>
      <c r="F162" s="2" t="s">
        <v>600</v>
      </c>
      <c r="G162" s="2" t="s">
        <v>467</v>
      </c>
      <c r="H162" s="7"/>
      <c r="I162" s="7">
        <v>1324</v>
      </c>
      <c r="J162" s="7"/>
      <c r="K162" s="16"/>
      <c r="L162" s="16"/>
      <c r="M162" s="79"/>
    </row>
    <row r="163" spans="1:13" x14ac:dyDescent="0.3">
      <c r="A163" s="2" t="s">
        <v>88</v>
      </c>
      <c r="B163" s="2" t="s">
        <v>31</v>
      </c>
      <c r="C163" s="2" t="s">
        <v>53</v>
      </c>
      <c r="D163" s="2" t="s">
        <v>211</v>
      </c>
      <c r="E163" s="111">
        <v>44516.886111111111</v>
      </c>
      <c r="F163" s="2" t="s">
        <v>597</v>
      </c>
      <c r="G163" s="2" t="s">
        <v>467</v>
      </c>
      <c r="H163" s="7"/>
      <c r="I163" s="7">
        <v>1861</v>
      </c>
      <c r="J163" s="7"/>
      <c r="K163" s="16"/>
      <c r="L163" s="16"/>
      <c r="M163" s="79"/>
    </row>
    <row r="164" spans="1:13" x14ac:dyDescent="0.3">
      <c r="A164" s="2" t="s">
        <v>88</v>
      </c>
      <c r="B164" s="2" t="s">
        <v>31</v>
      </c>
      <c r="C164" s="2" t="s">
        <v>53</v>
      </c>
      <c r="D164" s="2" t="s">
        <v>211</v>
      </c>
      <c r="E164" s="111">
        <v>44516.886111111111</v>
      </c>
      <c r="F164" s="2" t="s">
        <v>600</v>
      </c>
      <c r="G164" s="2" t="s">
        <v>467</v>
      </c>
      <c r="H164" s="7"/>
      <c r="I164" s="7">
        <v>1861</v>
      </c>
      <c r="J164" s="7"/>
      <c r="K164" s="16"/>
      <c r="L164" s="16"/>
      <c r="M164" s="79"/>
    </row>
    <row r="165" spans="1:13" x14ac:dyDescent="0.3">
      <c r="A165" s="2" t="s">
        <v>96</v>
      </c>
      <c r="B165" s="2" t="s">
        <v>432</v>
      </c>
      <c r="C165" s="2" t="s">
        <v>5</v>
      </c>
      <c r="D165" s="2" t="s">
        <v>210</v>
      </c>
      <c r="E165" s="111">
        <v>44514.676388888889</v>
      </c>
      <c r="F165" s="2" t="s">
        <v>635</v>
      </c>
      <c r="G165" s="2" t="s">
        <v>465</v>
      </c>
      <c r="H165" s="7"/>
      <c r="I165" s="7">
        <v>1922</v>
      </c>
      <c r="J165" s="7"/>
      <c r="K165" s="16"/>
      <c r="L165" s="16"/>
      <c r="M165" s="79"/>
    </row>
    <row r="166" spans="1:13" x14ac:dyDescent="0.3">
      <c r="A166" s="2" t="s">
        <v>96</v>
      </c>
      <c r="B166" s="2" t="s">
        <v>432</v>
      </c>
      <c r="C166" s="2" t="s">
        <v>5</v>
      </c>
      <c r="D166" s="2" t="s">
        <v>210</v>
      </c>
      <c r="E166" s="111">
        <v>44514.676388888889</v>
      </c>
      <c r="F166" s="2" t="s">
        <v>596</v>
      </c>
      <c r="G166" s="2" t="s">
        <v>465</v>
      </c>
      <c r="H166" s="7"/>
      <c r="I166" s="7">
        <v>1922</v>
      </c>
      <c r="J166" s="7"/>
      <c r="K166" s="16"/>
      <c r="L166" s="16"/>
      <c r="M166" s="79"/>
    </row>
    <row r="167" spans="1:13" x14ac:dyDescent="0.3">
      <c r="A167" s="2" t="s">
        <v>96</v>
      </c>
      <c r="B167" s="2" t="s">
        <v>432</v>
      </c>
      <c r="C167" s="2" t="s">
        <v>5</v>
      </c>
      <c r="D167" s="2" t="s">
        <v>210</v>
      </c>
      <c r="E167" s="111">
        <v>44514.676388888889</v>
      </c>
      <c r="F167" s="2" t="s">
        <v>597</v>
      </c>
      <c r="G167" s="2" t="s">
        <v>465</v>
      </c>
      <c r="H167" s="7"/>
      <c r="I167" s="7">
        <v>1922</v>
      </c>
      <c r="J167" s="7"/>
      <c r="K167" s="16"/>
      <c r="L167" s="16"/>
      <c r="M167" s="79"/>
    </row>
    <row r="168" spans="1:13" x14ac:dyDescent="0.3">
      <c r="A168" s="2" t="s">
        <v>96</v>
      </c>
      <c r="B168" s="2" t="s">
        <v>432</v>
      </c>
      <c r="C168" s="2" t="s">
        <v>5</v>
      </c>
      <c r="D168" s="2" t="s">
        <v>210</v>
      </c>
      <c r="E168" s="111">
        <v>44514.676388888889</v>
      </c>
      <c r="F168" s="2" t="s">
        <v>600</v>
      </c>
      <c r="G168" s="2" t="s">
        <v>465</v>
      </c>
      <c r="H168" s="7"/>
      <c r="I168" s="7">
        <v>1922</v>
      </c>
      <c r="J168" s="7"/>
      <c r="K168" s="16"/>
      <c r="L168" s="16"/>
      <c r="M168" s="79"/>
    </row>
    <row r="169" spans="1:13" x14ac:dyDescent="0.3">
      <c r="A169" s="2" t="s">
        <v>85</v>
      </c>
      <c r="B169" s="2" t="s">
        <v>30</v>
      </c>
      <c r="C169" s="2" t="s">
        <v>9</v>
      </c>
      <c r="D169" s="2" t="s">
        <v>210</v>
      </c>
      <c r="E169" s="111">
        <v>44510.788888888892</v>
      </c>
      <c r="F169" s="2" t="s">
        <v>597</v>
      </c>
      <c r="G169" s="2" t="s">
        <v>467</v>
      </c>
      <c r="H169" s="7"/>
      <c r="I169" s="7">
        <v>1273</v>
      </c>
      <c r="J169" s="7"/>
      <c r="K169" s="16"/>
      <c r="L169" s="16"/>
      <c r="M169" s="79"/>
    </row>
    <row r="170" spans="1:13" x14ac:dyDescent="0.3">
      <c r="A170" s="2" t="s">
        <v>84</v>
      </c>
      <c r="B170" s="2" t="s">
        <v>29</v>
      </c>
      <c r="C170" s="2" t="s">
        <v>9</v>
      </c>
      <c r="D170" s="2" t="s">
        <v>211</v>
      </c>
      <c r="E170" s="111">
        <v>44510.786805555559</v>
      </c>
      <c r="F170" s="2" t="s">
        <v>597</v>
      </c>
      <c r="G170" s="2" t="s">
        <v>467</v>
      </c>
      <c r="H170" s="7"/>
      <c r="I170" s="7">
        <v>1246</v>
      </c>
      <c r="J170" s="7"/>
      <c r="K170" s="16"/>
      <c r="L170" s="16"/>
      <c r="M170" s="79"/>
    </row>
    <row r="171" spans="1:13" x14ac:dyDescent="0.3">
      <c r="A171" s="2" t="s">
        <v>83</v>
      </c>
      <c r="B171" s="2" t="s">
        <v>28</v>
      </c>
      <c r="C171" s="2" t="s">
        <v>9</v>
      </c>
      <c r="D171" s="2" t="s">
        <v>211</v>
      </c>
      <c r="E171" s="111">
        <v>44510.574305555558</v>
      </c>
      <c r="F171" s="2" t="s">
        <v>597</v>
      </c>
      <c r="G171" s="2" t="s">
        <v>467</v>
      </c>
      <c r="H171" s="7"/>
      <c r="I171" s="7">
        <v>1352</v>
      </c>
      <c r="J171" s="7"/>
      <c r="K171" s="16"/>
      <c r="L171" s="16"/>
      <c r="M171" s="79"/>
    </row>
    <row r="172" spans="1:13" x14ac:dyDescent="0.3">
      <c r="A172" s="2" t="s">
        <v>105</v>
      </c>
      <c r="B172" s="2" t="s">
        <v>58</v>
      </c>
      <c r="C172" s="2" t="s">
        <v>8</v>
      </c>
      <c r="D172" s="2" t="s">
        <v>210</v>
      </c>
      <c r="E172" s="111">
        <v>44509.910416666666</v>
      </c>
      <c r="F172" s="2" t="s">
        <v>635</v>
      </c>
      <c r="G172" s="2" t="s">
        <v>467</v>
      </c>
      <c r="H172" s="7"/>
      <c r="I172" s="7">
        <v>2042</v>
      </c>
      <c r="J172" s="7"/>
      <c r="K172" s="16"/>
      <c r="L172" s="16"/>
      <c r="M172" s="79"/>
    </row>
    <row r="173" spans="1:13" x14ac:dyDescent="0.3">
      <c r="A173" s="2" t="s">
        <v>105</v>
      </c>
      <c r="B173" s="2" t="s">
        <v>58</v>
      </c>
      <c r="C173" s="2" t="s">
        <v>8</v>
      </c>
      <c r="D173" s="2" t="s">
        <v>210</v>
      </c>
      <c r="E173" s="111">
        <v>44509.910416666666</v>
      </c>
      <c r="F173" s="2" t="s">
        <v>596</v>
      </c>
      <c r="G173" s="2" t="s">
        <v>465</v>
      </c>
      <c r="H173" s="7"/>
      <c r="I173" s="7">
        <v>2042</v>
      </c>
      <c r="J173" s="7"/>
      <c r="K173" s="16"/>
      <c r="L173" s="16"/>
      <c r="M173" s="79"/>
    </row>
    <row r="174" spans="1:13" x14ac:dyDescent="0.3">
      <c r="A174" s="2" t="s">
        <v>105</v>
      </c>
      <c r="B174" s="2" t="s">
        <v>58</v>
      </c>
      <c r="C174" s="2" t="s">
        <v>8</v>
      </c>
      <c r="D174" s="2" t="s">
        <v>210</v>
      </c>
      <c r="E174" s="111">
        <v>44509.910416666666</v>
      </c>
      <c r="F174" s="2" t="s">
        <v>597</v>
      </c>
      <c r="G174" s="2" t="s">
        <v>467</v>
      </c>
      <c r="H174" s="7"/>
      <c r="I174" s="7">
        <v>2042</v>
      </c>
      <c r="J174" s="7"/>
      <c r="K174" s="16"/>
      <c r="L174" s="16"/>
      <c r="M174" s="79"/>
    </row>
    <row r="175" spans="1:13" x14ac:dyDescent="0.3">
      <c r="A175" s="2" t="s">
        <v>95</v>
      </c>
      <c r="B175" s="2" t="s">
        <v>109</v>
      </c>
      <c r="C175" s="2" t="s">
        <v>5</v>
      </c>
      <c r="D175" s="2" t="s">
        <v>210</v>
      </c>
      <c r="E175" s="111">
        <v>44509.888194444444</v>
      </c>
      <c r="F175" s="2" t="s">
        <v>597</v>
      </c>
      <c r="G175" s="2" t="s">
        <v>467</v>
      </c>
      <c r="H175" s="7">
        <v>3</v>
      </c>
      <c r="I175" s="7">
        <v>2557</v>
      </c>
      <c r="J175" s="7"/>
      <c r="K175" s="16" t="s">
        <v>584</v>
      </c>
      <c r="L175" s="16" t="s">
        <v>638</v>
      </c>
      <c r="M175" s="79">
        <v>960</v>
      </c>
    </row>
    <row r="176" spans="1:13" x14ac:dyDescent="0.3">
      <c r="A176" s="2" t="s">
        <v>95</v>
      </c>
      <c r="B176" s="2" t="s">
        <v>109</v>
      </c>
      <c r="C176" s="2" t="s">
        <v>5</v>
      </c>
      <c r="D176" s="2" t="s">
        <v>210</v>
      </c>
      <c r="E176" s="111">
        <v>44509.888194444444</v>
      </c>
      <c r="F176" s="2" t="s">
        <v>635</v>
      </c>
      <c r="G176" s="2" t="s">
        <v>467</v>
      </c>
      <c r="H176" s="7">
        <v>3</v>
      </c>
      <c r="I176" s="7">
        <v>2557</v>
      </c>
      <c r="J176" s="7"/>
      <c r="K176" s="16"/>
      <c r="L176" s="16"/>
      <c r="M176" s="79"/>
    </row>
    <row r="177" spans="1:13" x14ac:dyDescent="0.3">
      <c r="A177" s="2" t="s">
        <v>95</v>
      </c>
      <c r="B177" s="2" t="s">
        <v>109</v>
      </c>
      <c r="C177" s="2" t="s">
        <v>5</v>
      </c>
      <c r="D177" s="2" t="s">
        <v>210</v>
      </c>
      <c r="E177" s="111">
        <v>44509.888194444444</v>
      </c>
      <c r="F177" s="2" t="s">
        <v>596</v>
      </c>
      <c r="G177" s="2" t="s">
        <v>465</v>
      </c>
      <c r="H177" s="7">
        <v>3</v>
      </c>
      <c r="I177" s="7">
        <v>2557</v>
      </c>
      <c r="J177" s="7"/>
      <c r="K177" s="16"/>
      <c r="L177" s="16"/>
      <c r="M177" s="79"/>
    </row>
    <row r="178" spans="1:13" x14ac:dyDescent="0.3">
      <c r="A178" s="2" t="s">
        <v>95</v>
      </c>
      <c r="B178" s="2" t="s">
        <v>109</v>
      </c>
      <c r="C178" s="2" t="s">
        <v>5</v>
      </c>
      <c r="D178" s="2" t="s">
        <v>210</v>
      </c>
      <c r="E178" s="111">
        <v>44509.888194444444</v>
      </c>
      <c r="F178" s="2" t="s">
        <v>600</v>
      </c>
      <c r="G178" s="2" t="s">
        <v>467</v>
      </c>
      <c r="H178" s="7">
        <v>3</v>
      </c>
      <c r="I178" s="7">
        <v>2557</v>
      </c>
      <c r="J178" s="7"/>
      <c r="K178" s="16"/>
      <c r="L178" s="16"/>
      <c r="M178" s="79"/>
    </row>
    <row r="179" spans="1:13" x14ac:dyDescent="0.3">
      <c r="A179" s="2" t="s">
        <v>104</v>
      </c>
      <c r="B179" s="2" t="s">
        <v>27</v>
      </c>
      <c r="C179" s="2" t="s">
        <v>8</v>
      </c>
      <c r="D179" s="2" t="s">
        <v>210</v>
      </c>
      <c r="E179" s="111">
        <v>44505.520138888889</v>
      </c>
      <c r="F179" s="2" t="s">
        <v>635</v>
      </c>
      <c r="G179" s="2" t="s">
        <v>465</v>
      </c>
      <c r="H179" s="7"/>
      <c r="I179" s="7">
        <v>2088</v>
      </c>
      <c r="J179" s="7"/>
      <c r="K179" s="16"/>
      <c r="L179" s="16"/>
      <c r="M179" s="79"/>
    </row>
    <row r="180" spans="1:13" x14ac:dyDescent="0.3">
      <c r="A180" s="2" t="s">
        <v>104</v>
      </c>
      <c r="B180" s="2" t="s">
        <v>27</v>
      </c>
      <c r="C180" s="2" t="s">
        <v>8</v>
      </c>
      <c r="D180" s="2" t="s">
        <v>210</v>
      </c>
      <c r="E180" s="111">
        <v>44505.520138888889</v>
      </c>
      <c r="F180" s="2" t="s">
        <v>596</v>
      </c>
      <c r="G180" s="2" t="s">
        <v>465</v>
      </c>
      <c r="H180" s="7"/>
      <c r="I180" s="7">
        <v>2088</v>
      </c>
      <c r="J180" s="7"/>
      <c r="K180" s="16"/>
      <c r="L180" s="16"/>
      <c r="M180" s="79"/>
    </row>
    <row r="181" spans="1:13" x14ac:dyDescent="0.3">
      <c r="A181" s="2" t="s">
        <v>104</v>
      </c>
      <c r="B181" s="2" t="s">
        <v>27</v>
      </c>
      <c r="C181" s="2" t="s">
        <v>8</v>
      </c>
      <c r="D181" s="2" t="s">
        <v>210</v>
      </c>
      <c r="E181" s="111">
        <v>44505.520138888889</v>
      </c>
      <c r="F181" s="2" t="s">
        <v>597</v>
      </c>
      <c r="G181" s="2" t="s">
        <v>465</v>
      </c>
      <c r="H181" s="7"/>
      <c r="I181" s="7">
        <v>2088</v>
      </c>
      <c r="J181" s="7"/>
      <c r="K181" s="16"/>
      <c r="L181" s="16"/>
      <c r="M181" s="79"/>
    </row>
    <row r="182" spans="1:13" x14ac:dyDescent="0.3">
      <c r="A182" s="2" t="s">
        <v>104</v>
      </c>
      <c r="B182" s="2" t="s">
        <v>27</v>
      </c>
      <c r="C182" s="2" t="s">
        <v>8</v>
      </c>
      <c r="D182" s="2" t="s">
        <v>210</v>
      </c>
      <c r="E182" s="111">
        <v>44505.520138888889</v>
      </c>
      <c r="F182" s="2" t="s">
        <v>600</v>
      </c>
      <c r="G182" s="2" t="s">
        <v>465</v>
      </c>
      <c r="H182" s="7"/>
      <c r="I182" s="7">
        <v>2088</v>
      </c>
      <c r="J182" s="7"/>
      <c r="K182" s="16"/>
      <c r="L182" s="16"/>
      <c r="M182" s="79"/>
    </row>
    <row r="183" spans="1:13" x14ac:dyDescent="0.3">
      <c r="A183" s="2" t="s">
        <v>106</v>
      </c>
      <c r="B183" s="2" t="s">
        <v>61</v>
      </c>
      <c r="C183" s="2" t="s">
        <v>3</v>
      </c>
      <c r="D183" s="2" t="s">
        <v>210</v>
      </c>
      <c r="E183" s="111">
        <v>44505.517361111109</v>
      </c>
      <c r="F183" s="2" t="s">
        <v>635</v>
      </c>
      <c r="G183" s="2" t="s">
        <v>465</v>
      </c>
      <c r="H183" s="7"/>
      <c r="I183" s="7">
        <v>2014</v>
      </c>
      <c r="J183" s="7"/>
      <c r="K183" s="16"/>
      <c r="L183" s="16"/>
      <c r="M183" s="79"/>
    </row>
    <row r="184" spans="1:13" x14ac:dyDescent="0.3">
      <c r="A184" s="2" t="s">
        <v>106</v>
      </c>
      <c r="B184" s="2" t="s">
        <v>61</v>
      </c>
      <c r="C184" s="2" t="s">
        <v>3</v>
      </c>
      <c r="D184" s="2" t="s">
        <v>210</v>
      </c>
      <c r="E184" s="111">
        <v>44505.517361111109</v>
      </c>
      <c r="F184" s="2" t="s">
        <v>596</v>
      </c>
      <c r="G184" s="2" t="s">
        <v>465</v>
      </c>
      <c r="H184" s="7"/>
      <c r="I184" s="7">
        <v>2014</v>
      </c>
      <c r="J184" s="7"/>
      <c r="K184" s="16"/>
      <c r="L184" s="16"/>
      <c r="M184" s="79"/>
    </row>
    <row r="185" spans="1:13" x14ac:dyDescent="0.3">
      <c r="A185" s="2" t="s">
        <v>106</v>
      </c>
      <c r="B185" s="2" t="s">
        <v>61</v>
      </c>
      <c r="C185" s="2" t="s">
        <v>3</v>
      </c>
      <c r="D185" s="2" t="s">
        <v>210</v>
      </c>
      <c r="E185" s="111">
        <v>44505.517361111109</v>
      </c>
      <c r="F185" s="2" t="s">
        <v>597</v>
      </c>
      <c r="G185" s="2" t="s">
        <v>467</v>
      </c>
      <c r="H185" s="7"/>
      <c r="I185" s="7">
        <v>2014</v>
      </c>
      <c r="J185" s="7"/>
      <c r="K185" s="16"/>
      <c r="L185" s="16"/>
      <c r="M185" s="79"/>
    </row>
    <row r="186" spans="1:13" x14ac:dyDescent="0.3">
      <c r="A186" s="2" t="s">
        <v>106</v>
      </c>
      <c r="B186" s="2" t="s">
        <v>61</v>
      </c>
      <c r="C186" s="2" t="s">
        <v>3</v>
      </c>
      <c r="D186" s="2" t="s">
        <v>210</v>
      </c>
      <c r="E186" s="111">
        <v>44505.517361111109</v>
      </c>
      <c r="F186" s="2" t="s">
        <v>600</v>
      </c>
      <c r="G186" s="2" t="s">
        <v>467</v>
      </c>
      <c r="H186" s="7"/>
      <c r="I186" s="7">
        <v>2014</v>
      </c>
      <c r="J186" s="7"/>
      <c r="K186" s="16"/>
      <c r="L186" s="16"/>
      <c r="M186" s="79"/>
    </row>
    <row r="187" spans="1:13" x14ac:dyDescent="0.3">
      <c r="A187" s="2" t="s">
        <v>97</v>
      </c>
      <c r="B187" s="2" t="s">
        <v>26</v>
      </c>
      <c r="C187" s="2" t="s">
        <v>10</v>
      </c>
      <c r="D187" s="2" t="s">
        <v>211</v>
      </c>
      <c r="E187" s="111">
        <v>44504.853472222225</v>
      </c>
      <c r="F187" s="2" t="s">
        <v>635</v>
      </c>
      <c r="G187" s="2" t="s">
        <v>467</v>
      </c>
      <c r="H187" s="7"/>
      <c r="I187" s="7">
        <v>1196</v>
      </c>
      <c r="J187" s="7"/>
      <c r="K187" s="16"/>
      <c r="L187" s="16"/>
      <c r="M187" s="79"/>
    </row>
    <row r="188" spans="1:13" x14ac:dyDescent="0.3">
      <c r="A188" s="2" t="s">
        <v>97</v>
      </c>
      <c r="B188" s="2" t="s">
        <v>26</v>
      </c>
      <c r="C188" s="2" t="s">
        <v>10</v>
      </c>
      <c r="D188" s="2" t="s">
        <v>211</v>
      </c>
      <c r="E188" s="111">
        <v>44504.853472222225</v>
      </c>
      <c r="F188" s="2" t="s">
        <v>596</v>
      </c>
      <c r="G188" s="2" t="s">
        <v>465</v>
      </c>
      <c r="H188" s="7"/>
      <c r="I188" s="7">
        <v>1196</v>
      </c>
      <c r="J188" s="7"/>
      <c r="K188" s="16"/>
      <c r="L188" s="16"/>
      <c r="M188" s="79"/>
    </row>
    <row r="189" spans="1:13" x14ac:dyDescent="0.3">
      <c r="A189" s="2" t="s">
        <v>97</v>
      </c>
      <c r="B189" s="2" t="s">
        <v>26</v>
      </c>
      <c r="C189" s="2" t="s">
        <v>10</v>
      </c>
      <c r="D189" s="2" t="s">
        <v>211</v>
      </c>
      <c r="E189" s="111">
        <v>44504.853472222225</v>
      </c>
      <c r="F189" s="2" t="s">
        <v>597</v>
      </c>
      <c r="G189" s="2" t="s">
        <v>467</v>
      </c>
      <c r="H189" s="7"/>
      <c r="I189" s="7">
        <v>1196</v>
      </c>
      <c r="J189" s="7"/>
      <c r="K189" s="16"/>
      <c r="L189" s="16"/>
      <c r="M189" s="79"/>
    </row>
    <row r="190" spans="1:13" x14ac:dyDescent="0.3">
      <c r="A190" s="2" t="s">
        <v>97</v>
      </c>
      <c r="B190" s="2" t="s">
        <v>26</v>
      </c>
      <c r="C190" s="2" t="s">
        <v>10</v>
      </c>
      <c r="D190" s="2" t="s">
        <v>211</v>
      </c>
      <c r="E190" s="111">
        <v>44504.853472222225</v>
      </c>
      <c r="F190" s="2" t="s">
        <v>601</v>
      </c>
      <c r="G190" s="2" t="s">
        <v>467</v>
      </c>
      <c r="H190" s="7"/>
      <c r="I190" s="7">
        <v>1196</v>
      </c>
      <c r="J190" s="7"/>
      <c r="K190" s="16"/>
      <c r="L190" s="16"/>
      <c r="M190" s="79"/>
    </row>
    <row r="191" spans="1:13" x14ac:dyDescent="0.3">
      <c r="A191" s="2" t="s">
        <v>98</v>
      </c>
      <c r="B191" s="2" t="s">
        <v>25</v>
      </c>
      <c r="C191" s="2" t="s">
        <v>6</v>
      </c>
      <c r="D191" s="2" t="s">
        <v>210</v>
      </c>
      <c r="E191" s="111">
        <v>44503.481249999997</v>
      </c>
      <c r="F191" s="2" t="s">
        <v>597</v>
      </c>
      <c r="G191" s="2" t="s">
        <v>467</v>
      </c>
      <c r="H191" s="7"/>
      <c r="I191" s="7">
        <v>1573</v>
      </c>
      <c r="J191" s="7"/>
      <c r="K191" s="16" t="s">
        <v>585</v>
      </c>
      <c r="L191" s="16" t="s">
        <v>636</v>
      </c>
      <c r="M191" s="79">
        <v>480</v>
      </c>
    </row>
    <row r="192" spans="1:13" x14ac:dyDescent="0.3">
      <c r="A192" s="2" t="s">
        <v>98</v>
      </c>
      <c r="B192" s="2" t="s">
        <v>25</v>
      </c>
      <c r="C192" s="2" t="s">
        <v>6</v>
      </c>
      <c r="D192" s="2" t="s">
        <v>210</v>
      </c>
      <c r="E192" s="111">
        <v>44503.481249999997</v>
      </c>
      <c r="F192" s="2" t="s">
        <v>601</v>
      </c>
      <c r="G192" s="2" t="s">
        <v>467</v>
      </c>
      <c r="H192" s="7"/>
      <c r="I192" s="7">
        <v>1573</v>
      </c>
      <c r="J192" s="7"/>
      <c r="K192" s="16"/>
      <c r="L192" s="16"/>
      <c r="M192" s="79"/>
    </row>
    <row r="193" spans="1:13" x14ac:dyDescent="0.3">
      <c r="A193" s="2" t="s">
        <v>86</v>
      </c>
      <c r="B193" s="2" t="s">
        <v>24</v>
      </c>
      <c r="C193" s="2" t="s">
        <v>11</v>
      </c>
      <c r="D193" s="2" t="s">
        <v>210</v>
      </c>
      <c r="E193" s="111">
        <v>44485.552777777775</v>
      </c>
      <c r="F193" s="2" t="s">
        <v>597</v>
      </c>
      <c r="G193" s="2" t="s">
        <v>467</v>
      </c>
      <c r="H193" s="7"/>
      <c r="I193" s="7">
        <v>2413</v>
      </c>
      <c r="J193" s="7"/>
      <c r="K193" s="16" t="s">
        <v>584</v>
      </c>
      <c r="L193" s="16" t="s">
        <v>637</v>
      </c>
      <c r="M193" s="79">
        <v>640</v>
      </c>
    </row>
    <row r="194" spans="1:13" x14ac:dyDescent="0.3">
      <c r="A194" s="2" t="s">
        <v>86</v>
      </c>
      <c r="B194" s="2" t="s">
        <v>24</v>
      </c>
      <c r="C194" s="2" t="s">
        <v>11</v>
      </c>
      <c r="D194" s="2" t="s">
        <v>210</v>
      </c>
      <c r="E194" s="111">
        <v>44485.552777777775</v>
      </c>
      <c r="F194" s="2" t="s">
        <v>635</v>
      </c>
      <c r="G194" s="2" t="s">
        <v>467</v>
      </c>
      <c r="H194" s="7"/>
      <c r="I194" s="7">
        <v>2413</v>
      </c>
      <c r="J194" s="7"/>
      <c r="K194" s="16"/>
      <c r="L194" s="16"/>
      <c r="M194" s="79"/>
    </row>
    <row r="195" spans="1:13" x14ac:dyDescent="0.3">
      <c r="A195" s="2" t="s">
        <v>86</v>
      </c>
      <c r="B195" s="2" t="s">
        <v>24</v>
      </c>
      <c r="C195" s="2" t="s">
        <v>11</v>
      </c>
      <c r="D195" s="2" t="s">
        <v>210</v>
      </c>
      <c r="E195" s="111">
        <v>44485.552777777775</v>
      </c>
      <c r="F195" s="2" t="s">
        <v>596</v>
      </c>
      <c r="G195" s="2" t="s">
        <v>465</v>
      </c>
      <c r="H195" s="7"/>
      <c r="I195" s="7">
        <v>2413</v>
      </c>
      <c r="J195" s="7"/>
      <c r="K195" s="16"/>
      <c r="L195" s="16"/>
      <c r="M195" s="79"/>
    </row>
    <row r="196" spans="1:13" x14ac:dyDescent="0.3">
      <c r="A196" s="2" t="s">
        <v>86</v>
      </c>
      <c r="B196" s="2" t="s">
        <v>24</v>
      </c>
      <c r="C196" s="2" t="s">
        <v>11</v>
      </c>
      <c r="D196" s="2" t="s">
        <v>210</v>
      </c>
      <c r="E196" s="111">
        <v>44485.552777777775</v>
      </c>
      <c r="F196" s="2" t="s">
        <v>600</v>
      </c>
      <c r="G196" s="2" t="s">
        <v>467</v>
      </c>
      <c r="H196" s="7"/>
      <c r="I196" s="7">
        <v>2413</v>
      </c>
      <c r="J196" s="7"/>
      <c r="K196" s="16"/>
      <c r="L196" s="16"/>
      <c r="M196" s="79"/>
    </row>
    <row r="197" spans="1:13" x14ac:dyDescent="0.3">
      <c r="A197" s="2" t="s">
        <v>87</v>
      </c>
      <c r="B197" s="2" t="s">
        <v>23</v>
      </c>
      <c r="C197" s="2" t="s">
        <v>4</v>
      </c>
      <c r="D197" s="2" t="s">
        <v>210</v>
      </c>
      <c r="E197" s="111">
        <v>44485.464583333334</v>
      </c>
      <c r="F197" s="2" t="s">
        <v>597</v>
      </c>
      <c r="G197" s="2" t="s">
        <v>467</v>
      </c>
      <c r="H197" s="7">
        <v>2</v>
      </c>
      <c r="I197" s="7">
        <v>2362</v>
      </c>
      <c r="J197" s="7"/>
      <c r="K197" s="16" t="s">
        <v>584</v>
      </c>
      <c r="L197" s="16" t="s">
        <v>639</v>
      </c>
      <c r="M197" s="79">
        <v>1600</v>
      </c>
    </row>
    <row r="198" spans="1:13" x14ac:dyDescent="0.3">
      <c r="A198" s="2" t="s">
        <v>87</v>
      </c>
      <c r="B198" s="2" t="s">
        <v>23</v>
      </c>
      <c r="C198" s="2" t="s">
        <v>4</v>
      </c>
      <c r="D198" s="2" t="s">
        <v>210</v>
      </c>
      <c r="E198" s="111">
        <v>44485.464583333334</v>
      </c>
      <c r="F198" s="2" t="s">
        <v>635</v>
      </c>
      <c r="G198" s="2" t="s">
        <v>467</v>
      </c>
      <c r="H198" s="7">
        <v>2</v>
      </c>
      <c r="I198" s="7">
        <v>2362</v>
      </c>
      <c r="J198" s="7"/>
      <c r="K198" s="16"/>
      <c r="L198" s="16"/>
      <c r="M198" s="79"/>
    </row>
    <row r="199" spans="1:13" x14ac:dyDescent="0.3">
      <c r="A199" s="2" t="s">
        <v>87</v>
      </c>
      <c r="B199" s="2" t="s">
        <v>23</v>
      </c>
      <c r="C199" s="2" t="s">
        <v>4</v>
      </c>
      <c r="D199" s="2" t="s">
        <v>210</v>
      </c>
      <c r="E199" s="111">
        <v>44485.464583333334</v>
      </c>
      <c r="F199" s="2" t="s">
        <v>596</v>
      </c>
      <c r="G199" s="2" t="s">
        <v>465</v>
      </c>
      <c r="H199" s="7">
        <v>2</v>
      </c>
      <c r="I199" s="7">
        <v>2362</v>
      </c>
      <c r="J199" s="7"/>
      <c r="K199" s="16"/>
      <c r="L199" s="16"/>
      <c r="M199" s="79"/>
    </row>
    <row r="200" spans="1:13" x14ac:dyDescent="0.3">
      <c r="A200" s="2" t="s">
        <v>87</v>
      </c>
      <c r="B200" s="2" t="s">
        <v>23</v>
      </c>
      <c r="C200" s="2" t="s">
        <v>4</v>
      </c>
      <c r="D200" s="2" t="s">
        <v>210</v>
      </c>
      <c r="E200" s="111">
        <v>44485.464583333334</v>
      </c>
      <c r="F200" s="2" t="s">
        <v>598</v>
      </c>
      <c r="G200" s="2" t="s">
        <v>467</v>
      </c>
      <c r="H200" s="7">
        <v>2</v>
      </c>
      <c r="I200" s="7">
        <v>2362</v>
      </c>
      <c r="J200" s="7"/>
      <c r="K200" s="16"/>
      <c r="L200" s="16"/>
      <c r="M200" s="79"/>
    </row>
    <row r="201" spans="1:13" x14ac:dyDescent="0.3">
      <c r="A201" s="2" t="s">
        <v>91</v>
      </c>
      <c r="B201" s="2" t="s">
        <v>65</v>
      </c>
      <c r="C201" s="2" t="s">
        <v>64</v>
      </c>
      <c r="D201" s="2" t="s">
        <v>210</v>
      </c>
      <c r="E201" s="111">
        <v>44462.901388888888</v>
      </c>
      <c r="F201" s="2" t="s">
        <v>597</v>
      </c>
      <c r="G201" s="2" t="s">
        <v>465</v>
      </c>
      <c r="H201" s="7"/>
      <c r="I201" s="7">
        <v>2368</v>
      </c>
      <c r="J201" s="7"/>
      <c r="K201" s="16"/>
      <c r="L201" s="16"/>
      <c r="M201" s="79"/>
    </row>
    <row r="202" spans="1:13" x14ac:dyDescent="0.3">
      <c r="A202" s="2" t="s">
        <v>100</v>
      </c>
      <c r="B202" s="2" t="s">
        <v>22</v>
      </c>
      <c r="C202" s="2" t="s">
        <v>7</v>
      </c>
      <c r="D202" s="2" t="s">
        <v>210</v>
      </c>
      <c r="E202" s="111">
        <v>44462.900694444441</v>
      </c>
      <c r="F202" s="2" t="s">
        <v>635</v>
      </c>
      <c r="G202" s="2" t="s">
        <v>467</v>
      </c>
      <c r="H202" s="7"/>
      <c r="I202" s="7">
        <v>2370</v>
      </c>
      <c r="J202" s="7"/>
      <c r="K202" s="16"/>
      <c r="L202" s="16"/>
      <c r="M202" s="79"/>
    </row>
    <row r="203" spans="1:13" x14ac:dyDescent="0.3">
      <c r="A203" s="2" t="s">
        <v>100</v>
      </c>
      <c r="B203" s="2" t="s">
        <v>22</v>
      </c>
      <c r="C203" s="2" t="s">
        <v>7</v>
      </c>
      <c r="D203" s="2" t="s">
        <v>210</v>
      </c>
      <c r="E203" s="111">
        <v>44462.900694444441</v>
      </c>
      <c r="F203" s="2" t="s">
        <v>596</v>
      </c>
      <c r="G203" s="2" t="s">
        <v>465</v>
      </c>
      <c r="H203" s="7"/>
      <c r="I203" s="7">
        <v>2370</v>
      </c>
      <c r="J203" s="7"/>
      <c r="K203" s="16"/>
      <c r="L203" s="16"/>
      <c r="M203" s="79"/>
    </row>
    <row r="204" spans="1:13" x14ac:dyDescent="0.3">
      <c r="A204" s="2" t="s">
        <v>100</v>
      </c>
      <c r="B204" s="2" t="s">
        <v>22</v>
      </c>
      <c r="C204" s="2" t="s">
        <v>7</v>
      </c>
      <c r="D204" s="2" t="s">
        <v>210</v>
      </c>
      <c r="E204" s="111">
        <v>44462.900694444441</v>
      </c>
      <c r="F204" s="2" t="s">
        <v>597</v>
      </c>
      <c r="G204" s="2" t="s">
        <v>467</v>
      </c>
      <c r="H204" s="7"/>
      <c r="I204" s="7">
        <v>2370</v>
      </c>
      <c r="J204" s="7"/>
      <c r="K204" s="16"/>
      <c r="L204" s="16"/>
      <c r="M204" s="79"/>
    </row>
    <row r="205" spans="1:13" x14ac:dyDescent="0.3">
      <c r="A205" s="2" t="s">
        <v>100</v>
      </c>
      <c r="B205" s="2" t="s">
        <v>22</v>
      </c>
      <c r="C205" s="2" t="s">
        <v>7</v>
      </c>
      <c r="D205" s="2" t="s">
        <v>210</v>
      </c>
      <c r="E205" s="111">
        <v>44462.900694444441</v>
      </c>
      <c r="F205" s="2" t="s">
        <v>599</v>
      </c>
      <c r="G205" s="2" t="s">
        <v>467</v>
      </c>
      <c r="H205" s="7"/>
      <c r="I205" s="7">
        <v>2370</v>
      </c>
      <c r="J205" s="7"/>
      <c r="K205" s="16"/>
      <c r="L205" s="16"/>
      <c r="M205" s="79"/>
    </row>
    <row r="206" spans="1:13" x14ac:dyDescent="0.3">
      <c r="A206" s="2" t="s">
        <v>99</v>
      </c>
      <c r="B206" s="2" t="s">
        <v>385</v>
      </c>
      <c r="C206" s="2" t="s">
        <v>7</v>
      </c>
      <c r="D206" s="2" t="s">
        <v>210</v>
      </c>
      <c r="E206" s="111">
        <v>44462.509722222225</v>
      </c>
      <c r="F206" s="2" t="s">
        <v>597</v>
      </c>
      <c r="G206" s="2" t="s">
        <v>467</v>
      </c>
      <c r="H206" s="7"/>
      <c r="I206" s="7">
        <v>2485</v>
      </c>
      <c r="J206" s="7"/>
      <c r="K206" s="16"/>
      <c r="L206" s="16"/>
      <c r="M206" s="79"/>
    </row>
    <row r="207" spans="1:13" x14ac:dyDescent="0.3">
      <c r="A207" s="2" t="s">
        <v>121</v>
      </c>
      <c r="B207" s="2" t="s">
        <v>21</v>
      </c>
      <c r="C207" s="2" t="s">
        <v>5</v>
      </c>
      <c r="D207" s="2" t="s">
        <v>210</v>
      </c>
      <c r="E207" s="111">
        <v>44462.421527777777</v>
      </c>
      <c r="F207" s="2" t="s">
        <v>597</v>
      </c>
      <c r="G207" s="2" t="s">
        <v>467</v>
      </c>
      <c r="H207" s="7">
        <v>1</v>
      </c>
      <c r="I207" s="7">
        <v>2528</v>
      </c>
      <c r="J207" s="7"/>
      <c r="K207" s="16" t="s">
        <v>584</v>
      </c>
      <c r="L207" s="16" t="s">
        <v>636</v>
      </c>
      <c r="M207" s="79">
        <v>2400</v>
      </c>
    </row>
    <row r="208" spans="1:13" x14ac:dyDescent="0.3">
      <c r="A208" s="2" t="s">
        <v>121</v>
      </c>
      <c r="B208" s="2" t="s">
        <v>21</v>
      </c>
      <c r="C208" s="2" t="s">
        <v>5</v>
      </c>
      <c r="D208" s="2" t="s">
        <v>210</v>
      </c>
      <c r="E208" s="111">
        <v>44462.421527777777</v>
      </c>
      <c r="F208" s="2" t="s">
        <v>635</v>
      </c>
      <c r="G208" s="2" t="s">
        <v>467</v>
      </c>
      <c r="H208" s="7">
        <v>1</v>
      </c>
      <c r="I208" s="7">
        <v>2528</v>
      </c>
      <c r="J208" s="7"/>
      <c r="K208" s="16"/>
      <c r="L208" s="16"/>
      <c r="M208" s="79"/>
    </row>
    <row r="209" spans="1:13" x14ac:dyDescent="0.3">
      <c r="A209" s="2" t="s">
        <v>121</v>
      </c>
      <c r="B209" s="2" t="s">
        <v>21</v>
      </c>
      <c r="C209" s="2" t="s">
        <v>5</v>
      </c>
      <c r="D209" s="2" t="s">
        <v>210</v>
      </c>
      <c r="E209" s="111">
        <v>44462.421527777777</v>
      </c>
      <c r="F209" s="2" t="s">
        <v>596</v>
      </c>
      <c r="G209" s="2" t="s">
        <v>465</v>
      </c>
      <c r="H209" s="7">
        <v>1</v>
      </c>
      <c r="I209" s="7">
        <v>2528</v>
      </c>
      <c r="J209" s="7"/>
      <c r="K209" s="16"/>
      <c r="L209" s="16"/>
      <c r="M209" s="79"/>
    </row>
    <row r="210" spans="1:13" x14ac:dyDescent="0.3">
      <c r="A210" s="2" t="s">
        <v>121</v>
      </c>
      <c r="B210" s="2" t="s">
        <v>21</v>
      </c>
      <c r="C210" s="2" t="s">
        <v>5</v>
      </c>
      <c r="D210" s="2" t="s">
        <v>210</v>
      </c>
      <c r="E210" s="111">
        <v>44462.421527777777</v>
      </c>
      <c r="F210" s="2" t="s">
        <v>600</v>
      </c>
      <c r="G210" s="2" t="s">
        <v>467</v>
      </c>
      <c r="H210" s="7">
        <v>1</v>
      </c>
      <c r="I210" s="7">
        <v>2528</v>
      </c>
      <c r="J210" s="7"/>
      <c r="K210" s="16"/>
      <c r="L210" s="16"/>
      <c r="M210" s="79"/>
    </row>
    <row r="211" spans="1:13" x14ac:dyDescent="0.3">
      <c r="A211" s="2" t="s">
        <v>121</v>
      </c>
      <c r="B211" s="2" t="s">
        <v>21</v>
      </c>
      <c r="C211" s="2" t="s">
        <v>41</v>
      </c>
      <c r="D211" s="2" t="s">
        <v>210</v>
      </c>
      <c r="E211" s="111">
        <v>43466</v>
      </c>
      <c r="F211" s="2" t="s">
        <v>614</v>
      </c>
      <c r="G211" s="2" t="s">
        <v>467</v>
      </c>
      <c r="H211" s="7"/>
      <c r="I211" s="7">
        <v>2448</v>
      </c>
      <c r="J211" s="7"/>
      <c r="K211" s="16" t="s">
        <v>584</v>
      </c>
      <c r="L211" s="16" t="s">
        <v>636</v>
      </c>
      <c r="M211" s="79"/>
    </row>
    <row r="212" spans="1:13" x14ac:dyDescent="0.3">
      <c r="A212" s="2" t="s">
        <v>620</v>
      </c>
      <c r="B212" s="2" t="s">
        <v>621</v>
      </c>
      <c r="C212" s="2" t="s">
        <v>41</v>
      </c>
      <c r="D212" s="2" t="s">
        <v>210</v>
      </c>
      <c r="E212" s="111">
        <v>43466</v>
      </c>
      <c r="F212" s="2" t="s">
        <v>614</v>
      </c>
      <c r="G212" s="2" t="s">
        <v>467</v>
      </c>
      <c r="H212" s="7"/>
      <c r="I212" s="7">
        <v>1898</v>
      </c>
      <c r="J212" s="7"/>
      <c r="K212" s="16" t="s">
        <v>584</v>
      </c>
      <c r="L212" s="16" t="s">
        <v>637</v>
      </c>
      <c r="M212" s="79"/>
    </row>
    <row r="213" spans="1:13" x14ac:dyDescent="0.3">
      <c r="A213" s="2" t="s">
        <v>241</v>
      </c>
      <c r="B213" s="2" t="s">
        <v>242</v>
      </c>
      <c r="C213" s="2" t="s">
        <v>41</v>
      </c>
      <c r="D213" s="2" t="s">
        <v>210</v>
      </c>
      <c r="E213" s="111">
        <v>43466</v>
      </c>
      <c r="F213" s="2" t="s">
        <v>614</v>
      </c>
      <c r="G213" s="2" t="s">
        <v>467</v>
      </c>
      <c r="H213" s="7"/>
      <c r="I213" s="7">
        <v>2313</v>
      </c>
      <c r="J213" s="7"/>
      <c r="K213" s="16" t="s">
        <v>584</v>
      </c>
      <c r="L213" s="16" t="s">
        <v>638</v>
      </c>
      <c r="M213" s="79"/>
    </row>
    <row r="214" spans="1:13" x14ac:dyDescent="0.3">
      <c r="A214" s="2" t="s">
        <v>87</v>
      </c>
      <c r="B214" s="2" t="s">
        <v>23</v>
      </c>
      <c r="C214" s="2" t="s">
        <v>41</v>
      </c>
      <c r="D214" s="2" t="s">
        <v>210</v>
      </c>
      <c r="E214" s="111">
        <v>43466</v>
      </c>
      <c r="F214" s="2" t="s">
        <v>614</v>
      </c>
      <c r="G214" s="2" t="s">
        <v>467</v>
      </c>
      <c r="H214" s="7"/>
      <c r="I214" s="7">
        <v>2414</v>
      </c>
      <c r="J214" s="7"/>
      <c r="K214" s="16" t="s">
        <v>584</v>
      </c>
      <c r="L214" s="16" t="s">
        <v>639</v>
      </c>
      <c r="M214" s="79"/>
    </row>
    <row r="215" spans="1:13" x14ac:dyDescent="0.3">
      <c r="A215" s="2" t="s">
        <v>333</v>
      </c>
      <c r="B215" s="2" t="s">
        <v>334</v>
      </c>
      <c r="C215" s="2" t="s">
        <v>343</v>
      </c>
      <c r="D215" s="2" t="s">
        <v>210</v>
      </c>
      <c r="E215" s="111">
        <v>43101</v>
      </c>
      <c r="F215" s="2" t="s">
        <v>615</v>
      </c>
      <c r="G215" s="2" t="s">
        <v>467</v>
      </c>
      <c r="H215" s="7"/>
      <c r="I215" s="7">
        <v>2726</v>
      </c>
      <c r="J215" s="7"/>
      <c r="K215" s="16"/>
      <c r="L215" s="16"/>
      <c r="M215" s="79"/>
    </row>
    <row r="216" spans="1:13" x14ac:dyDescent="0.3">
      <c r="A216" s="2" t="s">
        <v>121</v>
      </c>
      <c r="B216" s="2" t="s">
        <v>21</v>
      </c>
      <c r="C216" s="2" t="s">
        <v>41</v>
      </c>
      <c r="D216" s="2" t="s">
        <v>210</v>
      </c>
      <c r="E216" s="111">
        <v>43101</v>
      </c>
      <c r="F216" s="2" t="s">
        <v>615</v>
      </c>
      <c r="G216" s="2" t="s">
        <v>467</v>
      </c>
      <c r="H216" s="7"/>
      <c r="I216" s="7">
        <v>2460</v>
      </c>
      <c r="J216" s="7"/>
      <c r="K216" s="16" t="s">
        <v>584</v>
      </c>
      <c r="L216" s="16" t="s">
        <v>636</v>
      </c>
      <c r="M216" s="79"/>
    </row>
    <row r="217" spans="1:13" x14ac:dyDescent="0.3">
      <c r="A217" s="2" t="s">
        <v>103</v>
      </c>
      <c r="B217" s="2" t="s">
        <v>605</v>
      </c>
      <c r="C217" s="2" t="s">
        <v>7</v>
      </c>
      <c r="D217" s="2" t="s">
        <v>210</v>
      </c>
      <c r="E217" s="111">
        <v>43101</v>
      </c>
      <c r="F217" s="2" t="s">
        <v>615</v>
      </c>
      <c r="G217" s="2" t="s">
        <v>467</v>
      </c>
      <c r="H217" s="7"/>
      <c r="I217" s="7">
        <v>2563</v>
      </c>
      <c r="J217" s="7"/>
      <c r="K217" s="16" t="s">
        <v>584</v>
      </c>
      <c r="L217" s="16" t="s">
        <v>638</v>
      </c>
      <c r="M217" s="79"/>
    </row>
    <row r="218" spans="1:13" x14ac:dyDescent="0.3">
      <c r="A218" s="2" t="s">
        <v>94</v>
      </c>
      <c r="B218" s="2" t="s">
        <v>384</v>
      </c>
      <c r="C218" s="2" t="s">
        <v>41</v>
      </c>
      <c r="D218" s="2" t="s">
        <v>210</v>
      </c>
      <c r="E218" s="111">
        <v>43101</v>
      </c>
      <c r="F218" s="2" t="s">
        <v>615</v>
      </c>
      <c r="G218" s="2" t="s">
        <v>467</v>
      </c>
      <c r="H218" s="7"/>
      <c r="I218" s="7">
        <v>2364</v>
      </c>
      <c r="J218" s="7"/>
      <c r="K218" s="16" t="s">
        <v>584</v>
      </c>
      <c r="L218" s="16" t="s">
        <v>639</v>
      </c>
      <c r="M218" s="79"/>
    </row>
    <row r="219" spans="1:13" x14ac:dyDescent="0.3">
      <c r="A219" s="2" t="s">
        <v>632</v>
      </c>
      <c r="B219" s="2" t="s">
        <v>631</v>
      </c>
      <c r="C219" s="2" t="s">
        <v>292</v>
      </c>
      <c r="D219" s="2" t="s">
        <v>210</v>
      </c>
      <c r="E219" s="111">
        <v>43101</v>
      </c>
      <c r="F219" s="2" t="s">
        <v>615</v>
      </c>
      <c r="G219" s="2" t="s">
        <v>467</v>
      </c>
      <c r="H219" s="7"/>
      <c r="I219" s="7">
        <v>2470</v>
      </c>
      <c r="J219" s="7"/>
      <c r="K219" s="16" t="s">
        <v>584</v>
      </c>
      <c r="L219" s="16" t="s">
        <v>637</v>
      </c>
      <c r="M219" s="79"/>
    </row>
    <row r="220" spans="1:13" x14ac:dyDescent="0.3">
      <c r="A220" s="2" t="s">
        <v>121</v>
      </c>
      <c r="B220" s="2" t="s">
        <v>21</v>
      </c>
      <c r="C220" s="2" t="s">
        <v>41</v>
      </c>
      <c r="D220" s="2" t="s">
        <v>210</v>
      </c>
      <c r="E220" s="111">
        <v>42736</v>
      </c>
      <c r="F220" s="2" t="s">
        <v>616</v>
      </c>
      <c r="G220" s="2" t="s">
        <v>467</v>
      </c>
      <c r="H220" s="7"/>
      <c r="I220" s="4">
        <v>2442</v>
      </c>
      <c r="J220" s="7"/>
      <c r="K220" s="16" t="s">
        <v>584</v>
      </c>
      <c r="L220" s="16" t="s">
        <v>636</v>
      </c>
      <c r="M220" s="79"/>
    </row>
    <row r="221" spans="1:13" x14ac:dyDescent="0.3">
      <c r="A221" s="2" t="s">
        <v>422</v>
      </c>
      <c r="B221" s="2" t="s">
        <v>423</v>
      </c>
      <c r="C221" s="2" t="s">
        <v>9</v>
      </c>
      <c r="D221" s="2" t="s">
        <v>210</v>
      </c>
      <c r="E221" s="111">
        <v>42736</v>
      </c>
      <c r="F221" s="2" t="s">
        <v>616</v>
      </c>
      <c r="G221" s="2" t="s">
        <v>467</v>
      </c>
      <c r="H221" s="7"/>
      <c r="I221" s="4">
        <v>2291</v>
      </c>
      <c r="J221" s="7"/>
      <c r="K221" s="16" t="s">
        <v>584</v>
      </c>
      <c r="L221" s="16" t="s">
        <v>637</v>
      </c>
      <c r="M221" s="79"/>
    </row>
    <row r="222" spans="1:13" x14ac:dyDescent="0.3">
      <c r="A222" s="2" t="s">
        <v>94</v>
      </c>
      <c r="B222" s="2" t="s">
        <v>384</v>
      </c>
      <c r="C222" s="2" t="s">
        <v>41</v>
      </c>
      <c r="D222" s="2" t="s">
        <v>210</v>
      </c>
      <c r="E222" s="111">
        <v>42736</v>
      </c>
      <c r="F222" s="2" t="s">
        <v>616</v>
      </c>
      <c r="G222" s="2" t="s">
        <v>467</v>
      </c>
      <c r="H222" s="7"/>
      <c r="I222" s="4">
        <v>2338</v>
      </c>
      <c r="J222" s="7"/>
      <c r="K222" s="16" t="s">
        <v>584</v>
      </c>
      <c r="L222" s="16" t="s">
        <v>639</v>
      </c>
      <c r="M222" s="79"/>
    </row>
    <row r="223" spans="1:13" x14ac:dyDescent="0.3">
      <c r="A223" s="2" t="s">
        <v>241</v>
      </c>
      <c r="B223" s="2" t="s">
        <v>242</v>
      </c>
      <c r="C223" s="2" t="s">
        <v>41</v>
      </c>
      <c r="D223" s="2" t="s">
        <v>210</v>
      </c>
      <c r="E223" s="111">
        <v>42736</v>
      </c>
      <c r="F223" s="2" t="s">
        <v>616</v>
      </c>
      <c r="G223" s="2" t="s">
        <v>467</v>
      </c>
      <c r="H223" s="7"/>
      <c r="I223" s="4">
        <v>2318</v>
      </c>
      <c r="J223" s="7"/>
      <c r="K223" s="16" t="s">
        <v>584</v>
      </c>
      <c r="L223" s="16" t="s">
        <v>638</v>
      </c>
      <c r="M223" s="79"/>
    </row>
    <row r="224" spans="1:13" x14ac:dyDescent="0.3">
      <c r="A224" s="2" t="s">
        <v>121</v>
      </c>
      <c r="B224" s="2" t="s">
        <v>21</v>
      </c>
      <c r="C224" s="2" t="s">
        <v>41</v>
      </c>
      <c r="D224" s="2" t="s">
        <v>210</v>
      </c>
      <c r="E224" s="111">
        <v>42370</v>
      </c>
      <c r="F224" s="2" t="s">
        <v>617</v>
      </c>
      <c r="G224" s="2" t="s">
        <v>467</v>
      </c>
      <c r="H224" s="7"/>
      <c r="I224" s="4">
        <v>2414</v>
      </c>
      <c r="J224" s="7"/>
      <c r="K224" s="16" t="s">
        <v>584</v>
      </c>
      <c r="L224" s="16" t="s">
        <v>636</v>
      </c>
      <c r="M224" s="79"/>
    </row>
    <row r="225" spans="1:13" x14ac:dyDescent="0.3">
      <c r="A225" s="2" t="s">
        <v>94</v>
      </c>
      <c r="B225" s="2" t="s">
        <v>384</v>
      </c>
      <c r="C225" s="2" t="s">
        <v>41</v>
      </c>
      <c r="D225" s="2" t="s">
        <v>210</v>
      </c>
      <c r="E225" s="111">
        <v>42370</v>
      </c>
      <c r="F225" s="2" t="s">
        <v>617</v>
      </c>
      <c r="G225" s="2" t="s">
        <v>467</v>
      </c>
      <c r="H225" s="7"/>
      <c r="I225" s="4">
        <v>2383</v>
      </c>
      <c r="J225" s="7"/>
      <c r="K225" s="16" t="s">
        <v>584</v>
      </c>
      <c r="L225" s="16" t="s">
        <v>639</v>
      </c>
      <c r="M225" s="79"/>
    </row>
    <row r="226" spans="1:13" x14ac:dyDescent="0.3">
      <c r="A226" s="2" t="s">
        <v>241</v>
      </c>
      <c r="B226" s="2" t="s">
        <v>242</v>
      </c>
      <c r="C226" s="2" t="s">
        <v>41</v>
      </c>
      <c r="D226" s="2" t="s">
        <v>210</v>
      </c>
      <c r="E226" s="111">
        <v>42370</v>
      </c>
      <c r="F226" s="2" t="s">
        <v>617</v>
      </c>
      <c r="G226" s="2" t="s">
        <v>467</v>
      </c>
      <c r="H226" s="7"/>
      <c r="I226" s="4">
        <v>2318</v>
      </c>
      <c r="J226" s="7"/>
      <c r="K226" s="16" t="s">
        <v>584</v>
      </c>
      <c r="L226" s="16" t="s">
        <v>638</v>
      </c>
      <c r="M226" s="79"/>
    </row>
    <row r="227" spans="1:13" x14ac:dyDescent="0.3">
      <c r="A227" s="2" t="s">
        <v>624</v>
      </c>
      <c r="B227" s="2" t="s">
        <v>625</v>
      </c>
      <c r="C227" s="2" t="s">
        <v>292</v>
      </c>
      <c r="D227" s="2" t="s">
        <v>210</v>
      </c>
      <c r="E227" s="111">
        <v>42370</v>
      </c>
      <c r="F227" s="2" t="s">
        <v>617</v>
      </c>
      <c r="G227" s="2" t="s">
        <v>467</v>
      </c>
      <c r="H227" s="7"/>
      <c r="I227" s="4">
        <v>2356</v>
      </c>
      <c r="J227" s="7"/>
      <c r="K227" s="16" t="s">
        <v>584</v>
      </c>
      <c r="L227" s="16" t="s">
        <v>637</v>
      </c>
      <c r="M227" s="79"/>
    </row>
    <row r="228" spans="1:13" x14ac:dyDescent="0.3">
      <c r="A228" s="2" t="s">
        <v>103</v>
      </c>
      <c r="B228" s="2" t="s">
        <v>605</v>
      </c>
      <c r="C228" s="2" t="s">
        <v>11</v>
      </c>
      <c r="D228" s="2" t="s">
        <v>210</v>
      </c>
      <c r="E228" s="111">
        <v>42005</v>
      </c>
      <c r="F228" s="2" t="s">
        <v>618</v>
      </c>
      <c r="G228" s="2" t="s">
        <v>467</v>
      </c>
      <c r="H228" s="7"/>
      <c r="I228" s="7">
        <v>2615</v>
      </c>
      <c r="J228" s="7"/>
      <c r="K228" s="16" t="s">
        <v>584</v>
      </c>
      <c r="L228" s="16" t="s">
        <v>639</v>
      </c>
      <c r="M228" s="79"/>
    </row>
    <row r="229" spans="1:13" x14ac:dyDescent="0.3">
      <c r="A229" s="2" t="s">
        <v>94</v>
      </c>
      <c r="B229" s="2" t="s">
        <v>384</v>
      </c>
      <c r="C229" s="2" t="s">
        <v>41</v>
      </c>
      <c r="D229" s="2" t="s">
        <v>210</v>
      </c>
      <c r="E229" s="111">
        <v>42005</v>
      </c>
      <c r="F229" s="2" t="s">
        <v>618</v>
      </c>
      <c r="G229" s="2" t="s">
        <v>467</v>
      </c>
      <c r="H229" s="7"/>
      <c r="I229" s="7">
        <v>2399</v>
      </c>
      <c r="J229" s="7"/>
      <c r="K229" s="16" t="s">
        <v>584</v>
      </c>
      <c r="L229" s="16" t="s">
        <v>636</v>
      </c>
      <c r="M229" s="79"/>
    </row>
    <row r="230" spans="1:13" x14ac:dyDescent="0.3">
      <c r="A230" s="2" t="s">
        <v>254</v>
      </c>
      <c r="B230" s="2" t="s">
        <v>404</v>
      </c>
      <c r="C230" s="2" t="s">
        <v>41</v>
      </c>
      <c r="D230" s="2" t="s">
        <v>210</v>
      </c>
      <c r="E230" s="111">
        <v>42005</v>
      </c>
      <c r="F230" s="2" t="s">
        <v>618</v>
      </c>
      <c r="G230" s="2" t="s">
        <v>467</v>
      </c>
      <c r="H230" s="7"/>
      <c r="I230" s="7">
        <v>2116</v>
      </c>
      <c r="J230" s="7"/>
      <c r="K230" s="16" t="s">
        <v>584</v>
      </c>
      <c r="L230" s="16" t="s">
        <v>638</v>
      </c>
      <c r="M230" s="79"/>
    </row>
    <row r="231" spans="1:13" x14ac:dyDescent="0.3">
      <c r="A231" s="2" t="s">
        <v>626</v>
      </c>
      <c r="B231" s="2" t="s">
        <v>627</v>
      </c>
      <c r="C231" s="2" t="s">
        <v>11</v>
      </c>
      <c r="D231" s="2" t="s">
        <v>210</v>
      </c>
      <c r="E231" s="111">
        <v>42005</v>
      </c>
      <c r="F231" s="2" t="s">
        <v>618</v>
      </c>
      <c r="G231" s="2" t="s">
        <v>467</v>
      </c>
      <c r="H231" s="7"/>
      <c r="I231" s="7">
        <v>2333</v>
      </c>
      <c r="J231" s="7"/>
      <c r="K231" s="16" t="s">
        <v>584</v>
      </c>
      <c r="L231" s="16" t="s">
        <v>637</v>
      </c>
      <c r="M231" s="79"/>
    </row>
    <row r="232" spans="1:13" x14ac:dyDescent="0.3">
      <c r="A232" s="2" t="s">
        <v>607</v>
      </c>
      <c r="B232" s="2" t="s">
        <v>606</v>
      </c>
      <c r="C232" s="2" t="s">
        <v>11</v>
      </c>
      <c r="D232" s="2" t="s">
        <v>210</v>
      </c>
      <c r="E232" s="111">
        <v>41640</v>
      </c>
      <c r="F232" s="2" t="s">
        <v>619</v>
      </c>
      <c r="G232" s="2" t="s">
        <v>467</v>
      </c>
      <c r="H232" s="7"/>
      <c r="I232" s="4">
        <v>2667</v>
      </c>
      <c r="J232" s="7"/>
      <c r="K232" s="16" t="s">
        <v>584</v>
      </c>
      <c r="L232" s="16" t="s">
        <v>636</v>
      </c>
      <c r="M232" s="79"/>
    </row>
    <row r="233" spans="1:13" x14ac:dyDescent="0.3">
      <c r="A233" s="2" t="s">
        <v>103</v>
      </c>
      <c r="B233" s="2" t="s">
        <v>605</v>
      </c>
      <c r="C233" s="2" t="s">
        <v>11</v>
      </c>
      <c r="D233" s="2" t="s">
        <v>210</v>
      </c>
      <c r="E233" s="111">
        <v>41640</v>
      </c>
      <c r="F233" s="2" t="s">
        <v>619</v>
      </c>
      <c r="G233" s="2" t="s">
        <v>467</v>
      </c>
      <c r="H233" s="7"/>
      <c r="I233" s="4">
        <v>2599</v>
      </c>
      <c r="J233" s="7"/>
      <c r="K233" s="16" t="s">
        <v>584</v>
      </c>
      <c r="L233" s="16" t="s">
        <v>639</v>
      </c>
      <c r="M233" s="79"/>
    </row>
  </sheetData>
  <sheetProtection selectLockedCells="1" autoFilter="0"/>
  <mergeCells count="41">
    <mergeCell ref="U82:V82"/>
    <mergeCell ref="U83:V83"/>
    <mergeCell ref="O78:P78"/>
    <mergeCell ref="O79:P79"/>
    <mergeCell ref="U40:V40"/>
    <mergeCell ref="U41:V41"/>
    <mergeCell ref="U48:V48"/>
    <mergeCell ref="U49:V49"/>
    <mergeCell ref="U53:V53"/>
    <mergeCell ref="U54:V54"/>
    <mergeCell ref="U75:V75"/>
    <mergeCell ref="U76:V76"/>
    <mergeCell ref="U68:V68"/>
    <mergeCell ref="U69:V69"/>
    <mergeCell ref="U60:V60"/>
    <mergeCell ref="U61:V61"/>
    <mergeCell ref="O45:P45"/>
    <mergeCell ref="O50:P50"/>
    <mergeCell ref="O51:P51"/>
    <mergeCell ref="O56:P56"/>
    <mergeCell ref="O57:P57"/>
    <mergeCell ref="A3:B3"/>
    <mergeCell ref="A4:B4"/>
    <mergeCell ref="U3:AL3"/>
    <mergeCell ref="U4:AL4"/>
    <mergeCell ref="U16:AC16"/>
    <mergeCell ref="U17:AC17"/>
    <mergeCell ref="O44:P44"/>
    <mergeCell ref="O64:P64"/>
    <mergeCell ref="O69:P69"/>
    <mergeCell ref="O70:P70"/>
    <mergeCell ref="A1:AO1"/>
    <mergeCell ref="U106:V106"/>
    <mergeCell ref="U107:V107"/>
    <mergeCell ref="U88:V88"/>
    <mergeCell ref="U89:V89"/>
    <mergeCell ref="U94:V94"/>
    <mergeCell ref="U95:V95"/>
    <mergeCell ref="O3:S3"/>
    <mergeCell ref="O4:S4"/>
    <mergeCell ref="O63:P63"/>
  </mergeCells>
  <phoneticPr fontId="18" type="noConversion"/>
  <dataValidations count="21">
    <dataValidation type="whole" operator="greaterThan" allowBlank="1" showInputMessage="1" showErrorMessage="1" sqref="AA6:AA14 AE6:AE14 I213:J229 I41:J211" xr:uid="{A6F476D3-34A6-4564-B977-3EC6F8027514}">
      <formula1>0</formula1>
    </dataValidation>
    <dataValidation type="list" operator="lessThanOrEqual" allowBlank="1" showInputMessage="1" showErrorMessage="1" sqref="E4" xr:uid="{31AEDFA7-A731-4739-9323-B9299B154448}">
      <formula1>"2023,2022,2021"</formula1>
    </dataValidation>
    <dataValidation operator="greaterThan" allowBlank="1" showInputMessage="1" showErrorMessage="1" sqref="AC19:AC38" xr:uid="{D4E293F3-5925-423A-B7E6-C7A870A088CC}"/>
    <dataValidation type="date" operator="notEqual" allowBlank="1" showInputMessage="1" showErrorMessage="1" sqref="W6:AA14 E30:E31 E39:E229 E10:E11" xr:uid="{995515D0-D0FA-4310-9DEF-89E55AC8612E}">
      <formula1>1</formula1>
    </dataValidation>
    <dataValidation type="list" allowBlank="1" showInputMessage="1" showErrorMessage="1" sqref="W6:AA14" xr:uid="{5E62C165-01F6-4AEF-84D2-76EA0245FADC}">
      <formula1>tbl_Event_Event_d3</formula1>
    </dataValidation>
    <dataValidation type="list" allowBlank="1" showInputMessage="1" showErrorMessage="1" sqref="V6:V14" xr:uid="{820500B3-A3B6-4537-8C3B-DECC834A4F7B}">
      <formula1>tbl_Event_d3</formula1>
    </dataValidation>
    <dataValidation type="list" allowBlank="1" showInputMessage="1" showErrorMessage="1" sqref="V19:V38" xr:uid="{290F5728-1645-4B8C-89F7-EA85762D24C7}">
      <formula1>tbl_Event_år_d2</formula1>
    </dataValidation>
    <dataValidation type="decimal" operator="greaterThan" allowBlank="1" showInputMessage="1" showErrorMessage="1" sqref="AB19:AB37" xr:uid="{9DD8EDCF-078E-43AF-BD35-F30C55EDB260}">
      <formula1>0</formula1>
    </dataValidation>
    <dataValidation type="list" allowBlank="1" showInputMessage="1" showErrorMessage="1" sqref="W19:W38" xr:uid="{A1D8B85C-6DEA-492A-B5EC-7FAE04FF5AD8}">
      <formula1>tbl_Billettype_d2</formula1>
    </dataValidation>
    <dataValidation type="whole" operator="greaterThanOrEqual" allowBlank="1" showInputMessage="1" showErrorMessage="1" sqref="Z19:AA38 M6:M233" xr:uid="{C02E790C-FCF6-4E20-873C-7EA8BE773038}">
      <formula1>0</formula1>
    </dataValidation>
    <dataValidation type="list" operator="greaterThan" allowBlank="1" showInputMessage="1" showErrorMessage="1" sqref="AB6:AB14" xr:uid="{7E8B65CD-F32D-4C5A-B437-1D9A95F7D23D}">
      <formula1>tbl_TRUE_FALSE_d1</formula1>
    </dataValidation>
    <dataValidation type="list" operator="notEqual" allowBlank="1" showInputMessage="1" showErrorMessage="1" sqref="AB6:AB14" xr:uid="{02D0B2AF-54F7-4C1E-9CA7-14EDCAC391F6}">
      <formula1>"T,F"</formula1>
    </dataValidation>
    <dataValidation type="custom" operator="equal" allowBlank="1" showInputMessage="1" showErrorMessage="1" sqref="Q6:Q42" xr:uid="{D0D8FAA3-E30F-4225-BF34-3E954C56276F}">
      <formula1>OR(AND(LEN(Q6)=4,ISNUMBER(Q6)),Q6="(Ukendt postnr.)")</formula1>
    </dataValidation>
    <dataValidation type="list" allowBlank="1" showInputMessage="1" showErrorMessage="1" sqref="L6:L233" xr:uid="{C37D04EF-685C-4934-BCD0-B8BEC449689D}">
      <formula1>tbl_Placering_d1</formula1>
    </dataValidation>
    <dataValidation type="list" operator="greaterThan" allowBlank="1" showInputMessage="1" showErrorMessage="1" sqref="K6:K233" xr:uid="{C52127B1-26B4-4269-BE5A-02B6EA5B3663}">
      <formula1>tbl_Slutspil_d1</formula1>
    </dataValidation>
    <dataValidation type="list" allowBlank="1" showInputMessage="1" showErrorMessage="1" sqref="H6:H233" xr:uid="{0255797E-4E81-4544-9E2C-D20936C81EEA}">
      <formula1>"1,2,3,4"</formula1>
    </dataValidation>
    <dataValidation type="list" allowBlank="1" showInputMessage="1" showErrorMessage="1" sqref="G6:G233" xr:uid="{37448FD3-2493-4F82-92A5-A1EB8776A481}">
      <formula1>tbl_Tilmeldingsstatus_d1</formula1>
    </dataValidation>
    <dataValidation type="list" allowBlank="1" showInputMessage="1" showErrorMessage="1" sqref="F6:F233" xr:uid="{5CD19BE0-973F-4A32-8BDF-0EAFB785A627}">
      <formula1>tbl_Event_år_billettype_d1</formula1>
    </dataValidation>
    <dataValidation type="list" allowBlank="1" showInputMessage="1" showErrorMessage="1" sqref="C6:C233" xr:uid="{CBC35E08-8F2F-4FB1-9A03-74B97E17AF2D}">
      <formula1>tbl_Bordtennisklub_d1</formula1>
    </dataValidation>
    <dataValidation type="list" allowBlank="1" showInputMessage="1" showErrorMessage="1" sqref="D6:D233" xr:uid="{C7D62BCA-6D60-42CE-9BC6-E5DEA3F592D3}">
      <formula1>tbl_Køn_d1</formula1>
    </dataValidation>
    <dataValidation type="custom" allowBlank="1" showInputMessage="1" showErrorMessage="1" sqref="A6:A233" xr:uid="{63C00698-7C67-44DF-9DA2-50E1FCF08326}">
      <formula1>AND(LEN(A6)=11,ISNUMBER(VALUE(LEFT(A6,6))),MID(A6,7,1)="‑")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21" orientation="landscape" r:id="rId1"/>
  <headerFooter>
    <oddHeader>&amp;C&amp;D
&amp;F</oddHeader>
    <oddFooter>&amp;CSide &amp;"-,Fed"&amp;P&amp;"-,Normal" af &amp;"-,Fed"&amp;N</oddFooter>
  </headerFooter>
  <picture r:id="rId2"/>
  <tableParts count="20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CB4BC-225F-497A-B224-E61D0EEF76A2}">
  <sheetPr codeName="Ark1">
    <tabColor theme="4" tint="-0.499984740745262"/>
    <pageSetUpPr fitToPage="1"/>
  </sheetPr>
  <dimension ref="A1:AA129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AO1"/>
    </sheetView>
  </sheetViews>
  <sheetFormatPr defaultColWidth="8.88671875" defaultRowHeight="14.4" x14ac:dyDescent="0.3"/>
  <cols>
    <col min="1" max="1" width="6" bestFit="1" customWidth="1"/>
    <col min="2" max="2" width="89.21875" bestFit="1" customWidth="1"/>
    <col min="4" max="4" width="6" bestFit="1" customWidth="1"/>
    <col min="5" max="5" width="113.44140625" bestFit="1" customWidth="1"/>
    <col min="7" max="7" width="12" bestFit="1" customWidth="1"/>
    <col min="8" max="8" width="35" bestFit="1" customWidth="1"/>
    <col min="9" max="9" width="48.109375" bestFit="1" customWidth="1"/>
    <col min="10" max="10" width="16.44140625" bestFit="1" customWidth="1"/>
    <col min="11" max="11" width="16.5546875" bestFit="1" customWidth="1"/>
    <col min="13" max="13" width="3.5546875" bestFit="1" customWidth="1"/>
    <col min="14" max="14" width="34" bestFit="1" customWidth="1"/>
    <col min="15" max="15" width="5.44140625" bestFit="1" customWidth="1"/>
    <col min="16" max="16" width="9.77734375" bestFit="1" customWidth="1"/>
    <col min="17" max="17" width="17.6640625" bestFit="1" customWidth="1"/>
    <col min="19" max="19" width="3.5546875" bestFit="1" customWidth="1"/>
    <col min="20" max="20" width="25.5546875" bestFit="1" customWidth="1"/>
    <col min="21" max="21" width="15.88671875" bestFit="1" customWidth="1"/>
    <col min="22" max="22" width="5.44140625" bestFit="1" customWidth="1"/>
    <col min="23" max="23" width="8.77734375" bestFit="1" customWidth="1"/>
    <col min="24" max="24" width="16.6640625" bestFit="1" customWidth="1"/>
    <col min="25" max="25" width="17.6640625" bestFit="1" customWidth="1"/>
    <col min="26" max="26" width="27.44140625" bestFit="1" customWidth="1"/>
    <col min="27" max="27" width="8.109375" bestFit="1" customWidth="1"/>
    <col min="32" max="32" width="3.5546875" bestFit="1" customWidth="1"/>
    <col min="33" max="33" width="25.109375" bestFit="1" customWidth="1"/>
    <col min="34" max="34" width="13.88671875" bestFit="1" customWidth="1"/>
    <col min="35" max="35" width="5.44140625" bestFit="1" customWidth="1"/>
    <col min="36" max="36" width="9" bestFit="1" customWidth="1"/>
    <col min="37" max="37" width="16.6640625" bestFit="1" customWidth="1"/>
    <col min="38" max="38" width="19.77734375" bestFit="1" customWidth="1"/>
    <col min="39" max="39" width="27.44140625" bestFit="1" customWidth="1"/>
    <col min="40" max="40" width="8.109375" bestFit="1" customWidth="1"/>
    <col min="41" max="41" width="27.44140625" bestFit="1" customWidth="1"/>
  </cols>
  <sheetData>
    <row r="1" spans="1:27" ht="31.2" x14ac:dyDescent="0.6">
      <c r="A1" s="117" t="s">
        <v>180</v>
      </c>
      <c r="B1" s="117"/>
      <c r="D1" s="117" t="s">
        <v>176</v>
      </c>
      <c r="E1" s="117"/>
      <c r="G1" s="117" t="s">
        <v>222</v>
      </c>
      <c r="H1" s="117"/>
      <c r="I1" s="117"/>
      <c r="J1" s="117"/>
      <c r="K1" s="117"/>
      <c r="M1" s="117" t="s">
        <v>512</v>
      </c>
      <c r="N1" s="117"/>
      <c r="O1" s="117"/>
      <c r="P1" s="117"/>
      <c r="Q1" s="117"/>
      <c r="S1" s="117" t="s">
        <v>146</v>
      </c>
      <c r="T1" s="117"/>
      <c r="U1" s="117"/>
      <c r="V1" s="117"/>
      <c r="W1" s="117"/>
      <c r="X1" s="117"/>
      <c r="Y1" s="117"/>
      <c r="Z1" s="117"/>
      <c r="AA1" s="117"/>
    </row>
    <row r="2" spans="1:27" x14ac:dyDescent="0.3">
      <c r="A2" s="147" t="str">
        <f>'🗂️ Filtre nøgletal'!$A$2</f>
        <v>🔃 Opdateret 15-05-2023 kl. 22:36</v>
      </c>
      <c r="B2" s="147"/>
      <c r="D2" s="147" t="str">
        <f>'🗂️ Filtre nøgletal'!$A$2</f>
        <v>🔃 Opdateret 15-05-2023 kl. 22:36</v>
      </c>
      <c r="E2" s="147"/>
      <c r="G2" s="147" t="str">
        <f>'🗂️ Filtre nøgletal'!$A$2</f>
        <v>🔃 Opdateret 15-05-2023 kl. 22:36</v>
      </c>
      <c r="H2" s="147"/>
      <c r="I2" s="147"/>
      <c r="J2" s="147"/>
      <c r="K2" s="147"/>
      <c r="M2" s="147" t="str">
        <f>'🗂️ Filtre nøgletal'!$A$2</f>
        <v>🔃 Opdateret 15-05-2023 kl. 22:36</v>
      </c>
      <c r="N2" s="147"/>
      <c r="O2" s="147"/>
      <c r="P2" s="147"/>
      <c r="Q2" s="147"/>
      <c r="S2" s="147" t="str">
        <f>'🗂️ Filtre nøgletal'!$A$2</f>
        <v>🔃 Opdateret 15-05-2023 kl. 22:36</v>
      </c>
      <c r="T2" s="147"/>
      <c r="U2" s="147"/>
      <c r="V2" s="147"/>
      <c r="W2" s="147"/>
      <c r="X2" s="147"/>
      <c r="Y2" s="147"/>
      <c r="Z2" s="147"/>
      <c r="AA2" s="147"/>
    </row>
    <row r="3" spans="1:27" x14ac:dyDescent="0.3">
      <c r="G3" s="128" t="s">
        <v>185</v>
      </c>
      <c r="H3" s="128"/>
      <c r="I3" s="128"/>
      <c r="J3" s="128"/>
      <c r="K3" s="128"/>
      <c r="M3" s="128" t="s">
        <v>513</v>
      </c>
      <c r="N3" s="128"/>
      <c r="O3" s="128"/>
      <c r="P3" s="128"/>
      <c r="Q3" s="128"/>
      <c r="S3" s="128" t="s">
        <v>331</v>
      </c>
      <c r="T3" s="128"/>
      <c r="U3" s="128"/>
      <c r="V3" s="128"/>
      <c r="W3" s="128"/>
      <c r="X3" s="128"/>
      <c r="Y3" s="128"/>
      <c r="Z3" s="128"/>
    </row>
    <row r="4" spans="1:27" x14ac:dyDescent="0.3">
      <c r="B4" s="145" t="s">
        <v>202</v>
      </c>
      <c r="E4" s="20" t="s">
        <v>192</v>
      </c>
      <c r="G4" s="128"/>
      <c r="H4" s="128"/>
      <c r="I4" s="128"/>
      <c r="J4" s="128"/>
      <c r="K4" s="128"/>
      <c r="M4" s="128"/>
      <c r="N4" s="128"/>
      <c r="O4" s="128"/>
      <c r="P4" s="128"/>
      <c r="Q4" s="128"/>
      <c r="S4" s="128"/>
      <c r="T4" s="128"/>
      <c r="U4" s="128"/>
      <c r="V4" s="128"/>
      <c r="W4" s="128"/>
      <c r="X4" s="128"/>
      <c r="Y4" s="128"/>
      <c r="Z4" s="128"/>
    </row>
    <row r="5" spans="1:27" x14ac:dyDescent="0.3">
      <c r="B5" s="146"/>
      <c r="E5" s="20" t="s">
        <v>175</v>
      </c>
      <c r="G5" s="148" t="s">
        <v>197</v>
      </c>
      <c r="H5" s="148"/>
      <c r="I5" s="148"/>
      <c r="J5" s="148"/>
      <c r="K5" s="148"/>
      <c r="M5" s="148" t="str">
        <f>$G$5</f>
        <v>Input:</v>
      </c>
      <c r="N5" s="148"/>
      <c r="O5" s="148"/>
      <c r="P5" s="148"/>
      <c r="Q5" s="148"/>
      <c r="S5" s="148" t="s">
        <v>330</v>
      </c>
      <c r="T5" s="148"/>
      <c r="U5" s="148"/>
      <c r="V5" s="148"/>
      <c r="W5" s="148"/>
      <c r="X5" s="148"/>
      <c r="Y5" s="148"/>
      <c r="Z5" s="148"/>
    </row>
    <row r="6" spans="1:27" x14ac:dyDescent="0.3">
      <c r="B6" s="70" t="s">
        <v>196</v>
      </c>
      <c r="E6" s="20" t="str">
        <f>"🕥 Der kan foretages drive-in helt frem til check-in-tidspunktet på stævnedagen, som er kl. 10:00, op til max "&amp;$K$6&amp;" deltagere, her på siden."</f>
        <v>🕥 Der kan foretages drive-in helt frem til check-in-tidspunktet på stævnedagen, som er kl. 10:00, op til max 96 deltagere, her på siden.</v>
      </c>
      <c r="G6" s="137" t="s">
        <v>353</v>
      </c>
      <c r="H6" s="137"/>
      <c r="I6" s="137"/>
      <c r="J6" s="137"/>
      <c r="K6" s="23" vm="11">
        <f>CUBEVALUE("ThisWorkbookDataModel",
CUBEMEMBER("ThisWorkbookDataModel","[Billettype_d2].[K: Billettype emoji].&amp;[🏓]"),
CUBEMEMBER("ThisWorkbookDataModel","[Measures].[🎫 Aktuel billetantal maks.]"))</f>
        <v>96</v>
      </c>
      <c r="M6" s="149" t="str">
        <f>$G$6</f>
        <v>👥 Billetantal maks.</v>
      </c>
      <c r="N6" s="149"/>
      <c r="O6" s="149"/>
      <c r="P6" s="149"/>
      <c r="Q6" s="23" vm="14">
        <f>CUBEVALUE("ThisWorkbookDataModel",
CUBEMEMBER("ThisWorkbookDataModel","[Billettype_d2].[K: Billettype emoji].&amp;[🥳]"),
CUBEMEMBER("ThisWorkbookDataModel","[Measures].[🎫 Aktuel billetantal maks.]"))</f>
        <v>150</v>
      </c>
      <c r="S6" s="163"/>
      <c r="T6" s="164"/>
      <c r="U6" s="164"/>
      <c r="V6" s="165"/>
      <c r="W6" s="175" t="s">
        <v>337</v>
      </c>
      <c r="X6" s="175"/>
      <c r="Y6" s="175"/>
      <c r="Z6" s="175" t="s">
        <v>338</v>
      </c>
      <c r="AA6" s="175"/>
    </row>
    <row r="7" spans="1:27" x14ac:dyDescent="0.3">
      <c r="B7" s="146" t="s">
        <v>193</v>
      </c>
      <c r="E7" s="20" t="str">
        <f>'🗂️ Filtre nøgletal'!$A$2</f>
        <v>🔃 Opdateret 15-05-2023 kl. 22:36</v>
      </c>
      <c r="G7" s="137" t="s">
        <v>189</v>
      </c>
      <c r="H7" s="137"/>
      <c r="I7" s="137"/>
      <c r="J7" s="137"/>
      <c r="K7" s="23" vm="9">
        <f>CUBEVALUE("ThisWorkbookDataModel",
CUBEMEMBER("ThisWorkbookDataModel","[Billettype_d2].[K: Billettype emoji].&amp;[🏓]"),
CUBEMEMBER("ThisWorkbookDataModel","[Measures].[👥 Aktuel tilmeldingsantal]"))</f>
        <v>24</v>
      </c>
      <c r="M7" s="149" t="str">
        <f>$G$7</f>
        <v>👥 Tilmeldingsantal aktuel</v>
      </c>
      <c r="N7" s="149"/>
      <c r="O7" s="149"/>
      <c r="P7" s="149"/>
      <c r="Q7" s="23" vm="10">
        <f>CUBEVALUE("ThisWorkbookDataModel",
CUBEMEMBER("ThisWorkbookDataModel","[Billettype_d2].[K: Billettype emoji].&amp;[🥳]"),
CUBEMEMBER("ThisWorkbookDataModel","[Measures].[👥 Aktuel tilmeldingsantal]"))</f>
        <v>15</v>
      </c>
      <c r="S7" s="166" t="s">
        <v>350</v>
      </c>
      <c r="T7" s="167"/>
      <c r="U7" s="167"/>
      <c r="V7" s="168"/>
      <c r="W7" s="153" t="e">
        <f>TEXT(N($K$7),"#.##0")&amp;" × "&amp;TEXT(N($K$10),"kr. -#.##0")&amp;" = "&amp;TEXT(N($I$26),"kr. -#.##0")
&amp;" ("&amp;TEXT(N($I$26)/N(SUM($I$26,$K$33,$P$17,$P$19)),"0%")&amp;")"</f>
        <v>#N/A</v>
      </c>
      <c r="X7" s="153"/>
      <c r="Y7" s="153"/>
      <c r="Z7" s="153" t="e">
        <f>TEXT(N($K$6),"#.##0")&amp;" × "&amp;TEXT(N($K$10),"kr. -#.##0")&amp;" = "&amp;TEXT(N($K$26),"kr. -#.##0")
&amp;" ("&amp;TEXT(N($K$26)/N(SUM($K$26,$K$34,$Q$17,$Q$19)),"0%")&amp;")"</f>
        <v>#N/A</v>
      </c>
      <c r="AA7" s="153"/>
    </row>
    <row r="8" spans="1:27" x14ac:dyDescent="0.3">
      <c r="B8" s="146"/>
      <c r="D8" s="45"/>
      <c r="E8" s="45"/>
      <c r="G8" s="137" t="s">
        <v>354</v>
      </c>
      <c r="H8" s="137"/>
      <c r="I8" s="137"/>
      <c r="J8" s="137"/>
      <c r="K8" s="73" vm="12">
        <f>CUBEVALUE("ThisWorkbookDataModel",CUBEMEMBER("ThisWorkbookDataModel",
"[Billettype_d2].[K: Billettype emoji].&amp;[🏓]"),
CUBEMEMBER("ThisWorkbookDataModel","[Measures].[💲 Aktuel billetpris]"))</f>
        <v>150</v>
      </c>
      <c r="M8" s="149" t="str">
        <f>$G$8</f>
        <v>💲 Billetpris</v>
      </c>
      <c r="N8" s="149"/>
      <c r="O8" s="149"/>
      <c r="P8" s="149"/>
      <c r="Q8" s="73" vm="13">
        <f>CUBEVALUE("ThisWorkbookDataModel",CUBEMEMBER("ThisWorkbookDataModel",
"[Billettype_d2].[K: Billettype emoji].&amp;[🥳]"),
CUBEMEMBER("ThisWorkbookDataModel","[Measures].[💲 Aktuel billetpris]"))</f>
        <v>200</v>
      </c>
      <c r="S8" s="169" t="s">
        <v>332</v>
      </c>
      <c r="T8" s="170"/>
      <c r="U8" s="170"/>
      <c r="V8" s="171"/>
      <c r="W8" s="154" t="e">
        <f>TEXT(N($K$7),"#.##0")&amp;" × "&amp;TEXT(N($K$11),"kr. -#.##0")&amp;" = "&amp;TEXT(N($K$33),"kr. -#.##0")
&amp;" ("&amp;TEXT(N($K$33)/N(SUM($I$26,$K$33,$P$17,$P$19)),"0%")&amp;")"</f>
        <v>#N/A</v>
      </c>
      <c r="X8" s="154"/>
      <c r="Y8" s="154"/>
      <c r="Z8" s="154" t="e">
        <f>TEXT(N($K$6),"#.##0")&amp;" × "&amp;TEXT(N($K$11),"kr. -#.##0")&amp;" = "&amp;TEXT(N($K$34),"kr. -#.##0")
&amp;" ("&amp;TEXT(N($K$34)/N(SUM($K$26,$K$34,$Q$17,$Q$19)),"0%")&amp;")"</f>
        <v>#N/A</v>
      </c>
      <c r="AA8" s="154"/>
    </row>
    <row r="9" spans="1:27" x14ac:dyDescent="0.3">
      <c r="B9" s="70" t="s">
        <v>194</v>
      </c>
      <c r="D9" s="128"/>
      <c r="E9" s="132" t="s">
        <v>184</v>
      </c>
      <c r="G9" s="137" t="s">
        <v>188</v>
      </c>
      <c r="H9" s="137"/>
      <c r="I9" s="137"/>
      <c r="J9" s="137"/>
      <c r="K9" s="74">
        <v>0.8</v>
      </c>
      <c r="M9" s="149" t="s">
        <v>218</v>
      </c>
      <c r="N9" s="149"/>
      <c r="O9" s="149"/>
      <c r="P9" s="149"/>
      <c r="Q9" s="97">
        <v>70</v>
      </c>
      <c r="S9" s="163" t="s">
        <v>336</v>
      </c>
      <c r="T9" s="164"/>
      <c r="U9" s="164"/>
      <c r="V9" s="165"/>
      <c r="W9" s="158" t="e">
        <f>TEXT(N($K$7),"#.##0")&amp;" × "&amp;TEXT(N($K$8),"kr. -#.##0")&amp;" = "&amp;TEXT(N(SUM($I$26,$K$33)),"kr. -#.##0")
&amp;" ("&amp;TEXT(N(SUM($I$26,$K$33))/N(SUM($I$26,$K$33,$P$17,$P$19)),"0%")&amp;")"</f>
        <v>#N/A</v>
      </c>
      <c r="X9" s="158"/>
      <c r="Y9" s="158"/>
      <c r="Z9" s="155" t="e">
        <f>TEXT(N($K$6),"#.##0")&amp;" × "&amp;TEXT(N($K$8),"kr. -#.##0")&amp;" = "&amp;TEXT(N(SUM($K$26,$K$34)),"kr. -#.##0")
&amp;" ("&amp;TEXT(N(SUM($K$26,$K$34))/N(SUM($K$26,$K$34,$Q$17,$Q$19)),"0%")&amp;")"</f>
        <v>#N/A</v>
      </c>
      <c r="AA9" s="155"/>
    </row>
    <row r="10" spans="1:27" x14ac:dyDescent="0.3">
      <c r="B10" s="71" t="s">
        <v>122</v>
      </c>
      <c r="D10" s="128"/>
      <c r="E10" s="138"/>
      <c r="G10" s="137" t="s">
        <v>129</v>
      </c>
      <c r="H10" s="137"/>
      <c r="I10" s="137"/>
      <c r="J10" s="137"/>
      <c r="K10" s="32">
        <f>ABS($K$8*$K$9)</f>
        <v>120</v>
      </c>
      <c r="M10" s="149" t="s">
        <v>221</v>
      </c>
      <c r="N10" s="149"/>
      <c r="O10" s="149"/>
      <c r="P10" s="149"/>
      <c r="Q10" s="97">
        <v>76</v>
      </c>
      <c r="S10" s="166" t="s">
        <v>514</v>
      </c>
      <c r="T10" s="167"/>
      <c r="U10" s="167"/>
      <c r="V10" s="168"/>
      <c r="W10" s="159" t="e">
        <f>TEXT(N($Q$7),"#.##0")&amp;" × "&amp;TEXT(N(SUM($Q$9,$Q$10)),"kr. -#.##0")&amp;" = "&amp;TEXT(N($P$17),"kr. -#.##0")
&amp;" ("&amp;TEXT(N($P$17)/N(SUM($I$26,$K$33,$P$17,$P$19)),"0%")&amp;")"</f>
        <v>#N/A</v>
      </c>
      <c r="X10" s="160"/>
      <c r="Y10" s="161"/>
      <c r="Z10" s="159" t="e">
        <f>TEXT(N($Q$6),"#.##0")&amp;" × "&amp;TEXT(N(SUM($Q$9,$Q$10)),"kr. -#.##0")&amp;" = "&amp;TEXT(N($Q$17),"kr. -#.##0")
&amp;" ("&amp;TEXT(N($Q$17)/N(SUM($I$26,$K$33,$Q$17,$Q$19)),"0%")&amp;")"</f>
        <v>#N/A</v>
      </c>
      <c r="AA10" s="161"/>
    </row>
    <row r="11" spans="1:27" x14ac:dyDescent="0.3">
      <c r="D11" s="53" t="str">
        <f>$A$20</f>
        <v>Punkt</v>
      </c>
      <c r="E11" s="54" t="str">
        <f>$B$20</f>
        <v>Tidsplan</v>
      </c>
      <c r="G11" s="137" t="s">
        <v>130</v>
      </c>
      <c r="H11" s="137"/>
      <c r="I11" s="137"/>
      <c r="J11" s="137"/>
      <c r="K11" s="32">
        <f>ABS($K$8-$K$10)</f>
        <v>30</v>
      </c>
      <c r="M11" s="149" t="s">
        <v>462</v>
      </c>
      <c r="N11" s="149"/>
      <c r="O11" s="149"/>
      <c r="P11" s="149"/>
      <c r="Q11" s="97">
        <v>4</v>
      </c>
      <c r="S11" s="169" t="s">
        <v>462</v>
      </c>
      <c r="T11" s="170"/>
      <c r="U11" s="170"/>
      <c r="V11" s="171"/>
      <c r="W11" s="150" t="e">
        <f>TEXT(N($Q$7),"#.##0")&amp;" × "&amp;TEXT(N($Q$11),"kr. -#.##0")&amp;" = "&amp;TEXT(N($P$19),"kr. -#.##0")
&amp;" ("&amp;TEXT(N($P$19)/N(SUM($I$26,$K$33,$P$17,$P$19)),"0%")&amp;")"</f>
        <v>#N/A</v>
      </c>
      <c r="X11" s="151"/>
      <c r="Y11" s="152"/>
      <c r="Z11" s="150" t="e">
        <f>TEXT(N($Q$6),"#.##0")&amp;" × "&amp;TEXT(N($Q$11),"kr. -#.##0")&amp;" = "&amp;TEXT(N($Q$19),"kr. -#.##0")
&amp;" ("&amp;TEXT(N($Q$19)/N(SUM($I$26,$K$33,$Q$17,$Q$19)),"0%")&amp;")"</f>
        <v>#N/A</v>
      </c>
      <c r="AA11" s="152"/>
    </row>
    <row r="12" spans="1:27" x14ac:dyDescent="0.3">
      <c r="B12" s="20" t="s">
        <v>190</v>
      </c>
      <c r="D12" s="55" t="s">
        <v>170</v>
      </c>
      <c r="E12" s="56" t="s">
        <v>461</v>
      </c>
      <c r="S12" s="163" t="s">
        <v>515</v>
      </c>
      <c r="T12" s="164"/>
      <c r="U12" s="164"/>
      <c r="V12" s="165"/>
      <c r="W12" s="158" t="e">
        <f>TEXT(N($Q$7),"#.##0")&amp;" × "&amp;TEXT(N($Q$8),"kr. -#.##0")&amp;" = "&amp;TEXT(N(SUM($P$17,$P$19)),"kr. -#.##0")
&amp;" ("&amp;TEXT(N(SUM($P$17,$P$19))/N(SUM($I$26,$K$33,$P$17,$P$19)),"0%")&amp;")"</f>
        <v>#N/A</v>
      </c>
      <c r="X12" s="158"/>
      <c r="Y12" s="158"/>
      <c r="Z12" s="155" t="e">
        <f>TEXT(N($Q$6),"#.##0")&amp;" × "&amp;TEXT(N($Q$8),"kr. -#.##0")&amp;" = "&amp;TEXT(N(SUM($Q$17,$Q$19)),"kr. -#.##0")
&amp;" ("&amp;TEXT(N(SUM($Q$17,$Q$19))/N(SUM($I$26,$K$33,$Q$17,$Q$19)),"0%")&amp;")"</f>
        <v>#N/A</v>
      </c>
      <c r="AA12" s="155"/>
    </row>
    <row r="13" spans="1:27" x14ac:dyDescent="0.3">
      <c r="B13" s="20" t="str">
        <f>$B$10</f>
        <v>🏃 Meld dig gerne til først som sidst så andre kan se, at DU skal med (først til mølle-princip) 🙌</v>
      </c>
      <c r="D13" s="57" t="s">
        <v>170</v>
      </c>
      <c r="E13" s="58" t="s">
        <v>507</v>
      </c>
      <c r="G13" s="119" t="s">
        <v>200</v>
      </c>
      <c r="H13" s="119"/>
      <c r="I13" s="119"/>
      <c r="J13" s="119"/>
      <c r="K13" s="119"/>
      <c r="M13" s="162" t="e">
        <f>"💲🥳 Arrangørpris for fest om aftenen på "&amp;TEXT($P$17,"kr. #.##0")&amp;" fordeles som følger:"</f>
        <v>#N/A</v>
      </c>
      <c r="N13" s="162"/>
      <c r="O13" s="162"/>
      <c r="P13" s="162"/>
      <c r="Q13" s="162"/>
      <c r="S13" s="172" t="s">
        <v>335</v>
      </c>
      <c r="T13" s="173"/>
      <c r="U13" s="173"/>
      <c r="V13" s="174"/>
      <c r="W13" s="158" t="e">
        <f>TEXT(N(SUM($I$26,$K$33)),"kr. -#.##0")
&amp;" + "&amp;TEXT(N(SUM($P$17,$P$19)),"kr. -#.##0")
&amp;" = "&amp;TEXT(N(SUM($I$26,$K$33,$P$17,$P$19)),"kr. -#.##0")</f>
        <v>#N/A</v>
      </c>
      <c r="X13" s="158"/>
      <c r="Y13" s="158"/>
      <c r="Z13" s="158" t="e">
        <f>TEXT(N(SUM($K$26,$K$34)),"kr. -#.##0")
&amp;" + "&amp;TEXT(N(SUM($Q$17,$Q$19)),"kr. -#.##0")
&amp;" = "&amp;TEXT(N(SUM($K$26,$K$34,$Q$17,$Q$19)),"kr. -#.##0")</f>
        <v>#N/A</v>
      </c>
      <c r="AA13" s="158"/>
    </row>
    <row r="14" spans="1:27" x14ac:dyDescent="0.3">
      <c r="B14" s="20" t="s">
        <v>191</v>
      </c>
      <c r="D14" s="55" t="s">
        <v>170</v>
      </c>
      <c r="E14" s="56" t="s">
        <v>508</v>
      </c>
      <c r="G14" s="119" t="s">
        <v>199</v>
      </c>
      <c r="H14" s="119"/>
      <c r="I14" s="119"/>
      <c r="J14" s="119"/>
      <c r="K14" s="119"/>
      <c r="M14" s="156"/>
      <c r="N14" s="156"/>
      <c r="O14" s="156"/>
      <c r="P14" s="76" t="s">
        <v>324</v>
      </c>
      <c r="Q14" s="77" t="s">
        <v>325</v>
      </c>
    </row>
    <row r="15" spans="1:27" x14ac:dyDescent="0.3">
      <c r="B15" s="20" t="str">
        <f>'🗂️ Filtre nøgletal'!$A$2</f>
        <v>🔃 Opdateret 15-05-2023 kl. 22:36</v>
      </c>
      <c r="D15" s="57" t="s">
        <v>170</v>
      </c>
      <c r="E15" s="58" t="s">
        <v>179</v>
      </c>
      <c r="G15" s="119" t="str">
        <f>"💸 Af spillergebyret på kr. "&amp;TEXT($K$8,"#.##0")&amp;" går kr. "&amp;TEXT($K$10,"#.##0")&amp;" til præmiepenge og kr. "&amp;TEXT($K$11,"#.##0")&amp;" til stævnearrangøren."</f>
        <v>💸 Af spillergebyret på kr. 150 går kr. 120 til præmiepenge og kr. 30 til stævnearrangøren.</v>
      </c>
      <c r="H15" s="119"/>
      <c r="I15" s="119"/>
      <c r="J15" s="119"/>
      <c r="K15" s="119"/>
      <c r="M15" s="157" t="s">
        <v>226</v>
      </c>
      <c r="N15" s="157"/>
      <c r="O15" s="157"/>
      <c r="P15" s="98">
        <f>$Q$7*$Q$9</f>
        <v>1050</v>
      </c>
      <c r="Q15" s="100">
        <f>$Q$6*$Q$9</f>
        <v>10500</v>
      </c>
      <c r="S15" s="120" t="str">
        <f>"🏓 "&amp;COUNTIFS(Tilmeldingsstatus[Billettype],"*🏓*",Tilmeldingsstatus[Status],"*Tilmeldt*")&amp;" tilmeldinger og "
&amp;COUNTIFS(Tilmeldingsstatus[Billettype],"*🏓*",Tilmeldingsstatus[Status],"*Afbud*")&amp;" afbud ("
&amp;COUNTIF(Tilmeldingsstatus[Billettype],"*🏓*")&amp;" billetter)"</f>
        <v>🏓 24 tilmeldinger og 0 afbud (24 billetter)</v>
      </c>
      <c r="T15" s="120"/>
      <c r="U15" s="120"/>
      <c r="V15" s="120"/>
      <c r="W15" s="120"/>
      <c r="X15" s="120"/>
      <c r="Y15" s="120"/>
      <c r="Z15" s="120"/>
      <c r="AA15" s="120"/>
    </row>
    <row r="16" spans="1:27" x14ac:dyDescent="0.3">
      <c r="A16" s="45"/>
      <c r="B16" s="45"/>
      <c r="D16" s="55" t="s">
        <v>170</v>
      </c>
      <c r="E16" s="59" t="s">
        <v>516</v>
      </c>
      <c r="G16" s="119" t="str">
        <f>"💰 Præmiesum på "&amp;TEXT($I$26,"kr. #.##0")&amp;" fordeles på seks placeringer som følger:"</f>
        <v>💰 Præmiesum på kr. 2.880 fordeles på seks placeringer som følger:</v>
      </c>
      <c r="H16" s="119"/>
      <c r="I16" s="119"/>
      <c r="J16" s="119"/>
      <c r="K16" s="119"/>
      <c r="M16" s="121" t="s">
        <v>227</v>
      </c>
      <c r="N16" s="121"/>
      <c r="O16" s="121"/>
      <c r="P16" s="99">
        <f>$Q$7*$Q$10</f>
        <v>1140</v>
      </c>
      <c r="Q16" s="101">
        <f>$Q$6*$Q$10</f>
        <v>11400</v>
      </c>
      <c r="S16" s="120" t="str">
        <f>"🥳 "&amp;COUNTIFS(Tilmeldingsstatus[Billettype],"*🥳*",Tilmeldingsstatus[Status],"*Tilmeldt*")&amp;" tilmeldinger og "
&amp;COUNTIFS(Tilmeldingsstatus[Billettype],"*🥳*",Tilmeldingsstatus[Status],"*Afbud*")&amp;" afbud ("
&amp;COUNTIF(Tilmeldingsstatus[Billettype],"*🥳*")&amp;" billetter)"</f>
        <v>🥳 15 tilmeldinger og 0 afbud (15 billetter)</v>
      </c>
      <c r="T16" s="120"/>
      <c r="U16" s="120"/>
      <c r="V16" s="120"/>
      <c r="W16" s="120"/>
      <c r="X16" s="120"/>
      <c r="Y16" s="120"/>
      <c r="Z16" s="120"/>
      <c r="AA16" s="120"/>
    </row>
    <row r="17" spans="1:27" x14ac:dyDescent="0.3">
      <c r="B17" s="128" t="s">
        <v>181</v>
      </c>
      <c r="D17" s="57" t="s">
        <v>170</v>
      </c>
      <c r="E17" s="58" t="s">
        <v>517</v>
      </c>
      <c r="G17" s="130"/>
      <c r="H17" s="131"/>
      <c r="I17" s="5" t="s">
        <v>328</v>
      </c>
      <c r="J17" s="6" t="s">
        <v>327</v>
      </c>
      <c r="K17" s="6" t="s">
        <v>326</v>
      </c>
      <c r="M17" s="122" t="s">
        <v>518</v>
      </c>
      <c r="N17" s="122"/>
      <c r="O17" s="122"/>
      <c r="P17" s="78" t="e" cm="1">
        <f t="array" ref="P17">_xlfn.IFS(EXACT($Q$7*$Q$8-$Q$7*$Q$11,SUM(P15:P16)),SUM(P15:P16))</f>
        <v>#N/A</v>
      </c>
      <c r="Q17" s="78" t="e" cm="1">
        <f t="array" ref="Q17">_xlfn.IFS(EXACT($Q$6*$Q$8-$Q$6*$Q$11,SUM(Q15:Q16)),SUM(Q15:Q16))</f>
        <v>#N/A</v>
      </c>
      <c r="S17" s="120" t="str">
        <f>"✔️💲 "&amp;COUNTIF(Tilmeldingsstatus[Status],"*Tilmeldt inkl. betaling*")&amp;" billetter som tilmeldt inkl. betaling og "
&amp;COUNTIF(Tilmeldingsstatus[Status],"*Tilmeldt ekskl. betaling*")&amp;" billetter som tilmeldt ekskl. betaling ("
&amp;COUNTIF(Tilmeldingsstatus[Status],"*Tilmeldt*")&amp;" billetter)"</f>
        <v>✔️💲 39 billetter som tilmeldt inkl. betaling og 0 billetter som tilmeldt ekskl. betaling (39 billetter)</v>
      </c>
      <c r="T17" s="120"/>
      <c r="U17" s="120"/>
      <c r="V17" s="120"/>
      <c r="W17" s="120"/>
      <c r="X17" s="120"/>
      <c r="Y17" s="120"/>
      <c r="Z17" s="120"/>
      <c r="AA17" s="120"/>
    </row>
    <row r="18" spans="1:27" x14ac:dyDescent="0.3">
      <c r="B18" s="128"/>
      <c r="D18" s="45"/>
      <c r="E18" s="45"/>
      <c r="G18" s="124" t="s">
        <v>133</v>
      </c>
      <c r="H18" s="25" t="s">
        <v>123</v>
      </c>
      <c r="I18" s="36">
        <f t="shared" ref="I18:I24" si="0">$K$10*$K$7*$J18</f>
        <v>1080</v>
      </c>
      <c r="J18" s="28">
        <v>0.375</v>
      </c>
      <c r="K18" s="36">
        <f t="shared" ref="K18:K24" si="1">$K$10*$K$6*$J18</f>
        <v>4320</v>
      </c>
      <c r="S18" s="120" t="str">
        <f>"❌💸 "&amp;COUNTIF(Tilmeldingsstatus[Status],"*Afbud inkl. refusion*")&amp;" billetter som afbud inkl. refusion og "
&amp;COUNTIF(Tilmeldingsstatus[Status],"*Afbud ekskl. refusion*")&amp;" billetter som afbud ekskl. refusion ("
&amp;COUNTIF(Tilmeldingsstatus[Status],"*Afbud*")&amp;" billetter)"</f>
        <v>❌💸 0 billetter som afbud inkl. refusion og 0 billetter som afbud ekskl. refusion (0 billetter)</v>
      </c>
      <c r="T18" s="120"/>
      <c r="U18" s="120"/>
      <c r="V18" s="120"/>
      <c r="W18" s="120"/>
      <c r="X18" s="120"/>
      <c r="Y18" s="120"/>
      <c r="Z18" s="120"/>
      <c r="AA18" s="120"/>
    </row>
    <row r="19" spans="1:27" x14ac:dyDescent="0.3">
      <c r="B19" s="20" t="s">
        <v>186</v>
      </c>
      <c r="D19" s="128"/>
      <c r="E19" s="132" t="s">
        <v>185</v>
      </c>
      <c r="G19" s="125"/>
      <c r="H19" s="25" t="s">
        <v>124</v>
      </c>
      <c r="I19" s="36">
        <f t="shared" si="0"/>
        <v>720</v>
      </c>
      <c r="J19" s="28">
        <v>0.25</v>
      </c>
      <c r="K19" s="36">
        <f t="shared" si="1"/>
        <v>2880</v>
      </c>
      <c r="M19" s="122" t="s">
        <v>462</v>
      </c>
      <c r="N19" s="122"/>
      <c r="O19" s="122"/>
      <c r="P19" s="78">
        <f>$Q$7*$Q$11</f>
        <v>60</v>
      </c>
      <c r="Q19" s="82">
        <f>$Q$6*$Q$11</f>
        <v>600</v>
      </c>
      <c r="S19" s="123" t="str">
        <f>"✔️❌ "&amp;COUNTIF(Tilmeldingsstatus[Status],"*Tilmeldt*")&amp;" billetter som tilmeldt og "
&amp;COUNTIF(Tilmeldingsstatus[Status],"*Afbud*")&amp;" billetter som afbud ("
&amp;ROWS(Tilmeldingsstatus[])&amp;" billetter)"</f>
        <v>✔️❌ 39 billetter som tilmeldt og 0 billetter som afbud (39 billetter)</v>
      </c>
      <c r="T19" s="123"/>
      <c r="U19" s="123"/>
      <c r="V19" s="123"/>
      <c r="W19" s="123"/>
      <c r="X19" s="123"/>
      <c r="Y19" s="123"/>
      <c r="Z19" s="123"/>
      <c r="AA19" s="123"/>
    </row>
    <row r="20" spans="1:27" x14ac:dyDescent="0.3">
      <c r="A20" s="64" t="s">
        <v>171</v>
      </c>
      <c r="B20" s="65" t="s">
        <v>174</v>
      </c>
      <c r="D20" s="128"/>
      <c r="E20" s="128"/>
      <c r="G20" s="125"/>
      <c r="H20" s="25" t="s">
        <v>125</v>
      </c>
      <c r="I20" s="36">
        <f t="shared" si="0"/>
        <v>432</v>
      </c>
      <c r="J20" s="28">
        <v>0.15</v>
      </c>
      <c r="K20" s="36">
        <f t="shared" si="1"/>
        <v>1728</v>
      </c>
      <c r="S20" s="120" t="s">
        <v>225</v>
      </c>
      <c r="T20" s="120"/>
      <c r="U20" s="120"/>
      <c r="V20" s="120"/>
      <c r="W20" s="120"/>
      <c r="X20" s="120"/>
      <c r="Y20" s="120"/>
      <c r="Z20" s="120"/>
      <c r="AA20" s="120"/>
    </row>
    <row r="21" spans="1:27" x14ac:dyDescent="0.3">
      <c r="A21" s="66" t="s">
        <v>170</v>
      </c>
      <c r="B21" s="67" t="s">
        <v>201</v>
      </c>
      <c r="E21" s="20" t="str">
        <f>$B$30</f>
        <v>📜 Diplomer uddeles til alle gave-/præmietagere.</v>
      </c>
      <c r="G21" s="125"/>
      <c r="H21" s="26" t="s">
        <v>126</v>
      </c>
      <c r="I21" s="37">
        <f t="shared" si="0"/>
        <v>288</v>
      </c>
      <c r="J21" s="29">
        <v>0.1</v>
      </c>
      <c r="K21" s="37">
        <f t="shared" si="1"/>
        <v>1152</v>
      </c>
      <c r="S21" s="4" t="s">
        <v>0</v>
      </c>
      <c r="T21" s="1" t="s">
        <v>118</v>
      </c>
      <c r="U21" s="1" t="s">
        <v>79</v>
      </c>
      <c r="V21" s="4" t="s">
        <v>14</v>
      </c>
      <c r="W21" s="4" t="s">
        <v>367</v>
      </c>
      <c r="X21" s="4" t="s">
        <v>438</v>
      </c>
      <c r="Y21" s="1" t="s">
        <v>1</v>
      </c>
      <c r="Z21" s="1" t="s">
        <v>2</v>
      </c>
      <c r="AA21" t="s">
        <v>506</v>
      </c>
    </row>
    <row r="22" spans="1:27" x14ac:dyDescent="0.3">
      <c r="A22" s="68" t="s">
        <v>170</v>
      </c>
      <c r="B22" s="69" t="s">
        <v>195</v>
      </c>
      <c r="E22" s="20" t="str">
        <f>$B$31</f>
        <v>🎁 Gave til den yngste- og ældste Ping Pong deltager.</v>
      </c>
      <c r="G22" s="126"/>
      <c r="H22" s="83" t="s">
        <v>339</v>
      </c>
      <c r="I22" s="34">
        <f>SUBTOTAL(109,$I$18:$I$21)</f>
        <v>2520</v>
      </c>
      <c r="J22" s="28">
        <f>SUBTOTAL(109,$J$18:$J$21)</f>
        <v>0.875</v>
      </c>
      <c r="K22" s="36">
        <f>SUBTOTAL(109,$K$18:$K$21)</f>
        <v>10080</v>
      </c>
      <c r="M22" s="128" t="s">
        <v>220</v>
      </c>
      <c r="N22" s="128"/>
      <c r="O22" s="128"/>
      <c r="P22" s="128"/>
      <c r="S22" s="4">
        <v>1</v>
      </c>
      <c r="T22" s="1" t="s">
        <v>109</v>
      </c>
      <c r="U22" s="1" t="s">
        <v>5</v>
      </c>
      <c r="V22" s="4">
        <v>30</v>
      </c>
      <c r="W22" s="194" t="s">
        <v>210</v>
      </c>
      <c r="X22" s="91">
        <v>45059.712316481484</v>
      </c>
      <c r="Y22" s="1" t="s">
        <v>514</v>
      </c>
      <c r="Z22" s="1" t="s">
        <v>467</v>
      </c>
      <c r="AA22" s="110">
        <v>200</v>
      </c>
    </row>
    <row r="23" spans="1:27" x14ac:dyDescent="0.3">
      <c r="A23" s="66" t="s">
        <v>170</v>
      </c>
      <c r="B23" s="67" t="s">
        <v>178</v>
      </c>
      <c r="E23" s="20" t="str">
        <f>$G$15</f>
        <v>💸 Af spillergebyret på kr. 150 går kr. 120 til præmiepenge og kr. 30 til stævnearrangøren.</v>
      </c>
      <c r="G23" s="124" t="s">
        <v>134</v>
      </c>
      <c r="H23" s="27" t="str">
        <f>$H$18</f>
        <v>🥇 1. plads</v>
      </c>
      <c r="I23" s="38">
        <f t="shared" si="0"/>
        <v>216</v>
      </c>
      <c r="J23" s="30">
        <v>7.4999999999999997E-2</v>
      </c>
      <c r="K23" s="38">
        <f t="shared" si="1"/>
        <v>864</v>
      </c>
      <c r="M23" s="128"/>
      <c r="N23" s="128"/>
      <c r="O23" s="128"/>
      <c r="P23" s="128"/>
      <c r="S23" s="4">
        <v>1</v>
      </c>
      <c r="T23" s="1" t="s">
        <v>109</v>
      </c>
      <c r="U23" s="1" t="s">
        <v>5</v>
      </c>
      <c r="V23" s="4">
        <v>30</v>
      </c>
      <c r="W23" s="194" t="s">
        <v>210</v>
      </c>
      <c r="X23" s="91">
        <v>45059.712314814817</v>
      </c>
      <c r="Y23" s="1" t="s">
        <v>336</v>
      </c>
      <c r="Z23" s="1" t="s">
        <v>467</v>
      </c>
      <c r="AA23" s="110">
        <v>150</v>
      </c>
    </row>
    <row r="24" spans="1:27" x14ac:dyDescent="0.3">
      <c r="A24" s="68" t="s">
        <v>170</v>
      </c>
      <c r="B24" s="69" t="s">
        <v>179</v>
      </c>
      <c r="E24" s="20" t="str">
        <f>$G$16</f>
        <v>💰 Præmiesum på kr. 2.880 fordeles på seks placeringer som følger:</v>
      </c>
      <c r="G24" s="125"/>
      <c r="H24" s="26" t="str">
        <f>$H$19</f>
        <v>🥈 2. plads</v>
      </c>
      <c r="I24" s="37">
        <f t="shared" si="0"/>
        <v>144</v>
      </c>
      <c r="J24" s="29">
        <v>0.05</v>
      </c>
      <c r="K24" s="37">
        <f t="shared" si="1"/>
        <v>576</v>
      </c>
      <c r="M24" s="123" t="str">
        <f>"🥳 "&amp;TEXT(N($Q$7),"#.##0")
&amp;" ud af "&amp;TEXT(N($Q$6),"#.##0")&amp;" tilmeldinger"
&amp;" ("&amp;TEXT(N($Q$7)/N($Q$6),"0%")&amp;")"</f>
        <v>🥳 15 ud af 150 tilmeldinger (10%)</v>
      </c>
      <c r="N24" s="123"/>
      <c r="O24" s="123"/>
      <c r="P24" s="123"/>
      <c r="Q24" s="123"/>
      <c r="S24" s="4">
        <v>2</v>
      </c>
      <c r="T24" s="1" t="s">
        <v>810</v>
      </c>
      <c r="U24" s="1" t="s">
        <v>4</v>
      </c>
      <c r="V24" s="4">
        <v>51</v>
      </c>
      <c r="W24" s="194" t="s">
        <v>210</v>
      </c>
      <c r="X24" s="91">
        <v>45058.786038923608</v>
      </c>
      <c r="Y24" s="1" t="s">
        <v>336</v>
      </c>
      <c r="Z24" s="1" t="s">
        <v>467</v>
      </c>
      <c r="AA24" s="110">
        <v>150</v>
      </c>
    </row>
    <row r="25" spans="1:27" x14ac:dyDescent="0.3">
      <c r="A25" s="66" t="s">
        <v>170</v>
      </c>
      <c r="B25" s="67" t="s">
        <v>519</v>
      </c>
      <c r="E25" s="24" t="str">
        <f>$B$34</f>
        <v>🏓 A-slutspil:</v>
      </c>
      <c r="G25" s="126"/>
      <c r="H25" s="83" t="s">
        <v>340</v>
      </c>
      <c r="I25" s="34">
        <f>SUBTOTAL(109,$I$23:$I$24)</f>
        <v>360</v>
      </c>
      <c r="J25" s="28">
        <f>SUBTOTAL(109,$J$23:$J$24)</f>
        <v>0.125</v>
      </c>
      <c r="K25" s="36">
        <f>SUBTOTAL(109,$K$23:$K$24)</f>
        <v>1440</v>
      </c>
      <c r="M25" s="120" t="str">
        <f>"♂️ "&amp;TEXT(N(CUBEVALUE("ThisWorkbookDataModel",
CUBEMEMBER("ThisWorkbookDataModel",{"[Billettype_d2].[K: Billettype emoji].&amp;[🥳]","[Køn_d1].[K: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emoji].&amp;[🥳]","[Køn_d1].[K: Køn emoji].&amp;[♂]"}),
CUBEMEMBER("ThisWorkbookDataModel","[Measures].[👥 Aktuel tilmeldingsantal]")))/N($Q$7),"0%")&amp;")"
&amp;" ∙ ♀️ "&amp;TEXT(N(CUBEVALUE("ThisWorkbookDataModel",
CUBEMEMBER("ThisWorkbookDataModel",{"[Billettype_d2].[K: Billettype emoji].&amp;[🥳]","[Køn_d1].[K: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emoji].&amp;[🥳]","[Køn_d1].[K: Køn emoji].&amp;[♀]"}),
CUBEMEMBER("ThisWorkbookDataModel","[Measures].[👥 Aktuel tilmeldingsantal]")))/N($Q$7),"0%")&amp;")"</f>
        <v>♂️ 15 herrer (100%) ∙ ♀️ 0 damer (0%)</v>
      </c>
      <c r="N25" s="120"/>
      <c r="O25" s="120"/>
      <c r="P25" s="120"/>
      <c r="Q25" s="120"/>
      <c r="S25" s="4">
        <v>3</v>
      </c>
      <c r="T25" s="1" t="s">
        <v>804</v>
      </c>
      <c r="U25" s="1" t="s">
        <v>4</v>
      </c>
      <c r="V25" s="4">
        <v>18</v>
      </c>
      <c r="W25" s="194" t="s">
        <v>210</v>
      </c>
      <c r="X25" s="91">
        <v>45054.749047407407</v>
      </c>
      <c r="Y25" s="1" t="s">
        <v>336</v>
      </c>
      <c r="Z25" s="1" t="s">
        <v>467</v>
      </c>
      <c r="AA25" s="110">
        <v>150</v>
      </c>
    </row>
    <row r="26" spans="1:27" x14ac:dyDescent="0.3">
      <c r="A26" s="68" t="s">
        <v>170</v>
      </c>
      <c r="B26" s="69" t="s">
        <v>517</v>
      </c>
      <c r="D26" s="53" t="str">
        <f>$A$35</f>
        <v>Nr.</v>
      </c>
      <c r="E26" s="54" t="str">
        <f>$B$35</f>
        <v>Præmiepenge A-slutspil</v>
      </c>
      <c r="G26" s="133" t="s">
        <v>329</v>
      </c>
      <c r="H26" s="133"/>
      <c r="I26" s="35">
        <f>SUBTOTAL(109,$I$18:$I$25)</f>
        <v>2880</v>
      </c>
      <c r="J26" s="31">
        <f>SUBTOTAL(109,$J$18:$J$25)</f>
        <v>1</v>
      </c>
      <c r="K26" s="35">
        <f>SUBTOTAL(109,$K$18:$K$25)</f>
        <v>11520</v>
      </c>
      <c r="M26" s="120" t="str">
        <f>"👤 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tilmeldingsantal]")))/N($Q$7),"0%")&amp;")"</f>
        <v>👤 0  Ungdom (0%) ∙ 👤 9  Senior (60%) ∙ 👤 6  Veteran (40%)</v>
      </c>
      <c r="N26" s="120"/>
      <c r="O26" s="120"/>
      <c r="P26" s="120"/>
      <c r="Q26" s="120"/>
      <c r="S26" s="4">
        <v>4</v>
      </c>
      <c r="T26" s="1" t="s">
        <v>22</v>
      </c>
      <c r="U26" s="1" t="s">
        <v>7</v>
      </c>
      <c r="V26" s="4">
        <v>58</v>
      </c>
      <c r="W26" s="194" t="s">
        <v>210</v>
      </c>
      <c r="X26" s="91">
        <v>45051.364646388887</v>
      </c>
      <c r="Y26" s="1" t="s">
        <v>336</v>
      </c>
      <c r="Z26" s="1" t="s">
        <v>467</v>
      </c>
      <c r="AA26" s="110">
        <v>150</v>
      </c>
    </row>
    <row r="27" spans="1:27" x14ac:dyDescent="0.3">
      <c r="A27" s="45"/>
      <c r="B27" s="45"/>
      <c r="D27" s="55">
        <f>$A$36</f>
        <v>1</v>
      </c>
      <c r="E27" s="56" t="str">
        <f>LEFT($H$18,1)&amp;" "&amp;TEXT($I$18,"kr. #.##0,00")&amp;" ("&amp;TEXT($J$18,"0,0%")&amp;")"</f>
        <v>🥇 kr. 1.080,00 (37,5%)</v>
      </c>
      <c r="M27" s="120" t="str">
        <f>"👤 Min. "&amp;TEXT(N(CUBEVALUE("ThisWorkbookDataModel",
CUBEMEMBER("ThisWorkbookDataModel","[Billettype_d2].[K: Billettype emoji].&amp;[🥳]"),
CUBEMEMBER("ThisWorkbookDataModel","[Measures].[👤 Aktuel alder min.]"))),"#.##0")&amp;" år"
&amp;" ∙ 👤 Gns. "&amp;TEXT(N(CUBEVALUE("ThisWorkbookDataModel",
CUBEMEMBER("ThisWorkbookDataModel","[Billettype_d2].[K: Billettype emoji].&amp;[🥳]"),
CUBEMEMBER("ThisWorkbookDataModel","[Measures].[👥 Aktuel alder gns.]"))),"#.##0")&amp;" år"
&amp;" ∙ 👤 Maks. "&amp;TEXT(N(CUBEVALUE("ThisWorkbookDataModel",
CUBEMEMBER("ThisWorkbookDataModel","[Billettype_d2].[K: Billettype emoji].&amp;[🥳]"),
CUBEMEMBER("ThisWorkbookDataModel","[Measures].[👤 Aktuel alder maks.]"))),"#.##0")&amp;" år"</f>
        <v>👤 Min. 20 år ∙ 👤 Gns. 37 år ∙ 👤 Maks. 67 år</v>
      </c>
      <c r="N27" s="120"/>
      <c r="O27" s="120"/>
      <c r="P27" s="120"/>
      <c r="Q27" s="120"/>
      <c r="S27" s="4">
        <v>4</v>
      </c>
      <c r="T27" s="1" t="s">
        <v>22</v>
      </c>
      <c r="U27" s="1" t="s">
        <v>7</v>
      </c>
      <c r="V27" s="4">
        <v>58</v>
      </c>
      <c r="W27" s="194" t="s">
        <v>210</v>
      </c>
      <c r="X27" s="91">
        <v>45051.364646388887</v>
      </c>
      <c r="Y27" s="1" t="s">
        <v>514</v>
      </c>
      <c r="Z27" s="1" t="s">
        <v>467</v>
      </c>
      <c r="AA27" s="110">
        <v>200</v>
      </c>
    </row>
    <row r="28" spans="1:27" x14ac:dyDescent="0.3">
      <c r="A28" s="128"/>
      <c r="B28" s="132" t="s">
        <v>182</v>
      </c>
      <c r="D28" s="57">
        <f>$A$37</f>
        <v>2</v>
      </c>
      <c r="E28" s="58" t="str">
        <f>LEFT($H$19,1)&amp;" "&amp;TEXT($I$19,"kr. #.##0,00")&amp;" ("&amp;TEXT($J$19,"0%")&amp;")"</f>
        <v>🥈 kr. 720,00 (25%)</v>
      </c>
      <c r="G28" s="127" t="str" vm="1">
        <f>CUBEMEMBER("ThisWorkbookDataModel","[Measures].[🎁 Yngst Ping Pong]")</f>
        <v>🎁 Yngst Ping Pong</v>
      </c>
      <c r="H28" s="127"/>
      <c r="I28" s="129" t="str" vm="2">
        <f>CUBEVALUE("ThisWorkbookDataModel",G$28)</f>
        <v>Matti Henneberg Sørensen, Hørning BTK [11 år, 23-02-2012] 🏓</v>
      </c>
      <c r="J28" s="129"/>
      <c r="K28" s="129"/>
      <c r="M28" s="120" t="str">
        <f>"🏛️ 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emoji].&amp;[🥳]","[Landsdel_d2].[K: Landsdel].&amp;[Fyn]"}),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</f>
        <v>🏛️ 14 Jylland (93%) ∙ 🏛️ 0 Fyn (0%) ∙ 🏛️ 0 Sjælland (0%) ∙ 🏛️ 0 Bornholm (0%)</v>
      </c>
      <c r="N28" s="120"/>
      <c r="O28" s="120"/>
      <c r="P28" s="120"/>
      <c r="Q28" s="120"/>
      <c r="S28" s="4">
        <v>5</v>
      </c>
      <c r="T28" s="1" t="s">
        <v>768</v>
      </c>
      <c r="U28" s="1" t="s">
        <v>5</v>
      </c>
      <c r="V28" s="4">
        <v>47</v>
      </c>
      <c r="W28" s="194" t="s">
        <v>210</v>
      </c>
      <c r="X28" s="91">
        <v>45045.827159675922</v>
      </c>
      <c r="Y28" s="1" t="s">
        <v>336</v>
      </c>
      <c r="Z28" s="1" t="s">
        <v>467</v>
      </c>
      <c r="AA28" s="110">
        <v>150</v>
      </c>
    </row>
    <row r="29" spans="1:27" x14ac:dyDescent="0.3">
      <c r="A29" s="128"/>
      <c r="B29" s="128"/>
      <c r="D29" s="55">
        <f>$A$38</f>
        <v>3</v>
      </c>
      <c r="E29" s="56" t="str">
        <f>LEFT($H$20,1)&amp;" "&amp;TEXT($I$20,"kr. #.##0,00")&amp;" ("&amp;TEXT($J$20,"0%")&amp;")"</f>
        <v>🥉 kr. 432,00 (15%)</v>
      </c>
      <c r="G29" s="127" t="str" vm="3">
        <f>CUBEMEMBER("ThisWorkbookDataModel","[Measures].[🎁 Ældst Ping Pong]")</f>
        <v>🎁 Ældst Ping Pong</v>
      </c>
      <c r="H29" s="127"/>
      <c r="I29" s="129" t="str" vm="4">
        <f>CUBEVALUE("ThisWorkbookDataModel",G$29)</f>
        <v>Poul Erik Henneberg Sørensen, Hørning BTK [74 år, 01-02-1949] 🏓</v>
      </c>
      <c r="J29" s="129"/>
      <c r="K29" s="129"/>
      <c r="M29" s="120" t="str">
        <f>"👤 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tilmeldingsantal]")))/N($Q$7),"0%")&amp;")"
&amp;" ∙ 👤 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tilmeldingsantal]")))/N($Q$7),"0%")&amp;")"</f>
        <v>👤 1 [&gt;=2000] Elite (7%) ∙ 👤 14 [&lt;=1999] Ikke-elite (93%)</v>
      </c>
      <c r="N29" s="120"/>
      <c r="O29" s="120"/>
      <c r="P29" s="120"/>
      <c r="Q29" s="120"/>
      <c r="S29" s="4">
        <v>5</v>
      </c>
      <c r="T29" s="1" t="s">
        <v>768</v>
      </c>
      <c r="U29" s="1" t="s">
        <v>5</v>
      </c>
      <c r="V29" s="4">
        <v>47</v>
      </c>
      <c r="W29" s="194" t="s">
        <v>210</v>
      </c>
      <c r="X29" s="91">
        <v>45045.827159675922</v>
      </c>
      <c r="Y29" s="1" t="s">
        <v>514</v>
      </c>
      <c r="Z29" s="1" t="s">
        <v>467</v>
      </c>
      <c r="AA29" s="110">
        <v>200</v>
      </c>
    </row>
    <row r="30" spans="1:27" x14ac:dyDescent="0.3">
      <c r="B30" s="20" t="str">
        <f>$G$14</f>
        <v>📜 Diplomer uddeles til alle gave-/præmietagere.</v>
      </c>
      <c r="D30" s="57">
        <f>$A$39</f>
        <v>4</v>
      </c>
      <c r="E30" s="58" t="str">
        <f>LEFT($H$21,1)&amp;" "&amp;TEXT($I$21,"kr. #.##0,00")&amp;" ("&amp;TEXT($J$21,"0%")&amp;")"</f>
        <v>🏅 kr. 288,00 (10%)</v>
      </c>
      <c r="G30" s="127" t="str" vm="5">
        <f>CUBEMEMBER("ThisWorkbookDataModel","[Measures].[👤 Højeste rating Ping Pong]")</f>
        <v>👤 Højeste rating Ping Pong</v>
      </c>
      <c r="H30" s="127"/>
      <c r="I30" s="129" t="str" vm="7">
        <f>CUBEVALUE("ThisWorkbookDataModel",G$30)</f>
        <v>Benjamin Sørensen, Hørning BTK (2525 rating)  🏓</v>
      </c>
      <c r="J30" s="129"/>
      <c r="K30" s="129"/>
      <c r="M30" s="120" t="str">
        <f>"👤 Min. "&amp;TEXT(N(CUBEVALUE("ThisWorkbookDataModel",
CUBEMEMBER("ThisWorkbookDataModel","[Billettype_d2].[K: Billettype emoji].&amp;[🥳]"),
CUBEMEMBER("ThisWorkbookDataModel","[Measures].[👤 Rating min.]"))),"0")&amp;" rating"
&amp;" ∙ 👤 Gns. "&amp;TEXT(N(CUBEVALUE("ThisWorkbookDataModel",
CUBEMEMBER("ThisWorkbookDataModel","[Billettype_d2].[K: Billettype emoji].&amp;[🥳]"),
CUBEMEMBER("ThisWorkbookDataModel","[Measures].[👥 Aktuel rating gns.]"))),"0")&amp;" rating"
&amp;" ∙ 👤 Maks. "&amp;TEXT(N(CUBEVALUE("ThisWorkbookDataModel",
CUBEMEMBER("ThisWorkbookDataModel","[Billettype_d2].[K: Billettype emoji].&amp;[🥳]"),
CUBEMEMBER("ThisWorkbookDataModel","[Measures].[👤 Aktuel rating maks.]"))),"0")&amp;" rating"</f>
        <v>👤 Min. 1196 rating ∙ 👤 Gns. 2525 rating ∙ 👤 Maks. 2525 rating</v>
      </c>
      <c r="N30" s="120"/>
      <c r="O30" s="120"/>
      <c r="P30" s="120"/>
      <c r="Q30" s="120"/>
      <c r="S30" s="4">
        <v>6</v>
      </c>
      <c r="T30" s="1" t="s">
        <v>771</v>
      </c>
      <c r="U30" s="1" t="s">
        <v>5</v>
      </c>
      <c r="V30" s="4">
        <v>50</v>
      </c>
      <c r="W30" s="194" t="s">
        <v>210</v>
      </c>
      <c r="X30" s="91">
        <v>45045.820407071762</v>
      </c>
      <c r="Y30" s="1" t="s">
        <v>336</v>
      </c>
      <c r="Z30" s="1" t="s">
        <v>467</v>
      </c>
      <c r="AA30" s="110">
        <v>150</v>
      </c>
    </row>
    <row r="31" spans="1:27" x14ac:dyDescent="0.3">
      <c r="B31" s="20" t="s">
        <v>368</v>
      </c>
      <c r="G31" s="127" t="str" vm="6">
        <f>CUBEMEMBER("ThisWorkbookDataModel","[Measures].[👤 Laveste rating Ping Pong]")</f>
        <v>👤 Laveste rating Ping Pong</v>
      </c>
      <c r="H31" s="127"/>
      <c r="I31" s="142" t="str" vm="8">
        <f>CUBEVALUE("ThisWorkbookDataModel",G$31)</f>
        <v>Benjamin Sørensen, Hørning BTK (2525 rating)  🏓</v>
      </c>
      <c r="J31" s="143"/>
      <c r="K31" s="144"/>
      <c r="M31" s="120" t="str">
        <f>"🛖 "&amp;TEXT(N(CUBEVALUE("ThisWorkbookDataModel",
CUBEMEMBER("ThisWorkbookDataModel","[Billettype_d2].[K: Billettype emoji].&amp;[🥳]"),
CUBEMEMBER("ThisWorkbookDataModel","[Measures].[🛖 Aktuel klubantal]"))),"#.##0")&amp;" klubber"</f>
        <v>🛖 8 klubber</v>
      </c>
      <c r="N31" s="120"/>
      <c r="O31" s="120"/>
      <c r="P31" s="120"/>
      <c r="Q31" s="120"/>
      <c r="S31" s="4">
        <v>6</v>
      </c>
      <c r="T31" s="1" t="s">
        <v>771</v>
      </c>
      <c r="U31" s="1" t="s">
        <v>5</v>
      </c>
      <c r="V31" s="4">
        <v>50</v>
      </c>
      <c r="W31" s="194" t="s">
        <v>210</v>
      </c>
      <c r="X31" s="91">
        <v>45045.820407071762</v>
      </c>
      <c r="Y31" s="1" t="s">
        <v>514</v>
      </c>
      <c r="Z31" s="1" t="s">
        <v>467</v>
      </c>
      <c r="AA31" s="110">
        <v>200</v>
      </c>
    </row>
    <row r="32" spans="1:27" x14ac:dyDescent="0.3">
      <c r="B32" s="20" t="str">
        <f>$G$15</f>
        <v>💸 Af spillergebyret på kr. 150 går kr. 120 til præmiepenge og kr. 30 til stævnearrangøren.</v>
      </c>
      <c r="E32" s="24" t="str">
        <f>$B$41</f>
        <v>🏓 B-slutspil:</v>
      </c>
      <c r="M32" s="120" t="s">
        <v>224</v>
      </c>
      <c r="N32" s="120"/>
      <c r="O32" s="120"/>
      <c r="P32" s="120"/>
      <c r="Q32" s="120"/>
      <c r="S32" s="4">
        <v>7</v>
      </c>
      <c r="T32" s="1" t="s">
        <v>767</v>
      </c>
      <c r="U32" s="1" t="s">
        <v>5</v>
      </c>
      <c r="V32" s="4">
        <v>51</v>
      </c>
      <c r="W32" s="194" t="s">
        <v>210</v>
      </c>
      <c r="X32" s="91">
        <v>45045.817027083336</v>
      </c>
      <c r="Y32" s="1" t="s">
        <v>336</v>
      </c>
      <c r="Z32" s="1" t="s">
        <v>467</v>
      </c>
      <c r="AA32" s="110">
        <v>150</v>
      </c>
    </row>
    <row r="33" spans="1:27" x14ac:dyDescent="0.3">
      <c r="B33" s="20" t="str">
        <f>IF($I$26=$K$26,$G$16,
"💰 Foreløbig præmiesum på "&amp;TEXT($I$26,"kr. #.##0")&amp;" ud af potentielt "&amp;TEXT($K$26,"kr. #.##0")&amp;" fordeles på seks placeringer som følger:")</f>
        <v>💰 Foreløbig præmiesum på kr. 2.880 ud af potentielt kr. 11.520 fordeles på seks placeringer som følger:</v>
      </c>
      <c r="D33" s="53" t="str">
        <f>$A$42</f>
        <v>Nr.</v>
      </c>
      <c r="E33" s="54" t="str">
        <f>$B$42</f>
        <v>Præmiepenge B-slutspil</v>
      </c>
      <c r="G33" s="134" t="s">
        <v>131</v>
      </c>
      <c r="H33" s="135"/>
      <c r="I33" s="135"/>
      <c r="J33" s="136"/>
      <c r="K33" s="72">
        <f>$K$11*$K$7</f>
        <v>720</v>
      </c>
      <c r="M33" s="4" t="s">
        <v>0</v>
      </c>
      <c r="N33" s="1" t="s">
        <v>120</v>
      </c>
      <c r="O33" s="4" t="s">
        <v>14</v>
      </c>
      <c r="P33" t="s">
        <v>367</v>
      </c>
      <c r="Q33" s="1" t="s">
        <v>1</v>
      </c>
      <c r="S33" s="4">
        <v>8</v>
      </c>
      <c r="T33" s="1" t="s">
        <v>766</v>
      </c>
      <c r="U33" s="1" t="s">
        <v>416</v>
      </c>
      <c r="V33" s="4">
        <v>20</v>
      </c>
      <c r="W33" s="194" t="s">
        <v>210</v>
      </c>
      <c r="X33" s="91">
        <v>45031.843686250002</v>
      </c>
      <c r="Y33" s="1" t="s">
        <v>336</v>
      </c>
      <c r="Z33" s="1" t="s">
        <v>467</v>
      </c>
      <c r="AA33" s="110">
        <v>150</v>
      </c>
    </row>
    <row r="34" spans="1:27" x14ac:dyDescent="0.3">
      <c r="B34" s="24" t="s">
        <v>127</v>
      </c>
      <c r="D34" s="55">
        <f>$A$43</f>
        <v>1</v>
      </c>
      <c r="E34" s="56" t="str">
        <f>LEFT($H$23,1)&amp;" "&amp;TEXT($I$23,"kr. #.##0,00")&amp;" ("&amp;TEXT($J$23,"0,0%")&amp;")"</f>
        <v>🥇 kr. 216,00 (7,5%)</v>
      </c>
      <c r="G34" s="139" t="s">
        <v>132</v>
      </c>
      <c r="H34" s="140"/>
      <c r="I34" s="140"/>
      <c r="J34" s="141"/>
      <c r="K34" s="33">
        <f>$K$11*$K$6</f>
        <v>2880</v>
      </c>
      <c r="M34" s="4">
        <v>1</v>
      </c>
      <c r="N34" s="1" t="s">
        <v>791</v>
      </c>
      <c r="O34" s="4">
        <v>20</v>
      </c>
      <c r="P34" t="s">
        <v>210</v>
      </c>
      <c r="Q34" s="1" t="s">
        <v>514</v>
      </c>
      <c r="S34" s="4">
        <v>8</v>
      </c>
      <c r="T34" s="1" t="s">
        <v>766</v>
      </c>
      <c r="U34" s="1" t="s">
        <v>416</v>
      </c>
      <c r="V34" s="4">
        <v>20</v>
      </c>
      <c r="W34" s="194" t="s">
        <v>210</v>
      </c>
      <c r="X34" s="91">
        <v>45031.843686250002</v>
      </c>
      <c r="Y34" s="1" t="s">
        <v>514</v>
      </c>
      <c r="Z34" s="1" t="s">
        <v>467</v>
      </c>
      <c r="AA34" s="110">
        <v>200</v>
      </c>
    </row>
    <row r="35" spans="1:27" x14ac:dyDescent="0.3">
      <c r="A35" s="60" t="s">
        <v>0</v>
      </c>
      <c r="B35" s="50" t="s">
        <v>172</v>
      </c>
      <c r="D35" s="57">
        <f>$A$44</f>
        <v>2</v>
      </c>
      <c r="E35" s="58" t="str">
        <f>LEFT($H$24,1)&amp;" "&amp;TEXT($I$24,"kr. #.##0,00")&amp;" ("&amp;TEXT($J$24,"0%")&amp;")"</f>
        <v>🥈 kr. 144,00 (5%)</v>
      </c>
      <c r="M35" s="4">
        <v>2</v>
      </c>
      <c r="N35" s="1" t="s">
        <v>794</v>
      </c>
      <c r="O35" s="4">
        <v>21</v>
      </c>
      <c r="P35" t="s">
        <v>210</v>
      </c>
      <c r="Q35" s="1" t="s">
        <v>514</v>
      </c>
      <c r="S35" s="4">
        <v>9</v>
      </c>
      <c r="T35" s="1" t="s">
        <v>763</v>
      </c>
      <c r="U35" s="1" t="s">
        <v>416</v>
      </c>
      <c r="V35" s="4">
        <v>21</v>
      </c>
      <c r="W35" s="194" t="s">
        <v>210</v>
      </c>
      <c r="X35" s="91">
        <v>45031.776243425928</v>
      </c>
      <c r="Y35" s="1" t="s">
        <v>336</v>
      </c>
      <c r="Z35" s="1" t="s">
        <v>467</v>
      </c>
      <c r="AA35" s="110">
        <v>150</v>
      </c>
    </row>
    <row r="36" spans="1:27" x14ac:dyDescent="0.3">
      <c r="A36" s="61">
        <v>1</v>
      </c>
      <c r="B36" s="51" t="str">
        <f>LEFT($H$18,1)&amp;" "&amp;TEXT($I$18,"kr. #.##0,00")
&amp;" ud af potentielt "&amp;TEXT($K$18,"kr. #.##0")
&amp;" ("&amp;TEXT($J$18,"0,0%")&amp;")"</f>
        <v>🥇 kr. 1.080,00 ud af potentielt kr. 4.320 (37,5%)</v>
      </c>
      <c r="G36" s="128" t="s">
        <v>219</v>
      </c>
      <c r="H36" s="128"/>
      <c r="I36" s="128"/>
      <c r="J36" s="128"/>
      <c r="M36" s="4">
        <v>3</v>
      </c>
      <c r="N36" s="1" t="s">
        <v>719</v>
      </c>
      <c r="O36" s="4">
        <v>23</v>
      </c>
      <c r="P36" t="s">
        <v>210</v>
      </c>
      <c r="Q36" s="1" t="s">
        <v>514</v>
      </c>
      <c r="S36" s="4">
        <v>9</v>
      </c>
      <c r="T36" s="1" t="s">
        <v>763</v>
      </c>
      <c r="U36" s="1" t="s">
        <v>416</v>
      </c>
      <c r="V36" s="4">
        <v>21</v>
      </c>
      <c r="W36" s="194" t="s">
        <v>210</v>
      </c>
      <c r="X36" s="91">
        <v>45031.776243425928</v>
      </c>
      <c r="Y36" s="1" t="s">
        <v>514</v>
      </c>
      <c r="Z36" s="1" t="s">
        <v>467</v>
      </c>
      <c r="AA36" s="110">
        <v>200</v>
      </c>
    </row>
    <row r="37" spans="1:27" x14ac:dyDescent="0.3">
      <c r="A37" s="62">
        <v>2</v>
      </c>
      <c r="B37" s="69" t="str">
        <f>LEFT($H$19,1)&amp;" "&amp;TEXT($I$19,"kr. #.##0,00")
&amp;" ud af potentielt "&amp;TEXT($K$19,"kr. #.##0")
&amp;" ("&amp;TEXT($J$19,"0%")&amp;")"</f>
        <v>🥈 kr. 720,00 ud af potentielt kr. 2.880 (25%)</v>
      </c>
      <c r="E37" s="20" t="str">
        <f>$B$46</f>
        <v>🎁 Yngst Ping Pong: Matti Henneberg Sørensen, Hørning BTK [11 år, 23-02-2012] 🏓</v>
      </c>
      <c r="G37" s="128"/>
      <c r="H37" s="128"/>
      <c r="I37" s="128"/>
      <c r="J37" s="128"/>
      <c r="M37" s="4">
        <v>4</v>
      </c>
      <c r="N37" s="1" t="s">
        <v>212</v>
      </c>
      <c r="O37" s="4">
        <v>27</v>
      </c>
      <c r="P37" t="s">
        <v>210</v>
      </c>
      <c r="Q37" s="1" t="s">
        <v>514</v>
      </c>
      <c r="S37" s="4">
        <v>10</v>
      </c>
      <c r="T37" s="1" t="s">
        <v>747</v>
      </c>
      <c r="U37" s="1" t="s">
        <v>5</v>
      </c>
      <c r="V37" s="4">
        <v>55</v>
      </c>
      <c r="W37" s="194" t="s">
        <v>210</v>
      </c>
      <c r="X37" s="91">
        <v>45027.785646689816</v>
      </c>
      <c r="Y37" s="1" t="s">
        <v>336</v>
      </c>
      <c r="Z37" s="1" t="s">
        <v>467</v>
      </c>
      <c r="AA37" s="110">
        <v>150</v>
      </c>
    </row>
    <row r="38" spans="1:27" x14ac:dyDescent="0.3">
      <c r="A38" s="61">
        <v>3</v>
      </c>
      <c r="B38" s="51" t="str">
        <f>LEFT($H$20,1)&amp;" "&amp;TEXT($I$20,"kr. #.##0,00")
&amp;" ud af potentielt "&amp;TEXT($K$20,"kr. #.##0")
&amp;" ("&amp;TEXT($J$20,"0%")&amp;")"</f>
        <v>🥉 kr. 432,00 ud af potentielt kr. 1.728 (15%)</v>
      </c>
      <c r="E38" s="20" t="str">
        <f>$B$47</f>
        <v>🎁 Ældst Ping Pong: Poul Erik Henneberg Sørensen, Hørning BTK [74 år, 01-02-1949] 🏓</v>
      </c>
      <c r="G38" s="120" t="str">
        <f>"🔃🏓 Rating opdateret pr. "&amp;TEXT('✍️ Input'!$H$4,"dd-mm-åååå")</f>
        <v>🔃🏓 Rating opdateret pr. 00-01-1900</v>
      </c>
      <c r="H38" s="120"/>
      <c r="I38" s="120"/>
      <c r="J38" s="120"/>
      <c r="M38" s="4">
        <v>5</v>
      </c>
      <c r="N38" s="1" t="s">
        <v>213</v>
      </c>
      <c r="O38" s="4">
        <v>28</v>
      </c>
      <c r="P38" t="s">
        <v>210</v>
      </c>
      <c r="Q38" s="1" t="s">
        <v>514</v>
      </c>
      <c r="S38" s="4">
        <v>10</v>
      </c>
      <c r="T38" s="1" t="s">
        <v>747</v>
      </c>
      <c r="U38" s="1" t="s">
        <v>5</v>
      </c>
      <c r="V38" s="4">
        <v>55</v>
      </c>
      <c r="W38" s="194" t="s">
        <v>210</v>
      </c>
      <c r="X38" s="91">
        <v>45027.785646689816</v>
      </c>
      <c r="Y38" s="1" t="s">
        <v>514</v>
      </c>
      <c r="Z38" s="1" t="s">
        <v>467</v>
      </c>
      <c r="AA38" s="110">
        <v>200</v>
      </c>
    </row>
    <row r="39" spans="1:27" x14ac:dyDescent="0.3">
      <c r="A39" s="63">
        <v>4</v>
      </c>
      <c r="B39" s="69" t="str">
        <f>LEFT($H$21,1)&amp;" "&amp;TEXT($I$21,"kr. #.##0,00")
&amp;" ud af potentielt "&amp;TEXT($K$21,"kr. #.##0")
&amp;" ("&amp;TEXT($J$21,"0%")&amp;")"</f>
        <v>🏅 kr. 288,00 ud af potentielt kr. 1.152 (10%)</v>
      </c>
      <c r="D39" s="45"/>
      <c r="E39" s="45"/>
      <c r="G39" s="123" t="str">
        <f>"🏓 "&amp;TEXT(N($K$7),"#.##0")
&amp;" ud af "&amp;TEXT(N($K$6),"#.##0")&amp;" tilmeldinger"
&amp;" ("&amp;TEXT(N($K$7)/N($K$6),"0%")&amp;")"</f>
        <v>🏓 24 ud af 96 tilmeldinger (25%)</v>
      </c>
      <c r="H39" s="123" t="str">
        <f>"🏓 "&amp;$K$7&amp;" ud af "&amp;$K$6&amp;" ∙ 🎉 "&amp;$Q$7&amp;" ud af "&amp;$Q$6</f>
        <v>🏓 24 ud af 96 ∙ 🎉 15 ud af 150</v>
      </c>
      <c r="I39" s="123" t="str">
        <f>"🏓 "&amp;$K$7&amp;" ud af "&amp;$K$6&amp;" ∙ 🎉 "&amp;$Q$7&amp;" ud af "&amp;$Q$6</f>
        <v>🏓 24 ud af 96 ∙ 🎉 15 ud af 150</v>
      </c>
      <c r="J39" s="123" t="str">
        <f>"🏓 "&amp;$K$7&amp;" ud af "&amp;$K$6&amp;" ∙ 🎉 "&amp;$Q$7&amp;" ud af "&amp;$Q$6</f>
        <v>🏓 24 ud af 96 ∙ 🎉 15 ud af 150</v>
      </c>
      <c r="M39" s="4">
        <v>6</v>
      </c>
      <c r="N39" s="1" t="s">
        <v>77</v>
      </c>
      <c r="O39" s="4">
        <v>29</v>
      </c>
      <c r="P39" t="s">
        <v>210</v>
      </c>
      <c r="Q39" s="1" t="s">
        <v>514</v>
      </c>
      <c r="S39" s="4">
        <v>11</v>
      </c>
      <c r="T39" s="1" t="s">
        <v>744</v>
      </c>
      <c r="U39" s="1" t="s">
        <v>758</v>
      </c>
      <c r="V39" s="4">
        <v>67</v>
      </c>
      <c r="W39" s="194" t="s">
        <v>210</v>
      </c>
      <c r="X39" s="91">
        <v>45027.48290855324</v>
      </c>
      <c r="Y39" s="1" t="s">
        <v>336</v>
      </c>
      <c r="Z39" s="1" t="s">
        <v>467</v>
      </c>
      <c r="AA39" s="110">
        <v>150</v>
      </c>
    </row>
    <row r="40" spans="1:27" x14ac:dyDescent="0.3">
      <c r="D40" s="128"/>
      <c r="E40" s="132" t="s">
        <v>187</v>
      </c>
      <c r="G40" s="120" t="str">
        <f>"♂️ "&amp;TEXT(N(CUBEVALUE("ThisWorkbookDataModel",
CUBEMEMBER("ThisWorkbookDataModel",{"[Billettype_d2].[K: Billettype emoji].&amp;[🏓]","[Køn_d1].[K: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emoji].&amp;[🏓]","[Køn_d1].[K: Køn emoji].&amp;[♂]"}),
CUBEMEMBER("ThisWorkbookDataModel","[Measures].[👥 Aktuel tilmeldingsantal]")))/N($K$7),"0%")&amp;")"
&amp;" ∙ ♀️ "&amp;TEXT(N(CUBEVALUE("ThisWorkbookDataModel",
CUBEMEMBER("ThisWorkbookDataModel",{"[Billettype_d2].[K: Billettype emoji].&amp;[🏓]","[Køn_d1].[K: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emoji].&amp;[🏓]","[Køn_d1].[K: Køn emoji].&amp;[♀]"}),
CUBEMEMBER("ThisWorkbookDataModel","[Measures].[👥 Aktuel tilmeldingsantal]")))/N($K$7),"0%")&amp;")"</f>
        <v>♂️ 24 herrer (100%) ∙ ♀️ 0 damer (0%)</v>
      </c>
      <c r="H40" s="120"/>
      <c r="I40" s="120"/>
      <c r="J40" s="120"/>
      <c r="M40" s="4">
        <v>7</v>
      </c>
      <c r="N40" s="1" t="s">
        <v>361</v>
      </c>
      <c r="O40" s="4">
        <v>29</v>
      </c>
      <c r="P40" t="s">
        <v>210</v>
      </c>
      <c r="Q40" s="1" t="s">
        <v>514</v>
      </c>
      <c r="S40" s="4">
        <v>11</v>
      </c>
      <c r="T40" s="1" t="s">
        <v>744</v>
      </c>
      <c r="U40" s="1" t="s">
        <v>758</v>
      </c>
      <c r="V40" s="4">
        <v>67</v>
      </c>
      <c r="W40" s="194" t="s">
        <v>210</v>
      </c>
      <c r="X40" s="91">
        <v>45027.48290855324</v>
      </c>
      <c r="Y40" s="1" t="s">
        <v>514</v>
      </c>
      <c r="Z40" s="1" t="s">
        <v>467</v>
      </c>
      <c r="AA40" s="110">
        <v>200</v>
      </c>
    </row>
    <row r="41" spans="1:27" x14ac:dyDescent="0.3">
      <c r="B41" s="24" t="s">
        <v>128</v>
      </c>
      <c r="D41" s="128"/>
      <c r="E41" s="128"/>
      <c r="G41" s="120" t="str">
        <f>"👤 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tilmeldingsantal]")))/N($K$7),"0%")&amp;")"</f>
        <v>👤 2  Ungdom (8%) ∙ 👤 13  Senior (54%) ∙ 👤 9  Veteran (38%)</v>
      </c>
      <c r="H41" s="120" t="e">
        <f t="shared" ref="H41:J41" si="2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41" s="120" t="e">
        <f t="shared" si="2"/>
        <v>#N/A</v>
      </c>
      <c r="J41" s="120" t="e">
        <f t="shared" si="2"/>
        <v>#N/A</v>
      </c>
      <c r="M41" s="4">
        <v>8</v>
      </c>
      <c r="N41" s="1" t="s">
        <v>842</v>
      </c>
      <c r="O41" s="4">
        <v>30</v>
      </c>
      <c r="P41" t="s">
        <v>210</v>
      </c>
      <c r="Q41" s="1" t="s">
        <v>514</v>
      </c>
      <c r="S41" s="4">
        <v>12</v>
      </c>
      <c r="T41" s="1" t="s">
        <v>704</v>
      </c>
      <c r="U41" s="1" t="s">
        <v>5</v>
      </c>
      <c r="V41" s="4">
        <v>74</v>
      </c>
      <c r="W41" s="194" t="s">
        <v>210</v>
      </c>
      <c r="X41" s="91">
        <v>45023.731859016203</v>
      </c>
      <c r="Y41" s="1" t="s">
        <v>336</v>
      </c>
      <c r="Z41" s="1" t="s">
        <v>467</v>
      </c>
      <c r="AA41" s="110">
        <v>150</v>
      </c>
    </row>
    <row r="42" spans="1:27" x14ac:dyDescent="0.3">
      <c r="A42" s="46" t="s">
        <v>0</v>
      </c>
      <c r="B42" s="47" t="s">
        <v>173</v>
      </c>
      <c r="E42" s="21" t="str">
        <f>"🏓 "&amp;TEXT(N($K$7),"#.##0")&amp;" ∙ 🥳 "&amp;TEXT(N($Q$7),"#.##0")</f>
        <v>🏓 24 ∙ 🥳 15</v>
      </c>
      <c r="G42" s="120" t="str">
        <f>"👤 Min. "&amp;TEXT(N(CUBEVALUE("ThisWorkbookDataModel",
CUBEMEMBER("ThisWorkbookDataModel","[Billettype_d2].[K: Billettype emoji].&amp;[🏓]"),
CUBEMEMBER("ThisWorkbookDataModel","[Measures].[👤 Aktuel alder min.]"))),"#.##0")&amp;" år"
&amp;" ∙ 👤 Gns. "&amp;TEXT(N(CUBEVALUE("ThisWorkbookDataModel",
CUBEMEMBER("ThisWorkbookDataModel","[Billettype_d2].[K: Billettype emoji].&amp;[🏓]"),
CUBEMEMBER("ThisWorkbookDataModel","[Measures].[👥 Aktuel alder gns.]"))),"#.##0")&amp;" år"
&amp;" ∙ 👤 Maks. "&amp;TEXT(N(CUBEVALUE("ThisWorkbookDataModel",
CUBEMEMBER("ThisWorkbookDataModel","[Billettype_d2].[K: Billettype emoji].&amp;[🏓]"),
CUBEMEMBER("ThisWorkbookDataModel","[Measures].[👤 Aktuel alder maks.]"))),"#.##0")&amp;" år"</f>
        <v>👤 Min. 11 år ∙ 👤 Gns. 37 år ∙ 👤 Maks. 74 år</v>
      </c>
      <c r="H42" s="120"/>
      <c r="I42" s="120"/>
      <c r="J42" s="120"/>
      <c r="M42" s="4">
        <v>9</v>
      </c>
      <c r="N42" s="1" t="s">
        <v>216</v>
      </c>
      <c r="O42" s="4">
        <v>30</v>
      </c>
      <c r="P42" t="s">
        <v>210</v>
      </c>
      <c r="Q42" s="1" t="s">
        <v>514</v>
      </c>
      <c r="S42" s="4">
        <v>13</v>
      </c>
      <c r="T42" s="1" t="s">
        <v>701</v>
      </c>
      <c r="U42" s="1" t="s">
        <v>5</v>
      </c>
      <c r="V42" s="4">
        <v>11</v>
      </c>
      <c r="W42" s="194" t="s">
        <v>210</v>
      </c>
      <c r="X42" s="91">
        <v>45023.729862083332</v>
      </c>
      <c r="Y42" s="1" t="s">
        <v>336</v>
      </c>
      <c r="Z42" s="1" t="s">
        <v>467</v>
      </c>
      <c r="AA42" s="110">
        <v>150</v>
      </c>
    </row>
    <row r="43" spans="1:27" x14ac:dyDescent="0.3">
      <c r="A43" s="48">
        <v>1</v>
      </c>
      <c r="B43" s="51" t="str">
        <f>LEFT($H$23,1)&amp;" "&amp;TEXT($I$23,"kr. #.##0,00")
&amp;" ud af potentielt "&amp;TEXT($K$23,"kr. #.##0")
&amp;" ("&amp;TEXT($J$23,"0,0%")&amp;")"</f>
        <v>🥇 kr. 216,00 ud af potentielt kr. 864 (7,5%)</v>
      </c>
      <c r="E43" s="20" t="str">
        <f>$B$52</f>
        <v>♂️ 25 herrer (100%) ∙ ♀️ 0 damer (0%)</v>
      </c>
      <c r="G43" s="120" t="str">
        <f>"🏛️ 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emoji].&amp;[🏓]","[Landsdel_d2].[K: Landsdel].&amp;[Fyn]"}),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</f>
        <v>🏛️ 23 Jylland (96%) ∙ 🏛️ 0 Fyn (0%) ∙ 🏛️ 0 Sjælland (0%) ∙ 🏛️ 0 Bornholm (0%)</v>
      </c>
      <c r="H43" s="120" t="e">
        <f t="shared" ref="H43:J43" si="3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43" s="120" t="e">
        <f t="shared" si="3"/>
        <v>#N/A</v>
      </c>
      <c r="J43" s="120" t="e">
        <f t="shared" si="3"/>
        <v>#N/A</v>
      </c>
      <c r="M43" s="4">
        <v>10</v>
      </c>
      <c r="N43" s="1" t="s">
        <v>502</v>
      </c>
      <c r="O43" s="4">
        <v>40</v>
      </c>
      <c r="P43" t="s">
        <v>210</v>
      </c>
      <c r="Q43" s="1" t="s">
        <v>514</v>
      </c>
      <c r="S43" s="4">
        <v>14</v>
      </c>
      <c r="T43" s="1" t="s">
        <v>700</v>
      </c>
      <c r="U43" s="1" t="s">
        <v>5</v>
      </c>
      <c r="V43" s="4">
        <v>16</v>
      </c>
      <c r="W43" s="194" t="s">
        <v>210</v>
      </c>
      <c r="X43" s="91">
        <v>45023.726613495368</v>
      </c>
      <c r="Y43" s="1" t="s">
        <v>336</v>
      </c>
      <c r="Z43" s="1" t="s">
        <v>467</v>
      </c>
      <c r="AA43" s="110">
        <v>150</v>
      </c>
    </row>
    <row r="44" spans="1:27" x14ac:dyDescent="0.3">
      <c r="A44" s="49">
        <v>2</v>
      </c>
      <c r="B44" s="69" t="str">
        <f>LEFT($H$24,1)&amp;" "&amp;TEXT($I$24,"kr. #.##0,00")
&amp;" ud af potentielt "&amp;TEXT($K$24,"kr. #.##0")
&amp;" ("&amp;TEXT($J$24,"0%")&amp;")"</f>
        <v>🥈 kr. 144,00 ud af potentielt kr. 576 (5%)</v>
      </c>
      <c r="E44" s="20" t="str">
        <f>$B$53</f>
        <v>👤 2 Ungdom (8%) ∙ 👤 13 Senior (52%) ∙ 👤 10 Veteran (40%)</v>
      </c>
      <c r="G44" s="120" t="str">
        <f>"👤 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tilmeldingsantal]")))/N($K$7),"0%")&amp;")"
&amp;" ∙ 👤 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tilmeldingsantal]")))/N($K$7),"0%")&amp;")"</f>
        <v>👤 1 [&gt;=2000] Elite (4%) ∙ 👤 23 [&lt;=1999] Ikke-elite (96%)</v>
      </c>
      <c r="H44" s="120"/>
      <c r="I44" s="120"/>
      <c r="J44" s="120"/>
      <c r="M44" s="4">
        <v>11</v>
      </c>
      <c r="N44" s="1" t="s">
        <v>793</v>
      </c>
      <c r="O44" s="4">
        <v>47</v>
      </c>
      <c r="P44" t="s">
        <v>210</v>
      </c>
      <c r="Q44" s="1" t="s">
        <v>514</v>
      </c>
      <c r="S44" s="4">
        <v>15</v>
      </c>
      <c r="T44" s="1" t="s">
        <v>693</v>
      </c>
      <c r="U44" s="1" t="s">
        <v>694</v>
      </c>
      <c r="V44" s="4">
        <v>39</v>
      </c>
      <c r="W44" s="194" t="s">
        <v>210</v>
      </c>
      <c r="X44" s="91">
        <v>45021.399461527777</v>
      </c>
      <c r="Y44" s="1" t="s">
        <v>336</v>
      </c>
      <c r="Z44" s="1" t="s">
        <v>467</v>
      </c>
      <c r="AA44" s="110">
        <v>150</v>
      </c>
    </row>
    <row r="45" spans="1:27" x14ac:dyDescent="0.3">
      <c r="E45" s="20" t="str">
        <f>$B$54</f>
        <v>👤 Min. 11 år ∙ 👤 Gns. 37 år ∙ 👤 Maks. 74 år</v>
      </c>
      <c r="G45" s="120" t="str">
        <f>"👤 Min. "&amp;TEXT(N(CUBEVALUE("ThisWorkbookDataModel",
CUBEMEMBER("ThisWorkbookDataModel","[Billettype_d2].[K: Billettype emoji].&amp;[🏓]"),
CUBEMEMBER("ThisWorkbookDataModel","[Measures].[👤 Aktuel rating min.]"))),"0")&amp;" rating"
&amp;" ∙ 👤 Gns. "&amp;TEXT(N(CUBEVALUE("ThisWorkbookDataModel",
CUBEMEMBER("ThisWorkbookDataModel","[Billettype_d2].[K: Billettype emoji].&amp;[🏓]"),
CUBEMEMBER("ThisWorkbookDataModel","[Measures].[👥 Aktuel rating gns.]"))),"0")&amp;" rating"
&amp;" ∙ 👤 Maks. "&amp;TEXT(N(CUBEVALUE("ThisWorkbookDataModel",
CUBEMEMBER("ThisWorkbookDataModel","[Billettype_d2].[K: Billettype emoji].&amp;[🏓]"),
CUBEMEMBER("ThisWorkbookDataModel","[Measures].[👤 Aktuel rating maks.]"))),"0")&amp;" rating"</f>
        <v>👤 Min. 2525 rating ∙ 👤 Gns. 2525 rating ∙ 👤 Maks. 2525 rating</v>
      </c>
      <c r="H45" s="120"/>
      <c r="I45" s="120"/>
      <c r="J45" s="120"/>
      <c r="M45" s="4">
        <v>12</v>
      </c>
      <c r="N45" s="1" t="s">
        <v>790</v>
      </c>
      <c r="O45" s="4">
        <v>50</v>
      </c>
      <c r="P45" t="s">
        <v>210</v>
      </c>
      <c r="Q45" s="1" t="s">
        <v>514</v>
      </c>
      <c r="S45" s="4">
        <v>16</v>
      </c>
      <c r="T45" s="1" t="s">
        <v>496</v>
      </c>
      <c r="U45" s="1" t="s">
        <v>5</v>
      </c>
      <c r="V45" s="4">
        <v>40</v>
      </c>
      <c r="W45" s="194" t="s">
        <v>210</v>
      </c>
      <c r="X45" s="91">
        <v>45020.602166261575</v>
      </c>
      <c r="Y45" s="1" t="s">
        <v>514</v>
      </c>
      <c r="Z45" s="1" t="s">
        <v>467</v>
      </c>
      <c r="AA45" s="110">
        <v>200</v>
      </c>
    </row>
    <row r="46" spans="1:27" x14ac:dyDescent="0.3">
      <c r="B46" s="20" t="str">
        <f>$G$28&amp;": "&amp;$I$28</f>
        <v>🎁 Yngst Ping Pong: Matti Henneberg Sørensen, Hørning BTK [11 år, 23-02-2012] 🏓</v>
      </c>
      <c r="E46" s="20" t="str">
        <f>$B$55</f>
        <v>🏛️ Jylland (96%) ∙ 🏛️ Fyn (0%) ∙ 🏛️ Sjælland (0%) ∙ 🏛️ Bornholm (0%)</v>
      </c>
      <c r="G46" s="120" t="str">
        <f>"🛖 "&amp;TEXT(N(CUBEVALUE("ThisWorkbookDataModel",
CUBEMEMBER("ThisWorkbookDataModel","[Billettype_d2].[K: Billettype emoji].&amp;[🏓]"),
CUBEMEMBER("ThisWorkbookDataModel","[Measures].[🛖 Aktuel klubantal]"))),"#.##0")&amp;" klubber"</f>
        <v>🛖 11 klubber</v>
      </c>
      <c r="H46" s="120"/>
      <c r="I46" s="120"/>
      <c r="J46" s="120"/>
      <c r="M46" s="4">
        <v>13</v>
      </c>
      <c r="N46" s="1" t="s">
        <v>752</v>
      </c>
      <c r="O46" s="4">
        <v>55</v>
      </c>
      <c r="P46" t="s">
        <v>210</v>
      </c>
      <c r="Q46" s="1" t="s">
        <v>514</v>
      </c>
      <c r="S46" s="4">
        <v>17</v>
      </c>
      <c r="T46" s="1" t="s">
        <v>242</v>
      </c>
      <c r="U46" s="1" t="s">
        <v>41</v>
      </c>
      <c r="V46" s="4">
        <v>29</v>
      </c>
      <c r="W46" s="194" t="s">
        <v>210</v>
      </c>
      <c r="X46" s="91">
        <v>45020.363842106482</v>
      </c>
      <c r="Y46" s="1" t="s">
        <v>336</v>
      </c>
      <c r="Z46" s="1" t="s">
        <v>467</v>
      </c>
      <c r="AA46" s="110">
        <v>150</v>
      </c>
    </row>
    <row r="47" spans="1:27" x14ac:dyDescent="0.3">
      <c r="B47" s="20" t="str">
        <f>$G$29&amp;": "&amp;$I$29</f>
        <v>🎁 Ældst Ping Pong: Poul Erik Henneberg Sørensen, Hørning BTK [74 år, 01-02-1949] 🏓</v>
      </c>
      <c r="E47" s="20" t="str">
        <f>$B$56</f>
        <v>🛖 11 klubber</v>
      </c>
      <c r="G47" s="120" t="s">
        <v>223</v>
      </c>
      <c r="H47" s="120"/>
      <c r="I47" s="120"/>
      <c r="J47" s="120"/>
      <c r="M47" s="4">
        <v>14</v>
      </c>
      <c r="N47" s="1" t="s">
        <v>257</v>
      </c>
      <c r="O47" s="4">
        <v>58</v>
      </c>
      <c r="P47" t="s">
        <v>210</v>
      </c>
      <c r="Q47" s="1" t="s">
        <v>514</v>
      </c>
      <c r="S47" s="4">
        <v>17</v>
      </c>
      <c r="T47" s="1" t="s">
        <v>242</v>
      </c>
      <c r="U47" s="1" t="s">
        <v>41</v>
      </c>
      <c r="V47" s="4">
        <v>29</v>
      </c>
      <c r="W47" s="194" t="s">
        <v>210</v>
      </c>
      <c r="X47" s="91">
        <v>45020.363842106482</v>
      </c>
      <c r="Y47" s="1" t="s">
        <v>514</v>
      </c>
      <c r="Z47" s="1" t="s">
        <v>467</v>
      </c>
      <c r="AA47" s="110">
        <v>200</v>
      </c>
    </row>
    <row r="48" spans="1:27" x14ac:dyDescent="0.3">
      <c r="A48" s="45"/>
      <c r="B48" s="45"/>
      <c r="E48" s="20" t="s">
        <v>223</v>
      </c>
      <c r="G48" s="4" t="s">
        <v>0</v>
      </c>
      <c r="H48" t="s">
        <v>120</v>
      </c>
      <c r="I48" s="4" t="s">
        <v>14</v>
      </c>
      <c r="J48" s="18" t="s">
        <v>81</v>
      </c>
      <c r="M48" s="4">
        <v>15</v>
      </c>
      <c r="N48" s="1" t="s">
        <v>760</v>
      </c>
      <c r="O48" s="4">
        <v>67</v>
      </c>
      <c r="P48" t="s">
        <v>210</v>
      </c>
      <c r="Q48" s="1" t="s">
        <v>514</v>
      </c>
      <c r="S48" s="4">
        <v>18</v>
      </c>
      <c r="T48" s="1" t="s">
        <v>690</v>
      </c>
      <c r="U48" s="1" t="s">
        <v>645</v>
      </c>
      <c r="V48" s="4">
        <v>48</v>
      </c>
      <c r="W48" s="194" t="s">
        <v>210</v>
      </c>
      <c r="X48" s="91">
        <v>45019.367144814816</v>
      </c>
      <c r="Y48" s="1" t="s">
        <v>336</v>
      </c>
      <c r="Z48" s="1" t="s">
        <v>467</v>
      </c>
      <c r="AA48" s="110">
        <v>150</v>
      </c>
    </row>
    <row r="49" spans="1:27" x14ac:dyDescent="0.3">
      <c r="A49" s="128"/>
      <c r="B49" s="132" t="s">
        <v>183</v>
      </c>
      <c r="D49" s="4" t="s">
        <v>0</v>
      </c>
      <c r="E49" t="s">
        <v>12</v>
      </c>
      <c r="G49" s="4">
        <v>1</v>
      </c>
      <c r="H49" s="195" t="s">
        <v>77</v>
      </c>
      <c r="I49" s="4">
        <v>29</v>
      </c>
      <c r="J49" s="204" t="s">
        <v>840</v>
      </c>
      <c r="S49" s="4">
        <v>19</v>
      </c>
      <c r="T49" s="1" t="s">
        <v>244</v>
      </c>
      <c r="U49" s="1" t="s">
        <v>8</v>
      </c>
      <c r="V49" s="4">
        <v>26</v>
      </c>
      <c r="W49" s="194" t="s">
        <v>210</v>
      </c>
      <c r="X49" s="91">
        <v>45018.845933263889</v>
      </c>
      <c r="Y49" s="1" t="s">
        <v>336</v>
      </c>
      <c r="Z49" s="1" t="s">
        <v>467</v>
      </c>
      <c r="AA49" s="110">
        <v>150</v>
      </c>
    </row>
    <row r="50" spans="1:27" x14ac:dyDescent="0.3">
      <c r="A50" s="128"/>
      <c r="B50" s="128"/>
      <c r="D50" s="4">
        <v>1</v>
      </c>
      <c r="E50" s="195" t="s">
        <v>847</v>
      </c>
      <c r="G50" s="4">
        <v>2</v>
      </c>
      <c r="H50" s="195" t="s">
        <v>361</v>
      </c>
      <c r="I50" s="4">
        <v>29</v>
      </c>
      <c r="J50" s="204" t="s">
        <v>841</v>
      </c>
      <c r="S50" s="4">
        <v>20</v>
      </c>
      <c r="T50" s="1" t="s">
        <v>679</v>
      </c>
      <c r="U50" s="1" t="s">
        <v>645</v>
      </c>
      <c r="V50" s="4">
        <v>37</v>
      </c>
      <c r="W50" s="194" t="s">
        <v>210</v>
      </c>
      <c r="X50" s="91">
        <v>45018.814162662035</v>
      </c>
      <c r="Y50" s="1" t="s">
        <v>336</v>
      </c>
      <c r="Z50" s="1" t="s">
        <v>467</v>
      </c>
      <c r="AA50" s="110">
        <v>150</v>
      </c>
    </row>
    <row r="51" spans="1:27" x14ac:dyDescent="0.3">
      <c r="B51" s="21" t="str">
        <f>"🏓 "&amp;TEXT(N($K$7),"#.##0")&amp;" ud af "&amp;TEXT(N($K$6),"#.##0")
&amp;" ("&amp;TEXT(N($K$7)/N($K$6),"0%")&amp;")"
&amp;" ∙ 🥳 "&amp;TEXT(N($Q$7),"#.##0")&amp;" ud af "&amp;TEXT(N($Q$6),"#.##0")
&amp;" ("&amp;TEXT(N($Q$7)/N($Q$6),"0%")&amp;")"</f>
        <v>🏓 24 ud af 96 (25%) ∙ 🥳 15 ud af 150 (10%)</v>
      </c>
      <c r="D51" s="4">
        <v>2</v>
      </c>
      <c r="E51" s="195" t="s">
        <v>732</v>
      </c>
      <c r="G51" s="4">
        <v>3</v>
      </c>
      <c r="H51" s="195" t="s">
        <v>842</v>
      </c>
      <c r="I51" s="4">
        <v>30</v>
      </c>
      <c r="J51" s="204" t="s">
        <v>843</v>
      </c>
      <c r="S51" s="4">
        <v>21</v>
      </c>
      <c r="T51" s="1" t="s">
        <v>677</v>
      </c>
      <c r="U51" s="1" t="s">
        <v>428</v>
      </c>
      <c r="V51" s="4">
        <v>23</v>
      </c>
      <c r="W51" s="194" t="s">
        <v>210</v>
      </c>
      <c r="X51" s="91">
        <v>45010.918559756945</v>
      </c>
      <c r="Y51" s="1" t="s">
        <v>336</v>
      </c>
      <c r="Z51" s="1" t="s">
        <v>467</v>
      </c>
      <c r="AA51" s="110">
        <v>150</v>
      </c>
    </row>
    <row r="52" spans="1:27" x14ac:dyDescent="0.3">
      <c r="B52" s="20" t="str">
        <f>"♂️ "&amp;TEXT(N(CUBEVALUE("ThisWorkbookDataModel",
CUBEMEMBER("ThisWorkbookDataModel","[Køn_d1].[K: Køn emoji].&amp;[♂]"),
CUBEMEMBER("ThisWorkbookDataModel","[Measures].[👥 Aktuel tilmeldingsantal]"))),"#.##0")&amp;" herrer"
&amp;" ("&amp;TEXT(N(CUBEVALUE("ThisWorkbookDataModel",
CUBEMEMBER("ThisWorkbookDataModel","[Køn_d1].[K: Køn emoji].&amp;[♂]"),
CUBEMEMBER("ThisWorkbookDataModel","[Measures].[👥 Aktuel tilmeldingsantal]")))
/N(CUBEVALUE("ThisWorkbookDataModel",CUBEMEMBER("ThisWorkbookDataModel","[Measures].[👥 Aktuel tilmeldingsantal]"))),"0%")&amp;")"
&amp;" ∙ ♀️ "&amp;TEXT(N(CUBEVALUE("ThisWorkbookDataModel",
CUBEMEMBER("ThisWorkbookDataModel","[Køn_d1].[K: Køn emoji].&amp;[♀]"),
CUBEMEMBER("ThisWorkbookDataModel","[Measures].[👥 Aktuel tilmeldingsantal]"))),"#.##0")&amp;" damer"
&amp;" ("&amp;TEXT(N(CUBEVALUE("ThisWorkbookDataModel",
CUBEMEMBER("ThisWorkbookDataModel","[Køn_d1].[K: Køn emoji].&amp;[♀]"),
CUBEMEMBER("ThisWorkbookDataModel","[Measures].[👥 Aktuel tilmeldingsantal]")))
/N(CUBEVALUE("ThisWorkbookDataModel",CUBEMEMBER("ThisWorkbookDataModel","[Measures].[👥 Aktuel tilmeldingsantal]"))),"0%")&amp;")"</f>
        <v>♂️ 25 herrer (100%) ∙ ♀️ 0 damer (0%)</v>
      </c>
      <c r="D52" s="4">
        <v>3</v>
      </c>
      <c r="E52" s="195" t="s">
        <v>757</v>
      </c>
      <c r="G52" s="4">
        <v>4</v>
      </c>
      <c r="H52" s="195" t="s">
        <v>756</v>
      </c>
      <c r="I52" s="4">
        <v>74</v>
      </c>
      <c r="J52" s="204" t="s">
        <v>720</v>
      </c>
      <c r="S52" s="4">
        <v>21</v>
      </c>
      <c r="T52" s="1" t="s">
        <v>677</v>
      </c>
      <c r="U52" s="1" t="s">
        <v>428</v>
      </c>
      <c r="V52" s="4">
        <v>23</v>
      </c>
      <c r="W52" s="194" t="s">
        <v>210</v>
      </c>
      <c r="X52" s="91">
        <v>45010.918559756945</v>
      </c>
      <c r="Y52" s="1" t="s">
        <v>514</v>
      </c>
      <c r="Z52" s="1" t="s">
        <v>467</v>
      </c>
      <c r="AA52" s="110">
        <v>200</v>
      </c>
    </row>
    <row r="53" spans="1:27" x14ac:dyDescent="0.3">
      <c r="B53" s="20" t="str">
        <f>"👤 "&amp;TEXT(N(CUBEVALUE("ThisWorkbookDataModel",
CUBEMEMBER("ThisWorkbookDataModel","[Aldersgruppe_d1].[K: Aldersgruppe].&amp;[[&lt;=17]] Ungdom]"),
CUBEMEMBER("ThisWorkbookDataModel","[Measures].[👥 Aktuel tilmeldingsantal]"))),"#.##0")
&amp;" Ungdom ("&amp;TEXT(N(CUBEVALUE("ThisWorkbookDataModel",
CUBEMEMBER("ThisWorkbookDataModel","[Aldersgruppe_d1].[K: Aldersgruppe].&amp;[[&lt;=17]] Ungdom]"),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Aldersgruppe].&amp;[[&lt;=39]] Senior]"),
CUBEMEMBER("ThisWorkbookDataModel","[Measures].[👥 Aktuel tilmeldingsantal]"))),"#.##0")
&amp;" Senior ("&amp;TEXT(N(CUBEVALUE("ThisWorkbookDataModel",
CUBEMEMBER("ThisWorkbookDataModel","[Aldersgruppe_d1].[K: Aldersgruppe].&amp;[[&lt;=39]] Senior]"),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Aldersgruppe].&amp;[[&gt;=40]] Veteran]"),
CUBEMEMBER("ThisWorkbookDataModel","[Measures].[👥 Aktuel tilmeldingsantal]"))),"#.##0")
&amp;" Veteran ("&amp;TEXT(N(CUBEVALUE("ThisWorkbookDataModel",
CUBEMEMBER("ThisWorkbookDataModel","[Aldersgruppe_d1].[K: Aldersgruppe].&amp;[[&gt;=40]] Veteran]"),
CUBEMEMBER("ThisWorkbookDataModel","[Measures].[👥 Aktuel tilmeldingsantal]")))
/N(CUBEVALUE("ThisWorkbookDataModel",CUBEMEMBER("ThisWorkbookDataModel","[Measures].[👥 Aktuel tilmeldingsantal]"))),"0%")&amp;")"</f>
        <v>👤 2 Ungdom (8%) ∙ 👤 13 Senior (52%) ∙ 👤 10 Veteran (40%)</v>
      </c>
      <c r="D53" s="4">
        <v>4</v>
      </c>
      <c r="E53" s="195" t="s">
        <v>731</v>
      </c>
      <c r="G53" s="4">
        <v>5</v>
      </c>
      <c r="H53" s="195" t="s">
        <v>719</v>
      </c>
      <c r="I53" s="4">
        <v>23</v>
      </c>
      <c r="J53" s="204" t="s">
        <v>720</v>
      </c>
      <c r="S53" s="4">
        <v>22</v>
      </c>
      <c r="T53" s="1" t="s">
        <v>215</v>
      </c>
      <c r="U53" s="1" t="s">
        <v>8</v>
      </c>
      <c r="V53" s="4">
        <v>30</v>
      </c>
      <c r="W53" s="194" t="s">
        <v>210</v>
      </c>
      <c r="X53" s="91">
        <v>45001.928452291664</v>
      </c>
      <c r="Y53" s="1" t="s">
        <v>336</v>
      </c>
      <c r="Z53" s="1" t="s">
        <v>467</v>
      </c>
      <c r="AA53" s="110">
        <v>150</v>
      </c>
    </row>
    <row r="54" spans="1:27" x14ac:dyDescent="0.3">
      <c r="B54" s="20" t="str">
        <f>"👤 Min. "&amp;TEXT(N(CUBEVALUE("ThisWorkbookDataModel",
CUBEMEMBER("ThisWorkbookDataModel","[Measures].[👤 Aktuel alder min.]"))),"#.##0")&amp;" år"
&amp;" ∙ 👤 Gns. "&amp;TEXT(N(CUBEVALUE("ThisWorkbookDataModel",
CUBEMEMBER("ThisWorkbookDataModel","[Measures].[👥 Aktuel alder gns.]"))),"#.##0")&amp;" år"
&amp;" ∙ 👤 Maks. "&amp;TEXT(N(CUBEVALUE("ThisWorkbookDataModel",
CUBEMEMBER("ThisWorkbookDataModel","[Measures].[👤 Aktuel alder maks.]"))),"#.##0")&amp;" år"</f>
        <v>👤 Min. 11 år ∙ 👤 Gns. 37 år ∙ 👤 Maks. 74 år</v>
      </c>
      <c r="D54" s="4">
        <v>5</v>
      </c>
      <c r="E54" s="195" t="s">
        <v>797</v>
      </c>
      <c r="G54" s="4">
        <v>6</v>
      </c>
      <c r="H54" s="195" t="s">
        <v>790</v>
      </c>
      <c r="I54" s="4">
        <v>50</v>
      </c>
      <c r="J54" s="204" t="s">
        <v>720</v>
      </c>
      <c r="S54" s="4">
        <v>22</v>
      </c>
      <c r="T54" s="1" t="s">
        <v>215</v>
      </c>
      <c r="U54" s="1" t="s">
        <v>8</v>
      </c>
      <c r="V54" s="4">
        <v>30</v>
      </c>
      <c r="W54" s="194" t="s">
        <v>210</v>
      </c>
      <c r="X54" s="91">
        <v>45001.928452291664</v>
      </c>
      <c r="Y54" s="1" t="s">
        <v>514</v>
      </c>
      <c r="Z54" s="1" t="s">
        <v>467</v>
      </c>
      <c r="AA54" s="110">
        <v>200</v>
      </c>
    </row>
    <row r="55" spans="1:27" x14ac:dyDescent="0.3">
      <c r="B55" s="20" t="str">
        <f>"🏛️ Jylland ("&amp;TEXT(N(CUBEVALUE("ThisWorkbookDataModel",
CUBEMEMBER("ThisWorkbookDataModel","[Landsdel_d2].[K: Landsdel].&amp;[Jylland]"),
CUBEMEMBER("ThisWorkbookDataModel","[Measures].[👥 Aktuel tilmeldingsantal (kun med klub)]")))
/N(CUBEVALUE("ThisWorkbookDataModel",
CUBEMEMBER("ThisWorkbookDataModel","[Measures].[👥 Aktuel tilmeldingsantal (kun med klub)]"))),"0%")&amp;")"
&amp;" ∙ 🏛️ Fyn ("&amp;TEXT(N(CUBEVALUE("ThisWorkbookDataModel",
CUBEMEMBER("ThisWorkbookDataModel","[Landsdel_d2].[K: Landsdel].&amp;[Fyn]"),
CUBEMEMBER("ThisWorkbookDataModel","[Measures].[👥 Aktuel tilmeldingsantal (kun med klub)]")))
/N(CUBEVALUE("ThisWorkbookDataModel",
CUBEMEMBER("ThisWorkbookDataModel","[Measures].[👥 Aktuel tilmeldingsantal (kun med klub)]"))),"0%")&amp;")"
&amp;" ∙ 🏛️ Sjælland ("&amp;TEXT(N(CUBEVALUE("ThisWorkbookDataModel",
CUBEMEMBER("ThisWorkbookDataModel","[Landsdel_d2].[K: Landsdel].&amp;[Sjælland]"),
CUBEMEMBER("ThisWorkbookDataModel","[Measures].[👥 Aktuel tilmeldingsantal (kun med klub)]")))
/N(CUBEVALUE("ThisWorkbookDataModel",
CUBEMEMBER("ThisWorkbookDataModel","[Measures].[👥 Aktuel tilmeldingsantal (kun med klub)]"))),"0%")&amp;")"
&amp;" ∙ 🏛️ Bornholm ("&amp;TEXT(N(CUBEVALUE("ThisWorkbookDataModel",
CUBEMEMBER("ThisWorkbookDataModel","[Landsdel_d2].[K: Landsdel].&amp;[Bornholm]"),
CUBEMEMBER("ThisWorkbookDataModel","[Measures].[👥 Aktuel tilmeldingsantal (kun med klub)]")))
/N(CUBEVALUE("ThisWorkbookDataModel",
CUBEMEMBER("ThisWorkbookDataModel","[Measures].[👥 Aktuel tilmeldingsantal (kun med klub)]"))),"0%")&amp;")"</f>
        <v>🏛️ Jylland (96%) ∙ 🏛️ Fyn (0%) ∙ 🏛️ Sjælland (0%) ∙ 🏛️ Bornholm (0%)</v>
      </c>
      <c r="D55" s="4">
        <v>6</v>
      </c>
      <c r="E55" s="195" t="s">
        <v>809</v>
      </c>
      <c r="G55" s="4">
        <v>7</v>
      </c>
      <c r="H55" s="195" t="s">
        <v>808</v>
      </c>
      <c r="I55" s="4">
        <v>18</v>
      </c>
      <c r="J55" s="204" t="s">
        <v>720</v>
      </c>
      <c r="S55" s="4">
        <v>23</v>
      </c>
      <c r="T55" s="1" t="s">
        <v>61</v>
      </c>
      <c r="U55" s="1" t="s">
        <v>3</v>
      </c>
      <c r="V55" s="4">
        <v>28</v>
      </c>
      <c r="W55" s="194" t="s">
        <v>210</v>
      </c>
      <c r="X55" s="91">
        <v>45000.80535732639</v>
      </c>
      <c r="Y55" s="1" t="s">
        <v>336</v>
      </c>
      <c r="Z55" s="1" t="s">
        <v>467</v>
      </c>
      <c r="AA55" s="110">
        <v>150</v>
      </c>
    </row>
    <row r="56" spans="1:27" x14ac:dyDescent="0.3">
      <c r="B56" s="20" t="str">
        <f>"🛖 "&amp;TEXT(N(CUBEVALUE("ThisWorkbookDataModel",
CUBEMEMBER("ThisWorkbookDataModel","[Measures].[🛖 Aktuel klubantal]"))),"#.##0")&amp;" klubber"</f>
        <v>🛖 11 klubber</v>
      </c>
      <c r="D56" s="4">
        <v>7</v>
      </c>
      <c r="E56" s="195" t="s">
        <v>798</v>
      </c>
      <c r="G56" s="4">
        <v>8</v>
      </c>
      <c r="H56" s="195" t="s">
        <v>791</v>
      </c>
      <c r="I56" s="4">
        <v>20</v>
      </c>
      <c r="J56" s="204" t="s">
        <v>720</v>
      </c>
      <c r="S56" s="4">
        <v>23</v>
      </c>
      <c r="T56" s="1" t="s">
        <v>61</v>
      </c>
      <c r="U56" s="1" t="s">
        <v>3</v>
      </c>
      <c r="V56" s="4">
        <v>28</v>
      </c>
      <c r="W56" s="194" t="s">
        <v>210</v>
      </c>
      <c r="X56" s="91">
        <v>45000.80535732639</v>
      </c>
      <c r="Y56" s="1" t="s">
        <v>514</v>
      </c>
      <c r="Z56" s="1" t="s">
        <v>467</v>
      </c>
      <c r="AA56" s="110">
        <v>200</v>
      </c>
    </row>
    <row r="57" spans="1:27" x14ac:dyDescent="0.3">
      <c r="B57" s="22" t="s">
        <v>403</v>
      </c>
      <c r="D57" s="4">
        <v>8</v>
      </c>
      <c r="E57" s="195" t="s">
        <v>848</v>
      </c>
      <c r="G57" s="4">
        <v>9</v>
      </c>
      <c r="H57" s="195" t="s">
        <v>844</v>
      </c>
      <c r="I57" s="4">
        <v>51</v>
      </c>
      <c r="J57" s="204" t="s">
        <v>720</v>
      </c>
      <c r="S57" s="4">
        <v>24</v>
      </c>
      <c r="T57" s="1" t="s">
        <v>27</v>
      </c>
      <c r="U57" s="1" t="s">
        <v>8</v>
      </c>
      <c r="V57" s="4">
        <v>27</v>
      </c>
      <c r="W57" s="194" t="s">
        <v>210</v>
      </c>
      <c r="X57" s="91">
        <v>45000.805223391202</v>
      </c>
      <c r="Y57" s="1" t="s">
        <v>336</v>
      </c>
      <c r="Z57" s="1" t="s">
        <v>467</v>
      </c>
      <c r="AA57" s="110">
        <v>150</v>
      </c>
    </row>
    <row r="58" spans="1:27" x14ac:dyDescent="0.3">
      <c r="A58" s="4" t="s">
        <v>0</v>
      </c>
      <c r="B58" t="s">
        <v>108</v>
      </c>
      <c r="D58" s="4">
        <v>9</v>
      </c>
      <c r="E58" s="195" t="s">
        <v>799</v>
      </c>
      <c r="G58" s="4">
        <v>10</v>
      </c>
      <c r="H58" s="195" t="s">
        <v>792</v>
      </c>
      <c r="I58" s="4">
        <v>51</v>
      </c>
      <c r="J58" s="204" t="s">
        <v>720</v>
      </c>
      <c r="S58" s="4">
        <v>24</v>
      </c>
      <c r="T58" s="1" t="s">
        <v>27</v>
      </c>
      <c r="U58" s="1" t="s">
        <v>8</v>
      </c>
      <c r="V58" s="4">
        <v>27</v>
      </c>
      <c r="W58" s="194" t="s">
        <v>210</v>
      </c>
      <c r="X58" s="91">
        <v>45000.805223391202</v>
      </c>
      <c r="Y58" s="1" t="s">
        <v>514</v>
      </c>
      <c r="Z58" s="1" t="s">
        <v>467</v>
      </c>
      <c r="AA58" s="110">
        <v>200</v>
      </c>
    </row>
    <row r="59" spans="1:27" x14ac:dyDescent="0.3">
      <c r="A59" s="194">
        <v>1</v>
      </c>
      <c r="B59" s="195" t="s">
        <v>738</v>
      </c>
      <c r="D59" s="4">
        <v>10</v>
      </c>
      <c r="E59" s="195" t="s">
        <v>733</v>
      </c>
      <c r="G59" s="4">
        <v>11</v>
      </c>
      <c r="H59" s="195" t="s">
        <v>213</v>
      </c>
      <c r="I59" s="4">
        <v>28</v>
      </c>
      <c r="J59" s="204" t="s">
        <v>720</v>
      </c>
      <c r="S59" s="4">
        <v>25</v>
      </c>
      <c r="T59" s="1" t="s">
        <v>21</v>
      </c>
      <c r="U59" s="1" t="s">
        <v>5</v>
      </c>
      <c r="V59" s="4">
        <v>29</v>
      </c>
      <c r="W59" s="194" t="s">
        <v>210</v>
      </c>
      <c r="X59" s="91">
        <v>45000.772518368052</v>
      </c>
      <c r="Y59" s="1" t="s">
        <v>336</v>
      </c>
      <c r="Z59" s="1" t="s">
        <v>467</v>
      </c>
      <c r="AA59" s="110">
        <v>150</v>
      </c>
    </row>
    <row r="60" spans="1:27" x14ac:dyDescent="0.3">
      <c r="A60" s="194">
        <v>2</v>
      </c>
      <c r="B60" s="195" t="s">
        <v>734</v>
      </c>
      <c r="D60" s="4">
        <v>11</v>
      </c>
      <c r="E60" s="195" t="s">
        <v>734</v>
      </c>
      <c r="G60" s="4">
        <v>12</v>
      </c>
      <c r="H60" s="195" t="s">
        <v>721</v>
      </c>
      <c r="I60" s="4">
        <v>16</v>
      </c>
      <c r="J60" s="204" t="s">
        <v>720</v>
      </c>
      <c r="S60" s="4">
        <v>25</v>
      </c>
      <c r="T60" s="1" t="s">
        <v>21</v>
      </c>
      <c r="U60" s="1" t="s">
        <v>5</v>
      </c>
      <c r="V60" s="4">
        <v>29</v>
      </c>
      <c r="W60" s="194" t="s">
        <v>210</v>
      </c>
      <c r="X60" s="91">
        <v>45000.772518368052</v>
      </c>
      <c r="Y60" s="1" t="s">
        <v>514</v>
      </c>
      <c r="Z60" s="1" t="s">
        <v>467</v>
      </c>
      <c r="AA60" s="110">
        <v>200</v>
      </c>
    </row>
    <row r="61" spans="1:27" x14ac:dyDescent="0.3">
      <c r="A61" s="194">
        <v>3</v>
      </c>
      <c r="B61" s="195" t="s">
        <v>809</v>
      </c>
      <c r="D61" s="4">
        <v>12</v>
      </c>
      <c r="E61" s="195" t="s">
        <v>735</v>
      </c>
      <c r="G61" s="4">
        <v>13</v>
      </c>
      <c r="H61" s="195" t="s">
        <v>722</v>
      </c>
      <c r="I61" s="4">
        <v>26</v>
      </c>
      <c r="J61" s="204" t="s">
        <v>720</v>
      </c>
      <c r="S61" s="4"/>
      <c r="T61" s="1"/>
      <c r="U61" s="1"/>
      <c r="V61" s="4"/>
      <c r="W61" s="75"/>
      <c r="X61" s="4"/>
      <c r="Y61" s="1"/>
      <c r="Z61" s="1"/>
    </row>
    <row r="62" spans="1:27" x14ac:dyDescent="0.3">
      <c r="A62" s="194">
        <v>4</v>
      </c>
      <c r="B62" s="195" t="s">
        <v>798</v>
      </c>
      <c r="D62" s="4">
        <v>13</v>
      </c>
      <c r="E62" s="195" t="s">
        <v>800</v>
      </c>
      <c r="G62" s="4">
        <v>14</v>
      </c>
      <c r="H62" s="195" t="s">
        <v>793</v>
      </c>
      <c r="I62" s="4">
        <v>47</v>
      </c>
      <c r="J62" s="204" t="s">
        <v>720</v>
      </c>
      <c r="S62" s="4"/>
      <c r="T62" s="1"/>
      <c r="U62" s="1"/>
      <c r="V62" s="4"/>
      <c r="W62" s="75"/>
      <c r="X62" s="4"/>
      <c r="Y62" s="1"/>
      <c r="Z62" s="1"/>
    </row>
    <row r="63" spans="1:27" ht="18" customHeight="1" x14ac:dyDescent="0.3">
      <c r="A63" s="194">
        <v>5</v>
      </c>
      <c r="B63" s="195" t="s">
        <v>802</v>
      </c>
      <c r="D63" s="4">
        <v>14</v>
      </c>
      <c r="E63" s="195" t="s">
        <v>736</v>
      </c>
      <c r="G63" s="4">
        <v>15</v>
      </c>
      <c r="H63" s="195" t="s">
        <v>723</v>
      </c>
      <c r="I63" s="4">
        <v>37</v>
      </c>
      <c r="J63" s="204" t="s">
        <v>720</v>
      </c>
      <c r="S63" s="4"/>
      <c r="T63" s="1"/>
      <c r="U63" s="1"/>
      <c r="V63" s="4"/>
      <c r="W63" s="75"/>
      <c r="X63" s="4"/>
      <c r="Y63" s="1"/>
      <c r="Z63" s="1"/>
    </row>
    <row r="64" spans="1:27" ht="18" customHeight="1" x14ac:dyDescent="0.3">
      <c r="A64" s="194">
        <v>6</v>
      </c>
      <c r="B64" s="195" t="s">
        <v>731</v>
      </c>
      <c r="D64" s="4">
        <v>15</v>
      </c>
      <c r="E64" s="195" t="s">
        <v>801</v>
      </c>
      <c r="G64" s="4">
        <v>16</v>
      </c>
      <c r="H64" s="195" t="s">
        <v>257</v>
      </c>
      <c r="I64" s="4">
        <v>58</v>
      </c>
      <c r="J64" s="204" t="s">
        <v>720</v>
      </c>
      <c r="S64" s="4"/>
      <c r="T64" s="1"/>
      <c r="U64" s="1"/>
      <c r="V64" s="4"/>
      <c r="W64" s="75"/>
      <c r="X64" s="4"/>
      <c r="Y64" s="1"/>
      <c r="Z64" s="1"/>
    </row>
    <row r="65" spans="1:10" x14ac:dyDescent="0.3">
      <c r="A65" s="194">
        <v>7</v>
      </c>
      <c r="B65" s="195" t="s">
        <v>735</v>
      </c>
      <c r="D65" s="4">
        <v>16</v>
      </c>
      <c r="E65" s="195" t="s">
        <v>753</v>
      </c>
      <c r="G65" s="4">
        <v>17</v>
      </c>
      <c r="H65" s="195" t="s">
        <v>752</v>
      </c>
      <c r="I65" s="4">
        <v>55</v>
      </c>
      <c r="J65" s="204" t="s">
        <v>720</v>
      </c>
    </row>
    <row r="66" spans="1:10" x14ac:dyDescent="0.3">
      <c r="A66" s="194">
        <v>8</v>
      </c>
      <c r="B66" s="195" t="s">
        <v>741</v>
      </c>
      <c r="D66" s="4">
        <v>17</v>
      </c>
      <c r="E66" s="195" t="s">
        <v>737</v>
      </c>
      <c r="G66" s="4">
        <v>18</v>
      </c>
      <c r="H66" s="195" t="s">
        <v>216</v>
      </c>
      <c r="I66" s="4">
        <v>30</v>
      </c>
      <c r="J66" s="204" t="s">
        <v>720</v>
      </c>
    </row>
    <row r="67" spans="1:10" x14ac:dyDescent="0.3">
      <c r="A67" s="194">
        <v>9</v>
      </c>
      <c r="B67" s="195" t="s">
        <v>733</v>
      </c>
      <c r="D67" s="4">
        <v>18</v>
      </c>
      <c r="E67" s="195" t="s">
        <v>802</v>
      </c>
      <c r="G67" s="4">
        <v>19</v>
      </c>
      <c r="H67" s="195" t="s">
        <v>794</v>
      </c>
      <c r="I67" s="4">
        <v>21</v>
      </c>
      <c r="J67" s="204" t="s">
        <v>720</v>
      </c>
    </row>
    <row r="68" spans="1:10" x14ac:dyDescent="0.3">
      <c r="A68" s="194">
        <v>10</v>
      </c>
      <c r="B68" s="195" t="s">
        <v>743</v>
      </c>
      <c r="D68" s="4">
        <v>19</v>
      </c>
      <c r="E68" s="195" t="s">
        <v>738</v>
      </c>
      <c r="G68" s="4">
        <v>20</v>
      </c>
      <c r="H68" s="195" t="s">
        <v>724</v>
      </c>
      <c r="I68" s="4">
        <v>11</v>
      </c>
      <c r="J68" s="204" t="s">
        <v>720</v>
      </c>
    </row>
    <row r="69" spans="1:10" x14ac:dyDescent="0.3">
      <c r="A69" s="194">
        <v>11</v>
      </c>
      <c r="B69" s="195" t="s">
        <v>732</v>
      </c>
      <c r="D69" s="4">
        <v>20</v>
      </c>
      <c r="E69" s="195" t="s">
        <v>739</v>
      </c>
      <c r="G69" s="4">
        <v>21</v>
      </c>
      <c r="H69" s="195" t="s">
        <v>725</v>
      </c>
      <c r="I69" s="4">
        <v>48</v>
      </c>
      <c r="J69" s="204" t="s">
        <v>720</v>
      </c>
    </row>
    <row r="70" spans="1:10" x14ac:dyDescent="0.3">
      <c r="A70" s="194">
        <v>12</v>
      </c>
      <c r="B70" s="195" t="s">
        <v>849</v>
      </c>
      <c r="D70" s="4">
        <v>21</v>
      </c>
      <c r="E70" s="195" t="s">
        <v>740</v>
      </c>
      <c r="G70" s="4">
        <v>22</v>
      </c>
      <c r="H70" s="195" t="s">
        <v>726</v>
      </c>
      <c r="I70" s="4">
        <v>39</v>
      </c>
      <c r="J70" s="204" t="s">
        <v>720</v>
      </c>
    </row>
    <row r="71" spans="1:10" x14ac:dyDescent="0.3">
      <c r="A71" s="194">
        <v>13</v>
      </c>
      <c r="B71" s="195" t="s">
        <v>737</v>
      </c>
      <c r="D71" s="4">
        <v>22</v>
      </c>
      <c r="E71" s="195" t="s">
        <v>762</v>
      </c>
      <c r="G71" s="4">
        <v>23</v>
      </c>
      <c r="H71" s="195" t="s">
        <v>760</v>
      </c>
      <c r="I71" s="4">
        <v>67</v>
      </c>
      <c r="J71" s="204" t="s">
        <v>720</v>
      </c>
    </row>
    <row r="72" spans="1:10" x14ac:dyDescent="0.3">
      <c r="A72" s="194">
        <v>14</v>
      </c>
      <c r="B72" s="195" t="s">
        <v>736</v>
      </c>
      <c r="D72" s="4">
        <v>23</v>
      </c>
      <c r="E72" s="195" t="s">
        <v>741</v>
      </c>
      <c r="G72" s="4">
        <v>24</v>
      </c>
      <c r="H72" s="195" t="s">
        <v>212</v>
      </c>
      <c r="I72" s="4">
        <v>27</v>
      </c>
      <c r="J72" s="204" t="s">
        <v>720</v>
      </c>
    </row>
    <row r="73" spans="1:10" x14ac:dyDescent="0.3">
      <c r="A73" s="194">
        <v>15</v>
      </c>
      <c r="B73" s="195" t="s">
        <v>740</v>
      </c>
      <c r="D73" s="4">
        <v>24</v>
      </c>
      <c r="E73" s="195" t="s">
        <v>849</v>
      </c>
      <c r="G73" s="4"/>
      <c r="I73" s="4"/>
      <c r="J73" s="18"/>
    </row>
    <row r="74" spans="1:10" x14ac:dyDescent="0.3">
      <c r="A74" s="194">
        <v>16</v>
      </c>
      <c r="B74" s="195" t="s">
        <v>742</v>
      </c>
      <c r="D74" s="4">
        <v>25</v>
      </c>
      <c r="E74" s="195" t="s">
        <v>742</v>
      </c>
      <c r="G74" s="128" t="s">
        <v>395</v>
      </c>
      <c r="H74" s="128"/>
      <c r="I74" s="128"/>
      <c r="J74" s="128"/>
    </row>
    <row r="75" spans="1:10" x14ac:dyDescent="0.3">
      <c r="A75" s="194">
        <v>17</v>
      </c>
      <c r="B75" s="195" t="s">
        <v>800</v>
      </c>
      <c r="G75" s="128"/>
      <c r="H75" s="128"/>
      <c r="I75" s="128"/>
      <c r="J75" s="128"/>
    </row>
    <row r="76" spans="1:10" x14ac:dyDescent="0.3">
      <c r="A76" s="194">
        <v>18</v>
      </c>
      <c r="B76" s="195" t="s">
        <v>739</v>
      </c>
      <c r="G76" s="123" t="str">
        <f>$G$39</f>
        <v>🏓 24 ud af 96 tilmeldinger (25%)</v>
      </c>
      <c r="H76" s="123" t="str">
        <f>"🏓 "&amp;$K$7&amp;" ud af "&amp;$K$6&amp;" ∙ 🎉 "&amp;$Q$7&amp;" ud af "&amp;$Q$6</f>
        <v>🏓 24 ud af 96 ∙ 🎉 15 ud af 150</v>
      </c>
      <c r="I76" s="123" t="str">
        <f>"🏓 "&amp;$K$7&amp;" ud af "&amp;$K$6&amp;" ∙ 🎉 "&amp;$Q$7&amp;" ud af "&amp;$Q$6</f>
        <v>🏓 24 ud af 96 ∙ 🎉 15 ud af 150</v>
      </c>
      <c r="J76" s="123" t="str">
        <f>"🏓 "&amp;$K$7&amp;" ud af "&amp;$K$6&amp;" ∙ 🎉 "&amp;$Q$7&amp;" ud af "&amp;$Q$6</f>
        <v>🏓 24 ud af 96 ∙ 🎉 15 ud af 150</v>
      </c>
    </row>
    <row r="77" spans="1:10" x14ac:dyDescent="0.3">
      <c r="A77" s="194">
        <v>19</v>
      </c>
      <c r="B77" s="195" t="s">
        <v>797</v>
      </c>
      <c r="G77" s="120" t="str">
        <f>$G$40</f>
        <v>♂️ 24 herrer (100%) ∙ ♀️ 0 damer (0%)</v>
      </c>
      <c r="H77" s="120"/>
      <c r="I77" s="120"/>
      <c r="J77" s="120"/>
    </row>
    <row r="78" spans="1:10" x14ac:dyDescent="0.3">
      <c r="A78" s="194">
        <v>20</v>
      </c>
      <c r="B78" s="195" t="s">
        <v>848</v>
      </c>
      <c r="G78" s="120" t="str">
        <f>$G$41</f>
        <v>👤 2  Ungdom (8%) ∙ 👤 13  Senior (54%) ∙ 👤 9  Veteran (38%)</v>
      </c>
      <c r="H78" s="120" t="e">
        <f t="shared" ref="H78:J78" si="4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78" s="120" t="e">
        <f t="shared" si="4"/>
        <v>#N/A</v>
      </c>
      <c r="J78" s="120" t="e">
        <f t="shared" si="4"/>
        <v>#N/A</v>
      </c>
    </row>
    <row r="79" spans="1:10" x14ac:dyDescent="0.3">
      <c r="A79" s="194">
        <v>21</v>
      </c>
      <c r="B79" s="195" t="s">
        <v>799</v>
      </c>
      <c r="G79" s="120" t="str">
        <f>$G$42</f>
        <v>👤 Min. 11 år ∙ 👤 Gns. 37 år ∙ 👤 Maks. 74 år</v>
      </c>
      <c r="H79" s="120"/>
      <c r="I79" s="120"/>
      <c r="J79" s="120"/>
    </row>
    <row r="80" spans="1:10" x14ac:dyDescent="0.3">
      <c r="A80" s="194">
        <v>22</v>
      </c>
      <c r="B80" s="195" t="s">
        <v>753</v>
      </c>
      <c r="G80" s="120" t="str">
        <f>$G$43</f>
        <v>🏛️ 23 Jylland (96%) ∙ 🏛️ 0 Fyn (0%) ∙ 🏛️ 0 Sjælland (0%) ∙ 🏛️ 0 Bornholm (0%)</v>
      </c>
      <c r="H80" s="120" t="e">
        <f t="shared" ref="H80:J80" si="5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80" s="120" t="e">
        <f t="shared" si="5"/>
        <v>#N/A</v>
      </c>
      <c r="J80" s="120" t="e">
        <f t="shared" si="5"/>
        <v>#N/A</v>
      </c>
    </row>
    <row r="81" spans="1:10" x14ac:dyDescent="0.3">
      <c r="A81" s="194">
        <v>23</v>
      </c>
      <c r="B81" s="195" t="s">
        <v>801</v>
      </c>
      <c r="G81" s="120" t="str">
        <f>$G$45</f>
        <v>👤 Min. 2525 rating ∙ 👤 Gns. 2525 rating ∙ 👤 Maks. 2525 rating</v>
      </c>
      <c r="H81" s="120"/>
      <c r="I81" s="120"/>
      <c r="J81" s="120"/>
    </row>
    <row r="82" spans="1:10" x14ac:dyDescent="0.3">
      <c r="A82" s="194">
        <v>24</v>
      </c>
      <c r="B82" s="195" t="s">
        <v>762</v>
      </c>
      <c r="G82" s="120" t="str">
        <f>$G$46</f>
        <v>🛖 11 klubber</v>
      </c>
      <c r="H82" s="120"/>
      <c r="I82" s="120"/>
      <c r="J82" s="120"/>
    </row>
    <row r="83" spans="1:10" x14ac:dyDescent="0.3">
      <c r="A83" s="194">
        <v>25</v>
      </c>
      <c r="B83" s="195" t="s">
        <v>757</v>
      </c>
      <c r="G83" s="120" t="s">
        <v>396</v>
      </c>
      <c r="H83" s="120"/>
      <c r="I83" s="120"/>
      <c r="J83" s="120"/>
    </row>
    <row r="84" spans="1:10" x14ac:dyDescent="0.3">
      <c r="G84" s="1" t="s">
        <v>198</v>
      </c>
      <c r="H84" t="s">
        <v>397</v>
      </c>
      <c r="I84" s="4" t="s">
        <v>367</v>
      </c>
      <c r="J84" s="18" t="s">
        <v>81</v>
      </c>
    </row>
    <row r="85" spans="1:10" x14ac:dyDescent="0.3">
      <c r="G85" s="85"/>
      <c r="H85" s="195" t="s">
        <v>845</v>
      </c>
      <c r="I85" s="194"/>
      <c r="J85" s="204"/>
    </row>
    <row r="86" spans="1:10" x14ac:dyDescent="0.3">
      <c r="G86" s="85">
        <v>45059</v>
      </c>
      <c r="H86" s="195" t="s">
        <v>95</v>
      </c>
      <c r="I86" s="194" t="s">
        <v>210</v>
      </c>
      <c r="J86" s="204" t="s">
        <v>843</v>
      </c>
    </row>
    <row r="87" spans="1:10" x14ac:dyDescent="0.3">
      <c r="G87" s="85">
        <v>45045</v>
      </c>
      <c r="H87" s="195" t="s">
        <v>772</v>
      </c>
      <c r="I87" s="194" t="s">
        <v>210</v>
      </c>
      <c r="J87" s="204" t="s">
        <v>720</v>
      </c>
    </row>
    <row r="88" spans="1:10" x14ac:dyDescent="0.3">
      <c r="G88" s="85">
        <v>45045</v>
      </c>
      <c r="H88" s="195" t="s">
        <v>770</v>
      </c>
      <c r="I88" s="194" t="s">
        <v>210</v>
      </c>
      <c r="J88" s="204" t="s">
        <v>720</v>
      </c>
    </row>
    <row r="89" spans="1:10" x14ac:dyDescent="0.3">
      <c r="G89" s="85">
        <v>45045</v>
      </c>
      <c r="H89" s="195" t="s">
        <v>769</v>
      </c>
      <c r="I89" s="194" t="s">
        <v>210</v>
      </c>
      <c r="J89" s="204" t="s">
        <v>720</v>
      </c>
    </row>
    <row r="90" spans="1:10" x14ac:dyDescent="0.3">
      <c r="G90" s="85">
        <v>45027</v>
      </c>
      <c r="H90" s="195" t="s">
        <v>746</v>
      </c>
      <c r="I90" s="194" t="s">
        <v>210</v>
      </c>
      <c r="J90" s="204" t="s">
        <v>720</v>
      </c>
    </row>
    <row r="91" spans="1:10" x14ac:dyDescent="0.3">
      <c r="G91" s="85">
        <v>45023</v>
      </c>
      <c r="H91" s="195" t="s">
        <v>703</v>
      </c>
      <c r="I91" s="194" t="s">
        <v>210</v>
      </c>
      <c r="J91" s="204" t="s">
        <v>720</v>
      </c>
    </row>
    <row r="92" spans="1:10" x14ac:dyDescent="0.3">
      <c r="G92" s="85">
        <v>45023</v>
      </c>
      <c r="H92" s="195" t="s">
        <v>702</v>
      </c>
      <c r="I92" s="194" t="s">
        <v>210</v>
      </c>
      <c r="J92" s="204" t="s">
        <v>720</v>
      </c>
    </row>
    <row r="93" spans="1:10" x14ac:dyDescent="0.3">
      <c r="G93" s="85">
        <v>45023</v>
      </c>
      <c r="H93" s="195" t="s">
        <v>699</v>
      </c>
      <c r="I93" s="194" t="s">
        <v>210</v>
      </c>
      <c r="J93" s="204" t="s">
        <v>720</v>
      </c>
    </row>
    <row r="94" spans="1:10" x14ac:dyDescent="0.3">
      <c r="G94" s="85">
        <v>45000</v>
      </c>
      <c r="H94" s="195" t="s">
        <v>121</v>
      </c>
      <c r="I94" s="194" t="s">
        <v>210</v>
      </c>
      <c r="J94" s="204" t="s">
        <v>840</v>
      </c>
    </row>
    <row r="95" spans="1:10" x14ac:dyDescent="0.3">
      <c r="G95" s="85"/>
      <c r="H95" s="195" t="s">
        <v>405</v>
      </c>
      <c r="I95" s="194" t="s">
        <v>405</v>
      </c>
      <c r="J95" s="204" t="s">
        <v>405</v>
      </c>
    </row>
    <row r="96" spans="1:10" x14ac:dyDescent="0.3">
      <c r="G96" s="85"/>
      <c r="H96" s="195" t="s">
        <v>727</v>
      </c>
      <c r="I96" s="194"/>
      <c r="J96" s="204"/>
    </row>
    <row r="97" spans="7:10" x14ac:dyDescent="0.3">
      <c r="G97" s="85">
        <v>45018</v>
      </c>
      <c r="H97" s="195" t="s">
        <v>243</v>
      </c>
      <c r="I97" s="194" t="s">
        <v>210</v>
      </c>
      <c r="J97" s="204" t="s">
        <v>720</v>
      </c>
    </row>
    <row r="98" spans="7:10" x14ac:dyDescent="0.3">
      <c r="G98" s="85">
        <v>45001</v>
      </c>
      <c r="H98" s="195" t="s">
        <v>214</v>
      </c>
      <c r="I98" s="194" t="s">
        <v>210</v>
      </c>
      <c r="J98" s="204" t="s">
        <v>720</v>
      </c>
    </row>
    <row r="99" spans="7:10" x14ac:dyDescent="0.3">
      <c r="G99" s="85">
        <v>45000</v>
      </c>
      <c r="H99" s="195" t="s">
        <v>104</v>
      </c>
      <c r="I99" s="194" t="s">
        <v>210</v>
      </c>
      <c r="J99" s="204" t="s">
        <v>720</v>
      </c>
    </row>
    <row r="100" spans="7:10" x14ac:dyDescent="0.3">
      <c r="G100" s="85"/>
      <c r="H100" s="195" t="s">
        <v>405</v>
      </c>
      <c r="I100" s="194" t="s">
        <v>405</v>
      </c>
      <c r="J100" s="204" t="s">
        <v>405</v>
      </c>
    </row>
    <row r="101" spans="7:10" x14ac:dyDescent="0.3">
      <c r="G101" s="85"/>
      <c r="H101" s="195" t="s">
        <v>728</v>
      </c>
      <c r="I101" s="194"/>
      <c r="J101" s="204"/>
    </row>
    <row r="102" spans="7:10" x14ac:dyDescent="0.3">
      <c r="G102" s="85">
        <v>45019</v>
      </c>
      <c r="H102" s="195" t="s">
        <v>689</v>
      </c>
      <c r="I102" s="194" t="s">
        <v>210</v>
      </c>
      <c r="J102" s="204" t="s">
        <v>720</v>
      </c>
    </row>
    <row r="103" spans="7:10" x14ac:dyDescent="0.3">
      <c r="G103" s="85">
        <v>45018</v>
      </c>
      <c r="H103" s="195" t="s">
        <v>678</v>
      </c>
      <c r="I103" s="194" t="s">
        <v>210</v>
      </c>
      <c r="J103" s="204" t="s">
        <v>720</v>
      </c>
    </row>
    <row r="104" spans="7:10" x14ac:dyDescent="0.3">
      <c r="G104" s="85"/>
      <c r="H104" s="195" t="s">
        <v>405</v>
      </c>
      <c r="I104" s="194" t="s">
        <v>405</v>
      </c>
      <c r="J104" s="204" t="s">
        <v>405</v>
      </c>
    </row>
    <row r="105" spans="7:10" x14ac:dyDescent="0.3">
      <c r="G105" s="85"/>
      <c r="H105" s="195" t="s">
        <v>846</v>
      </c>
      <c r="I105" s="194"/>
      <c r="J105" s="204"/>
    </row>
    <row r="106" spans="7:10" x14ac:dyDescent="0.3">
      <c r="G106" s="85">
        <v>45058</v>
      </c>
      <c r="H106" s="195" t="s">
        <v>811</v>
      </c>
      <c r="I106" s="194" t="s">
        <v>210</v>
      </c>
      <c r="J106" s="204" t="s">
        <v>720</v>
      </c>
    </row>
    <row r="107" spans="7:10" x14ac:dyDescent="0.3">
      <c r="G107" s="85">
        <v>45054</v>
      </c>
      <c r="H107" s="195" t="s">
        <v>803</v>
      </c>
      <c r="I107" s="194" t="s">
        <v>210</v>
      </c>
      <c r="J107" s="204" t="s">
        <v>720</v>
      </c>
    </row>
    <row r="108" spans="7:10" x14ac:dyDescent="0.3">
      <c r="G108" s="85"/>
      <c r="H108" s="195" t="s">
        <v>405</v>
      </c>
      <c r="I108" s="194" t="s">
        <v>405</v>
      </c>
      <c r="J108" s="204" t="s">
        <v>405</v>
      </c>
    </row>
    <row r="109" spans="7:10" x14ac:dyDescent="0.3">
      <c r="G109" s="85"/>
      <c r="H109" s="195" t="s">
        <v>795</v>
      </c>
      <c r="I109" s="194"/>
      <c r="J109" s="204"/>
    </row>
    <row r="110" spans="7:10" x14ac:dyDescent="0.3">
      <c r="G110" s="85">
        <v>45031</v>
      </c>
      <c r="H110" s="195" t="s">
        <v>765</v>
      </c>
      <c r="I110" s="194" t="s">
        <v>210</v>
      </c>
      <c r="J110" s="204" t="s">
        <v>720</v>
      </c>
    </row>
    <row r="111" spans="7:10" x14ac:dyDescent="0.3">
      <c r="G111" s="85">
        <v>45031</v>
      </c>
      <c r="H111" s="195" t="s">
        <v>764</v>
      </c>
      <c r="I111" s="194" t="s">
        <v>210</v>
      </c>
      <c r="J111" s="204" t="s">
        <v>720</v>
      </c>
    </row>
    <row r="112" spans="7:10" x14ac:dyDescent="0.3">
      <c r="G112" s="85"/>
      <c r="H112" s="195" t="s">
        <v>405</v>
      </c>
      <c r="I112" s="194" t="s">
        <v>405</v>
      </c>
      <c r="J112" s="204" t="s">
        <v>405</v>
      </c>
    </row>
    <row r="113" spans="7:10" x14ac:dyDescent="0.3">
      <c r="G113" s="85"/>
      <c r="H113" s="195" t="s">
        <v>761</v>
      </c>
      <c r="I113" s="194"/>
      <c r="J113" s="204"/>
    </row>
    <row r="114" spans="7:10" x14ac:dyDescent="0.3">
      <c r="G114" s="85">
        <v>45027</v>
      </c>
      <c r="H114" s="195" t="s">
        <v>745</v>
      </c>
      <c r="I114" s="194" t="s">
        <v>210</v>
      </c>
      <c r="J114" s="204" t="s">
        <v>720</v>
      </c>
    </row>
    <row r="115" spans="7:10" x14ac:dyDescent="0.3">
      <c r="G115" s="85"/>
      <c r="H115" s="195" t="s">
        <v>405</v>
      </c>
      <c r="I115" s="194" t="s">
        <v>405</v>
      </c>
      <c r="J115" s="204" t="s">
        <v>405</v>
      </c>
    </row>
    <row r="116" spans="7:10" x14ac:dyDescent="0.3">
      <c r="G116" s="85"/>
      <c r="H116" s="195" t="s">
        <v>431</v>
      </c>
      <c r="I116" s="194"/>
      <c r="J116" s="204"/>
    </row>
    <row r="117" spans="7:10" x14ac:dyDescent="0.3">
      <c r="G117" s="85">
        <v>45010</v>
      </c>
      <c r="H117" s="195" t="s">
        <v>676</v>
      </c>
      <c r="I117" s="194" t="s">
        <v>210</v>
      </c>
      <c r="J117" s="204" t="s">
        <v>720</v>
      </c>
    </row>
    <row r="118" spans="7:10" x14ac:dyDescent="0.3">
      <c r="G118" s="85"/>
      <c r="H118" s="195" t="s">
        <v>405</v>
      </c>
      <c r="I118" s="194" t="s">
        <v>405</v>
      </c>
      <c r="J118" s="204" t="s">
        <v>405</v>
      </c>
    </row>
    <row r="119" spans="7:10" x14ac:dyDescent="0.3">
      <c r="G119" s="85"/>
      <c r="H119" s="195" t="s">
        <v>796</v>
      </c>
      <c r="I119" s="194"/>
      <c r="J119" s="204"/>
    </row>
    <row r="120" spans="7:10" x14ac:dyDescent="0.3">
      <c r="G120" s="85">
        <v>45051</v>
      </c>
      <c r="H120" s="195" t="s">
        <v>100</v>
      </c>
      <c r="I120" s="194" t="s">
        <v>210</v>
      </c>
      <c r="J120" s="204" t="s">
        <v>720</v>
      </c>
    </row>
    <row r="121" spans="7:10" x14ac:dyDescent="0.3">
      <c r="G121" s="85"/>
      <c r="H121" s="195" t="s">
        <v>405</v>
      </c>
      <c r="I121" s="194" t="s">
        <v>405</v>
      </c>
      <c r="J121" s="204" t="s">
        <v>405</v>
      </c>
    </row>
    <row r="122" spans="7:10" x14ac:dyDescent="0.3">
      <c r="G122" s="85"/>
      <c r="H122" s="195" t="s">
        <v>729</v>
      </c>
      <c r="I122" s="194"/>
      <c r="J122" s="204"/>
    </row>
    <row r="123" spans="7:10" x14ac:dyDescent="0.3">
      <c r="G123" s="85">
        <v>45021</v>
      </c>
      <c r="H123" s="195" t="s">
        <v>697</v>
      </c>
      <c r="I123" s="194" t="s">
        <v>210</v>
      </c>
      <c r="J123" s="204" t="s">
        <v>720</v>
      </c>
    </row>
    <row r="124" spans="7:10" x14ac:dyDescent="0.3">
      <c r="G124" s="85"/>
      <c r="H124" s="195" t="s">
        <v>405</v>
      </c>
      <c r="I124" s="194" t="s">
        <v>405</v>
      </c>
      <c r="J124" s="204" t="s">
        <v>405</v>
      </c>
    </row>
    <row r="125" spans="7:10" x14ac:dyDescent="0.3">
      <c r="G125" s="85"/>
      <c r="H125" s="195" t="s">
        <v>730</v>
      </c>
      <c r="I125" s="194"/>
      <c r="J125" s="204"/>
    </row>
    <row r="126" spans="7:10" x14ac:dyDescent="0.3">
      <c r="G126" s="85">
        <v>45020</v>
      </c>
      <c r="H126" s="195" t="s">
        <v>241</v>
      </c>
      <c r="I126" s="194" t="s">
        <v>210</v>
      </c>
      <c r="J126" s="204" t="s">
        <v>841</v>
      </c>
    </row>
    <row r="127" spans="7:10" x14ac:dyDescent="0.3">
      <c r="G127" s="85"/>
      <c r="H127" s="195" t="s">
        <v>405</v>
      </c>
      <c r="I127" s="194" t="s">
        <v>405</v>
      </c>
      <c r="J127" s="204" t="s">
        <v>405</v>
      </c>
    </row>
    <row r="128" spans="7:10" x14ac:dyDescent="0.3">
      <c r="G128" s="85"/>
      <c r="H128" s="195" t="s">
        <v>492</v>
      </c>
      <c r="I128" s="194"/>
      <c r="J128" s="204"/>
    </row>
    <row r="129" spans="7:10" x14ac:dyDescent="0.3">
      <c r="G129" s="85">
        <v>45000</v>
      </c>
      <c r="H129" s="195" t="s">
        <v>106</v>
      </c>
      <c r="I129" s="194" t="s">
        <v>210</v>
      </c>
      <c r="J129" s="204" t="s">
        <v>720</v>
      </c>
    </row>
  </sheetData>
  <sheetProtection selectLockedCells="1" autoFilter="0"/>
  <mergeCells count="125">
    <mergeCell ref="S6:V6"/>
    <mergeCell ref="S7:V7"/>
    <mergeCell ref="S8:V8"/>
    <mergeCell ref="S9:V9"/>
    <mergeCell ref="S10:V10"/>
    <mergeCell ref="S11:V11"/>
    <mergeCell ref="S12:V12"/>
    <mergeCell ref="S13:V13"/>
    <mergeCell ref="S1:AA1"/>
    <mergeCell ref="S2:AA2"/>
    <mergeCell ref="S3:Z4"/>
    <mergeCell ref="S5:Z5"/>
    <mergeCell ref="Z6:AA6"/>
    <mergeCell ref="W6:Y6"/>
    <mergeCell ref="M22:P23"/>
    <mergeCell ref="M24:Q24"/>
    <mergeCell ref="Z13:AA13"/>
    <mergeCell ref="W13:Y13"/>
    <mergeCell ref="S15:AA15"/>
    <mergeCell ref="S16:AA16"/>
    <mergeCell ref="S17:AA17"/>
    <mergeCell ref="S18:AA18"/>
    <mergeCell ref="S19:AA19"/>
    <mergeCell ref="S20:AA20"/>
    <mergeCell ref="M11:P11"/>
    <mergeCell ref="M19:O19"/>
    <mergeCell ref="W11:Y11"/>
    <mergeCell ref="Z11:AA11"/>
    <mergeCell ref="Z7:AA7"/>
    <mergeCell ref="Z8:AA8"/>
    <mergeCell ref="Z9:AA9"/>
    <mergeCell ref="W8:Y8"/>
    <mergeCell ref="Z12:AA12"/>
    <mergeCell ref="M9:P9"/>
    <mergeCell ref="M10:P10"/>
    <mergeCell ref="M14:O14"/>
    <mergeCell ref="M15:O15"/>
    <mergeCell ref="W9:Y9"/>
    <mergeCell ref="W12:Y12"/>
    <mergeCell ref="W10:Y10"/>
    <mergeCell ref="Z10:AA10"/>
    <mergeCell ref="W7:Y7"/>
    <mergeCell ref="M13:Q13"/>
    <mergeCell ref="D40:D41"/>
    <mergeCell ref="G47:J47"/>
    <mergeCell ref="G46:J46"/>
    <mergeCell ref="G40:J40"/>
    <mergeCell ref="I29:K29"/>
    <mergeCell ref="I28:K28"/>
    <mergeCell ref="G38:J38"/>
    <mergeCell ref="G39:J39"/>
    <mergeCell ref="G36:J37"/>
    <mergeCell ref="G42:J42"/>
    <mergeCell ref="G43:J43"/>
    <mergeCell ref="G45:J45"/>
    <mergeCell ref="E40:E41"/>
    <mergeCell ref="G41:J41"/>
    <mergeCell ref="A1:B1"/>
    <mergeCell ref="G7:J7"/>
    <mergeCell ref="B4:B5"/>
    <mergeCell ref="D1:E1"/>
    <mergeCell ref="G3:K4"/>
    <mergeCell ref="G1:K1"/>
    <mergeCell ref="M1:Q1"/>
    <mergeCell ref="B7:B8"/>
    <mergeCell ref="G2:K2"/>
    <mergeCell ref="G5:K5"/>
    <mergeCell ref="G6:J6"/>
    <mergeCell ref="M6:P6"/>
    <mergeCell ref="M7:P7"/>
    <mergeCell ref="M3:Q4"/>
    <mergeCell ref="M5:Q5"/>
    <mergeCell ref="M2:Q2"/>
    <mergeCell ref="D2:E2"/>
    <mergeCell ref="A2:B2"/>
    <mergeCell ref="M8:P8"/>
    <mergeCell ref="G8:J8"/>
    <mergeCell ref="A49:A50"/>
    <mergeCell ref="D9:D10"/>
    <mergeCell ref="G17:H17"/>
    <mergeCell ref="B49:B50"/>
    <mergeCell ref="G13:K13"/>
    <mergeCell ref="G16:K16"/>
    <mergeCell ref="G26:H26"/>
    <mergeCell ref="G14:K14"/>
    <mergeCell ref="D19:D20"/>
    <mergeCell ref="B28:B29"/>
    <mergeCell ref="B17:B18"/>
    <mergeCell ref="G28:H28"/>
    <mergeCell ref="G33:J33"/>
    <mergeCell ref="G15:K15"/>
    <mergeCell ref="E19:E20"/>
    <mergeCell ref="G10:J10"/>
    <mergeCell ref="G11:J11"/>
    <mergeCell ref="G9:J9"/>
    <mergeCell ref="G18:G22"/>
    <mergeCell ref="A28:A29"/>
    <mergeCell ref="E9:E10"/>
    <mergeCell ref="G34:J34"/>
    <mergeCell ref="G31:H31"/>
    <mergeCell ref="I31:K31"/>
    <mergeCell ref="G83:J83"/>
    <mergeCell ref="M16:O16"/>
    <mergeCell ref="M17:O17"/>
    <mergeCell ref="G76:J76"/>
    <mergeCell ref="G77:J77"/>
    <mergeCell ref="G78:J78"/>
    <mergeCell ref="G79:J79"/>
    <mergeCell ref="G80:J80"/>
    <mergeCell ref="G81:J81"/>
    <mergeCell ref="G82:J82"/>
    <mergeCell ref="M32:Q32"/>
    <mergeCell ref="G44:J44"/>
    <mergeCell ref="M29:Q29"/>
    <mergeCell ref="M30:Q30"/>
    <mergeCell ref="M31:Q31"/>
    <mergeCell ref="M25:Q25"/>
    <mergeCell ref="M26:Q26"/>
    <mergeCell ref="M27:Q27"/>
    <mergeCell ref="M28:Q28"/>
    <mergeCell ref="G23:G25"/>
    <mergeCell ref="G29:H29"/>
    <mergeCell ref="G74:J75"/>
    <mergeCell ref="G30:H30"/>
    <mergeCell ref="I30:K30"/>
  </mergeCells>
  <phoneticPr fontId="18" type="noConversion"/>
  <dataValidations count="2">
    <dataValidation type="whole" operator="greaterThanOrEqual" allowBlank="1" showInputMessage="1" showErrorMessage="1" sqref="K33:K34 K6:K8 K10:K11 Q6:Q8" xr:uid="{2BF6111D-71E8-4112-A73F-51D1948FDB01}">
      <formula1>0</formula1>
    </dataValidation>
    <dataValidation type="decimal" operator="greaterThanOrEqual" allowBlank="1" showInputMessage="1" showErrorMessage="1" sqref="K9 Q9:Q11" xr:uid="{3515D398-A9BB-4775-A7B4-88103685C39A}">
      <formula1>0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33" orientation="landscape" r:id="rId1"/>
  <headerFooter>
    <oddHeader>&amp;C&amp;D
&amp;F</oddHeader>
    <oddFooter>&amp;CSide &amp;"-,Fed"&amp;P&amp;"-,Normal" af &amp;"-,Fed"&amp;N</oddFooter>
  </headerFooter>
  <picture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E645E-D33C-4B22-B4C2-14AB1F29E0E6}">
  <sheetPr>
    <tabColor theme="4" tint="-0.499984740745262"/>
    <pageSetUpPr fitToPage="1"/>
  </sheetPr>
  <dimension ref="A1:AC112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AO1"/>
    </sheetView>
  </sheetViews>
  <sheetFormatPr defaultRowHeight="14.4" x14ac:dyDescent="0.3"/>
  <cols>
    <col min="1" max="1" width="4.109375" bestFit="1" customWidth="1"/>
    <col min="2" max="2" width="29" bestFit="1" customWidth="1"/>
    <col min="3" max="3" width="6" bestFit="1" customWidth="1"/>
    <col min="4" max="4" width="7.5546875" bestFit="1" customWidth="1"/>
    <col min="5" max="5" width="15.77734375" bestFit="1" customWidth="1"/>
    <col min="6" max="6" width="4.21875" bestFit="1" customWidth="1"/>
    <col min="7" max="7" width="29" bestFit="1" customWidth="1"/>
    <col min="8" max="8" width="6.109375" bestFit="1" customWidth="1"/>
    <col min="9" max="9" width="14.5546875" bestFit="1" customWidth="1"/>
    <col min="10" max="10" width="15.77734375" bestFit="1" customWidth="1"/>
    <col min="11" max="11" width="4.21875" bestFit="1" customWidth="1"/>
    <col min="12" max="12" width="35" bestFit="1" customWidth="1"/>
    <col min="13" max="13" width="6.109375" bestFit="1" customWidth="1"/>
    <col min="14" max="14" width="14.5546875" bestFit="1" customWidth="1"/>
    <col min="15" max="15" width="15.77734375" bestFit="1" customWidth="1"/>
    <col min="16" max="16" width="4.33203125" bestFit="1" customWidth="1"/>
    <col min="17" max="17" width="35" bestFit="1" customWidth="1"/>
    <col min="18" max="18" width="6.21875" bestFit="1" customWidth="1"/>
    <col min="19" max="19" width="14.5546875" bestFit="1" customWidth="1"/>
    <col min="20" max="20" width="15.77734375" bestFit="1" customWidth="1"/>
    <col min="21" max="21" width="4.33203125" bestFit="1" customWidth="1"/>
    <col min="22" max="22" width="35" bestFit="1" customWidth="1"/>
    <col min="23" max="23" width="6.21875" bestFit="1" customWidth="1"/>
    <col min="24" max="24" width="14.5546875" bestFit="1" customWidth="1"/>
    <col min="25" max="25" width="15.77734375" bestFit="1" customWidth="1"/>
    <col min="26" max="26" width="4.33203125" bestFit="1" customWidth="1"/>
    <col min="27" max="27" width="31" bestFit="1" customWidth="1"/>
    <col min="28" max="28" width="6.21875" bestFit="1" customWidth="1"/>
    <col min="29" max="29" width="14.5546875" bestFit="1" customWidth="1"/>
  </cols>
  <sheetData>
    <row r="1" spans="1:29" ht="31.2" x14ac:dyDescent="0.6">
      <c r="A1" s="117" t="s">
        <v>166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</row>
    <row r="2" spans="1:29" x14ac:dyDescent="0.3">
      <c r="A2" s="147" t="str">
        <f>'🗂️ Filtre nøgletal'!$A$2</f>
        <v>🔃 Opdateret 15-05-2023 kl. 22:36</v>
      </c>
      <c r="B2" s="147"/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</row>
    <row r="3" spans="1:29" x14ac:dyDescent="0.3">
      <c r="A3" s="176" t="s">
        <v>70</v>
      </c>
      <c r="B3" s="176"/>
      <c r="C3" s="176"/>
      <c r="D3" s="176"/>
      <c r="E3" s="176"/>
      <c r="F3" s="176"/>
      <c r="G3" s="176"/>
      <c r="H3" s="176"/>
      <c r="I3" s="176"/>
      <c r="J3" s="176"/>
      <c r="K3" s="176"/>
      <c r="L3" s="176"/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Y3" s="176"/>
      <c r="Z3" s="176"/>
      <c r="AA3" s="176"/>
      <c r="AB3" s="176"/>
      <c r="AC3" s="176"/>
    </row>
    <row r="4" spans="1:29" x14ac:dyDescent="0.3">
      <c r="A4" s="176"/>
      <c r="B4" s="176"/>
      <c r="C4" s="176"/>
      <c r="D4" s="176"/>
      <c r="E4" s="176"/>
      <c r="F4" s="176"/>
      <c r="G4" s="176"/>
      <c r="H4" s="176"/>
      <c r="I4" s="176"/>
      <c r="J4" s="176"/>
      <c r="K4" s="176"/>
      <c r="L4" s="176"/>
      <c r="M4" s="176"/>
      <c r="N4" s="176"/>
      <c r="O4" s="176"/>
      <c r="P4" s="176"/>
      <c r="Q4" s="176"/>
      <c r="R4" s="176"/>
      <c r="S4" s="176"/>
      <c r="T4" s="176"/>
      <c r="U4" s="176"/>
      <c r="V4" s="176"/>
      <c r="W4" s="176"/>
      <c r="X4" s="176"/>
      <c r="Y4" s="176"/>
      <c r="Z4" s="176"/>
      <c r="AA4" s="176"/>
      <c r="AB4" s="176"/>
      <c r="AC4" s="176"/>
    </row>
    <row r="6" spans="1:29" x14ac:dyDescent="0.3">
      <c r="A6" s="180" t="s">
        <v>66</v>
      </c>
      <c r="B6" s="180"/>
      <c r="C6" s="180"/>
      <c r="D6" s="180"/>
      <c r="F6" s="180" t="s">
        <v>67</v>
      </c>
      <c r="G6" s="180"/>
      <c r="H6" s="180"/>
      <c r="I6" s="180"/>
      <c r="K6" s="180" t="s">
        <v>68</v>
      </c>
      <c r="L6" s="180"/>
      <c r="M6" s="180"/>
      <c r="N6" s="180"/>
      <c r="P6" s="180" t="s">
        <v>69</v>
      </c>
      <c r="Q6" s="180"/>
      <c r="R6" s="180"/>
      <c r="S6" s="180"/>
      <c r="U6" s="180" t="s">
        <v>71</v>
      </c>
      <c r="V6" s="180"/>
      <c r="W6" s="180"/>
      <c r="X6" s="180"/>
      <c r="Z6" s="180" t="s">
        <v>72</v>
      </c>
      <c r="AA6" s="180"/>
      <c r="AB6" s="180"/>
      <c r="AC6" s="180"/>
    </row>
    <row r="7" spans="1:29" x14ac:dyDescent="0.3">
      <c r="A7" s="102" t="s">
        <v>468</v>
      </c>
      <c r="B7" s="103" t="s">
        <v>469</v>
      </c>
      <c r="C7" s="104" t="s">
        <v>470</v>
      </c>
      <c r="D7" s="105" t="s">
        <v>471</v>
      </c>
      <c r="E7" s="108" t="s">
        <v>67</v>
      </c>
      <c r="F7" s="102" t="s">
        <v>472</v>
      </c>
      <c r="G7" s="103" t="s">
        <v>473</v>
      </c>
      <c r="H7" s="104" t="s">
        <v>474</v>
      </c>
      <c r="I7" s="105" t="s">
        <v>475</v>
      </c>
      <c r="J7" s="108" t="s">
        <v>68</v>
      </c>
      <c r="K7" s="102" t="s">
        <v>476</v>
      </c>
      <c r="L7" s="103" t="s">
        <v>477</v>
      </c>
      <c r="M7" s="104" t="s">
        <v>478</v>
      </c>
      <c r="N7" s="105" t="s">
        <v>479</v>
      </c>
      <c r="O7" s="108" t="s">
        <v>69</v>
      </c>
      <c r="P7" s="102" t="s">
        <v>480</v>
      </c>
      <c r="Q7" s="103" t="s">
        <v>481</v>
      </c>
      <c r="R7" s="104" t="s">
        <v>482</v>
      </c>
      <c r="S7" s="105" t="s">
        <v>483</v>
      </c>
      <c r="T7" s="108" t="s">
        <v>71</v>
      </c>
      <c r="U7" s="102" t="s">
        <v>484</v>
      </c>
      <c r="V7" s="103" t="s">
        <v>485</v>
      </c>
      <c r="W7" s="104" t="s">
        <v>486</v>
      </c>
      <c r="X7" s="105" t="s">
        <v>487</v>
      </c>
      <c r="Y7" s="108" t="s">
        <v>72</v>
      </c>
      <c r="Z7" s="102" t="s">
        <v>488</v>
      </c>
      <c r="AA7" s="103" t="s">
        <v>489</v>
      </c>
      <c r="AB7" s="104" t="s">
        <v>490</v>
      </c>
      <c r="AC7" s="105" t="s">
        <v>491</v>
      </c>
    </row>
    <row r="8" spans="1:29" x14ac:dyDescent="0.3">
      <c r="A8" s="106">
        <v>1</v>
      </c>
      <c r="B8" t="s">
        <v>77</v>
      </c>
      <c r="C8" s="4">
        <v>29</v>
      </c>
      <c r="D8" s="107" t="s">
        <v>840</v>
      </c>
      <c r="E8" s="109">
        <v>2</v>
      </c>
      <c r="F8" s="106">
        <v>8</v>
      </c>
      <c r="G8" t="s">
        <v>791</v>
      </c>
      <c r="H8" s="4">
        <v>20</v>
      </c>
      <c r="I8" s="107" t="s">
        <v>720</v>
      </c>
      <c r="J8" s="109">
        <v>3</v>
      </c>
      <c r="K8" s="106">
        <v>9</v>
      </c>
      <c r="L8" t="s">
        <v>844</v>
      </c>
      <c r="M8" s="4">
        <v>51</v>
      </c>
      <c r="N8" s="107" t="s">
        <v>720</v>
      </c>
      <c r="O8" s="109">
        <v>4</v>
      </c>
      <c r="P8" s="106">
        <v>16</v>
      </c>
      <c r="Q8" t="s">
        <v>257</v>
      </c>
      <c r="R8" s="4">
        <v>58</v>
      </c>
      <c r="S8" s="107" t="s">
        <v>720</v>
      </c>
      <c r="T8" s="109">
        <v>5</v>
      </c>
      <c r="U8" s="106">
        <v>17</v>
      </c>
      <c r="V8" t="s">
        <v>752</v>
      </c>
      <c r="W8" s="4">
        <v>55</v>
      </c>
      <c r="X8" s="107" t="s">
        <v>720</v>
      </c>
      <c r="Y8" s="109">
        <v>6</v>
      </c>
      <c r="Z8" s="106">
        <v>24</v>
      </c>
      <c r="AA8" t="s">
        <v>212</v>
      </c>
      <c r="AB8" s="4">
        <v>27</v>
      </c>
      <c r="AC8" s="107" t="s">
        <v>720</v>
      </c>
    </row>
    <row r="9" spans="1:29" x14ac:dyDescent="0.3">
      <c r="A9" s="106">
        <v>2</v>
      </c>
      <c r="B9" t="s">
        <v>361</v>
      </c>
      <c r="C9" s="4">
        <v>29</v>
      </c>
      <c r="D9" s="107" t="s">
        <v>841</v>
      </c>
      <c r="E9" s="108">
        <v>2</v>
      </c>
      <c r="F9" s="106">
        <v>7</v>
      </c>
      <c r="G9" t="s">
        <v>808</v>
      </c>
      <c r="H9" s="4">
        <v>18</v>
      </c>
      <c r="I9" s="107" t="s">
        <v>720</v>
      </c>
      <c r="J9" s="108">
        <v>3</v>
      </c>
      <c r="K9" s="106">
        <v>10</v>
      </c>
      <c r="L9" t="s">
        <v>792</v>
      </c>
      <c r="M9" s="4">
        <v>51</v>
      </c>
      <c r="N9" s="107" t="s">
        <v>720</v>
      </c>
      <c r="O9" s="108">
        <v>4</v>
      </c>
      <c r="P9" s="106">
        <v>15</v>
      </c>
      <c r="Q9" t="s">
        <v>723</v>
      </c>
      <c r="R9" s="4">
        <v>37</v>
      </c>
      <c r="S9" s="107" t="s">
        <v>720</v>
      </c>
      <c r="T9" s="108">
        <v>5</v>
      </c>
      <c r="U9" s="106">
        <v>18</v>
      </c>
      <c r="V9" t="s">
        <v>216</v>
      </c>
      <c r="W9" s="4">
        <v>30</v>
      </c>
      <c r="X9" s="107" t="s">
        <v>720</v>
      </c>
      <c r="Y9" s="108">
        <v>6</v>
      </c>
      <c r="Z9" s="106">
        <v>23</v>
      </c>
      <c r="AA9" t="s">
        <v>760</v>
      </c>
      <c r="AB9" s="4">
        <v>67</v>
      </c>
      <c r="AC9" s="107" t="s">
        <v>720</v>
      </c>
    </row>
    <row r="10" spans="1:29" x14ac:dyDescent="0.3">
      <c r="A10" s="106">
        <v>3</v>
      </c>
      <c r="B10" t="s">
        <v>842</v>
      </c>
      <c r="C10" s="4">
        <v>30</v>
      </c>
      <c r="D10" s="107" t="s">
        <v>843</v>
      </c>
      <c r="E10" s="108">
        <v>2</v>
      </c>
      <c r="F10" s="106">
        <v>6</v>
      </c>
      <c r="G10" t="s">
        <v>790</v>
      </c>
      <c r="H10" s="4">
        <v>50</v>
      </c>
      <c r="I10" s="107" t="s">
        <v>720</v>
      </c>
      <c r="J10" s="108">
        <v>3</v>
      </c>
      <c r="K10" s="106">
        <v>11</v>
      </c>
      <c r="L10" t="s">
        <v>213</v>
      </c>
      <c r="M10" s="4">
        <v>28</v>
      </c>
      <c r="N10" s="107" t="s">
        <v>720</v>
      </c>
      <c r="O10" s="108">
        <v>4</v>
      </c>
      <c r="P10" s="106">
        <v>14</v>
      </c>
      <c r="Q10" t="s">
        <v>793</v>
      </c>
      <c r="R10" s="4">
        <v>47</v>
      </c>
      <c r="S10" s="107" t="s">
        <v>720</v>
      </c>
      <c r="T10" s="108">
        <v>5</v>
      </c>
      <c r="U10" s="106">
        <v>19</v>
      </c>
      <c r="V10" t="s">
        <v>794</v>
      </c>
      <c r="W10" s="4">
        <v>21</v>
      </c>
      <c r="X10" s="107" t="s">
        <v>720</v>
      </c>
      <c r="Y10" s="108">
        <v>6</v>
      </c>
      <c r="Z10" s="106">
        <v>22</v>
      </c>
      <c r="AA10" t="s">
        <v>726</v>
      </c>
      <c r="AB10" s="4">
        <v>39</v>
      </c>
      <c r="AC10" s="107" t="s">
        <v>720</v>
      </c>
    </row>
    <row r="11" spans="1:29" x14ac:dyDescent="0.3">
      <c r="A11" s="106">
        <v>4</v>
      </c>
      <c r="B11" t="s">
        <v>756</v>
      </c>
      <c r="C11" s="4">
        <v>74</v>
      </c>
      <c r="D11" s="107" t="s">
        <v>720</v>
      </c>
      <c r="E11" s="108">
        <v>2</v>
      </c>
      <c r="F11" s="106">
        <v>5</v>
      </c>
      <c r="G11" t="s">
        <v>719</v>
      </c>
      <c r="H11" s="4">
        <v>23</v>
      </c>
      <c r="I11" s="107" t="s">
        <v>720</v>
      </c>
      <c r="J11" s="108">
        <v>3</v>
      </c>
      <c r="K11" s="106">
        <v>12</v>
      </c>
      <c r="L11" t="s">
        <v>721</v>
      </c>
      <c r="M11" s="4">
        <v>16</v>
      </c>
      <c r="N11" s="107" t="s">
        <v>720</v>
      </c>
      <c r="O11" s="108">
        <v>4</v>
      </c>
      <c r="P11" s="106">
        <v>13</v>
      </c>
      <c r="Q11" t="s">
        <v>722</v>
      </c>
      <c r="R11" s="4">
        <v>26</v>
      </c>
      <c r="S11" s="107" t="s">
        <v>720</v>
      </c>
      <c r="T11" s="108">
        <v>5</v>
      </c>
      <c r="U11" s="106">
        <v>20</v>
      </c>
      <c r="V11" t="s">
        <v>724</v>
      </c>
      <c r="W11" s="4">
        <v>11</v>
      </c>
      <c r="X11" s="107" t="s">
        <v>720</v>
      </c>
      <c r="Y11" s="108">
        <v>6</v>
      </c>
      <c r="Z11" s="106">
        <v>21</v>
      </c>
      <c r="AA11" t="s">
        <v>725</v>
      </c>
      <c r="AB11" s="4">
        <v>48</v>
      </c>
      <c r="AC11" s="107" t="s">
        <v>720</v>
      </c>
    </row>
    <row r="13" spans="1:29" x14ac:dyDescent="0.3">
      <c r="A13" s="1"/>
      <c r="B13" s="1"/>
      <c r="C13" s="4"/>
      <c r="D13" s="18"/>
      <c r="F13" s="1"/>
      <c r="G13" s="1"/>
      <c r="H13" s="4"/>
      <c r="I13" s="18"/>
      <c r="K13" s="1"/>
      <c r="L13" s="1"/>
      <c r="M13" s="4"/>
      <c r="N13" s="18"/>
      <c r="P13" s="1"/>
      <c r="Q13" s="1"/>
      <c r="R13" s="4"/>
      <c r="S13" s="18"/>
      <c r="U13" s="1"/>
      <c r="V13" s="1"/>
      <c r="W13" s="4"/>
      <c r="X13" s="18"/>
      <c r="Z13" s="1"/>
      <c r="AA13" s="1"/>
      <c r="AB13" s="4"/>
      <c r="AC13" s="18"/>
    </row>
    <row r="18" spans="1:29" x14ac:dyDescent="0.3">
      <c r="A18" s="176" t="s">
        <v>73</v>
      </c>
      <c r="B18" s="176"/>
      <c r="C18" s="176"/>
      <c r="D18" s="176"/>
      <c r="E18" s="176"/>
      <c r="F18" s="176"/>
      <c r="G18" s="176"/>
      <c r="H18" s="176"/>
      <c r="I18" s="176"/>
      <c r="J18" s="176"/>
      <c r="K18" s="176"/>
      <c r="L18" s="176"/>
      <c r="M18" s="176"/>
      <c r="N18" s="176"/>
      <c r="O18" s="176"/>
      <c r="P18" s="176"/>
      <c r="Q18" s="176"/>
      <c r="R18" s="176"/>
      <c r="S18" s="176"/>
      <c r="T18" s="176"/>
      <c r="U18" s="176"/>
      <c r="V18" s="176"/>
      <c r="W18" s="176"/>
      <c r="X18" s="176"/>
      <c r="Y18" s="176"/>
      <c r="Z18" s="176"/>
      <c r="AA18" s="176"/>
      <c r="AB18" s="176"/>
      <c r="AC18" s="176"/>
    </row>
    <row r="19" spans="1:29" x14ac:dyDescent="0.3">
      <c r="A19" s="176"/>
      <c r="B19" s="176"/>
      <c r="C19" s="176"/>
      <c r="D19" s="176"/>
      <c r="E19" s="176"/>
      <c r="F19" s="176"/>
      <c r="G19" s="176"/>
      <c r="H19" s="176"/>
      <c r="I19" s="176"/>
      <c r="J19" s="176"/>
      <c r="K19" s="176"/>
      <c r="L19" s="176"/>
      <c r="M19" s="176"/>
      <c r="N19" s="176"/>
      <c r="O19" s="176"/>
      <c r="P19" s="176"/>
      <c r="Q19" s="176"/>
      <c r="R19" s="176"/>
      <c r="S19" s="176"/>
      <c r="T19" s="176"/>
      <c r="U19" s="176"/>
      <c r="V19" s="176"/>
      <c r="W19" s="176"/>
      <c r="X19" s="176"/>
      <c r="Y19" s="176"/>
      <c r="Z19" s="176"/>
      <c r="AA19" s="176"/>
      <c r="AB19" s="176"/>
      <c r="AC19" s="176"/>
    </row>
    <row r="20" spans="1:29" x14ac:dyDescent="0.3">
      <c r="A20" s="147" t="str">
        <f>'💡🏆🎫 Status'!$G$39</f>
        <v>🏓 24 ud af 96 tilmeldinger (25%)</v>
      </c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S20" s="147"/>
      <c r="T20" s="147"/>
      <c r="U20" s="147"/>
      <c r="V20" s="147"/>
      <c r="W20" s="147"/>
      <c r="X20" s="147"/>
      <c r="Y20" s="147"/>
      <c r="Z20" s="147"/>
      <c r="AA20" s="147"/>
      <c r="AB20" s="147"/>
      <c r="AC20" s="147"/>
    </row>
    <row r="21" spans="1:29" x14ac:dyDescent="0.3">
      <c r="A21" s="147" t="s">
        <v>464</v>
      </c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S21" s="147"/>
      <c r="T21" s="147"/>
      <c r="U21" s="147"/>
      <c r="V21" s="147"/>
      <c r="W21" s="147"/>
      <c r="X21" s="147"/>
      <c r="Y21" s="147"/>
      <c r="Z21" s="147"/>
      <c r="AA21" s="147"/>
      <c r="AB21" s="147"/>
      <c r="AC21" s="147"/>
    </row>
    <row r="22" spans="1:29" x14ac:dyDescent="0.3">
      <c r="A22" s="147" t="str">
        <f>'💡🏆🎫 Status'!$G$38</f>
        <v>🔃🏓 Rating opdateret pr. 00-01-1900</v>
      </c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7"/>
      <c r="T22" s="147"/>
      <c r="U22" s="147"/>
      <c r="V22" s="147"/>
      <c r="W22" s="147"/>
      <c r="X22" s="147"/>
      <c r="Y22" s="147"/>
      <c r="Z22" s="147"/>
      <c r="AA22" s="147"/>
      <c r="AB22" s="147"/>
      <c r="AC22" s="147"/>
    </row>
    <row r="25" spans="1:29" x14ac:dyDescent="0.3">
      <c r="F25" s="177" t="s">
        <v>150</v>
      </c>
      <c r="G25" s="178"/>
      <c r="H25" s="178"/>
      <c r="I25" s="179"/>
      <c r="K25" s="177" t="s">
        <v>151</v>
      </c>
      <c r="L25" s="178"/>
      <c r="M25" s="178"/>
      <c r="N25" s="179"/>
      <c r="P25" s="177" t="s">
        <v>152</v>
      </c>
      <c r="Q25" s="178"/>
      <c r="R25" s="178"/>
      <c r="S25" s="179"/>
      <c r="U25" s="177" t="s">
        <v>153</v>
      </c>
      <c r="V25" s="178"/>
      <c r="W25" s="178"/>
      <c r="X25" s="179"/>
    </row>
    <row r="26" spans="1:29" x14ac:dyDescent="0.3">
      <c r="F26" s="87" t="str" cm="1">
        <f t="array" ref="F26:I26">IFERROR(IF(ISBLANK(INDEX(Tilmeldinger_billettype_1_seedning[#Headers],1,)),"",INDEX(Tilmeldinger_billettype_1_seedning[#Headers],1,)),"")</f>
        <v>Nr.</v>
      </c>
      <c r="G26" s="88" t="str">
        <v>Navn og bordtennisklub</v>
      </c>
      <c r="H26" s="89" t="str">
        <v>Alder</v>
      </c>
      <c r="I26" s="90" t="str">
        <v>Rating</v>
      </c>
      <c r="K26" s="87" t="str" cm="1">
        <f t="array" ref="K26:N26">IFERROR(IF(ISBLANK(INDEX(Tilmeldinger_billettype_1_seedning[#Headers],1,)),"",INDEX(Tilmeldinger_billettype_1_seedning[#Headers],1,)),"")</f>
        <v>Nr.</v>
      </c>
      <c r="L26" s="88" t="str">
        <v>Navn og bordtennisklub</v>
      </c>
      <c r="M26" s="89" t="str">
        <v>Alder</v>
      </c>
      <c r="N26" s="90" t="str">
        <v>Rating</v>
      </c>
      <c r="P26" s="87" t="str" cm="1">
        <f t="array" ref="P26:S26">IFERROR(IF(ISBLANK(INDEX(Tilmeldinger_billettype_1_seedning[#Headers],1,)),"",INDEX(Tilmeldinger_billettype_1_seedning[#Headers],1,)),"")</f>
        <v>Nr.</v>
      </c>
      <c r="Q26" s="88" t="str">
        <v>Navn og bordtennisklub</v>
      </c>
      <c r="R26" s="89" t="str">
        <v>Alder</v>
      </c>
      <c r="S26" s="90" t="str">
        <v>Rating</v>
      </c>
      <c r="U26" s="87" t="str" cm="1">
        <f t="array" ref="U26:X26">IFERROR(IF(ISBLANK(INDEX(Tilmeldinger_billettype_1_seedning[#Headers],1,)),"",INDEX(Tilmeldinger_billettype_1_seedning[#Headers],1,)),"")</f>
        <v>Nr.</v>
      </c>
      <c r="V26" s="88" t="str">
        <v>Navn og bordtennisklub</v>
      </c>
      <c r="W26" s="89" t="str">
        <v>Alder</v>
      </c>
      <c r="X26" s="90" t="str">
        <v>Rating</v>
      </c>
    </row>
    <row r="27" spans="1:29" x14ac:dyDescent="0.3">
      <c r="F27" s="8" cm="1">
        <f t="array" ref="F27:I27">IFERROR(IF(ISBLANK(INDEX(Seedningslag_6_mandspuljer[[Nr.¹]:[Rating¹]],1,)),"",INDEX(Seedningslag_6_mandspuljer[[Nr.¹]:[Rating¹]],1,)),"")</f>
        <v>1</v>
      </c>
      <c r="G27" s="9" t="str">
        <v>Benjamin Sørensen, Hørning BTK</v>
      </c>
      <c r="H27" s="10">
        <v>29</v>
      </c>
      <c r="I27" s="42" t="str">
        <v>(1) 2525</v>
      </c>
      <c r="K27" s="8" cm="1">
        <f t="array" ref="K27:N27">IFERROR(IF(ISBLANK(INDEX(Seedningslag_6_mandspuljer[[Nr.¹]:[Rating¹]],2,)),"",INDEX(Seedningslag_6_mandspuljer[[Nr.¹]:[Rating¹]],2,)),"")</f>
        <v>2</v>
      </c>
      <c r="L27" s="9" t="str">
        <v>Mads Larsen, Silkeborg BTK</v>
      </c>
      <c r="M27" s="10">
        <v>29</v>
      </c>
      <c r="N27" s="42" t="str">
        <v>(3) (Ingen rating)</v>
      </c>
      <c r="P27" s="8" cm="1">
        <f t="array" ref="P27:S27">IFERROR(IF(ISBLANK(INDEX(Seedningslag_6_mandspuljer[[Nr.¹]:[Rating¹]],3,)),"",INDEX(Seedningslag_6_mandspuljer[[Nr.¹]:[Rating¹]],3,)),"")</f>
        <v>3</v>
      </c>
      <c r="Q27" s="9" t="str">
        <v>Emil Madsen, Hørning BTK</v>
      </c>
      <c r="R27" s="10">
        <v>30</v>
      </c>
      <c r="S27" s="42" t="str">
        <v>(4) (Ingen rating)</v>
      </c>
      <c r="U27" s="8" cm="1">
        <f t="array" ref="U27:X27">IFERROR(IF(ISBLANK(INDEX(Seedningslag_6_mandspuljer[[Nr.¹]:[Rating¹]],4,)),"",INDEX(Seedningslag_6_mandspuljer[[Nr.¹]:[Rating¹]],4,)),"")</f>
        <v>4</v>
      </c>
      <c r="V27" s="9" t="str">
        <v>Poul Erik Henneberg Sørensen, Hørning BTK</v>
      </c>
      <c r="W27" s="10">
        <v>74</v>
      </c>
      <c r="X27" s="42" t="str">
        <v>(Ingen rating)</v>
      </c>
    </row>
    <row r="28" spans="1:29" x14ac:dyDescent="0.3">
      <c r="F28" s="11" cm="1">
        <f t="array" ref="F28:I28">IFERROR(IF(ISBLANK(INDEX(Seedningslag_6_mandspuljer[[Nr.²]:[Rating²]],1,)),"",INDEX(Seedningslag_6_mandspuljer[[Nr.²]:[Rating²]],1,)),"")</f>
        <v>8</v>
      </c>
      <c r="G28" s="12" t="str">
        <v>Thor O. Schneider, Team Nørreå</v>
      </c>
      <c r="H28" s="41">
        <v>20</v>
      </c>
      <c r="I28" s="43" t="str">
        <v>(Ingen rating)</v>
      </c>
      <c r="K28" s="11" cm="1">
        <f t="array" ref="K28:N28">IFERROR(IF(ISBLANK(INDEX(Seedningslag_6_mandspuljer[[Nr.²]:[Rating²]],2,)),"",INDEX(Seedningslag_6_mandspuljer[[Nr.²]:[Rating²]],2,)),"")</f>
        <v>7</v>
      </c>
      <c r="L28" s="12" t="str">
        <v>Alexander Helmsby Jakobsen, BTK Viby</v>
      </c>
      <c r="M28" s="41">
        <v>18</v>
      </c>
      <c r="N28" s="43" t="str">
        <v>(Ingen rating)</v>
      </c>
      <c r="P28" s="11" cm="1">
        <f t="array" ref="P28:S28">IFERROR(IF(ISBLANK(INDEX(Seedningslag_6_mandspuljer[[Nr.²]:[Rating²]],3,)),"",INDEX(Seedningslag_6_mandspuljer[[Nr.²]:[Rating²]],3,)),"")</f>
        <v>6</v>
      </c>
      <c r="Q28" s="12" t="str">
        <v>Henrik Harbo Sørensen, Hørning BTK</v>
      </c>
      <c r="R28" s="41">
        <v>50</v>
      </c>
      <c r="S28" s="43" t="str">
        <v>(Ingen rating)</v>
      </c>
      <c r="U28" s="11" cm="1">
        <f t="array" ref="U28:X28">IFERROR(IF(ISBLANK(INDEX(Seedningslag_6_mandspuljer[[Nr.²]:[Rating²]],4,)),"",INDEX(Seedningslag_6_mandspuljer[[Nr.²]:[Rating²]],4,)),"")</f>
        <v>5</v>
      </c>
      <c r="V28" s="12" t="str">
        <v>Esben Rask Bach, BTK Tateni</v>
      </c>
      <c r="W28" s="41">
        <v>23</v>
      </c>
      <c r="X28" s="43" t="str">
        <v>(Ingen rating)</v>
      </c>
    </row>
    <row r="29" spans="1:29" x14ac:dyDescent="0.3">
      <c r="F29" s="11" cm="1">
        <f t="array" ref="F29:I29">IFERROR(IF(ISBLANK(INDEX(Seedningslag_6_mandspuljer[[Nr.³]:[Rating³]],1,)),"",INDEX(Seedningslag_6_mandspuljer[[Nr.³]:[Rating³]],1,)),"")</f>
        <v>9</v>
      </c>
      <c r="G29" s="12" t="str">
        <v>Lars Christensen, BTK Viby</v>
      </c>
      <c r="H29" s="41">
        <v>51</v>
      </c>
      <c r="I29" s="43" t="str">
        <v>(Ingen rating)</v>
      </c>
      <c r="K29" s="11" cm="1">
        <f t="array" ref="K29:N29">IFERROR(IF(ISBLANK(INDEX(Seedningslag_6_mandspuljer[[Nr.³]:[Rating³]],2,)),"",INDEX(Seedningslag_6_mandspuljer[[Nr.³]:[Rating³]],2,)),"")</f>
        <v>10</v>
      </c>
      <c r="L29" s="12" t="str">
        <v>Yang Shibo, Hørning BTK</v>
      </c>
      <c r="M29" s="41">
        <v>51</v>
      </c>
      <c r="N29" s="43" t="str">
        <v>(Ingen rating)</v>
      </c>
      <c r="P29" s="11" cm="1">
        <f t="array" ref="P29:S29">IFERROR(IF(ISBLANK(INDEX(Seedningslag_6_mandspuljer[[Nr.³]:[Rating³]],3,)),"",INDEX(Seedningslag_6_mandspuljer[[Nr.³]:[Rating³]],3,)),"")</f>
        <v>11</v>
      </c>
      <c r="Q29" s="12" t="str">
        <v>Sebastian Kjær Jensen, Sjørring BTK</v>
      </c>
      <c r="R29" s="41">
        <v>28</v>
      </c>
      <c r="S29" s="43" t="str">
        <v>(Ingen rating)</v>
      </c>
      <c r="U29" s="11" cm="1">
        <f t="array" ref="U29:X29">IFERROR(IF(ISBLANK(INDEX(Seedningslag_6_mandspuljer[[Nr.³]:[Rating³]],4,)),"",INDEX(Seedningslag_6_mandspuljer[[Nr.³]:[Rating³]],4,)),"")</f>
        <v>12</v>
      </c>
      <c r="V29" s="12" t="str">
        <v>Oliver Henneberg Sørensen, Hørning BTK</v>
      </c>
      <c r="W29" s="41">
        <v>16</v>
      </c>
      <c r="X29" s="43" t="str">
        <v>(Ingen rating)</v>
      </c>
    </row>
    <row r="30" spans="1:29" x14ac:dyDescent="0.3">
      <c r="F30" s="11" cm="1">
        <f t="array" ref="F30:I30">IFERROR(IF(ISBLANK(INDEX(Seedningslag_6_mandspuljer[[Nr.⁴]:[Rating⁴]],1,)),"",INDEX(Seedningslag_6_mandspuljer[[Nr.⁴]:[Rating⁴]],1,)),"")</f>
        <v>16</v>
      </c>
      <c r="G30" s="12" t="str">
        <v>John Sabalic, Rønde BTK</v>
      </c>
      <c r="H30" s="41">
        <v>58</v>
      </c>
      <c r="I30" s="43" t="str">
        <v>(Ingen rating)</v>
      </c>
      <c r="K30" s="11" cm="1">
        <f t="array" ref="K30:N30">IFERROR(IF(ISBLANK(INDEX(Seedningslag_6_mandspuljer[[Nr.⁴]:[Rating⁴]],2,)),"",INDEX(Seedningslag_6_mandspuljer[[Nr.⁴]:[Rating⁴]],2,)),"")</f>
        <v>15</v>
      </c>
      <c r="L30" s="12" t="str">
        <v>Ibrahim Abdallah, Aarhus Bordtennis</v>
      </c>
      <c r="M30" s="41">
        <v>37</v>
      </c>
      <c r="N30" s="43" t="str">
        <v>(Ingen rating)</v>
      </c>
      <c r="P30" s="11" cm="1">
        <f t="array" ref="P30:S30">IFERROR(IF(ISBLANK(INDEX(Seedningslag_6_mandspuljer[[Nr.⁴]:[Rating⁴]],3,)),"",INDEX(Seedningslag_6_mandspuljer[[Nr.⁴]:[Rating⁴]],3,)),"")</f>
        <v>14</v>
      </c>
      <c r="Q30" s="12" t="str">
        <v>Michael Moesgaard, Hørning BTK</v>
      </c>
      <c r="R30" s="41">
        <v>47</v>
      </c>
      <c r="S30" s="43" t="str">
        <v>(Ingen rating)</v>
      </c>
      <c r="U30" s="11" cm="1">
        <f t="array" ref="U30:X30">IFERROR(IF(ISBLANK(INDEX(Seedningslag_6_mandspuljer[[Nr.⁴]:[Rating⁴]],4,)),"",INDEX(Seedningslag_6_mandspuljer[[Nr.⁴]:[Rating⁴]],4,)),"")</f>
        <v>13</v>
      </c>
      <c r="V30" s="12" t="str">
        <v>Jonathan Abildgaard Hansen, Sisu/MBK</v>
      </c>
      <c r="W30" s="41">
        <v>26</v>
      </c>
      <c r="X30" s="43" t="str">
        <v>(Ingen rating)</v>
      </c>
    </row>
    <row r="31" spans="1:29" x14ac:dyDescent="0.3">
      <c r="F31" s="11" cm="1">
        <f t="array" ref="F31:I31">IFERROR(IF(ISBLANK(INDEX(Seedningslag_6_mandspuljer[[Nr.⁵]:[Rating⁵]],1,)),"",INDEX(Seedningslag_6_mandspuljer[[Nr.⁵]:[Rating⁵]],1,)),"")</f>
        <v>17</v>
      </c>
      <c r="G31" s="12" t="str">
        <v>Claus Hvam Nielsen, Hørning BTK</v>
      </c>
      <c r="H31" s="41">
        <v>55</v>
      </c>
      <c r="I31" s="43" t="str">
        <v>(Ingen rating)</v>
      </c>
      <c r="K31" s="11" cm="1">
        <f t="array" ref="K31:N31">IFERROR(IF(ISBLANK(INDEX(Seedningslag_6_mandspuljer[[Nr.⁵]:[Rating⁵]],2,)),"",INDEX(Seedningslag_6_mandspuljer[[Nr.⁵]:[Rating⁵]],2,)),"")</f>
        <v>18</v>
      </c>
      <c r="L31" s="12" t="str">
        <v>Christian H. Andersen, Sisu/MBK</v>
      </c>
      <c r="M31" s="41">
        <v>30</v>
      </c>
      <c r="N31" s="43" t="str">
        <v>(Ingen rating)</v>
      </c>
      <c r="P31" s="11" cm="1">
        <f t="array" ref="P31:S31">IFERROR(IF(ISBLANK(INDEX(Seedningslag_6_mandspuljer[[Nr.⁵]:[Rating⁵]],3,)),"",INDEX(Seedningslag_6_mandspuljer[[Nr.⁵]:[Rating⁵]],3,)),"")</f>
        <v>19</v>
      </c>
      <c r="Q31" s="12" t="str">
        <v>Sofus Fisker, Team Nørreå</v>
      </c>
      <c r="R31" s="41">
        <v>21</v>
      </c>
      <c r="S31" s="43" t="str">
        <v>(Ingen rating)</v>
      </c>
      <c r="U31" s="11" cm="1">
        <f t="array" ref="U31:X31">IFERROR(IF(ISBLANK(INDEX(Seedningslag_6_mandspuljer[[Nr.⁵]:[Rating⁵]],4,)),"",INDEX(Seedningslag_6_mandspuljer[[Nr.⁵]:[Rating⁵]],4,)),"")</f>
        <v>20</v>
      </c>
      <c r="V31" s="12" t="str">
        <v>Matti Henneberg Sørensen, Hørning BTK</v>
      </c>
      <c r="W31" s="41">
        <v>11</v>
      </c>
      <c r="X31" s="43" t="str">
        <v>(Ingen rating)</v>
      </c>
    </row>
    <row r="32" spans="1:29" x14ac:dyDescent="0.3">
      <c r="F32" s="13" cm="1">
        <f t="array" ref="F32:I32">IFERROR(IF(ISBLANK(INDEX(Seedningslag_6_mandspuljer[[Nr.⁶]:[Rating⁶]],1,)),"",INDEX(Seedningslag_6_mandspuljer[[Nr.⁶]:[Rating⁶]],1,)),"")</f>
        <v>24</v>
      </c>
      <c r="G32" s="14" t="str">
        <v>Daniel Wolf, Sisu/MBK</v>
      </c>
      <c r="H32" s="15">
        <v>27</v>
      </c>
      <c r="I32" s="44" t="str">
        <v>(Ingen rating)</v>
      </c>
      <c r="K32" s="13" cm="1">
        <f t="array" ref="K32:N32">IFERROR(IF(ISBLANK(INDEX(Seedningslag_6_mandspuljer[[Nr.⁶]:[Rating⁶]],2,)),"",INDEX(Seedningslag_6_mandspuljer[[Nr.⁶]:[Rating⁶]],2,)),"")</f>
        <v>23</v>
      </c>
      <c r="L32" s="14" t="str">
        <v>Nick Branch, (Udlandet)</v>
      </c>
      <c r="M32" s="15">
        <v>67</v>
      </c>
      <c r="N32" s="44" t="str">
        <v>(Ingen rating)</v>
      </c>
      <c r="P32" s="13" cm="1">
        <f t="array" ref="P32:S32">IFERROR(IF(ISBLANK(INDEX(Seedningslag_6_mandspuljer[[Nr.⁶]:[Rating⁶]],3,)),"",INDEX(Seedningslag_6_mandspuljer[[Nr.⁶]:[Rating⁶]],3,)),"")</f>
        <v>22</v>
      </c>
      <c r="Q32" s="14" t="str">
        <v>Dima Bibko, SKF</v>
      </c>
      <c r="R32" s="15">
        <v>39</v>
      </c>
      <c r="S32" s="44" t="str">
        <v>(Ingen rating)</v>
      </c>
      <c r="U32" s="13" cm="1">
        <f t="array" ref="U32:X32">IFERROR(IF(ISBLANK(INDEX(Seedningslag_6_mandspuljer[[Nr.⁶]:[Rating⁶]],4,)),"",INDEX(Seedningslag_6_mandspuljer[[Nr.⁶]:[Rating⁶]],4,)),"")</f>
        <v>21</v>
      </c>
      <c r="V32" s="14" t="str">
        <v>Jan Therkelsen, Aarhus Bordtennis</v>
      </c>
      <c r="W32" s="15">
        <v>48</v>
      </c>
      <c r="X32" s="44" t="str">
        <v>(Ingen rating)</v>
      </c>
    </row>
    <row r="35" spans="6:24" x14ac:dyDescent="0.3">
      <c r="F35" s="177" t="s">
        <v>154</v>
      </c>
      <c r="G35" s="178"/>
      <c r="H35" s="178"/>
      <c r="I35" s="179"/>
      <c r="K35" s="177" t="s">
        <v>155</v>
      </c>
      <c r="L35" s="178"/>
      <c r="M35" s="178"/>
      <c r="N35" s="179"/>
      <c r="P35" s="177" t="s">
        <v>156</v>
      </c>
      <c r="Q35" s="178"/>
      <c r="R35" s="178"/>
      <c r="S35" s="179"/>
      <c r="U35" s="177" t="s">
        <v>157</v>
      </c>
      <c r="V35" s="178"/>
      <c r="W35" s="178"/>
      <c r="X35" s="179"/>
    </row>
    <row r="36" spans="6:24" x14ac:dyDescent="0.3">
      <c r="F36" s="87" t="str" cm="1">
        <f t="array" ref="F36:I36">IFERROR(IF(ISBLANK(INDEX(Tilmeldinger_billettype_1_seedning[#Headers],1,)),"",INDEX(Tilmeldinger_billettype_1_seedning[#Headers],1,)),"")</f>
        <v>Nr.</v>
      </c>
      <c r="G36" s="88" t="str">
        <v>Navn og bordtennisklub</v>
      </c>
      <c r="H36" s="89" t="str">
        <v>Alder</v>
      </c>
      <c r="I36" s="90" t="str">
        <v>Rating</v>
      </c>
      <c r="K36" s="87" t="str" cm="1">
        <f t="array" ref="K36:N36">IFERROR(IF(ISBLANK(INDEX(Tilmeldinger_billettype_1_seedning[#Headers],1,)),"",INDEX(Tilmeldinger_billettype_1_seedning[#Headers],1,)),"")</f>
        <v>Nr.</v>
      </c>
      <c r="L36" s="88" t="str">
        <v>Navn og bordtennisklub</v>
      </c>
      <c r="M36" s="89" t="str">
        <v>Alder</v>
      </c>
      <c r="N36" s="90" t="str">
        <v>Rating</v>
      </c>
      <c r="P36" s="87" t="str" cm="1">
        <f t="array" ref="P36:S36">IFERROR(IF(ISBLANK(INDEX(Tilmeldinger_billettype_1_seedning[#Headers],1,)),"",INDEX(Tilmeldinger_billettype_1_seedning[#Headers],1,)),"")</f>
        <v>Nr.</v>
      </c>
      <c r="Q36" s="88" t="str">
        <v>Navn og bordtennisklub</v>
      </c>
      <c r="R36" s="89" t="str">
        <v>Alder</v>
      </c>
      <c r="S36" s="90" t="str">
        <v>Rating</v>
      </c>
      <c r="U36" s="87" t="str" cm="1">
        <f t="array" ref="U36:X36">IFERROR(IF(ISBLANK(INDEX(Tilmeldinger_billettype_1_seedning[#Headers],1,)),"",INDEX(Tilmeldinger_billettype_1_seedning[#Headers],1,)),"")</f>
        <v>Nr.</v>
      </c>
      <c r="V36" s="88" t="str">
        <v>Navn og bordtennisklub</v>
      </c>
      <c r="W36" s="89" t="str">
        <v>Alder</v>
      </c>
      <c r="X36" s="90" t="str">
        <v>Rating</v>
      </c>
    </row>
    <row r="37" spans="6:24" x14ac:dyDescent="0.3">
      <c r="F37" s="8" t="str" cm="1">
        <f t="array" ref="F37">IFERROR(IF(ISBLANK(INDEX(Seedningslag_6_mandspuljer[[Nr.¹]:[Rating¹]],5,)),"",INDEX(Seedningslag_6_mandspuljer[[Nr.¹]:[Rating¹]],5,)),"")</f>
        <v/>
      </c>
      <c r="G37" s="9"/>
      <c r="H37" s="10"/>
      <c r="I37" s="42"/>
      <c r="K37" s="8" t="str" cm="1">
        <f t="array" ref="K37">IFERROR(IF(ISBLANK(INDEX(Seedningslag_6_mandspuljer[[Nr.¹]:[Rating¹]],6,)),"",INDEX(Seedningslag_6_mandspuljer[[Nr.¹]:[Rating¹]],6,)),"")</f>
        <v/>
      </c>
      <c r="L37" s="9"/>
      <c r="M37" s="10"/>
      <c r="N37" s="42"/>
      <c r="P37" s="8" t="str" cm="1">
        <f t="array" ref="P37">IFERROR(IF(ISBLANK(INDEX(Seedningslag_6_mandspuljer[[Nr.¹]:[Rating¹]],7,)),"",INDEX(Seedningslag_6_mandspuljer[[Nr.¹]:[Rating¹]],7,)),"")</f>
        <v/>
      </c>
      <c r="Q37" s="9"/>
      <c r="R37" s="10"/>
      <c r="S37" s="42"/>
      <c r="U37" s="8" t="str" cm="1">
        <f t="array" ref="U37">IFERROR(IF(ISBLANK(INDEX(Seedningslag_6_mandspuljer[[Nr.¹]:[Rating¹]],8,)),"",INDEX(Seedningslag_6_mandspuljer[[Nr.¹]:[Rating¹]],8,)),"")</f>
        <v/>
      </c>
      <c r="V37" s="9"/>
      <c r="W37" s="10"/>
      <c r="X37" s="42"/>
    </row>
    <row r="38" spans="6:24" x14ac:dyDescent="0.3">
      <c r="F38" s="11" t="str" cm="1">
        <f t="array" ref="F38">IFERROR(IF(ISBLANK(INDEX(Seedningslag_6_mandspuljer[[Nr.²]:[Rating²]],5,)),"",INDEX(Seedningslag_6_mandspuljer[[Nr.²]:[Rating²]],5,)),"")</f>
        <v/>
      </c>
      <c r="G38" s="12"/>
      <c r="H38" s="41"/>
      <c r="I38" s="43"/>
      <c r="K38" s="11" t="str" cm="1">
        <f t="array" ref="K38">IFERROR(IF(ISBLANK(INDEX(Seedningslag_6_mandspuljer[[Nr.²]:[Rating²]],6,)),"",INDEX(Seedningslag_6_mandspuljer[[Nr.²]:[Rating²]],6,)),"")</f>
        <v/>
      </c>
      <c r="L38" s="12"/>
      <c r="M38" s="41"/>
      <c r="N38" s="43"/>
      <c r="P38" s="11" t="str" cm="1">
        <f t="array" ref="P38">IFERROR(IF(ISBLANK(INDEX(Seedningslag_6_mandspuljer[[Nr.²]:[Rating²]],7,)),"",INDEX(Seedningslag_6_mandspuljer[[Nr.²]:[Rating²]],7,)),"")</f>
        <v/>
      </c>
      <c r="Q38" s="12"/>
      <c r="R38" s="41"/>
      <c r="S38" s="43"/>
      <c r="U38" s="11" t="str" cm="1">
        <f t="array" ref="U38">IFERROR(IF(ISBLANK(INDEX(Seedningslag_6_mandspuljer[[Nr.²]:[Rating²]],8,)),"",INDEX(Seedningslag_6_mandspuljer[[Nr.²]:[Rating²]],8,)),"")</f>
        <v/>
      </c>
      <c r="V38" s="12"/>
      <c r="W38" s="41"/>
      <c r="X38" s="43"/>
    </row>
    <row r="39" spans="6:24" x14ac:dyDescent="0.3">
      <c r="F39" s="11" t="str" cm="1">
        <f t="array" ref="F39">IFERROR(IF(ISBLANK(INDEX(Seedningslag_6_mandspuljer[[Nr.³]:[Rating³]],5,)),"",INDEX(Seedningslag_6_mandspuljer[[Nr.³]:[Rating³]],5,)),"")</f>
        <v/>
      </c>
      <c r="G39" s="12"/>
      <c r="H39" s="41"/>
      <c r="I39" s="43"/>
      <c r="K39" s="11" t="str" cm="1">
        <f t="array" ref="K39">IFERROR(IF(ISBLANK(INDEX(Seedningslag_6_mandspuljer[[Nr.³]:[Rating³]],6,)),"",INDEX(Seedningslag_6_mandspuljer[[Nr.³]:[Rating³]],6,)),"")</f>
        <v/>
      </c>
      <c r="L39" s="12"/>
      <c r="M39" s="41"/>
      <c r="N39" s="43"/>
      <c r="P39" s="11" t="str" cm="1">
        <f t="array" ref="P39">IFERROR(IF(ISBLANK(INDEX(Seedningslag_6_mandspuljer[[Nr.³]:[Rating³]],7,)),"",INDEX(Seedningslag_6_mandspuljer[[Nr.³]:[Rating³]],7,)),"")</f>
        <v/>
      </c>
      <c r="Q39" s="12"/>
      <c r="R39" s="41"/>
      <c r="S39" s="43"/>
      <c r="U39" s="11" t="str" cm="1">
        <f t="array" ref="U39">IFERROR(IF(ISBLANK(INDEX(Seedningslag_6_mandspuljer[[Nr.³]:[Rating³]],8,)),"",INDEX(Seedningslag_6_mandspuljer[[Nr.³]:[Rating³]],8,)),"")</f>
        <v/>
      </c>
      <c r="V39" s="12"/>
      <c r="W39" s="41"/>
      <c r="X39" s="43"/>
    </row>
    <row r="40" spans="6:24" x14ac:dyDescent="0.3">
      <c r="F40" s="11" t="str" cm="1">
        <f t="array" ref="F40">IFERROR(IF(ISBLANK(INDEX(Seedningslag_6_mandspuljer[[Nr.⁴]:[Rating⁴]],5,)),"",INDEX(Seedningslag_6_mandspuljer[[Nr.⁴]:[Rating⁴]],5,)),"")</f>
        <v/>
      </c>
      <c r="G40" s="12"/>
      <c r="H40" s="41"/>
      <c r="I40" s="43"/>
      <c r="K40" s="11" t="str" cm="1">
        <f t="array" ref="K40">IFERROR(IF(ISBLANK(INDEX(Seedningslag_6_mandspuljer[[Nr.⁴]:[Rating⁴]],6,)),"",INDEX(Seedningslag_6_mandspuljer[[Nr.⁴]:[Rating⁴]],6,)),"")</f>
        <v/>
      </c>
      <c r="L40" s="12"/>
      <c r="M40" s="41"/>
      <c r="N40" s="43"/>
      <c r="P40" s="11" t="str" cm="1">
        <f t="array" ref="P40">IFERROR(IF(ISBLANK(INDEX(Seedningslag_6_mandspuljer[[Nr.⁴]:[Rating⁴]],7,)),"",INDEX(Seedningslag_6_mandspuljer[[Nr.⁴]:[Rating⁴]],7,)),"")</f>
        <v/>
      </c>
      <c r="Q40" s="12"/>
      <c r="R40" s="41"/>
      <c r="S40" s="43"/>
      <c r="U40" s="11" t="str" cm="1">
        <f t="array" ref="U40">IFERROR(IF(ISBLANK(INDEX(Seedningslag_6_mandspuljer[[Nr.⁴]:[Rating⁴]],8,)),"",INDEX(Seedningslag_6_mandspuljer[[Nr.⁴]:[Rating⁴]],8,)),"")</f>
        <v/>
      </c>
      <c r="V40" s="12"/>
      <c r="W40" s="41"/>
      <c r="X40" s="43"/>
    </row>
    <row r="41" spans="6:24" x14ac:dyDescent="0.3">
      <c r="F41" s="11" t="str" cm="1">
        <f t="array" ref="F41">IFERROR(IF(ISBLANK(INDEX(Seedningslag_6_mandspuljer[[Nr.⁵]:[Rating⁵]],5,)),"",INDEX(Seedningslag_6_mandspuljer[[Nr.⁵]:[Rating⁵]],5,)),"")</f>
        <v/>
      </c>
      <c r="G41" s="12"/>
      <c r="H41" s="41"/>
      <c r="I41" s="43"/>
      <c r="K41" s="11" t="str" cm="1">
        <f t="array" ref="K41">IFERROR(IF(ISBLANK(INDEX(Seedningslag_6_mandspuljer[[Nr.⁵]:[Rating⁵]],6,)),"",INDEX(Seedningslag_6_mandspuljer[[Nr.⁵]:[Rating⁵]],6,)),"")</f>
        <v/>
      </c>
      <c r="L41" s="12"/>
      <c r="M41" s="41"/>
      <c r="N41" s="43"/>
      <c r="P41" s="11" t="str" cm="1">
        <f t="array" ref="P41">IFERROR(IF(ISBLANK(INDEX(Seedningslag_6_mandspuljer[[Nr.⁵]:[Rating⁵]],7,)),"",INDEX(Seedningslag_6_mandspuljer[[Nr.⁵]:[Rating⁵]],7,)),"")</f>
        <v/>
      </c>
      <c r="Q41" s="12"/>
      <c r="R41" s="41"/>
      <c r="S41" s="43"/>
      <c r="U41" s="11" t="str" cm="1">
        <f t="array" ref="U41">IFERROR(IF(ISBLANK(INDEX(Seedningslag_6_mandspuljer[[Nr.⁵]:[Rating⁵]],8,)),"",INDEX(Seedningslag_6_mandspuljer[[Nr.⁵]:[Rating⁵]],8,)),"")</f>
        <v/>
      </c>
      <c r="V41" s="12"/>
      <c r="W41" s="41"/>
      <c r="X41" s="43"/>
    </row>
    <row r="42" spans="6:24" x14ac:dyDescent="0.3">
      <c r="F42" s="13" t="str" cm="1">
        <f t="array" ref="F42">IFERROR(IF(ISBLANK(INDEX(Seedningslag_6_mandspuljer[[Nr.⁶]:[Rating⁶]],5,)),"",INDEX(Seedningslag_6_mandspuljer[[Nr.⁶]:[Rating⁶]],5,)),"")</f>
        <v/>
      </c>
      <c r="G42" s="14"/>
      <c r="H42" s="15"/>
      <c r="I42" s="44"/>
      <c r="K42" s="13" t="str" cm="1">
        <f t="array" ref="K42">IFERROR(IF(ISBLANK(INDEX(Seedningslag_6_mandspuljer[[Nr.⁶]:[Rating⁶]],6,)),"",INDEX(Seedningslag_6_mandspuljer[[Nr.⁶]:[Rating⁶]],6,)),"")</f>
        <v/>
      </c>
      <c r="L42" s="14"/>
      <c r="M42" s="15"/>
      <c r="N42" s="44"/>
      <c r="P42" s="13" t="str" cm="1">
        <f t="array" ref="P42">IFERROR(IF(ISBLANK(INDEX(Seedningslag_6_mandspuljer[[Nr.⁶]:[Rating⁶]],7,)),"",INDEX(Seedningslag_6_mandspuljer[[Nr.⁶]:[Rating⁶]],7,)),"")</f>
        <v/>
      </c>
      <c r="Q42" s="14"/>
      <c r="R42" s="15"/>
      <c r="S42" s="44"/>
      <c r="U42" s="13" t="str" cm="1">
        <f t="array" ref="U42">IFERROR(IF(ISBLANK(INDEX(Seedningslag_6_mandspuljer[[Nr.⁶]:[Rating⁶]],8,)),"",INDEX(Seedningslag_6_mandspuljer[[Nr.⁶]:[Rating⁶]],8,)),"")</f>
        <v/>
      </c>
      <c r="V42" s="14"/>
      <c r="W42" s="15"/>
      <c r="X42" s="44"/>
    </row>
    <row r="45" spans="6:24" x14ac:dyDescent="0.3">
      <c r="F45" s="177" t="s">
        <v>161</v>
      </c>
      <c r="G45" s="178"/>
      <c r="H45" s="178"/>
      <c r="I45" s="179"/>
      <c r="K45" s="177" t="s">
        <v>160</v>
      </c>
      <c r="L45" s="178"/>
      <c r="M45" s="178"/>
      <c r="N45" s="179"/>
      <c r="P45" s="177" t="s">
        <v>159</v>
      </c>
      <c r="Q45" s="178"/>
      <c r="R45" s="178"/>
      <c r="S45" s="179"/>
      <c r="U45" s="177" t="s">
        <v>158</v>
      </c>
      <c r="V45" s="178"/>
      <c r="W45" s="178"/>
      <c r="X45" s="179"/>
    </row>
    <row r="46" spans="6:24" x14ac:dyDescent="0.3">
      <c r="F46" s="87" t="str" cm="1">
        <f t="array" ref="F46:I46">IFERROR(IF(ISBLANK(INDEX(Tilmeldinger_billettype_1_seedning[#Headers],1,)),"",INDEX(Tilmeldinger_billettype_1_seedning[#Headers],1,)),"")</f>
        <v>Nr.</v>
      </c>
      <c r="G46" s="88" t="str">
        <v>Navn og bordtennisklub</v>
      </c>
      <c r="H46" s="89" t="str">
        <v>Alder</v>
      </c>
      <c r="I46" s="90" t="str">
        <v>Rating</v>
      </c>
      <c r="K46" s="87" t="str" cm="1">
        <f t="array" ref="K46:N46">IFERROR(IF(ISBLANK(INDEX(Tilmeldinger_billettype_1_seedning[#Headers],1,)),"",INDEX(Tilmeldinger_billettype_1_seedning[#Headers],1,)),"")</f>
        <v>Nr.</v>
      </c>
      <c r="L46" s="88" t="str">
        <v>Navn og bordtennisklub</v>
      </c>
      <c r="M46" s="89" t="str">
        <v>Alder</v>
      </c>
      <c r="N46" s="90" t="str">
        <v>Rating</v>
      </c>
      <c r="P46" s="87" t="str" cm="1">
        <f t="array" ref="P46:S46">IFERROR(IF(ISBLANK(INDEX(Tilmeldinger_billettype_1_seedning[#Headers],1,)),"",INDEX(Tilmeldinger_billettype_1_seedning[#Headers],1,)),"")</f>
        <v>Nr.</v>
      </c>
      <c r="Q46" s="88" t="str">
        <v>Navn og bordtennisklub</v>
      </c>
      <c r="R46" s="89" t="str">
        <v>Alder</v>
      </c>
      <c r="S46" s="90" t="str">
        <v>Rating</v>
      </c>
      <c r="U46" s="87" t="str" cm="1">
        <f t="array" ref="U46:X46">IFERROR(IF(ISBLANK(INDEX(Tilmeldinger_billettype_1_seedning[#Headers],1,)),"",INDEX(Tilmeldinger_billettype_1_seedning[#Headers],1,)),"")</f>
        <v>Nr.</v>
      </c>
      <c r="V46" s="88" t="str">
        <v>Navn og bordtennisklub</v>
      </c>
      <c r="W46" s="89" t="str">
        <v>Alder</v>
      </c>
      <c r="X46" s="90" t="str">
        <v>Rating</v>
      </c>
    </row>
    <row r="47" spans="6:24" x14ac:dyDescent="0.3">
      <c r="F47" s="8" t="str" cm="1">
        <f t="array" ref="F47">IFERROR(IF(ISBLANK(INDEX(Seedningslag_6_mandspuljer[[Nr.¹]:[Rating¹]],9,)),"",INDEX(Seedningslag_6_mandspuljer[[Nr.¹]:[Rating¹]],9,)),"")</f>
        <v/>
      </c>
      <c r="G47" s="9"/>
      <c r="H47" s="10"/>
      <c r="I47" s="42"/>
      <c r="K47" s="8" t="str" cm="1">
        <f t="array" ref="K47">IFERROR(IF(ISBLANK(INDEX(Seedningslag_6_mandspuljer[[Nr.¹]:[Rating¹]],10,)),"",INDEX(Seedningslag_6_mandspuljer[[Nr.¹]:[Rating¹]],10,)),"")</f>
        <v/>
      </c>
      <c r="L47" s="9"/>
      <c r="M47" s="10"/>
      <c r="N47" s="42"/>
      <c r="P47" s="8" t="str" cm="1">
        <f t="array" ref="P47">IFERROR(IF(ISBLANK(INDEX(Seedningslag_6_mandspuljer[[Nr.¹]:[Rating¹]],11,)),"",INDEX(Seedningslag_6_mandspuljer[[Nr.¹]:[Rating¹]],11,)),"")</f>
        <v/>
      </c>
      <c r="Q47" s="9"/>
      <c r="R47" s="10"/>
      <c r="S47" s="42"/>
      <c r="U47" s="8" t="str" cm="1">
        <f t="array" ref="U47">IFERROR(IF(ISBLANK(INDEX(Seedningslag_6_mandspuljer[[Nr.¹]:[Rating¹]],12,)),"",INDEX(Seedningslag_6_mandspuljer[[Nr.¹]:[Rating¹]],12,)),"")</f>
        <v/>
      </c>
      <c r="V47" s="9"/>
      <c r="W47" s="10"/>
      <c r="X47" s="42"/>
    </row>
    <row r="48" spans="6:24" x14ac:dyDescent="0.3">
      <c r="F48" s="11" t="str" cm="1">
        <f t="array" ref="F48">IFERROR(IF(ISBLANK(INDEX(Seedningslag_6_mandspuljer[[Nr.²]:[Rating²]],9,)),"",INDEX(Seedningslag_6_mandspuljer[[Nr.²]:[Rating²]],9,)),"")</f>
        <v/>
      </c>
      <c r="G48" s="12"/>
      <c r="H48" s="41"/>
      <c r="I48" s="43"/>
      <c r="K48" s="11" t="str" cm="1">
        <f t="array" ref="K48">IFERROR(IF(ISBLANK(INDEX(Seedningslag_6_mandspuljer[[Nr.²]:[Rating²]],10,)),"",INDEX(Seedningslag_6_mandspuljer[[Nr.²]:[Rating²]],10,)),"")</f>
        <v/>
      </c>
      <c r="L48" s="12"/>
      <c r="M48" s="41"/>
      <c r="N48" s="43"/>
      <c r="P48" s="11" t="str" cm="1">
        <f t="array" ref="P48">IFERROR(IF(ISBLANK(INDEX(Seedningslag_6_mandspuljer[[Nr.²]:[Rating²]],11,)),"",INDEX(Seedningslag_6_mandspuljer[[Nr.²]:[Rating²]],11,)),"")</f>
        <v/>
      </c>
      <c r="Q48" s="12"/>
      <c r="R48" s="41"/>
      <c r="S48" s="43"/>
      <c r="U48" s="11" t="str" cm="1">
        <f t="array" ref="U48">IFERROR(IF(ISBLANK(INDEX(Seedningslag_6_mandspuljer[[Nr.²]:[Rating²]],12,)),"",INDEX(Seedningslag_6_mandspuljer[[Nr.²]:[Rating²]],12,)),"")</f>
        <v/>
      </c>
      <c r="V48" s="12"/>
      <c r="W48" s="41"/>
      <c r="X48" s="43"/>
    </row>
    <row r="49" spans="6:24" x14ac:dyDescent="0.3">
      <c r="F49" s="11" t="str" cm="1">
        <f t="array" ref="F49">IFERROR(IF(ISBLANK(INDEX(Seedningslag_6_mandspuljer[[Nr.³]:[Rating³]],9,)),"",INDEX(Seedningslag_6_mandspuljer[[Nr.³]:[Rating³]],9,)),"")</f>
        <v/>
      </c>
      <c r="G49" s="12"/>
      <c r="H49" s="41"/>
      <c r="I49" s="43"/>
      <c r="K49" s="11" t="str" cm="1">
        <f t="array" ref="K49">IFERROR(IF(ISBLANK(INDEX(Seedningslag_6_mandspuljer[[Nr.³]:[Rating³]],10,)),"",INDEX(Seedningslag_6_mandspuljer[[Nr.³]:[Rating³]],10,)),"")</f>
        <v/>
      </c>
      <c r="L49" s="12"/>
      <c r="M49" s="41"/>
      <c r="N49" s="43"/>
      <c r="P49" s="11" t="str" cm="1">
        <f t="array" ref="P49">IFERROR(IF(ISBLANK(INDEX(Seedningslag_6_mandspuljer[[Nr.³]:[Rating³]],11,)),"",INDEX(Seedningslag_6_mandspuljer[[Nr.³]:[Rating³]],11,)),"")</f>
        <v/>
      </c>
      <c r="Q49" s="12"/>
      <c r="R49" s="41"/>
      <c r="S49" s="43"/>
      <c r="U49" s="11" t="str" cm="1">
        <f t="array" ref="U49">IFERROR(IF(ISBLANK(INDEX(Seedningslag_6_mandspuljer[[Nr.³]:[Rating³]],12,)),"",INDEX(Seedningslag_6_mandspuljer[[Nr.³]:[Rating³]],12,)),"")</f>
        <v/>
      </c>
      <c r="V49" s="12"/>
      <c r="W49" s="41"/>
      <c r="X49" s="43"/>
    </row>
    <row r="50" spans="6:24" x14ac:dyDescent="0.3">
      <c r="F50" s="11" t="str" cm="1">
        <f t="array" ref="F50">IFERROR(IF(ISBLANK(INDEX(Seedningslag_6_mandspuljer[[Nr.⁴]:[Rating⁴]],9,)),"",INDEX(Seedningslag_6_mandspuljer[[Nr.⁴]:[Rating⁴]],9,)),"")</f>
        <v/>
      </c>
      <c r="G50" s="12"/>
      <c r="H50" s="41"/>
      <c r="I50" s="43"/>
      <c r="K50" s="11" t="str" cm="1">
        <f t="array" ref="K50">IFERROR(IF(ISBLANK(INDEX(Seedningslag_6_mandspuljer[[Nr.⁴]:[Rating⁴]],10,)),"",INDEX(Seedningslag_6_mandspuljer[[Nr.⁴]:[Rating⁴]],10,)),"")</f>
        <v/>
      </c>
      <c r="L50" s="12"/>
      <c r="M50" s="41"/>
      <c r="N50" s="43"/>
      <c r="P50" s="11" t="str" cm="1">
        <f t="array" ref="P50">IFERROR(IF(ISBLANK(INDEX(Seedningslag_6_mandspuljer[[Nr.⁴]:[Rating⁴]],11,)),"",INDEX(Seedningslag_6_mandspuljer[[Nr.⁴]:[Rating⁴]],11,)),"")</f>
        <v/>
      </c>
      <c r="Q50" s="12"/>
      <c r="R50" s="41"/>
      <c r="S50" s="43"/>
      <c r="U50" s="11" t="str" cm="1">
        <f t="array" ref="U50">IFERROR(IF(ISBLANK(INDEX(Seedningslag_6_mandspuljer[[Nr.⁴]:[Rating⁴]],12,)),"",INDEX(Seedningslag_6_mandspuljer[[Nr.⁴]:[Rating⁴]],12,)),"")</f>
        <v/>
      </c>
      <c r="V50" s="12"/>
      <c r="W50" s="41"/>
      <c r="X50" s="43"/>
    </row>
    <row r="51" spans="6:24" x14ac:dyDescent="0.3">
      <c r="F51" s="11" t="str" cm="1">
        <f t="array" ref="F51">IFERROR(IF(ISBLANK(INDEX(Seedningslag_6_mandspuljer[[Nr.⁵]:[Rating⁵]],9,)),"",INDEX(Seedningslag_6_mandspuljer[[Nr.⁵]:[Rating⁵]],9,)),"")</f>
        <v/>
      </c>
      <c r="G51" s="12"/>
      <c r="H51" s="41"/>
      <c r="I51" s="43"/>
      <c r="K51" s="11" t="str" cm="1">
        <f t="array" ref="K51">IFERROR(IF(ISBLANK(INDEX(Seedningslag_6_mandspuljer[[Nr.⁵]:[Rating⁵]],10,)),"",INDEX(Seedningslag_6_mandspuljer[[Nr.⁵]:[Rating⁵]],10,)),"")</f>
        <v/>
      </c>
      <c r="L51" s="12"/>
      <c r="M51" s="41"/>
      <c r="N51" s="43"/>
      <c r="P51" s="11" t="str" cm="1">
        <f t="array" ref="P51">IFERROR(IF(ISBLANK(INDEX(Seedningslag_6_mandspuljer[[Nr.⁵]:[Rating⁵]],11,)),"",INDEX(Seedningslag_6_mandspuljer[[Nr.⁵]:[Rating⁵]],11,)),"")</f>
        <v/>
      </c>
      <c r="Q51" s="12"/>
      <c r="R51" s="41"/>
      <c r="S51" s="43"/>
      <c r="U51" s="11" t="str" cm="1">
        <f t="array" ref="U51">IFERROR(IF(ISBLANK(INDEX(Seedningslag_6_mandspuljer[[Nr.⁵]:[Rating⁵]],12,)),"",INDEX(Seedningslag_6_mandspuljer[[Nr.⁵]:[Rating⁵]],12,)),"")</f>
        <v/>
      </c>
      <c r="V51" s="12"/>
      <c r="W51" s="41"/>
      <c r="X51" s="43"/>
    </row>
    <row r="52" spans="6:24" x14ac:dyDescent="0.3">
      <c r="F52" s="13" t="str" cm="1">
        <f t="array" ref="F52">IFERROR(IF(ISBLANK(INDEX(Seedningslag_6_mandspuljer[[Nr.⁶]:[Rating⁶]],9,)),"",INDEX(Seedningslag_6_mandspuljer[[Nr.⁶]:[Rating⁶]],9,)),"")</f>
        <v/>
      </c>
      <c r="G52" s="14"/>
      <c r="H52" s="15"/>
      <c r="I52" s="44"/>
      <c r="K52" s="13" t="str" cm="1">
        <f t="array" ref="K52">IFERROR(IF(ISBLANK(INDEX(Seedningslag_6_mandspuljer[[Nr.⁶]:[Rating⁶]],10,)),"",INDEX(Seedningslag_6_mandspuljer[[Nr.⁶]:[Rating⁶]],10,)),"")</f>
        <v/>
      </c>
      <c r="L52" s="14"/>
      <c r="M52" s="15"/>
      <c r="N52" s="44"/>
      <c r="P52" s="13" t="str" cm="1">
        <f t="array" ref="P52">IFERROR(IF(ISBLANK(INDEX(Seedningslag_6_mandspuljer[[Nr.⁶]:[Rating⁶]],11,)),"",INDEX(Seedningslag_6_mandspuljer[[Nr.⁶]:[Rating⁶]],11,)),"")</f>
        <v/>
      </c>
      <c r="Q52" s="14"/>
      <c r="R52" s="15"/>
      <c r="S52" s="44"/>
      <c r="U52" s="13" t="str" cm="1">
        <f t="array" ref="U52">IFERROR(IF(ISBLANK(INDEX(Seedningslag_6_mandspuljer[[Nr.⁶]:[Rating⁶]],12,)),"",INDEX(Seedningslag_6_mandspuljer[[Nr.⁶]:[Rating⁶]],12,)),"")</f>
        <v/>
      </c>
      <c r="V52" s="14"/>
      <c r="W52" s="15"/>
      <c r="X52" s="44"/>
    </row>
    <row r="58" spans="6:24" ht="31.2" x14ac:dyDescent="0.6">
      <c r="F58" s="117" t="s">
        <v>167</v>
      </c>
      <c r="G58" s="117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</row>
    <row r="59" spans="6:24" x14ac:dyDescent="0.3">
      <c r="F59" s="147" t="str">
        <f>'🗂️ Filtre nøgletal'!$A$2</f>
        <v>🔃 Opdateret 15-05-2023 kl. 22:36</v>
      </c>
      <c r="G59" s="147"/>
      <c r="H59" s="147"/>
      <c r="I59" s="147"/>
      <c r="J59" s="147"/>
      <c r="K59" s="147"/>
      <c r="L59" s="147"/>
      <c r="M59" s="147"/>
      <c r="N59" s="147"/>
      <c r="O59" s="147"/>
      <c r="P59" s="147"/>
      <c r="Q59" s="147"/>
      <c r="R59" s="147"/>
      <c r="S59" s="147"/>
      <c r="T59" s="147"/>
      <c r="U59" s="147"/>
      <c r="V59" s="147"/>
      <c r="W59" s="147"/>
      <c r="X59" s="147"/>
    </row>
    <row r="60" spans="6:24" x14ac:dyDescent="0.3">
      <c r="F60" s="176" t="s">
        <v>70</v>
      </c>
      <c r="G60" s="176"/>
      <c r="H60" s="176"/>
      <c r="I60" s="176"/>
      <c r="J60" s="176"/>
      <c r="K60" s="176"/>
      <c r="L60" s="176"/>
      <c r="M60" s="176"/>
      <c r="N60" s="176"/>
      <c r="O60" s="176"/>
      <c r="P60" s="176"/>
      <c r="Q60" s="176"/>
      <c r="R60" s="176"/>
      <c r="S60" s="176"/>
      <c r="T60" s="176"/>
      <c r="U60" s="176"/>
      <c r="V60" s="176"/>
      <c r="W60" s="176"/>
      <c r="X60" s="176"/>
    </row>
    <row r="61" spans="6:24" x14ac:dyDescent="0.3">
      <c r="F61" s="176"/>
      <c r="G61" s="176"/>
      <c r="H61" s="176"/>
      <c r="I61" s="176"/>
      <c r="J61" s="176"/>
      <c r="K61" s="176"/>
      <c r="L61" s="176"/>
      <c r="M61" s="176"/>
      <c r="N61" s="176"/>
      <c r="O61" s="176"/>
      <c r="P61" s="176"/>
      <c r="Q61" s="176"/>
      <c r="R61" s="176"/>
      <c r="S61" s="176"/>
      <c r="T61" s="176"/>
      <c r="U61" s="176"/>
      <c r="V61" s="176"/>
      <c r="W61" s="176"/>
      <c r="X61" s="176"/>
    </row>
    <row r="63" spans="6:24" x14ac:dyDescent="0.3">
      <c r="F63" s="180" t="s">
        <v>66</v>
      </c>
      <c r="G63" s="180"/>
      <c r="H63" s="180"/>
      <c r="I63" s="180"/>
      <c r="K63" s="180" t="s">
        <v>67</v>
      </c>
      <c r="L63" s="180"/>
      <c r="M63" s="180"/>
      <c r="N63" s="180"/>
      <c r="P63" s="180" t="s">
        <v>68</v>
      </c>
      <c r="Q63" s="180"/>
      <c r="R63" s="180"/>
      <c r="S63" s="180"/>
      <c r="U63" s="180" t="s">
        <v>69</v>
      </c>
      <c r="V63" s="180"/>
      <c r="W63" s="180"/>
      <c r="X63" s="180"/>
    </row>
    <row r="64" spans="6:24" x14ac:dyDescent="0.3">
      <c r="F64" s="102" t="s">
        <v>468</v>
      </c>
      <c r="G64" s="103" t="s">
        <v>469</v>
      </c>
      <c r="H64" s="104" t="s">
        <v>470</v>
      </c>
      <c r="I64" s="105" t="s">
        <v>471</v>
      </c>
      <c r="J64" s="108" t="s">
        <v>67</v>
      </c>
      <c r="K64" s="102" t="s">
        <v>472</v>
      </c>
      <c r="L64" s="103" t="s">
        <v>473</v>
      </c>
      <c r="M64" s="104" t="s">
        <v>474</v>
      </c>
      <c r="N64" s="105" t="s">
        <v>475</v>
      </c>
      <c r="O64" s="108" t="s">
        <v>68</v>
      </c>
      <c r="P64" s="102" t="s">
        <v>476</v>
      </c>
      <c r="Q64" s="103" t="s">
        <v>477</v>
      </c>
      <c r="R64" s="104" t="s">
        <v>478</v>
      </c>
      <c r="S64" s="105" t="s">
        <v>479</v>
      </c>
      <c r="T64" s="108" t="s">
        <v>69</v>
      </c>
      <c r="U64" s="102" t="s">
        <v>480</v>
      </c>
      <c r="V64" s="103" t="s">
        <v>481</v>
      </c>
      <c r="W64" s="104" t="s">
        <v>482</v>
      </c>
      <c r="X64" s="105" t="s">
        <v>483</v>
      </c>
    </row>
    <row r="65" spans="6:24" x14ac:dyDescent="0.3">
      <c r="F65" s="106">
        <v>1</v>
      </c>
      <c r="G65" t="s">
        <v>77</v>
      </c>
      <c r="H65" s="4">
        <v>29</v>
      </c>
      <c r="I65" s="107" t="s">
        <v>840</v>
      </c>
      <c r="J65" s="109">
        <v>2</v>
      </c>
      <c r="K65" s="106">
        <v>12</v>
      </c>
      <c r="L65" t="s">
        <v>721</v>
      </c>
      <c r="M65" s="4">
        <v>16</v>
      </c>
      <c r="N65" s="107" t="s">
        <v>720</v>
      </c>
      <c r="O65" s="109">
        <v>3</v>
      </c>
      <c r="P65" s="106">
        <v>13</v>
      </c>
      <c r="Q65" t="s">
        <v>722</v>
      </c>
      <c r="R65" s="4">
        <v>26</v>
      </c>
      <c r="S65" s="107" t="s">
        <v>720</v>
      </c>
      <c r="T65" s="109">
        <v>4</v>
      </c>
      <c r="U65" s="106">
        <v>24</v>
      </c>
      <c r="V65" t="s">
        <v>212</v>
      </c>
      <c r="W65" s="4">
        <v>27</v>
      </c>
      <c r="X65" s="107" t="s">
        <v>720</v>
      </c>
    </row>
    <row r="66" spans="6:24" x14ac:dyDescent="0.3">
      <c r="F66" s="106">
        <v>2</v>
      </c>
      <c r="G66" t="s">
        <v>361</v>
      </c>
      <c r="H66" s="4">
        <v>29</v>
      </c>
      <c r="I66" s="107" t="s">
        <v>841</v>
      </c>
      <c r="J66" s="108">
        <v>2</v>
      </c>
      <c r="K66" s="106">
        <v>11</v>
      </c>
      <c r="L66" t="s">
        <v>213</v>
      </c>
      <c r="M66" s="4">
        <v>28</v>
      </c>
      <c r="N66" s="107" t="s">
        <v>720</v>
      </c>
      <c r="O66" s="108">
        <v>3</v>
      </c>
      <c r="P66" s="106">
        <v>14</v>
      </c>
      <c r="Q66" t="s">
        <v>793</v>
      </c>
      <c r="R66" s="4">
        <v>47</v>
      </c>
      <c r="S66" s="107" t="s">
        <v>720</v>
      </c>
      <c r="T66" s="108">
        <v>4</v>
      </c>
      <c r="U66" s="106">
        <v>23</v>
      </c>
      <c r="V66" t="s">
        <v>760</v>
      </c>
      <c r="W66" s="4">
        <v>67</v>
      </c>
      <c r="X66" s="107" t="s">
        <v>720</v>
      </c>
    </row>
    <row r="67" spans="6:24" x14ac:dyDescent="0.3">
      <c r="F67" s="106">
        <v>3</v>
      </c>
      <c r="G67" t="s">
        <v>842</v>
      </c>
      <c r="H67" s="4">
        <v>30</v>
      </c>
      <c r="I67" s="107" t="s">
        <v>843</v>
      </c>
      <c r="J67" s="108">
        <v>2</v>
      </c>
      <c r="K67" s="106">
        <v>10</v>
      </c>
      <c r="L67" t="s">
        <v>792</v>
      </c>
      <c r="M67" s="4">
        <v>51</v>
      </c>
      <c r="N67" s="107" t="s">
        <v>720</v>
      </c>
      <c r="O67" s="108">
        <v>3</v>
      </c>
      <c r="P67" s="106">
        <v>15</v>
      </c>
      <c r="Q67" t="s">
        <v>723</v>
      </c>
      <c r="R67" s="4">
        <v>37</v>
      </c>
      <c r="S67" s="107" t="s">
        <v>720</v>
      </c>
      <c r="T67" s="108">
        <v>4</v>
      </c>
      <c r="U67" s="106">
        <v>22</v>
      </c>
      <c r="V67" t="s">
        <v>726</v>
      </c>
      <c r="W67" s="4">
        <v>39</v>
      </c>
      <c r="X67" s="107" t="s">
        <v>720</v>
      </c>
    </row>
    <row r="68" spans="6:24" x14ac:dyDescent="0.3">
      <c r="F68" s="106">
        <v>4</v>
      </c>
      <c r="G68" t="s">
        <v>756</v>
      </c>
      <c r="H68" s="4">
        <v>74</v>
      </c>
      <c r="I68" s="107" t="s">
        <v>720</v>
      </c>
      <c r="J68" s="108">
        <v>2</v>
      </c>
      <c r="K68" s="106">
        <v>9</v>
      </c>
      <c r="L68" t="s">
        <v>844</v>
      </c>
      <c r="M68" s="4">
        <v>51</v>
      </c>
      <c r="N68" s="107" t="s">
        <v>720</v>
      </c>
      <c r="O68" s="108">
        <v>3</v>
      </c>
      <c r="P68" s="106">
        <v>16</v>
      </c>
      <c r="Q68" t="s">
        <v>257</v>
      </c>
      <c r="R68" s="4">
        <v>58</v>
      </c>
      <c r="S68" s="107" t="s">
        <v>720</v>
      </c>
      <c r="T68" s="108">
        <v>4</v>
      </c>
      <c r="U68" s="106">
        <v>21</v>
      </c>
      <c r="V68" t="s">
        <v>725</v>
      </c>
      <c r="W68" s="4">
        <v>48</v>
      </c>
      <c r="X68" s="107" t="s">
        <v>720</v>
      </c>
    </row>
    <row r="69" spans="6:24" x14ac:dyDescent="0.3">
      <c r="F69" s="106">
        <v>5</v>
      </c>
      <c r="G69" t="s">
        <v>719</v>
      </c>
      <c r="H69" s="4">
        <v>23</v>
      </c>
      <c r="I69" s="107" t="s">
        <v>720</v>
      </c>
      <c r="J69" s="108">
        <v>2</v>
      </c>
      <c r="K69" s="106">
        <v>8</v>
      </c>
      <c r="L69" t="s">
        <v>791</v>
      </c>
      <c r="M69" s="4">
        <v>20</v>
      </c>
      <c r="N69" s="107" t="s">
        <v>720</v>
      </c>
      <c r="O69" s="108">
        <v>3</v>
      </c>
      <c r="P69" s="106">
        <v>17</v>
      </c>
      <c r="Q69" t="s">
        <v>752</v>
      </c>
      <c r="R69" s="4">
        <v>55</v>
      </c>
      <c r="S69" s="107" t="s">
        <v>720</v>
      </c>
      <c r="T69" s="108">
        <v>4</v>
      </c>
      <c r="U69" s="106">
        <v>20</v>
      </c>
      <c r="V69" t="s">
        <v>724</v>
      </c>
      <c r="W69" s="4">
        <v>11</v>
      </c>
      <c r="X69" s="107" t="s">
        <v>720</v>
      </c>
    </row>
    <row r="70" spans="6:24" x14ac:dyDescent="0.3">
      <c r="F70" s="106">
        <v>6</v>
      </c>
      <c r="G70" t="s">
        <v>790</v>
      </c>
      <c r="H70" s="4">
        <v>50</v>
      </c>
      <c r="I70" s="107" t="s">
        <v>720</v>
      </c>
      <c r="J70" s="116">
        <v>2</v>
      </c>
      <c r="K70" s="106">
        <v>7</v>
      </c>
      <c r="L70" t="s">
        <v>808</v>
      </c>
      <c r="M70" s="4">
        <v>18</v>
      </c>
      <c r="N70" s="107" t="s">
        <v>720</v>
      </c>
      <c r="O70" s="116">
        <v>3</v>
      </c>
      <c r="P70" s="106">
        <v>18</v>
      </c>
      <c r="Q70" t="s">
        <v>216</v>
      </c>
      <c r="R70" s="4">
        <v>30</v>
      </c>
      <c r="S70" s="107" t="s">
        <v>720</v>
      </c>
      <c r="T70" s="116">
        <v>4</v>
      </c>
      <c r="U70" s="106">
        <v>19</v>
      </c>
      <c r="V70" t="s">
        <v>794</v>
      </c>
      <c r="W70" s="4">
        <v>21</v>
      </c>
      <c r="X70" s="107" t="s">
        <v>720</v>
      </c>
    </row>
    <row r="71" spans="6:24" x14ac:dyDescent="0.3">
      <c r="F71" s="1"/>
      <c r="G71" s="1"/>
      <c r="H71" s="4"/>
      <c r="I71" s="18"/>
      <c r="K71" s="1"/>
      <c r="L71" s="1"/>
      <c r="M71" s="4"/>
      <c r="N71" s="18"/>
      <c r="P71" s="1"/>
      <c r="Q71" s="1"/>
      <c r="R71" s="4"/>
      <c r="S71" s="18"/>
      <c r="U71" s="1"/>
      <c r="V71" s="1"/>
      <c r="W71" s="4"/>
      <c r="X71" s="18"/>
    </row>
    <row r="76" spans="6:24" x14ac:dyDescent="0.3">
      <c r="F76" s="176" t="s">
        <v>73</v>
      </c>
      <c r="G76" s="176"/>
      <c r="H76" s="176"/>
      <c r="I76" s="176"/>
      <c r="J76" s="176"/>
      <c r="K76" s="176"/>
      <c r="L76" s="176"/>
      <c r="M76" s="176"/>
      <c r="N76" s="176"/>
      <c r="O76" s="176"/>
      <c r="P76" s="176"/>
      <c r="Q76" s="176"/>
      <c r="R76" s="176"/>
      <c r="S76" s="176"/>
      <c r="T76" s="176"/>
      <c r="U76" s="176"/>
      <c r="V76" s="176"/>
      <c r="W76" s="176"/>
      <c r="X76" s="176"/>
    </row>
    <row r="77" spans="6:24" x14ac:dyDescent="0.3">
      <c r="F77" s="176"/>
      <c r="G77" s="176"/>
      <c r="H77" s="176"/>
      <c r="I77" s="176"/>
      <c r="J77" s="176"/>
      <c r="K77" s="176"/>
      <c r="L77" s="176"/>
      <c r="M77" s="176"/>
      <c r="N77" s="176"/>
      <c r="O77" s="176"/>
      <c r="P77" s="176"/>
      <c r="Q77" s="176"/>
      <c r="R77" s="176"/>
      <c r="S77" s="176"/>
      <c r="T77" s="176"/>
      <c r="U77" s="176"/>
      <c r="V77" s="176"/>
      <c r="W77" s="176"/>
      <c r="X77" s="176"/>
    </row>
    <row r="78" spans="6:24" x14ac:dyDescent="0.3">
      <c r="F78" s="147" t="str">
        <f>'💡🏆🎫 Status'!$G$39</f>
        <v>🏓 24 ud af 96 tilmeldinger (25%)</v>
      </c>
      <c r="G78" s="147"/>
      <c r="H78" s="147"/>
      <c r="I78" s="147"/>
      <c r="J78" s="147"/>
      <c r="K78" s="147"/>
      <c r="L78" s="147"/>
      <c r="M78" s="147"/>
      <c r="N78" s="147"/>
      <c r="O78" s="147"/>
      <c r="P78" s="147"/>
      <c r="Q78" s="147"/>
      <c r="R78" s="147"/>
      <c r="S78" s="147"/>
      <c r="T78" s="147"/>
      <c r="U78" s="147"/>
      <c r="V78" s="147"/>
      <c r="W78" s="147"/>
      <c r="X78" s="147"/>
    </row>
    <row r="79" spans="6:24" x14ac:dyDescent="0.3">
      <c r="F79" s="147" t="str">
        <f>$A$21</f>
        <v>⏩ Nr. 1-3 går videre til A-slutspil, og de resterende går i B-slutspil.</v>
      </c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  <c r="R79" s="147"/>
      <c r="S79" s="147"/>
      <c r="T79" s="147"/>
      <c r="U79" s="147"/>
      <c r="V79" s="147"/>
      <c r="W79" s="147"/>
      <c r="X79" s="147"/>
    </row>
    <row r="80" spans="6:24" x14ac:dyDescent="0.3">
      <c r="F80" s="147" t="str">
        <f>'💡🏆🎫 Status'!$G$38</f>
        <v>🔃🏓 Rating opdateret pr. 00-01-1900</v>
      </c>
      <c r="G80" s="147"/>
      <c r="H80" s="147"/>
      <c r="I80" s="147"/>
      <c r="J80" s="147"/>
      <c r="K80" s="147"/>
      <c r="L80" s="147"/>
      <c r="M80" s="147"/>
      <c r="N80" s="147"/>
      <c r="O80" s="147"/>
      <c r="P80" s="147"/>
      <c r="Q80" s="147"/>
      <c r="R80" s="147"/>
      <c r="S80" s="147"/>
      <c r="T80" s="147"/>
      <c r="U80" s="147"/>
      <c r="V80" s="147"/>
      <c r="W80" s="147"/>
      <c r="X80" s="147"/>
    </row>
    <row r="83" spans="6:24" x14ac:dyDescent="0.3">
      <c r="F83" s="177" t="s">
        <v>150</v>
      </c>
      <c r="G83" s="178"/>
      <c r="H83" s="178"/>
      <c r="I83" s="179"/>
      <c r="K83" s="177" t="s">
        <v>151</v>
      </c>
      <c r="L83" s="178"/>
      <c r="M83" s="178"/>
      <c r="N83" s="179"/>
      <c r="P83" s="177" t="s">
        <v>152</v>
      </c>
      <c r="Q83" s="178"/>
      <c r="R83" s="178"/>
      <c r="S83" s="179"/>
      <c r="U83" s="177" t="s">
        <v>153</v>
      </c>
      <c r="V83" s="178"/>
      <c r="W83" s="178"/>
      <c r="X83" s="179"/>
    </row>
    <row r="84" spans="6:24" x14ac:dyDescent="0.3">
      <c r="F84" s="87" t="str" cm="1">
        <f t="array" ref="F84:I84">IFERROR(IF(ISBLANK(INDEX(Tilmeldinger_billettype_1_seedning[#Headers],1,)),"",INDEX(Tilmeldinger_billettype_1_seedning[#Headers],1,)),"")</f>
        <v>Nr.</v>
      </c>
      <c r="G84" s="88" t="str">
        <v>Navn og bordtennisklub</v>
      </c>
      <c r="H84" s="89" t="str">
        <v>Alder</v>
      </c>
      <c r="I84" s="90" t="str">
        <v>Rating</v>
      </c>
      <c r="K84" s="87" t="str" cm="1">
        <f t="array" ref="K84:N84">IFERROR(IF(ISBLANK(INDEX(Tilmeldinger_billettype_1_seedning[#Headers],1,)),"",INDEX(Tilmeldinger_billettype_1_seedning[#Headers],1,)),"")</f>
        <v>Nr.</v>
      </c>
      <c r="L84" s="88" t="str">
        <v>Navn og bordtennisklub</v>
      </c>
      <c r="M84" s="89" t="str">
        <v>Alder</v>
      </c>
      <c r="N84" s="90" t="str">
        <v>Rating</v>
      </c>
      <c r="P84" s="87" t="str" cm="1">
        <f t="array" ref="P84:S84">IFERROR(IF(ISBLANK(INDEX(Tilmeldinger_billettype_1_seedning[#Headers],1,)),"",INDEX(Tilmeldinger_billettype_1_seedning[#Headers],1,)),"")</f>
        <v>Nr.</v>
      </c>
      <c r="Q84" s="88" t="str">
        <v>Navn og bordtennisklub</v>
      </c>
      <c r="R84" s="89" t="str">
        <v>Alder</v>
      </c>
      <c r="S84" s="90" t="str">
        <v>Rating</v>
      </c>
      <c r="U84" s="87" t="str" cm="1">
        <f t="array" ref="U84:X84">IFERROR(IF(ISBLANK(INDEX(Tilmeldinger_billettype_1_seedning[#Headers],1,)),"",INDEX(Tilmeldinger_billettype_1_seedning[#Headers],1,)),"")</f>
        <v>Nr.</v>
      </c>
      <c r="V84" s="88" t="str">
        <v>Navn og bordtennisklub</v>
      </c>
      <c r="W84" s="89" t="str">
        <v>Alder</v>
      </c>
      <c r="X84" s="90" t="str">
        <v>Rating</v>
      </c>
    </row>
    <row r="85" spans="6:24" x14ac:dyDescent="0.3">
      <c r="F85" s="8" cm="1">
        <f t="array" ref="F85:I85">IFERROR(IF(ISBLANK(INDEX(Seedningslag_4_mandspuljer[[Nr.¹]:[Rating¹]],1,)),"",INDEX(Seedningslag_4_mandspuljer[[Nr.¹]:[Rating¹]],1,)),"")</f>
        <v>1</v>
      </c>
      <c r="G85" s="9" t="str">
        <v>Benjamin Sørensen, Hørning BTK</v>
      </c>
      <c r="H85" s="10">
        <v>29</v>
      </c>
      <c r="I85" s="42" t="str">
        <v>(1) 2525</v>
      </c>
      <c r="K85" s="8" cm="1">
        <f t="array" ref="K85:N85">IFERROR(IF(ISBLANK(INDEX(Seedningslag_4_mandspuljer[[Nr.¹]:[Rating¹]],2,)),"",INDEX(Seedningslag_4_mandspuljer[[Nr.¹]:[Rating¹]],2,)),"")</f>
        <v>2</v>
      </c>
      <c r="L85" s="9" t="str">
        <v>Mads Larsen, Silkeborg BTK</v>
      </c>
      <c r="M85" s="10">
        <v>29</v>
      </c>
      <c r="N85" s="42" t="str">
        <v>(3) (Ingen rating)</v>
      </c>
      <c r="P85" s="8" cm="1">
        <f t="array" ref="P85:S85">IFERROR(IF(ISBLANK(INDEX(Seedningslag_4_mandspuljer[[Nr.¹]:[Rating¹]],3,)),"",INDEX(Seedningslag_4_mandspuljer[[Nr.¹]:[Rating¹]],3,)),"")</f>
        <v>3</v>
      </c>
      <c r="Q85" s="9" t="str">
        <v>Emil Madsen, Hørning BTK</v>
      </c>
      <c r="R85" s="10">
        <v>30</v>
      </c>
      <c r="S85" s="42" t="str">
        <v>(4) (Ingen rating)</v>
      </c>
      <c r="U85" s="8" cm="1">
        <f t="array" ref="U85:X85">IFERROR(IF(ISBLANK(INDEX(Seedningslag_4_mandspuljer[[Nr.¹]:[Rating¹]],4,)),"",INDEX(Seedningslag_4_mandspuljer[[Nr.¹]:[Rating¹]],4,)),"")</f>
        <v>4</v>
      </c>
      <c r="V85" s="9" t="str">
        <v>Poul Erik Henneberg Sørensen, Hørning BTK</v>
      </c>
      <c r="W85" s="10">
        <v>74</v>
      </c>
      <c r="X85" s="42" t="str">
        <v>(Ingen rating)</v>
      </c>
    </row>
    <row r="86" spans="6:24" x14ac:dyDescent="0.3">
      <c r="F86" s="11" cm="1">
        <f t="array" ref="F86:I86">IFERROR(IF(ISBLANK(INDEX(Seedningslag_4_mandspuljer[[Nr.²]:[Rating²]],1,)),"",INDEX(Seedningslag_4_mandspuljer[[Nr.²]:[Rating²]],1,)),"")</f>
        <v>12</v>
      </c>
      <c r="G86" s="12" t="str">
        <v>Oliver Henneberg Sørensen, Hørning BTK</v>
      </c>
      <c r="H86" s="41">
        <v>16</v>
      </c>
      <c r="I86" s="43" t="str">
        <v>(Ingen rating)</v>
      </c>
      <c r="K86" s="11" cm="1">
        <f t="array" ref="K86:N86">IFERROR(IF(ISBLANK(INDEX(Seedningslag_4_mandspuljer[[Nr.²]:[Rating²]],2,)),"",INDEX(Seedningslag_4_mandspuljer[[Nr.²]:[Rating²]],2,)),"")</f>
        <v>11</v>
      </c>
      <c r="L86" s="12" t="str">
        <v>Sebastian Kjær Jensen, Sjørring BTK</v>
      </c>
      <c r="M86" s="41">
        <v>28</v>
      </c>
      <c r="N86" s="43" t="str">
        <v>(Ingen rating)</v>
      </c>
      <c r="P86" s="11" cm="1">
        <f t="array" ref="P86:S86">IFERROR(IF(ISBLANK(INDEX(Seedningslag_4_mandspuljer[[Nr.²]:[Rating²]],3,)),"",INDEX(Seedningslag_4_mandspuljer[[Nr.²]:[Rating²]],3,)),"")</f>
        <v>10</v>
      </c>
      <c r="Q86" s="12" t="str">
        <v>Yang Shibo, Hørning BTK</v>
      </c>
      <c r="R86" s="41">
        <v>51</v>
      </c>
      <c r="S86" s="43" t="str">
        <v>(Ingen rating)</v>
      </c>
      <c r="U86" s="11" cm="1">
        <f t="array" ref="U86:X86">IFERROR(IF(ISBLANK(INDEX(Seedningslag_4_mandspuljer[[Nr.²]:[Rating²]],4,)),"",INDEX(Seedningslag_4_mandspuljer[[Nr.²]:[Rating²]],4,)),"")</f>
        <v>9</v>
      </c>
      <c r="V86" s="12" t="str">
        <v>Lars Christensen, BTK Viby</v>
      </c>
      <c r="W86" s="41">
        <v>51</v>
      </c>
      <c r="X86" s="43" t="str">
        <v>(Ingen rating)</v>
      </c>
    </row>
    <row r="87" spans="6:24" x14ac:dyDescent="0.3">
      <c r="F87" s="11" cm="1">
        <f t="array" ref="F87:I87">IFERROR(IF(ISBLANK(INDEX(Seedningslag_4_mandspuljer[[Nr.³]:[Rating³]],1,)),"",INDEX(Seedningslag_4_mandspuljer[[Nr.³]:[Rating³]],1,)),"")</f>
        <v>13</v>
      </c>
      <c r="G87" s="12" t="str">
        <v>Jonathan Abildgaard Hansen, Sisu/MBK</v>
      </c>
      <c r="H87" s="41">
        <v>26</v>
      </c>
      <c r="I87" s="43" t="str">
        <v>(Ingen rating)</v>
      </c>
      <c r="K87" s="11" cm="1">
        <f t="array" ref="K87:N87">IFERROR(IF(ISBLANK(INDEX(Seedningslag_4_mandspuljer[[Nr.³]:[Rating³]],2,)),"",INDEX(Seedningslag_4_mandspuljer[[Nr.³]:[Rating³]],2,)),"")</f>
        <v>14</v>
      </c>
      <c r="L87" s="12" t="str">
        <v>Michael Moesgaard, Hørning BTK</v>
      </c>
      <c r="M87" s="41">
        <v>47</v>
      </c>
      <c r="N87" s="43" t="str">
        <v>(Ingen rating)</v>
      </c>
      <c r="P87" s="11" cm="1">
        <f t="array" ref="P87:S87">IFERROR(IF(ISBLANK(INDEX(Seedningslag_4_mandspuljer[[Nr.³]:[Rating³]],3,)),"",INDEX(Seedningslag_4_mandspuljer[[Nr.³]:[Rating³]],3,)),"")</f>
        <v>15</v>
      </c>
      <c r="Q87" s="12" t="str">
        <v>Ibrahim Abdallah, Aarhus Bordtennis</v>
      </c>
      <c r="R87" s="41">
        <v>37</v>
      </c>
      <c r="S87" s="43" t="str">
        <v>(Ingen rating)</v>
      </c>
      <c r="U87" s="11" cm="1">
        <f t="array" ref="U87:X87">IFERROR(IF(ISBLANK(INDEX(Seedningslag_4_mandspuljer[[Nr.³]:[Rating³]],4,)),"",INDEX(Seedningslag_4_mandspuljer[[Nr.³]:[Rating³]],4,)),"")</f>
        <v>16</v>
      </c>
      <c r="V87" s="12" t="str">
        <v>John Sabalic, Rønde BTK</v>
      </c>
      <c r="W87" s="41">
        <v>58</v>
      </c>
      <c r="X87" s="43" t="str">
        <v>(Ingen rating)</v>
      </c>
    </row>
    <row r="88" spans="6:24" x14ac:dyDescent="0.3">
      <c r="F88" s="13" cm="1">
        <f t="array" ref="F88:I88">IFERROR(IF(ISBLANK(INDEX(Seedningslag_4_mandspuljer[[Nr.⁴]:[Rating⁴]],1,)),"",INDEX(Seedningslag_4_mandspuljer[[Nr.⁴]:[Rating⁴]],1,)),"")</f>
        <v>24</v>
      </c>
      <c r="G88" s="14" t="str">
        <v>Daniel Wolf, Sisu/MBK</v>
      </c>
      <c r="H88" s="15">
        <v>27</v>
      </c>
      <c r="I88" s="44" t="str">
        <v>(Ingen rating)</v>
      </c>
      <c r="K88" s="13" cm="1">
        <f t="array" ref="K88:N88">IFERROR(IF(ISBLANK(INDEX(Seedningslag_4_mandspuljer[[Nr.⁴]:[Rating⁴]],2,)),"",INDEX(Seedningslag_4_mandspuljer[[Nr.⁴]:[Rating⁴]],2,)),"")</f>
        <v>23</v>
      </c>
      <c r="L88" s="14" t="str">
        <v>Nick Branch, (Udlandet)</v>
      </c>
      <c r="M88" s="15">
        <v>67</v>
      </c>
      <c r="N88" s="44" t="str">
        <v>(Ingen rating)</v>
      </c>
      <c r="P88" s="13" cm="1">
        <f t="array" ref="P88:S88">IFERROR(IF(ISBLANK(INDEX(Seedningslag_4_mandspuljer[[Nr.⁴]:[Rating⁴]],3,)),"",INDEX(Seedningslag_4_mandspuljer[[Nr.⁴]:[Rating⁴]],3,)),"")</f>
        <v>22</v>
      </c>
      <c r="Q88" s="14" t="str">
        <v>Dima Bibko, SKF</v>
      </c>
      <c r="R88" s="15">
        <v>39</v>
      </c>
      <c r="S88" s="44" t="str">
        <v>(Ingen rating)</v>
      </c>
      <c r="U88" s="13" cm="1">
        <f t="array" ref="U88:X88">IFERROR(IF(ISBLANK(INDEX(Seedningslag_4_mandspuljer[[Nr.⁴]:[Rating⁴]],4,)),"",INDEX(Seedningslag_4_mandspuljer[[Nr.⁴]:[Rating⁴]],4,)),"")</f>
        <v>21</v>
      </c>
      <c r="V88" s="14" t="str">
        <v>Jan Therkelsen, Aarhus Bordtennis</v>
      </c>
      <c r="W88" s="15">
        <v>48</v>
      </c>
      <c r="X88" s="44" t="str">
        <v>(Ingen rating)</v>
      </c>
    </row>
    <row r="91" spans="6:24" x14ac:dyDescent="0.3">
      <c r="F91" s="177" t="s">
        <v>154</v>
      </c>
      <c r="G91" s="178"/>
      <c r="H91" s="178"/>
      <c r="I91" s="179"/>
      <c r="K91" s="177" t="s">
        <v>155</v>
      </c>
      <c r="L91" s="178"/>
      <c r="M91" s="178"/>
      <c r="N91" s="179"/>
      <c r="P91" s="177" t="s">
        <v>156</v>
      </c>
      <c r="Q91" s="178"/>
      <c r="R91" s="178"/>
      <c r="S91" s="179"/>
      <c r="U91" s="177" t="s">
        <v>157</v>
      </c>
      <c r="V91" s="178"/>
      <c r="W91" s="178"/>
      <c r="X91" s="179"/>
    </row>
    <row r="92" spans="6:24" x14ac:dyDescent="0.3">
      <c r="F92" s="87" t="str" cm="1">
        <f t="array" ref="F92:I92">IFERROR(IF(ISBLANK(INDEX(Tilmeldinger_billettype_1_seedning[#Headers],1,)),"",INDEX(Tilmeldinger_billettype_1_seedning[#Headers],1,)),"")</f>
        <v>Nr.</v>
      </c>
      <c r="G92" s="88" t="str">
        <v>Navn og bordtennisklub</v>
      </c>
      <c r="H92" s="89" t="str">
        <v>Alder</v>
      </c>
      <c r="I92" s="90" t="str">
        <v>Rating</v>
      </c>
      <c r="K92" s="87" t="str" cm="1">
        <f t="array" ref="K92:N92">IFERROR(IF(ISBLANK(INDEX(Tilmeldinger_billettype_1_seedning[#Headers],1,)),"",INDEX(Tilmeldinger_billettype_1_seedning[#Headers],1,)),"")</f>
        <v>Nr.</v>
      </c>
      <c r="L92" s="88" t="str">
        <v>Navn og bordtennisklub</v>
      </c>
      <c r="M92" s="89" t="str">
        <v>Alder</v>
      </c>
      <c r="N92" s="90" t="str">
        <v>Rating</v>
      </c>
      <c r="P92" s="87" t="str" cm="1">
        <f t="array" ref="P92:S92">IFERROR(IF(ISBLANK(INDEX(Tilmeldinger_billettype_1_seedning[#Headers],1,)),"",INDEX(Tilmeldinger_billettype_1_seedning[#Headers],1,)),"")</f>
        <v>Nr.</v>
      </c>
      <c r="Q92" s="88" t="str">
        <v>Navn og bordtennisklub</v>
      </c>
      <c r="R92" s="89" t="str">
        <v>Alder</v>
      </c>
      <c r="S92" s="90" t="str">
        <v>Rating</v>
      </c>
      <c r="U92" s="87" t="str" cm="1">
        <f t="array" ref="U92:X92">IFERROR(IF(ISBLANK(INDEX(Tilmeldinger_billettype_1_seedning[#Headers],1,)),"",INDEX(Tilmeldinger_billettype_1_seedning[#Headers],1,)),"")</f>
        <v>Nr.</v>
      </c>
      <c r="V92" s="88" t="str">
        <v>Navn og bordtennisklub</v>
      </c>
      <c r="W92" s="89" t="str">
        <v>Alder</v>
      </c>
      <c r="X92" s="90" t="str">
        <v>Rating</v>
      </c>
    </row>
    <row r="93" spans="6:24" x14ac:dyDescent="0.3">
      <c r="F93" s="8" cm="1">
        <f t="array" ref="F93:I93">IFERROR(IF(ISBLANK(INDEX(Seedningslag_4_mandspuljer[[Nr.¹]:[Rating¹]],5,)),"",INDEX(Seedningslag_4_mandspuljer[[Nr.¹]:[Rating¹]],5,)),"")</f>
        <v>5</v>
      </c>
      <c r="G93" s="9" t="str">
        <v>Esben Rask Bach, BTK Tateni</v>
      </c>
      <c r="H93" s="10">
        <v>23</v>
      </c>
      <c r="I93" s="42" t="str">
        <v>(Ingen rating)</v>
      </c>
      <c r="K93" s="8" cm="1">
        <f t="array" ref="K93:N93">IFERROR(IF(ISBLANK(INDEX(Seedningslag_4_mandspuljer[[Nr.¹]:[Rating¹]],6,)),"",INDEX(Seedningslag_4_mandspuljer[[Nr.¹]:[Rating¹]],6,)),"")</f>
        <v>6</v>
      </c>
      <c r="L93" s="9" t="str">
        <v>Henrik Harbo Sørensen, Hørning BTK</v>
      </c>
      <c r="M93" s="10">
        <v>50</v>
      </c>
      <c r="N93" s="42" t="str">
        <v>(Ingen rating)</v>
      </c>
      <c r="P93" s="8" t="str" cm="1">
        <f t="array" ref="P93">IFERROR(IF(ISBLANK(INDEX(Seedningslag_4_mandspuljer[[Nr.¹]:[Rating¹]],7,)),"",INDEX(Seedningslag_4_mandspuljer[[Nr.¹]:[Rating¹]],7,)),"")</f>
        <v/>
      </c>
      <c r="Q93" s="9"/>
      <c r="R93" s="10"/>
      <c r="S93" s="42"/>
      <c r="U93" s="8" t="str" cm="1">
        <f t="array" ref="U93">IFERROR(IF(ISBLANK(INDEX(Seedningslag_4_mandspuljer[[Nr.¹]:[Rating¹]],8,)),"",INDEX(Seedningslag_4_mandspuljer[[Nr.¹]:[Rating¹]],8,)),"")</f>
        <v/>
      </c>
      <c r="V93" s="9"/>
      <c r="W93" s="10"/>
      <c r="X93" s="42"/>
    </row>
    <row r="94" spans="6:24" x14ac:dyDescent="0.3">
      <c r="F94" s="11" cm="1">
        <f t="array" ref="F94:I94">IFERROR(IF(ISBLANK(INDEX(Seedningslag_4_mandspuljer[[Nr.²]:[Rating²]],5,)),"",INDEX(Seedningslag_4_mandspuljer[[Nr.²]:[Rating²]],5,)),"")</f>
        <v>8</v>
      </c>
      <c r="G94" s="12" t="str">
        <v>Thor O. Schneider, Team Nørreå</v>
      </c>
      <c r="H94" s="41">
        <v>20</v>
      </c>
      <c r="I94" s="43" t="str">
        <v>(Ingen rating)</v>
      </c>
      <c r="K94" s="11" cm="1">
        <f t="array" ref="K94:N94">IFERROR(IF(ISBLANK(INDEX(Seedningslag_4_mandspuljer[[Nr.²]:[Rating²]],6,)),"",INDEX(Seedningslag_4_mandspuljer[[Nr.²]:[Rating²]],6,)),"")</f>
        <v>7</v>
      </c>
      <c r="L94" s="12" t="str">
        <v>Alexander Helmsby Jakobsen, BTK Viby</v>
      </c>
      <c r="M94" s="41">
        <v>18</v>
      </c>
      <c r="N94" s="43" t="str">
        <v>(Ingen rating)</v>
      </c>
      <c r="P94" s="11" t="str" cm="1">
        <f t="array" ref="P94">IFERROR(IF(ISBLANK(INDEX(Seedningslag_4_mandspuljer[[Nr.²]:[Rating²]],7,)),"",INDEX(Seedningslag_4_mandspuljer[[Nr.²]:[Rating²]],7,)),"")</f>
        <v/>
      </c>
      <c r="Q94" s="12"/>
      <c r="R94" s="41"/>
      <c r="S94" s="43"/>
      <c r="U94" s="11" t="str" cm="1">
        <f t="array" ref="U94">IFERROR(IF(ISBLANK(INDEX(Seedningslag_4_mandspuljer[[Nr.²]:[Rating²]],8,)),"",INDEX(Seedningslag_4_mandspuljer[[Nr.²]:[Rating²]],8,)),"")</f>
        <v/>
      </c>
      <c r="V94" s="12"/>
      <c r="W94" s="41"/>
      <c r="X94" s="43"/>
    </row>
    <row r="95" spans="6:24" x14ac:dyDescent="0.3">
      <c r="F95" s="11" cm="1">
        <f t="array" ref="F95:I95">IFERROR(IF(ISBLANK(INDEX(Seedningslag_4_mandspuljer[[Nr.³]:[Rating³]],5,)),"",INDEX(Seedningslag_4_mandspuljer[[Nr.³]:[Rating³]],5,)),"")</f>
        <v>17</v>
      </c>
      <c r="G95" s="12" t="str">
        <v>Claus Hvam Nielsen, Hørning BTK</v>
      </c>
      <c r="H95" s="41">
        <v>55</v>
      </c>
      <c r="I95" s="43" t="str">
        <v>(Ingen rating)</v>
      </c>
      <c r="K95" s="11" cm="1">
        <f t="array" ref="K95:N95">IFERROR(IF(ISBLANK(INDEX(Seedningslag_4_mandspuljer[[Nr.³]:[Rating³]],6,)),"",INDEX(Seedningslag_4_mandspuljer[[Nr.³]:[Rating³]],6,)),"")</f>
        <v>18</v>
      </c>
      <c r="L95" s="12" t="str">
        <v>Christian H. Andersen, Sisu/MBK</v>
      </c>
      <c r="M95" s="41">
        <v>30</v>
      </c>
      <c r="N95" s="43" t="str">
        <v>(Ingen rating)</v>
      </c>
      <c r="P95" s="11" t="str" cm="1">
        <f t="array" ref="P95">IFERROR(IF(ISBLANK(INDEX(Seedningslag_4_mandspuljer[[Nr.³]:[Rating³]],7,)),"",INDEX(Seedningslag_4_mandspuljer[[Nr.³]:[Rating³]],7,)),"")</f>
        <v/>
      </c>
      <c r="Q95" s="12"/>
      <c r="R95" s="41"/>
      <c r="S95" s="43"/>
      <c r="U95" s="11" t="str" cm="1">
        <f t="array" ref="U95">IFERROR(IF(ISBLANK(INDEX(Seedningslag_4_mandspuljer[[Nr.³]:[Rating³]],8,)),"",INDEX(Seedningslag_4_mandspuljer[[Nr.³]:[Rating³]],8,)),"")</f>
        <v/>
      </c>
      <c r="V95" s="12"/>
      <c r="W95" s="41"/>
      <c r="X95" s="43"/>
    </row>
    <row r="96" spans="6:24" x14ac:dyDescent="0.3">
      <c r="F96" s="13" cm="1">
        <f t="array" ref="F96:I96">IFERROR(IF(ISBLANK(INDEX(Seedningslag_4_mandspuljer[[Nr.⁴]:[Rating⁴]],5,)),"",INDEX(Seedningslag_4_mandspuljer[[Nr.⁴]:[Rating⁴]],5,)),"")</f>
        <v>20</v>
      </c>
      <c r="G96" s="14" t="str">
        <v>Matti Henneberg Sørensen, Hørning BTK</v>
      </c>
      <c r="H96" s="15">
        <v>11</v>
      </c>
      <c r="I96" s="44" t="str">
        <v>(Ingen rating)</v>
      </c>
      <c r="K96" s="13" cm="1">
        <f t="array" ref="K96:N96">IFERROR(IF(ISBLANK(INDEX(Seedningslag_4_mandspuljer[[Nr.⁴]:[Rating⁴]],6,)),"",INDEX(Seedningslag_4_mandspuljer[[Nr.⁴]:[Rating⁴]],6,)),"")</f>
        <v>19</v>
      </c>
      <c r="L96" s="14" t="str">
        <v>Sofus Fisker, Team Nørreå</v>
      </c>
      <c r="M96" s="15">
        <v>21</v>
      </c>
      <c r="N96" s="44" t="str">
        <v>(Ingen rating)</v>
      </c>
      <c r="P96" s="13" t="str" cm="1">
        <f t="array" ref="P96">IFERROR(IF(ISBLANK(INDEX(Seedningslag_4_mandspuljer[[Nr.⁴]:[Rating⁴]],7,)),"",INDEX(Seedningslag_4_mandspuljer[[Nr.⁴]:[Rating⁴]],7,)),"")</f>
        <v/>
      </c>
      <c r="Q96" s="14"/>
      <c r="R96" s="15"/>
      <c r="S96" s="44"/>
      <c r="U96" s="13" t="str" cm="1">
        <f t="array" ref="U96">IFERROR(IF(ISBLANK(INDEX(Seedningslag_4_mandspuljer[[Nr.⁴]:[Rating⁴]],8,)),"",INDEX(Seedningslag_4_mandspuljer[[Nr.⁴]:[Rating⁴]],8,)),"")</f>
        <v/>
      </c>
      <c r="V96" s="14"/>
      <c r="W96" s="15"/>
      <c r="X96" s="44"/>
    </row>
    <row r="99" spans="6:24" x14ac:dyDescent="0.3">
      <c r="F99" s="177" t="s">
        <v>161</v>
      </c>
      <c r="G99" s="178"/>
      <c r="H99" s="178"/>
      <c r="I99" s="179"/>
      <c r="K99" s="177" t="s">
        <v>160</v>
      </c>
      <c r="L99" s="178"/>
      <c r="M99" s="178"/>
      <c r="N99" s="179"/>
      <c r="P99" s="177" t="s">
        <v>159</v>
      </c>
      <c r="Q99" s="178"/>
      <c r="R99" s="178"/>
      <c r="S99" s="179"/>
      <c r="U99" s="177" t="s">
        <v>158</v>
      </c>
      <c r="V99" s="178"/>
      <c r="W99" s="178"/>
      <c r="X99" s="179"/>
    </row>
    <row r="100" spans="6:24" x14ac:dyDescent="0.3">
      <c r="F100" s="87" t="str" cm="1">
        <f t="array" ref="F100:I100">IFERROR(IF(ISBLANK(INDEX(Tilmeldinger_billettype_1_seedning[#Headers],1,)),"",INDEX(Tilmeldinger_billettype_1_seedning[#Headers],1,)),"")</f>
        <v>Nr.</v>
      </c>
      <c r="G100" s="88" t="str">
        <v>Navn og bordtennisklub</v>
      </c>
      <c r="H100" s="89" t="str">
        <v>Alder</v>
      </c>
      <c r="I100" s="90" t="str">
        <v>Rating</v>
      </c>
      <c r="K100" s="87" t="str" cm="1">
        <f t="array" ref="K100:N100">IFERROR(IF(ISBLANK(INDEX(Tilmeldinger_billettype_1_seedning[#Headers],1,)),"",INDEX(Tilmeldinger_billettype_1_seedning[#Headers],1,)),"")</f>
        <v>Nr.</v>
      </c>
      <c r="L100" s="88" t="str">
        <v>Navn og bordtennisklub</v>
      </c>
      <c r="M100" s="89" t="str">
        <v>Alder</v>
      </c>
      <c r="N100" s="90" t="str">
        <v>Rating</v>
      </c>
      <c r="P100" s="87" t="str" cm="1">
        <f t="array" ref="P100:S100">IFERROR(IF(ISBLANK(INDEX(Tilmeldinger_billettype_1_seedning[#Headers],1,)),"",INDEX(Tilmeldinger_billettype_1_seedning[#Headers],1,)),"")</f>
        <v>Nr.</v>
      </c>
      <c r="Q100" s="88" t="str">
        <v>Navn og bordtennisklub</v>
      </c>
      <c r="R100" s="89" t="str">
        <v>Alder</v>
      </c>
      <c r="S100" s="90" t="str">
        <v>Rating</v>
      </c>
      <c r="U100" s="87" t="str" cm="1">
        <f t="array" ref="U100:X100">IFERROR(IF(ISBLANK(INDEX(Tilmeldinger_billettype_1_seedning[#Headers],1,)),"",INDEX(Tilmeldinger_billettype_1_seedning[#Headers],1,)),"")</f>
        <v>Nr.</v>
      </c>
      <c r="V100" s="88" t="str">
        <v>Navn og bordtennisklub</v>
      </c>
      <c r="W100" s="89" t="str">
        <v>Alder</v>
      </c>
      <c r="X100" s="90" t="str">
        <v>Rating</v>
      </c>
    </row>
    <row r="101" spans="6:24" x14ac:dyDescent="0.3">
      <c r="F101" s="8" t="str" cm="1">
        <f t="array" ref="F101">IFERROR(IF(ISBLANK(INDEX(Seedningslag_4_mandspuljer[[Nr.¹]:[Rating¹]],9,)),"",INDEX(Seedningslag_4_mandspuljer[[Nr.¹]:[Rating¹]],9,)),"")</f>
        <v/>
      </c>
      <c r="G101" s="9"/>
      <c r="H101" s="10"/>
      <c r="I101" s="42"/>
      <c r="K101" s="8" t="str" cm="1">
        <f t="array" ref="K101">IFERROR(IF(ISBLANK(INDEX(Seedningslag_4_mandspuljer[[Nr.¹]:[Rating¹]],10,)),"",INDEX(Seedningslag_4_mandspuljer[[Nr.¹]:[Rating¹]],10,)),"")</f>
        <v/>
      </c>
      <c r="L101" s="9"/>
      <c r="M101" s="10"/>
      <c r="N101" s="42"/>
      <c r="P101" s="8" t="str" cm="1">
        <f t="array" ref="P101">IFERROR(IF(ISBLANK(INDEX(Seedningslag_4_mandspuljer[[Nr.¹]:[Rating¹]],11,)),"",INDEX(Seedningslag_4_mandspuljer[[Nr.¹]:[Rating¹]],11,)),"")</f>
        <v/>
      </c>
      <c r="Q101" s="9"/>
      <c r="R101" s="10"/>
      <c r="S101" s="42"/>
      <c r="U101" s="8" t="str" cm="1">
        <f t="array" ref="U101">IFERROR(IF(ISBLANK(INDEX(Seedningslag_4_mandspuljer[[Nr.¹]:[Rating¹]],12,)),"",INDEX(Seedningslag_4_mandspuljer[[Nr.¹]:[Rating¹]],12,)),"")</f>
        <v/>
      </c>
      <c r="V101" s="9"/>
      <c r="W101" s="10"/>
      <c r="X101" s="42"/>
    </row>
    <row r="102" spans="6:24" x14ac:dyDescent="0.3">
      <c r="F102" s="11" t="str" cm="1">
        <f t="array" ref="F102">IFERROR(IF(ISBLANK(INDEX(Seedningslag_4_mandspuljer[[Nr.²]:[Rating²]],9,)),"",INDEX(Seedningslag_4_mandspuljer[[Nr.²]:[Rating²]],9,)),"")</f>
        <v/>
      </c>
      <c r="G102" s="12"/>
      <c r="H102" s="41"/>
      <c r="I102" s="43"/>
      <c r="K102" s="11" t="str" cm="1">
        <f t="array" ref="K102">IFERROR(IF(ISBLANK(INDEX(Seedningslag_4_mandspuljer[[Nr.²]:[Rating²]],10,)),"",INDEX(Seedningslag_4_mandspuljer[[Nr.²]:[Rating²]],10,)),"")</f>
        <v/>
      </c>
      <c r="L102" s="12"/>
      <c r="M102" s="41"/>
      <c r="N102" s="43"/>
      <c r="P102" s="11" t="str" cm="1">
        <f t="array" ref="P102">IFERROR(IF(ISBLANK(INDEX(Seedningslag_4_mandspuljer[[Nr.²]:[Rating²]],11,)),"",INDEX(Seedningslag_4_mandspuljer[[Nr.²]:[Rating²]],11,)),"")</f>
        <v/>
      </c>
      <c r="Q102" s="12"/>
      <c r="R102" s="41"/>
      <c r="S102" s="43"/>
      <c r="U102" s="11" t="str" cm="1">
        <f t="array" ref="U102">IFERROR(IF(ISBLANK(INDEX(Seedningslag_4_mandspuljer[[Nr.²]:[Rating²]],12,)),"",INDEX(Seedningslag_4_mandspuljer[[Nr.²]:[Rating²]],12,)),"")</f>
        <v/>
      </c>
      <c r="V102" s="12"/>
      <c r="W102" s="41"/>
      <c r="X102" s="43"/>
    </row>
    <row r="103" spans="6:24" x14ac:dyDescent="0.3">
      <c r="F103" s="11" t="str" cm="1">
        <f t="array" ref="F103">IFERROR(IF(ISBLANK(INDEX(Seedningslag_4_mandspuljer[[Nr.³]:[Rating³]],9,)),"",INDEX(Seedningslag_4_mandspuljer[[Nr.³]:[Rating³]],9,)),"")</f>
        <v/>
      </c>
      <c r="G103" s="12"/>
      <c r="H103" s="41"/>
      <c r="I103" s="43"/>
      <c r="K103" s="11" t="str" cm="1">
        <f t="array" ref="K103">IFERROR(IF(ISBLANK(INDEX(Seedningslag_4_mandspuljer[[Nr.³]:[Rating³]],10,)),"",INDEX(Seedningslag_4_mandspuljer[[Nr.³]:[Rating³]],10,)),"")</f>
        <v/>
      </c>
      <c r="L103" s="12"/>
      <c r="M103" s="41"/>
      <c r="N103" s="43"/>
      <c r="P103" s="11" t="str" cm="1">
        <f t="array" ref="P103">IFERROR(IF(ISBLANK(INDEX(Seedningslag_4_mandspuljer[[Nr.³]:[Rating³]],11,)),"",INDEX(Seedningslag_4_mandspuljer[[Nr.³]:[Rating³]],11,)),"")</f>
        <v/>
      </c>
      <c r="Q103" s="12"/>
      <c r="R103" s="41"/>
      <c r="S103" s="43"/>
      <c r="U103" s="11" t="str" cm="1">
        <f t="array" ref="U103">IFERROR(IF(ISBLANK(INDEX(Seedningslag_4_mandspuljer[[Nr.³]:[Rating³]],12,)),"",INDEX(Seedningslag_4_mandspuljer[[Nr.³]:[Rating³]],12,)),"")</f>
        <v/>
      </c>
      <c r="V103" s="12"/>
      <c r="W103" s="41"/>
      <c r="X103" s="43"/>
    </row>
    <row r="104" spans="6:24" x14ac:dyDescent="0.3">
      <c r="F104" s="13" t="str" cm="1">
        <f t="array" ref="F104">IFERROR(IF(ISBLANK(INDEX(Seedningslag_4_mandspuljer[[Nr.⁴]:[Rating⁴]],9,)),"",INDEX(Seedningslag_4_mandspuljer[[Nr.⁴]:[Rating⁴]],9,)),"")</f>
        <v/>
      </c>
      <c r="G104" s="14"/>
      <c r="H104" s="15"/>
      <c r="I104" s="44"/>
      <c r="K104" s="13" t="str" cm="1">
        <f t="array" ref="K104">IFERROR(IF(ISBLANK(INDEX(Seedningslag_4_mandspuljer[[Nr.⁴]:[Rating⁴]],10,)),"",INDEX(Seedningslag_4_mandspuljer[[Nr.⁴]:[Rating⁴]],10,)),"")</f>
        <v/>
      </c>
      <c r="L104" s="14"/>
      <c r="M104" s="15"/>
      <c r="N104" s="44"/>
      <c r="P104" s="13" t="str" cm="1">
        <f t="array" ref="P104">IFERROR(IF(ISBLANK(INDEX(Seedningslag_4_mandspuljer[[Nr.⁴]:[Rating⁴]],11,)),"",INDEX(Seedningslag_4_mandspuljer[[Nr.⁴]:[Rating⁴]],11,)),"")</f>
        <v/>
      </c>
      <c r="Q104" s="14"/>
      <c r="R104" s="15"/>
      <c r="S104" s="44"/>
      <c r="U104" s="13" t="str" cm="1">
        <f t="array" ref="U104">IFERROR(IF(ISBLANK(INDEX(Seedningslag_4_mandspuljer[[Nr.⁴]:[Rating⁴]],12,)),"",INDEX(Seedningslag_4_mandspuljer[[Nr.⁴]:[Rating⁴]],12,)),"")</f>
        <v/>
      </c>
      <c r="V104" s="14"/>
      <c r="W104" s="15"/>
      <c r="X104" s="44"/>
    </row>
    <row r="107" spans="6:24" x14ac:dyDescent="0.3">
      <c r="F107" s="177" t="s">
        <v>162</v>
      </c>
      <c r="G107" s="178"/>
      <c r="H107" s="178"/>
      <c r="I107" s="179"/>
      <c r="K107" s="177" t="s">
        <v>163</v>
      </c>
      <c r="L107" s="178"/>
      <c r="M107" s="178"/>
      <c r="N107" s="179"/>
      <c r="P107" s="177" t="s">
        <v>164</v>
      </c>
      <c r="Q107" s="178"/>
      <c r="R107" s="178"/>
      <c r="S107" s="179"/>
      <c r="U107" s="177" t="s">
        <v>165</v>
      </c>
      <c r="V107" s="178"/>
      <c r="W107" s="178"/>
      <c r="X107" s="179"/>
    </row>
    <row r="108" spans="6:24" x14ac:dyDescent="0.3">
      <c r="F108" s="87" t="str" cm="1">
        <f t="array" ref="F108:I108">IFERROR(IF(ISBLANK(INDEX(Tilmeldinger_billettype_1_seedning[#Headers],1,)),"",INDEX(Tilmeldinger_billettype_1_seedning[#Headers],1,)),"")</f>
        <v>Nr.</v>
      </c>
      <c r="G108" s="88" t="str">
        <v>Navn og bordtennisklub</v>
      </c>
      <c r="H108" s="89" t="str">
        <v>Alder</v>
      </c>
      <c r="I108" s="90" t="str">
        <v>Rating</v>
      </c>
      <c r="K108" s="87" t="str" cm="1">
        <f t="array" ref="K108:N108">IFERROR(IF(ISBLANK(INDEX(Tilmeldinger_billettype_1_seedning[#Headers],1,)),"",INDEX(Tilmeldinger_billettype_1_seedning[#Headers],1,)),"")</f>
        <v>Nr.</v>
      </c>
      <c r="L108" s="88" t="str">
        <v>Navn og bordtennisklub</v>
      </c>
      <c r="M108" s="89" t="str">
        <v>Alder</v>
      </c>
      <c r="N108" s="90" t="str">
        <v>Rating</v>
      </c>
      <c r="P108" s="87" t="str" cm="1">
        <f t="array" ref="P108:S108">IFERROR(IF(ISBLANK(INDEX(Tilmeldinger_billettype_1_seedning[#Headers],1,)),"",INDEX(Tilmeldinger_billettype_1_seedning[#Headers],1,)),"")</f>
        <v>Nr.</v>
      </c>
      <c r="Q108" s="88" t="str">
        <v>Navn og bordtennisklub</v>
      </c>
      <c r="R108" s="89" t="str">
        <v>Alder</v>
      </c>
      <c r="S108" s="90" t="str">
        <v>Rating</v>
      </c>
      <c r="U108" s="87" t="str" cm="1">
        <f t="array" ref="U108:X108">IFERROR(IF(ISBLANK(INDEX(Tilmeldinger_billettype_1_seedning[#Headers],1,)),"",INDEX(Tilmeldinger_billettype_1_seedning[#Headers],1,)),"")</f>
        <v>Nr.</v>
      </c>
      <c r="V108" s="88" t="str">
        <v>Navn og bordtennisklub</v>
      </c>
      <c r="W108" s="89" t="str">
        <v>Alder</v>
      </c>
      <c r="X108" s="90" t="str">
        <v>Rating</v>
      </c>
    </row>
    <row r="109" spans="6:24" x14ac:dyDescent="0.3">
      <c r="F109" s="8" t="str" cm="1">
        <f t="array" ref="F109">IFERROR(IF(ISBLANK(INDEX(Seedningslag_4_mandspuljer[[Nr.¹]:[Rating¹]],13,)),"",INDEX(Seedningslag_4_mandspuljer[[Nr.¹]:[Rating¹]],13,)),"")</f>
        <v/>
      </c>
      <c r="G109" s="9"/>
      <c r="H109" s="10"/>
      <c r="I109" s="42"/>
      <c r="K109" s="8" t="str" cm="1">
        <f t="array" ref="K109">IFERROR(IF(ISBLANK(INDEX(Seedningslag_4_mandspuljer[[Nr.¹]:[Rating¹]],14,)),"",INDEX(Seedningslag_4_mandspuljer[[Nr.¹]:[Rating¹]],14,)),"")</f>
        <v/>
      </c>
      <c r="L109" s="9"/>
      <c r="M109" s="10"/>
      <c r="N109" s="42"/>
      <c r="P109" s="8" t="str" cm="1">
        <f t="array" ref="P109">IFERROR(IF(ISBLANK(INDEX(Seedningslag_4_mandspuljer[[Nr.¹]:[Rating¹]],15,)),"",INDEX(Seedningslag_4_mandspuljer[[Nr.¹]:[Rating¹]],15,)),"")</f>
        <v/>
      </c>
      <c r="Q109" s="9"/>
      <c r="R109" s="10"/>
      <c r="S109" s="42"/>
      <c r="U109" s="8" t="str" cm="1">
        <f t="array" ref="U109">IFERROR(IF(ISBLANK(INDEX(Seedningslag_4_mandspuljer[[Nr.¹]:[Rating¹]],16,)),"",INDEX(Seedningslag_4_mandspuljer[[Nr.¹]:[Rating¹]],16,)),"")</f>
        <v/>
      </c>
      <c r="V109" s="9"/>
      <c r="W109" s="10"/>
      <c r="X109" s="42"/>
    </row>
    <row r="110" spans="6:24" x14ac:dyDescent="0.3">
      <c r="F110" s="11" t="str" cm="1">
        <f t="array" ref="F110">IFERROR(IF(ISBLANK(INDEX(Seedningslag_4_mandspuljer[[Nr.²]:[Rating²]],13,)),"",INDEX(Seedningslag_4_mandspuljer[[Nr.²]:[Rating²]],13,)),"")</f>
        <v/>
      </c>
      <c r="G110" s="12"/>
      <c r="H110" s="41"/>
      <c r="I110" s="43"/>
      <c r="K110" s="11" t="str" cm="1">
        <f t="array" ref="K110">IFERROR(IF(ISBLANK(INDEX(Seedningslag_4_mandspuljer[[Nr.²]:[Rating²]],14,)),"",INDEX(Seedningslag_4_mandspuljer[[Nr.²]:[Rating²]],14,)),"")</f>
        <v/>
      </c>
      <c r="L110" s="12"/>
      <c r="M110" s="41"/>
      <c r="N110" s="43"/>
      <c r="P110" s="11" t="str" cm="1">
        <f t="array" ref="P110">IFERROR(IF(ISBLANK(INDEX(Seedningslag_4_mandspuljer[[Nr.²]:[Rating²]],15,)),"",INDEX(Seedningslag_4_mandspuljer[[Nr.²]:[Rating²]],15,)),"")</f>
        <v/>
      </c>
      <c r="Q110" s="12"/>
      <c r="R110" s="41"/>
      <c r="S110" s="43"/>
      <c r="U110" s="11" t="str" cm="1">
        <f t="array" ref="U110">IFERROR(IF(ISBLANK(INDEX(Seedningslag_4_mandspuljer[[Nr.²]:[Rating²]],16,)),"",INDEX(Seedningslag_4_mandspuljer[[Nr.²]:[Rating²]],16,)),"")</f>
        <v/>
      </c>
      <c r="V110" s="12"/>
      <c r="W110" s="41"/>
      <c r="X110" s="43"/>
    </row>
    <row r="111" spans="6:24" x14ac:dyDescent="0.3">
      <c r="F111" s="11" t="str" cm="1">
        <f t="array" ref="F111">IFERROR(IF(ISBLANK(INDEX(Seedningslag_4_mandspuljer[[Nr.³]:[Rating³]],13,)),"",INDEX(Seedningslag_4_mandspuljer[[Nr.³]:[Rating³]],13,)),"")</f>
        <v/>
      </c>
      <c r="G111" s="12"/>
      <c r="H111" s="41"/>
      <c r="I111" s="43"/>
      <c r="K111" s="11" t="str" cm="1">
        <f t="array" ref="K111">IFERROR(IF(ISBLANK(INDEX(Seedningslag_4_mandspuljer[[Nr.³]:[Rating³]],14,)),"",INDEX(Seedningslag_4_mandspuljer[[Nr.³]:[Rating³]],14,)),"")</f>
        <v/>
      </c>
      <c r="L111" s="12"/>
      <c r="M111" s="41"/>
      <c r="N111" s="43"/>
      <c r="P111" s="11" t="str" cm="1">
        <f t="array" ref="P111">IFERROR(IF(ISBLANK(INDEX(Seedningslag_4_mandspuljer[[Nr.³]:[Rating³]],15,)),"",INDEX(Seedningslag_4_mandspuljer[[Nr.³]:[Rating³]],15,)),"")</f>
        <v/>
      </c>
      <c r="Q111" s="12"/>
      <c r="R111" s="41"/>
      <c r="S111" s="43"/>
      <c r="U111" s="11" t="str" cm="1">
        <f t="array" ref="U111">IFERROR(IF(ISBLANK(INDEX(Seedningslag_4_mandspuljer[[Nr.³]:[Rating³]],16,)),"",INDEX(Seedningslag_4_mandspuljer[[Nr.³]:[Rating³]],16,)),"")</f>
        <v/>
      </c>
      <c r="V111" s="12"/>
      <c r="W111" s="41"/>
      <c r="X111" s="43"/>
    </row>
    <row r="112" spans="6:24" x14ac:dyDescent="0.3">
      <c r="F112" s="13" t="str" cm="1">
        <f t="array" ref="F112">IFERROR(IF(ISBLANK(INDEX(Seedningslag_4_mandspuljer[[Nr.⁴]:[Rating⁴]],13,)),"",INDEX(Seedningslag_4_mandspuljer[[Nr.⁴]:[Rating⁴]],13,)),"")</f>
        <v/>
      </c>
      <c r="G112" s="14"/>
      <c r="H112" s="15"/>
      <c r="I112" s="44"/>
      <c r="K112" s="13" t="str" cm="1">
        <f t="array" ref="K112">IFERROR(IF(ISBLANK(INDEX(Seedningslag_4_mandspuljer[[Nr.⁴]:[Rating⁴]],14,)),"",INDEX(Seedningslag_4_mandspuljer[[Nr.⁴]:[Rating⁴]],14,)),"")</f>
        <v/>
      </c>
      <c r="L112" s="14"/>
      <c r="M112" s="15"/>
      <c r="N112" s="44"/>
      <c r="P112" s="13" t="str" cm="1">
        <f t="array" ref="P112">IFERROR(IF(ISBLANK(INDEX(Seedningslag_4_mandspuljer[[Nr.⁴]:[Rating⁴]],15,)),"",INDEX(Seedningslag_4_mandspuljer[[Nr.⁴]:[Rating⁴]],15,)),"")</f>
        <v/>
      </c>
      <c r="Q112" s="14"/>
      <c r="R112" s="15"/>
      <c r="S112" s="44"/>
      <c r="U112" s="13" t="str" cm="1">
        <f t="array" ref="U112">IFERROR(IF(ISBLANK(INDEX(Seedningslag_4_mandspuljer[[Nr.⁴]:[Rating⁴]],16,)),"",INDEX(Seedningslag_4_mandspuljer[[Nr.⁴]:[Rating⁴]],16,)),"")</f>
        <v/>
      </c>
      <c r="V112" s="14"/>
      <c r="W112" s="15"/>
      <c r="X112" s="44"/>
    </row>
  </sheetData>
  <sheetProtection selectLockedCells="1" autoFilter="0"/>
  <mergeCells count="52">
    <mergeCell ref="F76:X77"/>
    <mergeCell ref="F58:X58"/>
    <mergeCell ref="F60:X61"/>
    <mergeCell ref="K63:N63"/>
    <mergeCell ref="U63:X63"/>
    <mergeCell ref="F63:I63"/>
    <mergeCell ref="P63:S63"/>
    <mergeCell ref="F59:X59"/>
    <mergeCell ref="F107:I107"/>
    <mergeCell ref="K107:N107"/>
    <mergeCell ref="P107:S107"/>
    <mergeCell ref="U107:X107"/>
    <mergeCell ref="F83:I83"/>
    <mergeCell ref="F91:I91"/>
    <mergeCell ref="K91:N91"/>
    <mergeCell ref="P91:S91"/>
    <mergeCell ref="U91:X91"/>
    <mergeCell ref="U83:X83"/>
    <mergeCell ref="P83:S83"/>
    <mergeCell ref="K83:N83"/>
    <mergeCell ref="F80:X80"/>
    <mergeCell ref="F78:X78"/>
    <mergeCell ref="F99:I99"/>
    <mergeCell ref="K99:N99"/>
    <mergeCell ref="P99:S99"/>
    <mergeCell ref="U99:X99"/>
    <mergeCell ref="F79:X79"/>
    <mergeCell ref="F45:I45"/>
    <mergeCell ref="K45:N45"/>
    <mergeCell ref="P45:S45"/>
    <mergeCell ref="U45:X45"/>
    <mergeCell ref="A20:AC20"/>
    <mergeCell ref="F35:I35"/>
    <mergeCell ref="K35:N35"/>
    <mergeCell ref="P35:S35"/>
    <mergeCell ref="U35:X35"/>
    <mergeCell ref="A21:AC21"/>
    <mergeCell ref="A1:AC1"/>
    <mergeCell ref="A3:AC4"/>
    <mergeCell ref="A18:AC19"/>
    <mergeCell ref="F25:I25"/>
    <mergeCell ref="F6:I6"/>
    <mergeCell ref="K6:N6"/>
    <mergeCell ref="P6:S6"/>
    <mergeCell ref="U6:X6"/>
    <mergeCell ref="K25:N25"/>
    <mergeCell ref="P25:S25"/>
    <mergeCell ref="U25:X25"/>
    <mergeCell ref="A6:D6"/>
    <mergeCell ref="A22:AC22"/>
    <mergeCell ref="A2:AC2"/>
    <mergeCell ref="Z6:AC6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2" orientation="landscape" r:id="rId1"/>
  <headerFooter>
    <oddHeader>&amp;C&amp;D
&amp;F</oddHeader>
    <oddFooter>&amp;CSide &amp;"-,Fed"&amp;P&amp;"-,Normal" af &amp;"-,Fed"&amp;N</oddFooter>
  </headerFooter>
  <picture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6486-959D-4A2F-A478-6C049D0C23FE}">
  <sheetPr>
    <tabColor theme="9" tint="-0.499984740745262"/>
    <pageSetUpPr fitToPage="1"/>
  </sheetPr>
  <dimension ref="A1:C2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AO1"/>
    </sheetView>
  </sheetViews>
  <sheetFormatPr defaultColWidth="8.88671875" defaultRowHeight="14.4" x14ac:dyDescent="0.3"/>
  <cols>
    <col min="1" max="1" width="26.21875" customWidth="1"/>
    <col min="2" max="2" width="8.88671875" customWidth="1"/>
    <col min="3" max="3" width="32" customWidth="1"/>
  </cols>
  <sheetData>
    <row r="1" spans="1:3" ht="31.2" x14ac:dyDescent="0.6">
      <c r="A1" s="117" t="s">
        <v>463</v>
      </c>
      <c r="B1" s="117"/>
      <c r="C1" s="117"/>
    </row>
    <row r="2" spans="1:3" x14ac:dyDescent="0.3">
      <c r="A2" s="147" t="str">
        <f>"🔃 Opdateret "&amp;TEXT(CUBEVALUE("ThisWorkbookDataModel",CUBEMEMBER("ThisWorkbookDataModel","[Measures].[🔃 Sidst opdateret]")),"dd-mm-åååå kl. tt:mm")</f>
        <v>🔃 Opdateret 15-05-2023 kl. 22:36</v>
      </c>
      <c r="B2" s="147"/>
      <c r="C2" s="147"/>
    </row>
  </sheetData>
  <sheetProtection selectLockedCells="1" autoFilter="0"/>
  <mergeCells count="2">
    <mergeCell ref="A1:C1"/>
    <mergeCell ref="A2:C2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6" orientation="landscape" r:id="rId1"/>
  <headerFooter>
    <oddHeader>&amp;C&amp;D
&amp;F</oddHeader>
    <oddFooter>&amp;CSide &amp;"-,Fed"&amp;P&amp;"-,Normal" af &amp;"-,Fed"&amp;N</oddFooter>
  </headerFooter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8BF0-3559-4DE3-8C2B-EA8C0D12A1BC}">
  <sheetPr>
    <tabColor theme="9" tint="-0.499984740745262"/>
    <pageSetUpPr fitToPage="1"/>
  </sheetPr>
  <dimension ref="A1:M60"/>
  <sheetViews>
    <sheetView showGridLines="0" zoomScaleNormal="100" zoomScaleSheetLayoutView="100" workbookViewId="0">
      <pane xSplit="3" ySplit="2" topLeftCell="D3" activePane="bottomRight" state="frozen"/>
      <selection sqref="A1:AO1"/>
      <selection pane="topRight" sqref="A1:AO1"/>
      <selection pane="bottomLeft" sqref="A1:AO1"/>
      <selection pane="bottomRight" sqref="A1:AO1"/>
    </sheetView>
  </sheetViews>
  <sheetFormatPr defaultRowHeight="14.4" x14ac:dyDescent="0.3"/>
  <cols>
    <col min="1" max="1" width="3" bestFit="1" customWidth="1"/>
    <col min="2" max="2" width="27.109375" bestFit="1" customWidth="1"/>
    <col min="3" max="3" width="46.33203125" bestFit="1" customWidth="1"/>
    <col min="4" max="4" width="32.21875" bestFit="1" customWidth="1"/>
    <col min="5" max="5" width="9.77734375" bestFit="1" customWidth="1"/>
    <col min="6" max="6" width="30.44140625" bestFit="1" customWidth="1"/>
    <col min="7" max="7" width="46.77734375" bestFit="1" customWidth="1"/>
    <col min="8" max="8" width="22.21875" bestFit="1" customWidth="1"/>
    <col min="9" max="9" width="20" bestFit="1" customWidth="1"/>
    <col min="10" max="10" width="17.88671875" bestFit="1" customWidth="1"/>
    <col min="11" max="11" width="14.109375" bestFit="1" customWidth="1"/>
    <col min="12" max="12" width="14.88671875" bestFit="1" customWidth="1"/>
    <col min="13" max="13" width="27" bestFit="1" customWidth="1"/>
  </cols>
  <sheetData>
    <row r="1" spans="1:13" ht="31.2" x14ac:dyDescent="0.6">
      <c r="A1" s="117" t="s">
        <v>177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</row>
    <row r="2" spans="1:13" x14ac:dyDescent="0.3">
      <c r="A2" s="147" t="str">
        <f>'🗂️ Filtre nøgletal'!$A$2</f>
        <v>🔃 Opdateret 15-05-2023 kl. 22:36</v>
      </c>
      <c r="B2" s="147"/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147"/>
    </row>
    <row r="4" spans="1:13" x14ac:dyDescent="0.3">
      <c r="A4" s="181"/>
      <c r="B4" s="184"/>
      <c r="C4" s="185"/>
      <c r="D4" s="182"/>
      <c r="E4" s="186"/>
      <c r="F4" s="186"/>
      <c r="G4" s="186"/>
      <c r="H4" s="186"/>
      <c r="I4" s="186"/>
      <c r="J4" s="186"/>
      <c r="K4" s="186"/>
      <c r="L4" s="186"/>
      <c r="M4" s="186"/>
    </row>
    <row r="5" spans="1:13" x14ac:dyDescent="0.3">
      <c r="A5" s="182"/>
      <c r="B5" s="186"/>
      <c r="C5" s="187"/>
      <c r="D5" s="182"/>
      <c r="E5" s="186"/>
      <c r="F5" s="186"/>
      <c r="G5" s="186"/>
      <c r="H5" s="186"/>
      <c r="I5" s="186"/>
      <c r="J5" s="186"/>
      <c r="K5" s="186"/>
      <c r="L5" s="186"/>
      <c r="M5" s="186"/>
    </row>
    <row r="6" spans="1:13" x14ac:dyDescent="0.3">
      <c r="A6" s="182"/>
      <c r="B6" s="201" t="s">
        <v>168</v>
      </c>
      <c r="C6" s="202">
        <v>104</v>
      </c>
      <c r="D6" s="182"/>
      <c r="E6" s="186"/>
      <c r="F6" s="186"/>
      <c r="G6" s="186"/>
      <c r="H6" s="186"/>
      <c r="I6" s="186"/>
      <c r="J6" s="186"/>
      <c r="K6" s="186"/>
      <c r="L6" s="186"/>
      <c r="M6" s="186"/>
    </row>
    <row r="7" spans="1:13" x14ac:dyDescent="0.3">
      <c r="A7" s="182"/>
      <c r="B7" s="201" t="s">
        <v>169</v>
      </c>
      <c r="C7" s="202">
        <v>79</v>
      </c>
      <c r="D7" s="182"/>
      <c r="E7" s="186"/>
      <c r="F7" s="186"/>
      <c r="G7" s="186"/>
      <c r="H7" s="186"/>
      <c r="I7" s="186"/>
      <c r="J7" s="186"/>
      <c r="K7" s="186"/>
      <c r="L7" s="186"/>
      <c r="M7" s="186"/>
    </row>
    <row r="8" spans="1:13" x14ac:dyDescent="0.3">
      <c r="A8" s="182"/>
      <c r="B8" s="201" t="s">
        <v>355</v>
      </c>
      <c r="C8" s="202">
        <v>246</v>
      </c>
      <c r="D8" s="182"/>
      <c r="E8" s="186"/>
      <c r="F8" s="186"/>
      <c r="G8" s="186"/>
      <c r="H8" s="186"/>
      <c r="I8" s="186"/>
      <c r="J8" s="186"/>
      <c r="K8" s="186"/>
      <c r="L8" s="186"/>
      <c r="M8" s="186"/>
    </row>
    <row r="9" spans="1:13" x14ac:dyDescent="0.3">
      <c r="A9" s="182"/>
      <c r="B9" s="201" t="s">
        <v>356</v>
      </c>
      <c r="C9" s="202">
        <v>207</v>
      </c>
      <c r="D9" s="182"/>
      <c r="E9" s="186"/>
      <c r="F9" s="186"/>
      <c r="G9" s="186"/>
      <c r="H9" s="186"/>
      <c r="I9" s="186"/>
      <c r="J9" s="186"/>
      <c r="K9" s="186"/>
      <c r="L9" s="186"/>
      <c r="M9" s="186"/>
    </row>
    <row r="10" spans="1:13" x14ac:dyDescent="0.3">
      <c r="A10" s="182"/>
      <c r="B10" s="196" t="s">
        <v>135</v>
      </c>
      <c r="C10" s="197">
        <v>25</v>
      </c>
      <c r="D10" s="182"/>
      <c r="E10" s="186"/>
      <c r="F10" s="186"/>
      <c r="G10" s="186"/>
      <c r="H10" s="186"/>
      <c r="I10" s="186"/>
      <c r="J10" s="186"/>
      <c r="K10" s="186"/>
      <c r="L10" s="186"/>
      <c r="M10" s="186"/>
    </row>
    <row r="11" spans="1:13" x14ac:dyDescent="0.3">
      <c r="A11" s="182"/>
      <c r="B11" s="196" t="s">
        <v>509</v>
      </c>
      <c r="C11" s="197"/>
      <c r="D11" s="182"/>
      <c r="E11" s="186"/>
      <c r="F11" s="186"/>
      <c r="G11" s="186"/>
      <c r="H11" s="186"/>
      <c r="I11" s="186"/>
      <c r="J11" s="186"/>
      <c r="K11" s="186"/>
      <c r="L11" s="186"/>
      <c r="M11" s="186"/>
    </row>
    <row r="12" spans="1:13" x14ac:dyDescent="0.3">
      <c r="A12" s="182"/>
      <c r="B12" s="196" t="s">
        <v>530</v>
      </c>
      <c r="C12" s="197">
        <v>1</v>
      </c>
      <c r="D12" s="182"/>
      <c r="E12" s="186"/>
      <c r="F12" s="186"/>
      <c r="G12" s="186"/>
      <c r="H12" s="186"/>
      <c r="I12" s="186"/>
      <c r="J12" s="186"/>
      <c r="K12" s="186"/>
      <c r="L12" s="186"/>
      <c r="M12" s="186"/>
    </row>
    <row r="13" spans="1:13" x14ac:dyDescent="0.3">
      <c r="A13" s="182"/>
      <c r="B13" s="196" t="s">
        <v>357</v>
      </c>
      <c r="C13" s="197">
        <v>39</v>
      </c>
      <c r="D13" s="182"/>
      <c r="E13" s="186"/>
      <c r="F13" s="186"/>
      <c r="G13" s="186"/>
      <c r="H13" s="186"/>
      <c r="I13" s="186"/>
      <c r="J13" s="186"/>
      <c r="K13" s="186"/>
      <c r="L13" s="186"/>
      <c r="M13" s="186"/>
    </row>
    <row r="14" spans="1:13" x14ac:dyDescent="0.3">
      <c r="A14" s="182"/>
      <c r="B14" s="196" t="s">
        <v>510</v>
      </c>
      <c r="C14" s="197"/>
      <c r="D14" s="182"/>
      <c r="E14" s="186"/>
      <c r="F14" s="186"/>
      <c r="G14" s="186"/>
      <c r="H14" s="186"/>
      <c r="I14" s="186"/>
      <c r="J14" s="186"/>
      <c r="K14" s="186"/>
      <c r="L14" s="186"/>
      <c r="M14" s="186"/>
    </row>
    <row r="15" spans="1:13" x14ac:dyDescent="0.3">
      <c r="A15" s="182"/>
      <c r="B15" s="196" t="s">
        <v>136</v>
      </c>
      <c r="C15" s="198">
        <v>1.56</v>
      </c>
      <c r="D15" s="182"/>
      <c r="E15" s="186"/>
      <c r="F15" s="186"/>
      <c r="G15" s="186"/>
      <c r="H15" s="186"/>
      <c r="I15" s="186"/>
      <c r="J15" s="186"/>
      <c r="K15" s="186"/>
      <c r="L15" s="186"/>
      <c r="M15" s="186"/>
    </row>
    <row r="16" spans="1:13" x14ac:dyDescent="0.3">
      <c r="A16" s="182"/>
      <c r="B16" s="196" t="s">
        <v>137</v>
      </c>
      <c r="C16" s="197">
        <v>11</v>
      </c>
      <c r="D16" s="182"/>
      <c r="E16" s="186"/>
      <c r="F16" s="186"/>
      <c r="G16" s="186"/>
      <c r="H16" s="186"/>
      <c r="I16" s="186"/>
      <c r="J16" s="186"/>
      <c r="K16" s="186"/>
      <c r="L16" s="186"/>
      <c r="M16" s="186"/>
    </row>
    <row r="17" spans="1:13" x14ac:dyDescent="0.3">
      <c r="A17" s="182"/>
      <c r="B17" s="196" t="s">
        <v>138</v>
      </c>
      <c r="C17" s="200" t="s">
        <v>717</v>
      </c>
      <c r="D17" s="182"/>
      <c r="E17" s="186"/>
      <c r="F17" s="186"/>
      <c r="G17" s="186"/>
      <c r="H17" s="186"/>
      <c r="I17" s="186"/>
      <c r="J17" s="186"/>
      <c r="K17" s="186"/>
      <c r="L17" s="186"/>
      <c r="M17" s="186"/>
    </row>
    <row r="18" spans="1:13" x14ac:dyDescent="0.3">
      <c r="A18" s="182"/>
      <c r="B18" s="196" t="s">
        <v>139</v>
      </c>
      <c r="C18" s="200" t="s">
        <v>755</v>
      </c>
      <c r="D18" s="182"/>
      <c r="E18" s="186"/>
      <c r="F18" s="186"/>
      <c r="G18" s="186"/>
      <c r="H18" s="186"/>
      <c r="I18" s="186"/>
      <c r="J18" s="186"/>
      <c r="K18" s="186"/>
      <c r="L18" s="186"/>
      <c r="M18" s="186"/>
    </row>
    <row r="19" spans="1:13" x14ac:dyDescent="0.3">
      <c r="A19" s="182"/>
      <c r="B19" s="196" t="s">
        <v>140</v>
      </c>
      <c r="C19" s="197">
        <v>63</v>
      </c>
      <c r="D19" s="182"/>
      <c r="E19" s="186"/>
      <c r="F19" s="186"/>
      <c r="G19" s="186"/>
      <c r="H19" s="186"/>
      <c r="I19" s="186"/>
      <c r="J19" s="186"/>
      <c r="K19" s="186"/>
      <c r="L19" s="186"/>
      <c r="M19" s="186"/>
    </row>
    <row r="20" spans="1:13" x14ac:dyDescent="0.3">
      <c r="A20" s="182"/>
      <c r="B20" s="196" t="s">
        <v>141</v>
      </c>
      <c r="C20" s="197">
        <v>37</v>
      </c>
      <c r="D20" s="182"/>
      <c r="E20" s="186"/>
      <c r="F20" s="186"/>
      <c r="G20" s="186"/>
      <c r="H20" s="186"/>
      <c r="I20" s="186"/>
      <c r="J20" s="186"/>
      <c r="K20" s="186"/>
      <c r="L20" s="186"/>
      <c r="M20" s="186"/>
    </row>
    <row r="21" spans="1:13" x14ac:dyDescent="0.3">
      <c r="A21" s="182"/>
      <c r="B21" s="196" t="s">
        <v>228</v>
      </c>
      <c r="C21" s="200" t="s">
        <v>839</v>
      </c>
      <c r="D21" s="182"/>
      <c r="E21" s="186"/>
      <c r="F21" s="186"/>
      <c r="G21" s="186"/>
      <c r="H21" s="186"/>
      <c r="I21" s="186"/>
      <c r="J21" s="186"/>
      <c r="K21" s="186"/>
      <c r="L21" s="186"/>
      <c r="M21" s="186"/>
    </row>
    <row r="22" spans="1:13" x14ac:dyDescent="0.3">
      <c r="A22" s="182"/>
      <c r="B22" s="196" t="s">
        <v>229</v>
      </c>
      <c r="C22" s="200" t="s">
        <v>839</v>
      </c>
      <c r="D22" s="182"/>
      <c r="E22" s="186"/>
      <c r="F22" s="186"/>
      <c r="G22" s="186"/>
      <c r="H22" s="186"/>
      <c r="I22" s="186"/>
      <c r="J22" s="186"/>
      <c r="K22" s="186"/>
      <c r="L22" s="186"/>
      <c r="M22" s="186"/>
    </row>
    <row r="23" spans="1:13" x14ac:dyDescent="0.3">
      <c r="A23" s="182"/>
      <c r="B23" s="196" t="s">
        <v>446</v>
      </c>
      <c r="C23" s="199">
        <v>0</v>
      </c>
      <c r="D23" s="182"/>
      <c r="E23" s="186"/>
      <c r="F23" s="186"/>
      <c r="G23" s="186"/>
      <c r="H23" s="186"/>
      <c r="I23" s="186"/>
      <c r="J23" s="186"/>
      <c r="K23" s="186"/>
      <c r="L23" s="186"/>
      <c r="M23" s="186"/>
    </row>
    <row r="24" spans="1:13" x14ac:dyDescent="0.3">
      <c r="A24" s="182"/>
      <c r="B24" s="196" t="s">
        <v>447</v>
      </c>
      <c r="C24" s="199">
        <v>2525</v>
      </c>
      <c r="D24" s="182"/>
      <c r="E24" s="186"/>
      <c r="F24" s="186"/>
      <c r="G24" s="186"/>
      <c r="H24" s="186"/>
      <c r="I24" s="186"/>
      <c r="J24" s="186"/>
      <c r="K24" s="186"/>
      <c r="L24" s="186"/>
      <c r="M24" s="186"/>
    </row>
    <row r="25" spans="1:13" x14ac:dyDescent="0.3">
      <c r="A25" s="182"/>
      <c r="B25" s="196" t="s">
        <v>557</v>
      </c>
      <c r="C25" s="203">
        <v>6600</v>
      </c>
      <c r="D25" s="182"/>
      <c r="E25" s="186"/>
      <c r="F25" s="186"/>
      <c r="G25" s="186"/>
      <c r="H25" s="186"/>
      <c r="I25" s="186"/>
      <c r="J25" s="186"/>
      <c r="K25" s="186"/>
      <c r="L25" s="186"/>
      <c r="M25" s="186"/>
    </row>
    <row r="26" spans="1:13" x14ac:dyDescent="0.3">
      <c r="A26" s="182"/>
      <c r="B26" s="196" t="s">
        <v>558</v>
      </c>
      <c r="C26" s="203">
        <v>-6600</v>
      </c>
      <c r="D26" s="182"/>
      <c r="E26" s="186"/>
      <c r="F26" s="186"/>
      <c r="G26" s="186"/>
      <c r="H26" s="186"/>
      <c r="I26" s="186"/>
      <c r="J26" s="186"/>
      <c r="K26" s="186"/>
      <c r="L26" s="186"/>
      <c r="M26" s="186"/>
    </row>
    <row r="27" spans="1:13" x14ac:dyDescent="0.3">
      <c r="A27" s="182"/>
      <c r="B27" s="196" t="s">
        <v>559</v>
      </c>
      <c r="C27" s="203">
        <v>0</v>
      </c>
      <c r="D27" s="182"/>
      <c r="E27" s="186"/>
      <c r="F27" s="186"/>
      <c r="G27" s="186"/>
      <c r="H27" s="186"/>
      <c r="I27" s="186"/>
      <c r="J27" s="186"/>
      <c r="K27" s="186"/>
      <c r="L27" s="186"/>
      <c r="M27" s="186"/>
    </row>
    <row r="28" spans="1:13" x14ac:dyDescent="0.3">
      <c r="A28" s="182"/>
      <c r="B28" s="186"/>
      <c r="C28" s="188"/>
      <c r="D28" s="182"/>
      <c r="E28" s="186"/>
      <c r="F28" s="186"/>
      <c r="G28" s="186"/>
      <c r="H28" s="186"/>
      <c r="I28" s="186"/>
      <c r="J28" s="186"/>
      <c r="K28" s="186"/>
      <c r="L28" s="186"/>
      <c r="M28" s="186"/>
    </row>
    <row r="29" spans="1:13" x14ac:dyDescent="0.3">
      <c r="A29" s="183"/>
      <c r="B29" s="189"/>
      <c r="C29" s="190"/>
      <c r="D29" s="182"/>
      <c r="E29" s="186"/>
      <c r="F29" s="186"/>
      <c r="G29" s="186"/>
      <c r="H29" s="186"/>
      <c r="I29" s="186"/>
      <c r="J29" s="186"/>
      <c r="K29" s="186"/>
      <c r="L29" s="186"/>
      <c r="M29" s="186"/>
    </row>
    <row r="32" spans="1:13" ht="14.4" customHeight="1" x14ac:dyDescent="0.3">
      <c r="A32" s="128" t="s">
        <v>220</v>
      </c>
      <c r="B32" s="128"/>
      <c r="C32" s="128"/>
      <c r="D32" s="128"/>
      <c r="E32" s="128"/>
      <c r="F32" s="128"/>
      <c r="G32" s="128"/>
      <c r="H32" s="128"/>
      <c r="I32" s="128"/>
      <c r="J32" s="128"/>
      <c r="K32" s="128"/>
      <c r="L32" s="128"/>
      <c r="M32" s="128"/>
    </row>
    <row r="33" spans="1:13" ht="14.4" customHeight="1" x14ac:dyDescent="0.3">
      <c r="A33" s="128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</row>
    <row r="34" spans="1:13" x14ac:dyDescent="0.3">
      <c r="A34" s="120" t="s">
        <v>225</v>
      </c>
      <c r="B34" s="120"/>
      <c r="C34" s="120"/>
      <c r="D34" s="120"/>
      <c r="E34" s="120"/>
      <c r="F34" s="120"/>
      <c r="G34" s="120"/>
      <c r="H34" s="120"/>
      <c r="I34" s="120"/>
      <c r="J34" s="120"/>
      <c r="K34" s="120"/>
      <c r="L34" s="120"/>
      <c r="M34" s="120"/>
    </row>
    <row r="35" spans="1:13" x14ac:dyDescent="0.3">
      <c r="B35" s="4" t="s">
        <v>344</v>
      </c>
      <c r="C35" s="191" t="s">
        <v>145</v>
      </c>
      <c r="D35" s="191" t="s">
        <v>392</v>
      </c>
      <c r="E35" s="1" t="s">
        <v>391</v>
      </c>
      <c r="F35" s="1" t="s">
        <v>425</v>
      </c>
      <c r="G35" s="191" t="s">
        <v>394</v>
      </c>
      <c r="H35" s="191" t="s">
        <v>393</v>
      </c>
      <c r="I35" s="4" t="s">
        <v>373</v>
      </c>
      <c r="J35" s="4" t="s">
        <v>455</v>
      </c>
      <c r="K35" s="191" t="s">
        <v>557</v>
      </c>
      <c r="L35" s="191" t="s">
        <v>558</v>
      </c>
      <c r="M35" s="191" t="s">
        <v>559</v>
      </c>
    </row>
    <row r="36" spans="1:13" x14ac:dyDescent="0.3">
      <c r="A36" s="17">
        <v>1</v>
      </c>
      <c r="B36" s="16" t="s">
        <v>812</v>
      </c>
      <c r="C36" s="2" t="s">
        <v>813</v>
      </c>
      <c r="D36" s="2" t="s">
        <v>814</v>
      </c>
      <c r="E36" s="84" t="s">
        <v>210</v>
      </c>
      <c r="F36" s="84" t="s">
        <v>815</v>
      </c>
      <c r="G36" s="2" t="s">
        <v>387</v>
      </c>
      <c r="H36" s="2" t="s">
        <v>381</v>
      </c>
      <c r="I36" s="16" t="s">
        <v>521</v>
      </c>
      <c r="J36" s="16" t="s">
        <v>576</v>
      </c>
      <c r="K36" s="113">
        <v>350</v>
      </c>
      <c r="L36" s="113">
        <v>-350</v>
      </c>
      <c r="M36" s="113">
        <v>0</v>
      </c>
    </row>
    <row r="37" spans="1:13" x14ac:dyDescent="0.3">
      <c r="A37" s="17">
        <v>2</v>
      </c>
      <c r="B37" s="16" t="s">
        <v>816</v>
      </c>
      <c r="C37" s="2" t="s">
        <v>817</v>
      </c>
      <c r="D37" s="2" t="s">
        <v>818</v>
      </c>
      <c r="E37" s="84" t="s">
        <v>210</v>
      </c>
      <c r="F37" s="84" t="s">
        <v>424</v>
      </c>
      <c r="G37" s="2" t="s">
        <v>807</v>
      </c>
      <c r="H37" s="2" t="s">
        <v>381</v>
      </c>
      <c r="I37" s="16" t="s">
        <v>521</v>
      </c>
      <c r="J37" s="16" t="s">
        <v>575</v>
      </c>
      <c r="K37" s="113">
        <v>150</v>
      </c>
      <c r="L37" s="113">
        <v>-150</v>
      </c>
      <c r="M37" s="113">
        <v>0</v>
      </c>
    </row>
    <row r="38" spans="1:13" x14ac:dyDescent="0.3">
      <c r="A38" s="17">
        <v>3</v>
      </c>
      <c r="B38" s="16" t="s">
        <v>819</v>
      </c>
      <c r="C38" s="2" t="s">
        <v>805</v>
      </c>
      <c r="D38" s="2" t="s">
        <v>806</v>
      </c>
      <c r="E38" s="84" t="s">
        <v>210</v>
      </c>
      <c r="F38" s="84" t="s">
        <v>424</v>
      </c>
      <c r="G38" s="2" t="s">
        <v>807</v>
      </c>
      <c r="H38" s="2" t="s">
        <v>381</v>
      </c>
      <c r="I38" s="16" t="s">
        <v>521</v>
      </c>
      <c r="J38" s="16" t="s">
        <v>575</v>
      </c>
      <c r="K38" s="113">
        <v>150</v>
      </c>
      <c r="L38" s="113">
        <v>-150</v>
      </c>
      <c r="M38" s="113">
        <v>0</v>
      </c>
    </row>
    <row r="39" spans="1:13" x14ac:dyDescent="0.3">
      <c r="A39" s="17">
        <v>4</v>
      </c>
      <c r="B39" s="16" t="s">
        <v>820</v>
      </c>
      <c r="C39" s="2" t="s">
        <v>776</v>
      </c>
      <c r="D39" s="2" t="s">
        <v>777</v>
      </c>
      <c r="E39" s="84" t="s">
        <v>210</v>
      </c>
      <c r="F39" s="84" t="s">
        <v>424</v>
      </c>
      <c r="G39" s="2" t="s">
        <v>778</v>
      </c>
      <c r="H39" s="2" t="s">
        <v>381</v>
      </c>
      <c r="I39" s="16" t="s">
        <v>521</v>
      </c>
      <c r="J39" s="16" t="s">
        <v>576</v>
      </c>
      <c r="K39" s="113">
        <v>350</v>
      </c>
      <c r="L39" s="113">
        <v>-350</v>
      </c>
      <c r="M39" s="113">
        <v>0</v>
      </c>
    </row>
    <row r="40" spans="1:13" x14ac:dyDescent="0.3">
      <c r="A40" s="17">
        <v>5</v>
      </c>
      <c r="B40" s="16" t="s">
        <v>821</v>
      </c>
      <c r="C40" s="2" t="s">
        <v>779</v>
      </c>
      <c r="D40" s="2" t="s">
        <v>780</v>
      </c>
      <c r="E40" s="84" t="s">
        <v>210</v>
      </c>
      <c r="F40" s="84" t="s">
        <v>424</v>
      </c>
      <c r="G40" s="2" t="s">
        <v>387</v>
      </c>
      <c r="H40" s="2" t="s">
        <v>381</v>
      </c>
      <c r="I40" s="16" t="s">
        <v>521</v>
      </c>
      <c r="J40" s="16" t="s">
        <v>575</v>
      </c>
      <c r="K40" s="113">
        <v>350</v>
      </c>
      <c r="L40" s="113">
        <v>-350</v>
      </c>
      <c r="M40" s="113">
        <v>0</v>
      </c>
    </row>
    <row r="41" spans="1:13" x14ac:dyDescent="0.3">
      <c r="A41" s="17">
        <v>6</v>
      </c>
      <c r="B41" s="16" t="s">
        <v>822</v>
      </c>
      <c r="C41" s="2" t="s">
        <v>781</v>
      </c>
      <c r="D41" s="2" t="s">
        <v>782</v>
      </c>
      <c r="E41" s="84" t="s">
        <v>210</v>
      </c>
      <c r="F41" s="84" t="s">
        <v>424</v>
      </c>
      <c r="G41" s="2" t="s">
        <v>387</v>
      </c>
      <c r="H41" s="2" t="s">
        <v>381</v>
      </c>
      <c r="I41" s="16" t="s">
        <v>521</v>
      </c>
      <c r="J41" s="16" t="s">
        <v>575</v>
      </c>
      <c r="K41" s="113">
        <v>350</v>
      </c>
      <c r="L41" s="113">
        <v>-350</v>
      </c>
      <c r="M41" s="113">
        <v>0</v>
      </c>
    </row>
    <row r="42" spans="1:13" x14ac:dyDescent="0.3">
      <c r="A42" s="17">
        <v>7</v>
      </c>
      <c r="B42" s="16" t="s">
        <v>823</v>
      </c>
      <c r="C42" s="2" t="s">
        <v>783</v>
      </c>
      <c r="D42" s="2" t="s">
        <v>784</v>
      </c>
      <c r="E42" s="84" t="s">
        <v>210</v>
      </c>
      <c r="F42" s="84" t="s">
        <v>424</v>
      </c>
      <c r="G42" s="2" t="s">
        <v>387</v>
      </c>
      <c r="H42" s="2" t="s">
        <v>381</v>
      </c>
      <c r="I42" s="16" t="s">
        <v>521</v>
      </c>
      <c r="J42" s="16" t="s">
        <v>575</v>
      </c>
      <c r="K42" s="113">
        <v>150</v>
      </c>
      <c r="L42" s="113">
        <v>-150</v>
      </c>
      <c r="M42" s="113">
        <v>0</v>
      </c>
    </row>
    <row r="43" spans="1:13" x14ac:dyDescent="0.3">
      <c r="A43" s="17">
        <v>8</v>
      </c>
      <c r="B43" s="16" t="s">
        <v>824</v>
      </c>
      <c r="C43" s="2" t="s">
        <v>785</v>
      </c>
      <c r="D43" s="2" t="s">
        <v>786</v>
      </c>
      <c r="E43" s="84" t="s">
        <v>210</v>
      </c>
      <c r="F43" s="84" t="s">
        <v>424</v>
      </c>
      <c r="G43" s="2" t="s">
        <v>787</v>
      </c>
      <c r="H43" s="2" t="s">
        <v>381</v>
      </c>
      <c r="I43" s="16" t="s">
        <v>521</v>
      </c>
      <c r="J43" s="16" t="s">
        <v>575</v>
      </c>
      <c r="K43" s="113">
        <v>350</v>
      </c>
      <c r="L43" s="113">
        <v>-350</v>
      </c>
      <c r="M43" s="113">
        <v>0</v>
      </c>
    </row>
    <row r="44" spans="1:13" x14ac:dyDescent="0.3">
      <c r="A44" s="17">
        <v>9</v>
      </c>
      <c r="B44" s="16" t="s">
        <v>825</v>
      </c>
      <c r="C44" s="2" t="s">
        <v>788</v>
      </c>
      <c r="D44" s="2" t="s">
        <v>789</v>
      </c>
      <c r="E44" s="84" t="s">
        <v>210</v>
      </c>
      <c r="F44" s="84" t="s">
        <v>424</v>
      </c>
      <c r="G44" s="2" t="s">
        <v>787</v>
      </c>
      <c r="H44" s="2" t="s">
        <v>381</v>
      </c>
      <c r="I44" s="16" t="s">
        <v>521</v>
      </c>
      <c r="J44" s="16" t="s">
        <v>575</v>
      </c>
      <c r="K44" s="113">
        <v>350</v>
      </c>
      <c r="L44" s="113">
        <v>-350</v>
      </c>
      <c r="M44" s="113">
        <v>0</v>
      </c>
    </row>
    <row r="45" spans="1:13" x14ac:dyDescent="0.3">
      <c r="A45" s="17">
        <v>10</v>
      </c>
      <c r="B45" s="16" t="s">
        <v>826</v>
      </c>
      <c r="C45" s="2" t="s">
        <v>748</v>
      </c>
      <c r="D45" s="2" t="s">
        <v>749</v>
      </c>
      <c r="E45" s="84" t="s">
        <v>210</v>
      </c>
      <c r="F45" s="84" t="s">
        <v>424</v>
      </c>
      <c r="G45" s="2" t="s">
        <v>387</v>
      </c>
      <c r="H45" s="2" t="s">
        <v>381</v>
      </c>
      <c r="I45" s="16" t="s">
        <v>521</v>
      </c>
      <c r="J45" s="16" t="s">
        <v>575</v>
      </c>
      <c r="K45" s="113">
        <v>350</v>
      </c>
      <c r="L45" s="113">
        <v>-350</v>
      </c>
      <c r="M45" s="113">
        <v>0</v>
      </c>
    </row>
    <row r="46" spans="1:13" x14ac:dyDescent="0.3">
      <c r="A46" s="17">
        <v>11</v>
      </c>
      <c r="B46" s="16" t="s">
        <v>827</v>
      </c>
      <c r="C46" s="2" t="s">
        <v>759</v>
      </c>
      <c r="D46" s="2" t="s">
        <v>750</v>
      </c>
      <c r="E46" s="84" t="s">
        <v>210</v>
      </c>
      <c r="F46" s="84" t="s">
        <v>424</v>
      </c>
      <c r="G46" s="2" t="s">
        <v>751</v>
      </c>
      <c r="H46" s="2" t="s">
        <v>380</v>
      </c>
      <c r="I46" s="16" t="s">
        <v>521</v>
      </c>
      <c r="J46" s="16" t="s">
        <v>575</v>
      </c>
      <c r="K46" s="113">
        <v>350</v>
      </c>
      <c r="L46" s="113">
        <v>-350</v>
      </c>
      <c r="M46" s="113">
        <v>0</v>
      </c>
    </row>
    <row r="47" spans="1:13" x14ac:dyDescent="0.3">
      <c r="A47" s="17">
        <v>12</v>
      </c>
      <c r="B47" s="16" t="s">
        <v>828</v>
      </c>
      <c r="C47" s="2" t="s">
        <v>754</v>
      </c>
      <c r="D47" s="2" t="s">
        <v>705</v>
      </c>
      <c r="E47" s="84" t="s">
        <v>210</v>
      </c>
      <c r="F47" s="84" t="s">
        <v>424</v>
      </c>
      <c r="G47" s="2" t="s">
        <v>387</v>
      </c>
      <c r="H47" s="2" t="s">
        <v>380</v>
      </c>
      <c r="I47" s="16" t="s">
        <v>521</v>
      </c>
      <c r="J47" s="16" t="s">
        <v>575</v>
      </c>
      <c r="K47" s="113">
        <v>150</v>
      </c>
      <c r="L47" s="113">
        <v>-150</v>
      </c>
      <c r="M47" s="113">
        <v>0</v>
      </c>
    </row>
    <row r="48" spans="1:13" x14ac:dyDescent="0.3">
      <c r="A48" s="17">
        <v>13</v>
      </c>
      <c r="B48" s="16" t="s">
        <v>829</v>
      </c>
      <c r="C48" s="2" t="s">
        <v>706</v>
      </c>
      <c r="D48" s="2" t="s">
        <v>707</v>
      </c>
      <c r="E48" s="84" t="s">
        <v>210</v>
      </c>
      <c r="F48" s="84" t="s">
        <v>424</v>
      </c>
      <c r="G48" s="2" t="s">
        <v>387</v>
      </c>
      <c r="H48" s="2" t="s">
        <v>381</v>
      </c>
      <c r="I48" s="16" t="s">
        <v>521</v>
      </c>
      <c r="J48" s="16" t="s">
        <v>575</v>
      </c>
      <c r="K48" s="113">
        <v>150</v>
      </c>
      <c r="L48" s="113">
        <v>-150</v>
      </c>
      <c r="M48" s="113">
        <v>0</v>
      </c>
    </row>
    <row r="49" spans="1:13" x14ac:dyDescent="0.3">
      <c r="A49" s="17">
        <v>14</v>
      </c>
      <c r="B49" s="16" t="s">
        <v>830</v>
      </c>
      <c r="C49" s="2" t="s">
        <v>708</v>
      </c>
      <c r="D49" s="2" t="s">
        <v>709</v>
      </c>
      <c r="E49" s="84" t="s">
        <v>210</v>
      </c>
      <c r="F49" s="84" t="s">
        <v>424</v>
      </c>
      <c r="G49" s="2" t="s">
        <v>387</v>
      </c>
      <c r="H49" s="2" t="s">
        <v>381</v>
      </c>
      <c r="I49" s="16" t="s">
        <v>521</v>
      </c>
      <c r="J49" s="16" t="s">
        <v>575</v>
      </c>
      <c r="K49" s="113">
        <v>150</v>
      </c>
      <c r="L49" s="113">
        <v>-150</v>
      </c>
      <c r="M49" s="113">
        <v>0</v>
      </c>
    </row>
    <row r="50" spans="1:13" x14ac:dyDescent="0.3">
      <c r="A50" s="17">
        <v>15</v>
      </c>
      <c r="B50" s="16" t="s">
        <v>831</v>
      </c>
      <c r="C50" s="2" t="s">
        <v>710</v>
      </c>
      <c r="D50" s="2" t="s">
        <v>711</v>
      </c>
      <c r="E50" s="84" t="s">
        <v>210</v>
      </c>
      <c r="F50" s="84" t="s">
        <v>424</v>
      </c>
      <c r="G50" s="2" t="s">
        <v>718</v>
      </c>
      <c r="H50" s="2" t="s">
        <v>381</v>
      </c>
      <c r="I50" s="16" t="s">
        <v>521</v>
      </c>
      <c r="J50" s="16" t="s">
        <v>575</v>
      </c>
      <c r="K50" s="113">
        <v>150</v>
      </c>
      <c r="L50" s="113">
        <v>-150</v>
      </c>
      <c r="M50" s="113">
        <v>0</v>
      </c>
    </row>
    <row r="51" spans="1:13" x14ac:dyDescent="0.3">
      <c r="A51" s="17">
        <v>16</v>
      </c>
      <c r="B51" s="16" t="s">
        <v>832</v>
      </c>
      <c r="C51" s="2" t="s">
        <v>712</v>
      </c>
      <c r="D51" s="2" t="s">
        <v>713</v>
      </c>
      <c r="E51" s="84" t="s">
        <v>210</v>
      </c>
      <c r="F51" s="84" t="s">
        <v>424</v>
      </c>
      <c r="G51" s="2" t="s">
        <v>387</v>
      </c>
      <c r="H51" s="2" t="s">
        <v>381</v>
      </c>
      <c r="I51" s="16" t="s">
        <v>521</v>
      </c>
      <c r="J51" s="16" t="s">
        <v>576</v>
      </c>
      <c r="K51" s="113">
        <v>200</v>
      </c>
      <c r="L51" s="113">
        <v>-200</v>
      </c>
      <c r="M51" s="113">
        <v>0</v>
      </c>
    </row>
    <row r="52" spans="1:13" x14ac:dyDescent="0.3">
      <c r="A52" s="17">
        <v>17</v>
      </c>
      <c r="B52" s="16" t="s">
        <v>833</v>
      </c>
      <c r="C52" s="2" t="s">
        <v>714</v>
      </c>
      <c r="D52" s="2" t="s">
        <v>715</v>
      </c>
      <c r="E52" s="84" t="s">
        <v>210</v>
      </c>
      <c r="F52" s="84" t="s">
        <v>834</v>
      </c>
      <c r="G52" s="2" t="s">
        <v>716</v>
      </c>
      <c r="H52" s="2" t="s">
        <v>381</v>
      </c>
      <c r="I52" s="16" t="s">
        <v>521</v>
      </c>
      <c r="J52" s="16" t="s">
        <v>576</v>
      </c>
      <c r="K52" s="113">
        <v>350</v>
      </c>
      <c r="L52" s="113">
        <v>-350</v>
      </c>
      <c r="M52" s="113">
        <v>0</v>
      </c>
    </row>
    <row r="53" spans="1:13" x14ac:dyDescent="0.3">
      <c r="A53" s="17">
        <v>18</v>
      </c>
      <c r="B53" s="16" t="s">
        <v>835</v>
      </c>
      <c r="C53" s="2" t="s">
        <v>691</v>
      </c>
      <c r="D53" s="2" t="s">
        <v>692</v>
      </c>
      <c r="E53" s="84" t="s">
        <v>210</v>
      </c>
      <c r="F53" s="84" t="s">
        <v>424</v>
      </c>
      <c r="G53" s="2" t="s">
        <v>684</v>
      </c>
      <c r="H53" s="2" t="s">
        <v>381</v>
      </c>
      <c r="I53" s="16" t="s">
        <v>521</v>
      </c>
      <c r="J53" s="16" t="s">
        <v>575</v>
      </c>
      <c r="K53" s="113">
        <v>150</v>
      </c>
      <c r="L53" s="113">
        <v>-150</v>
      </c>
      <c r="M53" s="113">
        <v>0</v>
      </c>
    </row>
    <row r="54" spans="1:13" x14ac:dyDescent="0.3">
      <c r="A54" s="17">
        <v>19</v>
      </c>
      <c r="B54" s="16" t="s">
        <v>836</v>
      </c>
      <c r="C54" s="2" t="s">
        <v>680</v>
      </c>
      <c r="D54" s="2" t="s">
        <v>681</v>
      </c>
      <c r="E54" s="84" t="s">
        <v>210</v>
      </c>
      <c r="F54" s="84" t="s">
        <v>424</v>
      </c>
      <c r="G54" s="2" t="s">
        <v>386</v>
      </c>
      <c r="H54" s="2" t="s">
        <v>381</v>
      </c>
      <c r="I54" s="16" t="s">
        <v>521</v>
      </c>
      <c r="J54" s="16" t="s">
        <v>575</v>
      </c>
      <c r="K54" s="113">
        <v>150</v>
      </c>
      <c r="L54" s="113">
        <v>-150</v>
      </c>
      <c r="M54" s="113">
        <v>0</v>
      </c>
    </row>
    <row r="55" spans="1:13" x14ac:dyDescent="0.3">
      <c r="A55" s="17">
        <v>20</v>
      </c>
      <c r="B55" s="16" t="s">
        <v>837</v>
      </c>
      <c r="C55" s="2" t="s">
        <v>682</v>
      </c>
      <c r="D55" s="2" t="s">
        <v>683</v>
      </c>
      <c r="E55" s="84" t="s">
        <v>210</v>
      </c>
      <c r="F55" s="84" t="s">
        <v>424</v>
      </c>
      <c r="G55" s="2" t="s">
        <v>684</v>
      </c>
      <c r="H55" s="2" t="s">
        <v>381</v>
      </c>
      <c r="I55" s="16" t="s">
        <v>521</v>
      </c>
      <c r="J55" s="16" t="s">
        <v>575</v>
      </c>
      <c r="K55" s="113">
        <v>150</v>
      </c>
      <c r="L55" s="113">
        <v>-150</v>
      </c>
      <c r="M55" s="113">
        <v>0</v>
      </c>
    </row>
    <row r="56" spans="1:13" x14ac:dyDescent="0.3">
      <c r="A56" s="17">
        <v>21</v>
      </c>
      <c r="B56" s="16" t="s">
        <v>685</v>
      </c>
      <c r="C56" s="2" t="s">
        <v>686</v>
      </c>
      <c r="D56" s="2" t="s">
        <v>687</v>
      </c>
      <c r="E56" s="84" t="s">
        <v>210</v>
      </c>
      <c r="F56" s="84" t="s">
        <v>424</v>
      </c>
      <c r="G56" s="2" t="s">
        <v>688</v>
      </c>
      <c r="H56" s="2" t="s">
        <v>381</v>
      </c>
      <c r="I56" s="16" t="s">
        <v>521</v>
      </c>
      <c r="J56" s="16" t="s">
        <v>575</v>
      </c>
      <c r="K56" s="113">
        <v>350</v>
      </c>
      <c r="L56" s="113">
        <v>-350</v>
      </c>
      <c r="M56" s="113">
        <v>0</v>
      </c>
    </row>
    <row r="57" spans="1:13" x14ac:dyDescent="0.3">
      <c r="A57" s="17">
        <v>22</v>
      </c>
      <c r="B57" s="16" t="s">
        <v>669</v>
      </c>
      <c r="C57" s="2" t="s">
        <v>522</v>
      </c>
      <c r="D57" s="2" t="s">
        <v>670</v>
      </c>
      <c r="E57" s="84" t="s">
        <v>210</v>
      </c>
      <c r="F57" s="84" t="s">
        <v>424</v>
      </c>
      <c r="G57" s="2" t="s">
        <v>386</v>
      </c>
      <c r="H57" s="2" t="s">
        <v>381</v>
      </c>
      <c r="I57" s="16" t="s">
        <v>521</v>
      </c>
      <c r="J57" s="16" t="s">
        <v>576</v>
      </c>
      <c r="K57" s="113">
        <v>350</v>
      </c>
      <c r="L57" s="113">
        <v>-350</v>
      </c>
      <c r="M57" s="113">
        <v>0</v>
      </c>
    </row>
    <row r="58" spans="1:13" x14ac:dyDescent="0.3">
      <c r="A58" s="17">
        <v>23</v>
      </c>
      <c r="B58" s="16" t="s">
        <v>671</v>
      </c>
      <c r="C58" s="2" t="s">
        <v>523</v>
      </c>
      <c r="D58" s="2" t="s">
        <v>672</v>
      </c>
      <c r="E58" s="84" t="s">
        <v>210</v>
      </c>
      <c r="F58" s="84" t="s">
        <v>424</v>
      </c>
      <c r="G58" s="2" t="s">
        <v>388</v>
      </c>
      <c r="H58" s="2" t="s">
        <v>381</v>
      </c>
      <c r="I58" s="16" t="s">
        <v>521</v>
      </c>
      <c r="J58" s="16" t="s">
        <v>576</v>
      </c>
      <c r="K58" s="113">
        <v>350</v>
      </c>
      <c r="L58" s="113">
        <v>-350</v>
      </c>
      <c r="M58" s="113">
        <v>0</v>
      </c>
    </row>
    <row r="59" spans="1:13" x14ac:dyDescent="0.3">
      <c r="A59" s="17">
        <v>24</v>
      </c>
      <c r="B59" s="16" t="s">
        <v>671</v>
      </c>
      <c r="C59" s="2" t="s">
        <v>524</v>
      </c>
      <c r="D59" s="2" t="s">
        <v>673</v>
      </c>
      <c r="E59" s="84" t="s">
        <v>210</v>
      </c>
      <c r="F59" s="84" t="s">
        <v>424</v>
      </c>
      <c r="G59" s="2" t="s">
        <v>386</v>
      </c>
      <c r="H59" s="2" t="s">
        <v>381</v>
      </c>
      <c r="I59" s="16" t="s">
        <v>521</v>
      </c>
      <c r="J59" s="16" t="s">
        <v>576</v>
      </c>
      <c r="K59" s="113">
        <v>350</v>
      </c>
      <c r="L59" s="113">
        <v>-350</v>
      </c>
      <c r="M59" s="113">
        <v>0</v>
      </c>
    </row>
    <row r="60" spans="1:13" x14ac:dyDescent="0.3">
      <c r="A60" s="17">
        <v>25</v>
      </c>
      <c r="B60" s="16" t="s">
        <v>674</v>
      </c>
      <c r="C60" s="2" t="s">
        <v>525</v>
      </c>
      <c r="D60" s="2" t="s">
        <v>675</v>
      </c>
      <c r="E60" s="84" t="s">
        <v>210</v>
      </c>
      <c r="F60" s="84" t="s">
        <v>838</v>
      </c>
      <c r="G60" s="2" t="s">
        <v>387</v>
      </c>
      <c r="H60" s="2" t="s">
        <v>381</v>
      </c>
      <c r="I60" s="16" t="s">
        <v>521</v>
      </c>
      <c r="J60" s="16" t="s">
        <v>576</v>
      </c>
      <c r="K60" s="113">
        <v>350</v>
      </c>
      <c r="L60" s="113">
        <v>-350</v>
      </c>
      <c r="M60" s="113">
        <v>0</v>
      </c>
    </row>
  </sheetData>
  <sheetProtection selectLockedCells="1" autoFilter="0"/>
  <mergeCells count="8">
    <mergeCell ref="A1:M1"/>
    <mergeCell ref="A2:M2"/>
    <mergeCell ref="A34:M34"/>
    <mergeCell ref="A32:M33"/>
    <mergeCell ref="A4:A29"/>
    <mergeCell ref="B4:C5"/>
    <mergeCell ref="D4:M29"/>
    <mergeCell ref="B28:C29"/>
  </mergeCells>
  <printOptions horizontalCentered="1"/>
  <pageMargins left="0.70866141732283472" right="0.70866141732283472" top="1.1811023622047245" bottom="0.74803149606299213" header="0.31496062992125984" footer="0.31496062992125984"/>
  <pageSetup paperSize="8" scale="62" orientation="landscape" r:id="rId3"/>
  <headerFooter>
    <oddHeader>&amp;C&amp;D
&amp;F</oddHeader>
    <oddFooter>&amp;CSide &amp;"-,Fed"&amp;P&amp;"-,Normal" af &amp;"-,Fed"&amp;N</oddFooter>
  </headerFooter>
  <drawing r:id="rId4"/>
  <picture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_rels/item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7.xml"/></Relationships>
</file>

<file path=customXml/_rels/item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8.xml"/></Relationships>
</file>

<file path=customXml/_rels/item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9.xml"/></Relationships>
</file>

<file path=customXml/_rels/item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0.xml"/></Relationships>
</file>

<file path=customXml/_rels/item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1.xml"/></Relationships>
</file>

<file path=customXml/_rels/item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2.xml"/></Relationships>
</file>

<file path=customXml/_rels/item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3.xml"/></Relationships>
</file>

<file path=customXml/_rels/item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4.xml"/></Relationships>
</file>

<file path=customXml/_rels/item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5.xml"/></Relationships>
</file>

<file path=customXml/_rels/item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6.xml"/></Relationships>
</file>

<file path=customXml/_rels/item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7.xml"/></Relationships>
</file>

<file path=customXml/_rels/item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8.xml"/></Relationships>
</file>

<file path=customXml/_rels/item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9.xml"/></Relationships>
</file>

<file path=customXml/_rels/item1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0.xml"/></Relationships>
</file>

<file path=customXml/_rels/item1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1.xml"/></Relationships>
</file>

<file path=customXml/_rels/item1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2.xml"/></Relationships>
</file>

<file path=customXml/_rels/item1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3.xml"/></Relationships>
</file>

<file path=customXml/_rels/item1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4.xml"/></Relationships>
</file>

<file path=customXml/_rels/item1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5.xml"/></Relationships>
</file>

<file path=customXml/_rels/item1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6.xml"/></Relationships>
</file>

<file path=customXml/_rels/item1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7.xml"/></Relationships>
</file>

<file path=customXml/_rels/item1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8.xml"/></Relationships>
</file>

<file path=customXml/_rels/item1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9.xml"/></Relationships>
</file>

<file path=customXml/_rels/item1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0.xml"/></Relationships>
</file>

<file path=customXml/_rels/item1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1.xml"/></Relationships>
</file>

<file path=customXml/_rels/item1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2.xml"/></Relationships>
</file>

<file path=customXml/_rels/item1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3.xml"/></Relationships>
</file>

<file path=customXml/_rels/item1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4.xml"/></Relationships>
</file>

<file path=customXml/_rels/item1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5.xml"/></Relationships>
</file>

<file path=customXml/_rels/item1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6.xml"/></Relationships>
</file>

<file path=customXml/_rels/item1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7.xml"/></Relationships>
</file>

<file path=customXml/_rels/item1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8.xml"/></Relationships>
</file>

<file path=customXml/_rels/item1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9.xml"/></Relationships>
</file>

<file path=customXml/_rels/item1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0.xml"/></Relationships>
</file>

<file path=customXml/_rels/item1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1.xml"/></Relationships>
</file>

<file path=customXml/_rels/item1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2.xml"/></Relationships>
</file>

<file path=customXml/_rels/item1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3.xml"/></Relationships>
</file>

<file path=customXml/_rels/item1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4.xml"/></Relationships>
</file>

<file path=customXml/_rels/item1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5.xml"/></Relationships>
</file>

<file path=customXml/_rels/item1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6.xml"/></Relationships>
</file>

<file path=customXml/_rels/item1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7.xml"/></Relationships>
</file>

<file path=customXml/_rels/item1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8.xml"/></Relationships>
</file>

<file path=customXml/_rels/item1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9.xml"/></Relationships>
</file>

<file path=customXml/_rels/item1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0.xml"/></Relationships>
</file>

<file path=customXml/_rels/item1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1.xml"/></Relationships>
</file>

<file path=customXml/_rels/item1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2.xml"/></Relationships>
</file>

<file path=customXml/_rels/item1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3.xml"/></Relationships>
</file>

<file path=customXml/_rels/item1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4.xml"/></Relationships>
</file>

<file path=customXml/_rels/item1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5.xml"/></Relationships>
</file>

<file path=customXml/_rels/item1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6.xml"/></Relationships>
</file>

<file path=customXml/_rels/item1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7.xml"/></Relationships>
</file>

<file path=customXml/_rels/item1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8.xml"/></Relationships>
</file>

<file path=customXml/_rels/item1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9.xml"/></Relationships>
</file>

<file path=customXml/_rels/item1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0.xml"/></Relationships>
</file>

<file path=customXml/_rels/item1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1.xml"/></Relationships>
</file>

<file path=customXml/_rels/item1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2.xml"/></Relationships>
</file>

<file path=customXml/_rels/item1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3.xml"/></Relationships>
</file>

<file path=customXml/_rels/item1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4.xml"/></Relationships>
</file>

<file path=customXml/_rels/item1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5.xml"/></Relationships>
</file>

<file path=customXml/_rels/item1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6.xml"/></Relationships>
</file>

<file path=customXml/_rels/item1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7.xml"/></Relationships>
</file>

<file path=customXml/_rels/item1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8.xml"/></Relationships>
</file>

<file path=customXml/_rels/item1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9.xml"/></Relationships>
</file>

<file path=customXml/_rels/item1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0.xml"/></Relationships>
</file>

<file path=customXml/_rels/item1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1.xml"/></Relationships>
</file>

<file path=customXml/_rels/item1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2.xml"/></Relationships>
</file>

<file path=customXml/_rels/item1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3.xml"/></Relationships>
</file>

<file path=customXml/_rels/item1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4.xml"/></Relationships>
</file>

<file path=customXml/_rels/item1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5.xml"/></Relationships>
</file>

<file path=customXml/_rels/item1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6.xml"/></Relationships>
</file>

<file path=customXml/_rels/item1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7.xml"/></Relationships>
</file>

<file path=customXml/_rels/item1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8.xml"/></Relationships>
</file>

<file path=customXml/_rels/item1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9.xml"/></Relationships>
</file>

<file path=customXml/_rels/item1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0.xml"/></Relationships>
</file>

<file path=customXml/_rels/item1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1.xml"/></Relationships>
</file>

<file path=customXml/_rels/item1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2.xml"/></Relationships>
</file>

<file path=customXml/_rels/item1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3.xml"/></Relationships>
</file>

<file path=customXml/_rels/item1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4.xml"/></Relationships>
</file>

<file path=customXml/_rels/item1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5.xml"/></Relationships>
</file>

<file path=customXml/_rels/item1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6.xml"/></Relationships>
</file>

<file path=customXml/_rels/item1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7.xml"/></Relationships>
</file>

<file path=customXml/_rels/item1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8.xml"/></Relationships>
</file>

<file path=customXml/_rels/item1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9.xml"/></Relationships>
</file>

<file path=customXml/_rels/item1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0.xml"/></Relationships>
</file>

<file path=customXml/_rels/item1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1.xml"/></Relationships>
</file>

<file path=customXml/_rels/item1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2.xml"/></Relationships>
</file>

<file path=customXml/_rels/item1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3.xml"/></Relationships>
</file>

<file path=customXml/_rels/item1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4.xml"/></Relationships>
</file>

<file path=customXml/_rels/item1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5.xml"/></Relationships>
</file>

<file path=customXml/_rels/item1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6.xml"/></Relationships>
</file>

<file path=customXml/_rels/item1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7.xml"/></Relationships>
</file>

<file path=customXml/_rels/item1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8.xml"/></Relationships>
</file>

<file path=customXml/_rels/item1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9.xml"/></Relationships>
</file>

<file path=customXml/_rels/item1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0.xml"/></Relationships>
</file>

<file path=customXml/_rels/item1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1.xml"/></Relationships>
</file>

<file path=customXml/_rels/item1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2.xml"/></Relationships>
</file>

<file path=customXml/_rels/item1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3.xml"/></Relationships>
</file>

<file path=customXml/_rels/item1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4.xml"/></Relationships>
</file>

<file path=customXml/_rels/item1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5.xml"/></Relationships>
</file>

<file path=customXml/_rels/item1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6.xml"/></Relationships>
</file>

<file path=customXml/_rels/item1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7.xml"/></Relationships>
</file>

<file path=customXml/_rels/item1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8.xml"/></Relationships>
</file>

<file path=customXml/_rels/item1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9.xml"/></Relationships>
</file>

<file path=customXml/_rels/item1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0.xml"/></Relationships>
</file>

<file path=customXml/_rels/item1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1.xml"/></Relationships>
</file>

<file path=customXml/_rels/item1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2.xml"/></Relationships>
</file>

<file path=customXml/_rels/item1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3.xml"/></Relationships>
</file>

<file path=customXml/_rels/item1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4.xml"/></Relationships>
</file>

<file path=customXml/_rels/item1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5.xml"/></Relationships>
</file>

<file path=customXml/_rels/item1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6.xml"/></Relationships>
</file>

<file path=customXml/_rels/item1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7.xml"/></Relationships>
</file>

<file path=customXml/_rels/item1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8.xml"/></Relationships>
</file>

<file path=customXml/_rels/item1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9.xml"/></Relationships>
</file>

<file path=customXml/_rels/item2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0.xml"/></Relationships>
</file>

<file path=customXml/_rels/item2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1.xml"/></Relationships>
</file>

<file path=customXml/_rels/item2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2.xml"/></Relationships>
</file>

<file path=customXml/_rels/item2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3.xml"/></Relationships>
</file>

<file path=customXml/_rels/item2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4.xml"/></Relationships>
</file>

<file path=customXml/_rels/item2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5.xml"/></Relationships>
</file>

<file path=customXml/_rels/item2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6.xml"/></Relationships>
</file>

<file path=customXml/_rels/item2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7.xml"/></Relationships>
</file>

<file path=customXml/_rels/item2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8.xml"/></Relationships>
</file>

<file path=customXml/_rels/item2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9.xml"/></Relationships>
</file>

<file path=customXml/_rels/item2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0.xml"/></Relationships>
</file>

<file path=customXml/_rels/item2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1.xml"/></Relationships>
</file>

<file path=customXml/_rels/item2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2.xml"/></Relationships>
</file>

<file path=customXml/_rels/item2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3.xml"/></Relationships>
</file>

<file path=customXml/_rels/item2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4.xml"/></Relationships>
</file>

<file path=customXml/_rels/item2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5.xml"/></Relationships>
</file>

<file path=customXml/_rels/item2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6.xml"/></Relationships>
</file>

<file path=customXml/_rels/item2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7.xml"/></Relationships>
</file>

<file path=customXml/_rels/item2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8.xml"/></Relationships>
</file>

<file path=customXml/_rels/item2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9.xml"/></Relationships>
</file>

<file path=customXml/_rels/item2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0.xml"/></Relationships>
</file>

<file path=customXml/_rels/item2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1.xml"/></Relationships>
</file>

<file path=customXml/_rels/item2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2.xml"/></Relationships>
</file>

<file path=customXml/_rels/item2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3.xml"/></Relationships>
</file>

<file path=customXml/_rels/item2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4.xml"/></Relationships>
</file>

<file path=customXml/_rels/item2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5.xml"/></Relationships>
</file>

<file path=customXml/_rels/item2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6.xml"/></Relationships>
</file>

<file path=customXml/_rels/item2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7.xml"/></Relationships>
</file>

<file path=customXml/_rels/item2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8.xml"/></Relationships>
</file>

<file path=customXml/_rels/item2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9.xml"/></Relationships>
</file>

<file path=customXml/_rels/item2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0.xml"/></Relationships>
</file>

<file path=customXml/_rels/item2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1.xml"/></Relationships>
</file>

<file path=customXml/_rels/item2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2.xml"/></Relationships>
</file>

<file path=customXml/_rels/item2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3.xml"/></Relationships>
</file>

<file path=customXml/_rels/item2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4.xml"/></Relationships>
</file>

<file path=customXml/_rels/item2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5.xml"/></Relationships>
</file>

<file path=customXml/_rels/item2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6.xml"/></Relationships>
</file>

<file path=customXml/_rels/item2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7.xml"/></Relationships>
</file>

<file path=customXml/_rels/item2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8.xml"/></Relationships>
</file>

<file path=customXml/_rels/item2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9.xml"/></Relationships>
</file>

<file path=customXml/_rels/item2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0.xml"/></Relationships>
</file>

<file path=customXml/_rels/item2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1.xml"/></Relationships>
</file>

<file path=customXml/_rels/item2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2.xml"/></Relationships>
</file>

<file path=customXml/_rels/item2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3.xml"/></Relationships>
</file>

<file path=customXml/_rels/item2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4.xml"/></Relationships>
</file>

<file path=customXml/_rels/item2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5.xml"/></Relationships>
</file>

<file path=customXml/_rels/item2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6.xml"/></Relationships>
</file>

<file path=customXml/_rels/item2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7.xml"/></Relationships>
</file>

<file path=customXml/_rels/item2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8.xml"/></Relationships>
</file>

<file path=customXml/_rels/item2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9.xml"/></Relationships>
</file>

<file path=customXml/_rels/item2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0.xml"/></Relationships>
</file>

<file path=customXml/_rels/item2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1.xml"/></Relationships>
</file>

<file path=customXml/_rels/item2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2.xml"/></Relationships>
</file>

<file path=customXml/_rels/item2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3.xml"/></Relationships>
</file>

<file path=customXml/_rels/item2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4.xml"/></Relationships>
</file>

<file path=customXml/_rels/item2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5.xml"/></Relationships>
</file>

<file path=customXml/_rels/item2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6.xml"/></Relationships>
</file>

<file path=customXml/_rels/item2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7.xml"/></Relationships>
</file>

<file path=customXml/_rels/item2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8.xml"/></Relationships>
</file>

<file path=customXml/_rels/item2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9.xml"/></Relationships>
</file>

<file path=customXml/_rels/item2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0.xml"/></Relationships>
</file>

<file path=customXml/_rels/item2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1.xml"/></Relationships>
</file>

<file path=customXml/_rels/item2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2.xml"/></Relationships>
</file>

<file path=customXml/_rels/item2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3.xml"/></Relationships>
</file>

<file path=customXml/_rels/item2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4.xml"/></Relationships>
</file>

<file path=customXml/_rels/item2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5.xml"/></Relationships>
</file>

<file path=customXml/_rels/item2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6.xml"/></Relationships>
</file>

<file path=customXml/_rels/item2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7.xml"/></Relationships>
</file>

<file path=customXml/_rels/item2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8.xml"/></Relationships>
</file>

<file path=customXml/_rels/item2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9.xml"/></Relationships>
</file>

<file path=customXml/_rels/item2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0.xml"/></Relationships>
</file>

<file path=customXml/_rels/item2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1.xml"/></Relationships>
</file>

<file path=customXml/_rels/item2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2.xml"/></Relationships>
</file>

<file path=customXml/_rels/item2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3.xml"/></Relationships>
</file>

<file path=customXml/_rels/item2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4.xml"/></Relationships>
</file>

<file path=customXml/_rels/item2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5.xml"/></Relationships>
</file>

<file path=customXml/_rels/item2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6.xml"/></Relationships>
</file>

<file path=customXml/_rels/item2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7.xml"/></Relationships>
</file>

<file path=customXml/_rels/item2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8.xml"/></Relationships>
</file>

<file path=customXml/_rels/item2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9.xml"/></Relationships>
</file>

<file path=customXml/_rels/item2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0.xml"/></Relationships>
</file>

<file path=customXml/_rels/item2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1.xml"/></Relationships>
</file>

<file path=customXml/_rels/item2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2.xml"/></Relationships>
</file>

<file path=customXml/_rels/item2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3.xml"/></Relationships>
</file>

<file path=customXml/_rels/item2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4.xml"/></Relationships>
</file>

<file path=customXml/_rels/item2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5.xml"/></Relationships>
</file>

<file path=customXml/_rels/item2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6.xml"/></Relationships>
</file>

<file path=customXml/_rels/item2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7.xml"/></Relationships>
</file>

<file path=customXml/_rels/item2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8.xml"/></Relationships>
</file>

<file path=customXml/_rels/item2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9.xml"/></Relationships>
</file>

<file path=customXml/_rels/item2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0.xml"/></Relationships>
</file>

<file path=customXml/_rels/item2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1.xml"/></Relationships>
</file>

<file path=customXml/_rels/item2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2.xml"/></Relationships>
</file>

<file path=customXml/_rels/item2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3.xml"/></Relationships>
</file>

<file path=customXml/_rels/item2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4.xml"/></Relationships>
</file>

<file path=customXml/_rels/item2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5.xml"/></Relationships>
</file>

<file path=customXml/_rels/item2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6.xml"/></Relationships>
</file>

<file path=customXml/_rels/item2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7.xml"/></Relationships>
</file>

<file path=customXml/_rels/item2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8.xml"/></Relationships>
</file>

<file path=customXml/_rels/item2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9.xml"/></Relationships>
</file>

<file path=customXml/_rels/item3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0.xml"/></Relationships>
</file>

<file path=customXml/_rels/item3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1.xml"/></Relationships>
</file>

<file path=customXml/_rels/item3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2.xml"/></Relationships>
</file>

<file path=customXml/_rels/item3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3.xml"/></Relationships>
</file>

<file path=customXml/_rels/item3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4.xml"/></Relationships>
</file>

<file path=customXml/_rels/item3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5.xml"/></Relationships>
</file>

<file path=customXml/_rels/item3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6.xml"/></Relationships>
</file>

<file path=customXml/_rels/item3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7.xml"/></Relationships>
</file>

<file path=customXml/_rels/item3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8.xml"/></Relationships>
</file>

<file path=customXml/_rels/item3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9.xml"/></Relationships>
</file>

<file path=customXml/_rels/item3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0.xml"/></Relationships>
</file>

<file path=customXml/_rels/item3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1.xml"/></Relationships>
</file>

<file path=customXml/_rels/item3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2.xml"/></Relationships>
</file>

<file path=customXml/_rels/item3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3.xml"/></Relationships>
</file>

<file path=customXml/_rels/item3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4.xml"/></Relationships>
</file>

<file path=customXml/_rels/item3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5.xml"/></Relationships>
</file>

<file path=customXml/_rels/item3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6.xml"/></Relationships>
</file>

<file path=customXml/_rels/item3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7.xml"/></Relationships>
</file>

<file path=customXml/_rels/item3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8.xml"/></Relationships>
</file>

<file path=customXml/_rels/item3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9.xml"/></Relationships>
</file>

<file path=customXml/_rels/item3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0.xml"/></Relationships>
</file>

<file path=customXml/_rels/item3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1.xml"/></Relationships>
</file>

<file path=customXml/_rels/item3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2.xml"/></Relationships>
</file>

<file path=customXml/_rels/item3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3.xml"/></Relationships>
</file>

<file path=customXml/_rels/item3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4.xml"/></Relationships>
</file>

<file path=customXml/_rels/item3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5.xml"/></Relationships>
</file>

<file path=customXml/_rels/item3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6.xml"/></Relationships>
</file>

<file path=customXml/_rels/item3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7.xml"/></Relationships>
</file>

<file path=customXml/_rels/item3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8.xml"/></Relationships>
</file>

<file path=customXml/_rels/item3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9.xml"/></Relationships>
</file>

<file path=customXml/_rels/item3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0.xml"/></Relationships>
</file>

<file path=customXml/_rels/item3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1.xml"/></Relationships>
</file>

<file path=customXml/_rels/item3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2.xml"/></Relationships>
</file>

<file path=customXml/_rels/item3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3.xml"/></Relationships>
</file>

<file path=customXml/_rels/item3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4.xml"/></Relationships>
</file>

<file path=customXml/_rels/item3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5.xml"/></Relationships>
</file>

<file path=customXml/_rels/item3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6.xml"/></Relationships>
</file>

<file path=customXml/_rels/item3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7.xml"/></Relationships>
</file>

<file path=customXml/_rels/item3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8.xml"/></Relationships>
</file>

<file path=customXml/_rels/item3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9.xml"/></Relationships>
</file>

<file path=customXml/_rels/item3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0.xml"/></Relationships>
</file>

<file path=customXml/_rels/item3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1.xml"/></Relationships>
</file>

<file path=customXml/_rels/item3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2.xml"/></Relationships>
</file>

<file path=customXml/_rels/item3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3.xml"/></Relationships>
</file>

<file path=customXml/_rels/item3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4.xml"/></Relationships>
</file>

<file path=customXml/item1.xml>��
</file>

<file path=customXml/item2.xml>��
</file>

<file path=customXml/item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<ث�<ث�<ث�<ث�
</file>

<file path=customXml/item4.xml>��
</file>

<file path=customXml/item5.xml>��
</file>

<file path=customXml/item6.xml>��
</file>

<file path=customXml/item7.xml>��
</file>

<file path=customXml/item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50.xml>��
</file>

<file path=customXml/item51.xml>��
</file>

<file path=customXml/item52.xml>��
</file>

<file path=customXml/item5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54.xml>��
</file>

<file path=customXml/item55.xml>��
</file>

<file path=customXml/item56.xml>��
</file>

<file path=customXml/item57.xml>��
</file>

<file path=customXml/item58.xml>��
</file>

<file path=customXml/item59.xml>��
</file>

<file path=customXml/item60.xml>��
</file>

<file path=customXml/item61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62.xml>��
</file>

<file path=customXml/item6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64.xml>��
</file>

<file path=customXml/item65.xml>��
</file>

<file path=customXml/item66.xml>��
</file>

<file path=customXml/item6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68.xml>��
</file>

<file path=customXml/item69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70.xml>��
</file>

<file path=customXml/item71.xml>��
</file>

<file path=customXml/item7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
</file>

<file path=customXml/item73.xml>��
</file>

<file path=customXml/item74.xml>��
</file>

<file path=customXml/item75.xml>��
</file>

<file path=customXml/item76.xml>��
</file>

<file path=customXml/item77.xml>��
</file>

<file path=customXml/item78.xml>��
</file>

<file path=customXml/item79.xml>��
</file>

<file path=customXml/item80.xml>��
</file>

<file path=customXml/item81.xml>��
</file>

<file path=customXml/item82.xml>��
</file>

<file path=customXml/item83.xml>��
</file>

<file path=customXml/item84.xml>��
</file>

<file path=customXml/item85.xml>��
</file>

<file path=customXml/item86.xml>��
</file>

<file path=customXml/item87.xml>��
</file>

<file path=customXml/item88.xml>��
</file>

<file path=customXml/item89.xml>��
</file>

<file path=customXml/item90.xml>��
</file>

<file path=customXml/item91.xml>��
</file>

<file path=customXml/item92.xml>��
</file>

<file path=customXml/item93.xml>��
</file>

<file path=customXml/item94.xml>��
</file>

<file path=customXml/item95.xml>��
</file>

<file path=customXml/item96.xml>��
</file>

<file path=customXml/item97.xml>��=�e�=�e�=���=���=�e�=�e�<ث�<ث�<؁�<؁�<؁�<؁�=ذ�=ذ�=ذ�=ذ�=�d�=�d�=�d�=�d�=�d�=�d�=�e�=�e�=�e�=�e�=�e�=�e�=�e�=�e�=�e�=�e�=��=��=�d�=�d�=�d�=�d�=�d�=�d�=�d�=�d�=�d�=�d�=�d�=�d�<ث�<ث�=ز�=ز�<ث�<ث�<ث�<ث�<ث�<ث�=ذ�=ذ�<ث�<ث�(=�e�((=�e�(=���(=���(<����(<����(=�e�(=�e�(=ت�(=ت�(=�d�=�d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98.xml>��
</file>

<file path=customXml/item99.xml>��
</file>

<file path=customXml/item100.xml>��
</file>

<file path=customXml/item101.xml>��
</file>

<file path=customXml/item102.xml>��
</file>

<file path=customXml/item103.xml>��
</file>

<file path=customXml/item104.xml>��
</file>

<file path=customXml/item10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106.xml>��
</file>

<file path=customXml/item107.xml>��
</file>

<file path=customXml/item10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109.xml>��
</file>

<file path=customXml/item110.xml>��
</file>

<file path=customXml/item111.xml>��
</file>

<file path=customXml/item112.xml>��
</file>

<file path=customXml/item113.xml>��
</file>

<file path=customXml/item114.xml>��
</file>

<file path=customXml/item115.xml>��
</file>

<file path=customXml/item116.xml>��
</file>

<file path=customXml/item117.xml>��
</file>

<file path=customXml/item118.xml>��
</file>

<file path=customXml/item119.xml>��
</file>

<file path=customXml/item120.xml>��
</file>

<file path=customXml/item12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2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23.xml>��
</file>

<file path=customXml/item124.xml>��
</file>

<file path=customXml/item125.xml>��
</file>

<file path=customXml/item126.xml>��=�e�=�e�=���=���=�e�=�e�<ث�<ث�<؁�<؁�<؁�<؁�=ذ�=ذ�=ذ�=ذ�=�d�=�d�=�d�=�d�=�d�=�d�=�e�=�e�=�e�=�e�=�e�=�e�=�e�=�e�=��=��=�d�=�d�=�d�=�d�=�d�=�d�=�d�=�d�<ث�<ث�=ز�=ز�<ث�<ث�<ث�<ث�<ث�<ث�=ذ�=ذ�<ث�<ث�(=�e�((=�e�(=���(=���(<����(<����(=�e�(=�e�(=ت�(=ت�(=�d�=�d�=�d�=�d�=�d�=�d�=�e�=�e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=ز�=ز�
</file>

<file path=customXml/item127.xml>��
</file>

<file path=customXml/item128.xml>��
</file>

<file path=customXml/item129.xml>��
</file>

<file path=customXml/item130.xml>��
</file>

<file path=customXml/item131.xml>��
</file>

<file path=customXml/item132.xml>��
</file>

<file path=customXml/item133.xml>��
</file>

<file path=customXml/item134.xml>��
</file>

<file path=customXml/item135.xml>��
</file>

<file path=customXml/item136.xml>��
</file>

<file path=customXml/item137.xml>��
</file>

<file path=customXml/item138.xml>��
</file>

<file path=customXml/item139.xml>��
</file>

<file path=customXml/item140.xml>��
</file>

<file path=customXml/item141.xml>��
</file>

<file path=customXml/item142.xml>��
</file>

<file path=customXml/item143.xml>��
</file>

<file path=customXml/item144.xml>��
</file>

<file path=customXml/item145.xml>��
</file>

<file path=customXml/item146.xml>��
</file>

<file path=customXml/item147.xml>��
</file>

<file path=customXml/item148.xml>��
</file>

<file path=customXml/item149.xml>��
</file>

<file path=customXml/item150.xml>��
</file>

<file path=customXml/item151.xml>��
</file>

<file path=customXml/item152.xml>��
</file>

<file path=customXml/item153.xml>��
</file>

<file path=customXml/item154.xml>��
</file>

<file path=customXml/item155.xml>��
</file>

<file path=customXml/item156.xml>��
</file>

<file path=customXml/item157.xml>��
</file>

<file path=customXml/item158.xml>��
</file>

<file path=customXml/item159.xml>��
</file>

<file path=customXml/item160.xml>��
</file>

<file path=customXml/item161.xml>��
</file>

<file path=customXml/item162.xml>��
</file>

<file path=customXml/item163.xml>��
</file>

<file path=customXml/item164.xml>��
</file>

<file path=customXml/item165.xml>��
</file>

<file path=customXml/item166.xml>��
</file>

<file path=customXml/item167.xml>��
</file>

<file path=customXml/item168.xml>��
</file>

<file path=customXml/item169.xml>��
</file>

<file path=customXml/item170.xml>��
</file>

<file path=customXml/item17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
</file>

<file path=customXml/item172.xml>��
</file>

<file path=customXml/item173.xml>��
</file>

<file path=customXml/item174.xml>��
</file>

<file path=customXml/item175.xml>��
</file>

<file path=customXml/item176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177.xml>��
</file>

<file path=customXml/item17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<ث�<ث�=�e�=�e�=�e�=�e�=�e�
</file>

<file path=customXml/item179.xml>��
</file>

<file path=customXml/item180.xml>��
</file>

<file path=customXml/item181.xml>��
</file>

<file path=customXml/item182.xml>��
</file>

<file path=customXml/item183.xml>��
</file>

<file path=customXml/item184.xml>��
</file>

<file path=customXml/item185.xml>��
</file>

<file path=customXml/item186.xml>��
</file>

<file path=customXml/item187.xml>��
</file>

<file path=customXml/item188.xml>��
</file>

<file path=customXml/item189.xml>��
</file>

<file path=customXml/item190.xml>��
</file>

<file path=customXml/item191.xml>��
</file>

<file path=customXml/item19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193.xml>��
</file>

<file path=customXml/item194.xml>��
</file>

<file path=customXml/item195.xml>��
</file>

<file path=customXml/item196.xml>��
</file>

<file path=customXml/item197.xml>��
</file>

<file path=customXml/item198.xml>��
</file>

<file path=customXml/item199.xml>��
</file>

<file path=customXml/item200.xml>��
</file>

<file path=customXml/item201.xml>��
</file>

<file path=customXml/item202.xml>��
</file>

<file path=customXml/item203.xml>��
</file>

<file path=customXml/item204.xml>��
</file>

<file path=customXml/item205.xml>��
</file>

<file path=customXml/item206.xml>��
</file>

<file path=customXml/item207.xml>��
</file>

<file path=customXml/item208.xml>��
</file>

<file path=customXml/item209.xml>��
</file>

<file path=customXml/item210.xml>��
</file>

<file path=customXml/item211.xml>��
</file>

<file path=customXml/item212.xml>��
</file>

<file path=customXml/item21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=�e�=�e�=�e�=�e�=�e�<ث�<ث�<ث�<ث�<ث�
</file>

<file path=customXml/item214.xml>��
</file>

<file path=customXml/item215.xml>��
</file>

<file path=customXml/item216.xml>��
</file>

<file path=customXml/item217.xml>��
</file>

<file path=customXml/item218.xml>��
</file>

<file path=customXml/item219.xml>��
</file>

<file path=customXml/item220.xml>��
</file>

<file path=customXml/item221.xml>��
</file>

<file path=customXml/item222.xml>��
</file>

<file path=customXml/item223.xml>��
</file>

<file path=customXml/item224.xml>��
</file>

<file path=customXml/item225.xml>��
</file>

<file path=customXml/item22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27.xml>��
</file>

<file path=customXml/item228.xml>��
</file>

<file path=customXml/item229.xml>��
</file>

<file path=customXml/item230.xml>��
</file>

<file path=customXml/item231.xml>��
</file>

<file path=customXml/item232.xml>��
</file>

<file path=customXml/item23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34.xml>��
</file>

<file path=customXml/item235.xml>��
</file>

<file path=customXml/item236.xml>��
</file>

<file path=customXml/item237.xml>��
</file>

<file path=customXml/item23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39.xml>��
</file>

<file path=customXml/item240.xml>��
</file>

<file path=customXml/item241.xml>��
</file>

<file path=customXml/item242.xml>��
</file>

<file path=customXml/item243.xml>��
</file>

<file path=customXml/item244.xml>��
</file>

<file path=customXml/item245.xml>��
</file>

<file path=customXml/item246.xml>��
</file>

<file path=customXml/item247.xml>��
</file>

<file path=customXml/item24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49.xml>��
</file>

<file path=customXml/item250.xml>��
</file>

<file path=customXml/item251.xml>��
</file>

<file path=customXml/item252.xml>��
</file>

<file path=customXml/item253.xml>��
</file>

<file path=customXml/item254.xml>��
</file>

<file path=customXml/item255.xml>��
</file>

<file path=customXml/item256.xml>��
</file>

<file path=customXml/item257.xml>��
</file>

<file path=customXml/item258.xml>��
</file>

<file path=customXml/item259.xml>��
</file>

<file path=customXml/item260.xml>��
</file>

<file path=customXml/item261.xml>��
</file>

<file path=customXml/item262.xml>��
</file>

<file path=customXml/item263.xml>��
</file>

<file path=customXml/item264.xml>��
</file>

<file path=customXml/item265.xml>��
</file>

<file path=customXml/item266.xml>��
</file>

<file path=customXml/item267.xml>��
</file>

<file path=customXml/item268.xml>��
</file>

<file path=customXml/item269.xml>��
</file>

<file path=customXml/item270.xml>��
</file>

<file path=customXml/item27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27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
</file>

<file path=customXml/item273.xml>��
</file>

<file path=customXml/item27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75.xml>��
</file>

<file path=customXml/item276.xml>��
</file>

<file path=customXml/item277.xml>��
</file>

<file path=customXml/item27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7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=�d�=�d�
</file>

<file path=customXml/item280.xml>��
</file>

<file path=customXml/item281.xml>��
</file>

<file path=customXml/item282.xml>��
</file>

<file path=customXml/item283.xml>��
</file>

<file path=customXml/item284.xml>��
</file>

<file path=customXml/item285.xml>��
</file>

<file path=customXml/item286.xml>��
</file>

<file path=customXml/item287.xml>��
</file>

<file path=customXml/item288.xml>��
</file>

<file path=customXml/item289.xml>��
</file>

<file path=customXml/item290.xml>��
</file>

<file path=customXml/item291.xml>��
</file>

<file path=customXml/item292.xml>��
</file>

<file path=customXml/item293.xml>��
</file>

<file path=customXml/item294.xml>��
</file>

<file path=customXml/item295.xml>��
</file>

<file path=customXml/item296.xml>��
</file>

<file path=customXml/item297.xml>��
</file>

<file path=customXml/item298.xml>��
</file>

<file path=customXml/item299.xml>��
</file>

<file path=customXml/item300.xml>��
</file>

<file path=customXml/item301.xml>��
</file>

<file path=customXml/item302.xml>��
</file>

<file path=customXml/item303.xml>��
</file>

<file path=customXml/item304.xml>��
</file>

<file path=customXml/item305.xml>��=ذ�=ذ�=ذ�=ذ�=ذ�=ذ�=ذ�=ذ�=ذ�=�d�=�d�=�d�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
</file>

<file path=customXml/item306.xml>��
</file>

<file path=customXml/item307.xml>��
</file>

<file path=customXml/item308.xml>��
</file>

<file path=customXml/item309.xml>��
</file>

<file path=customXml/item310.xml>��
</file>

<file path=customXml/item311.xml>��
</file>

<file path=customXml/item312.xml>��
</file>

<file path=customXml/item313.xml>��
</file>

<file path=customXml/item314.xml>��
</file>

<file path=customXml/item315.xml>��
</file>

<file path=customXml/item316.xml>��
</file>

<file path=customXml/item317.xml>��
</file>

<file path=customXml/item318.xml>��
</file>

<file path=customXml/item319.xml>��
</file>

<file path=customXml/item320.xml>��
</file>

<file path=customXml/item321.xml>��
</file>

<file path=customXml/item322.xml>��
</file>

<file path=customXml/item323.xml>��
</file>

<file path=customXml/item324.xml>��
</file>

<file path=customXml/item325.xml>��
</file>

<file path=customXml/item326.xml>��
</file>

<file path=customXml/item327.xml>��
</file>

<file path=customXml/item328.xml>��
</file>

<file path=customXml/item329.xml>��
</file>

<file path=customXml/item330.xml>��
</file>

<file path=customXml/item331.xml>��<ث�<ث�=ذ�=ذ�=ذ�=ذ�=ذ�=ذ�=�d�=�d�=�e�=�e�=�d�=�d�<ث�<ث�=���=��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
</file>

<file path=customXml/item332.xml>��
</file>

<file path=customXml/item333.xml>��
</file>

<file path=customXml/item334.xml>��
</file>

<file path=customXml/item335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336.xml>��
</file>

<file path=customXml/item337.xml>��
</file>

<file path=customXml/item338.xml>��
</file>

<file path=customXml/item339.xml>��
</file>

<file path=customXml/item340.xml>��
</file>

<file path=customXml/item341.xml>��
</file>

<file path=customXml/item342.xml>��
</file>

<file path=customXml/item343.xml>��
</file>

<file path=customXml/item344.xml>��
</file>

<file path=customXml/itemProps1.xml><?xml version="1.0" encoding="utf-8"?>
<ds:datastoreItem xmlns:ds="http://schemas.openxmlformats.org/officeDocument/2006/customXml" ds:itemID="{D9E63EEB-3248-4649-A564-C29CE96A98FD}">
  <ds:schemaRefs/>
</ds:datastoreItem>
</file>

<file path=customXml/itemProps2.xml><?xml version="1.0" encoding="utf-8"?>
<ds:datastoreItem xmlns:ds="http://schemas.openxmlformats.org/officeDocument/2006/customXml" ds:itemID="{27820AA3-BA6C-43D6-B299-027C0508F246}">
  <ds:schemaRefs/>
</ds:datastoreItem>
</file>

<file path=customXml/itemProps3.xml><?xml version="1.0" encoding="utf-8"?>
<ds:datastoreItem xmlns:ds="http://schemas.openxmlformats.org/officeDocument/2006/customXml" ds:itemID="{A526F426-0C95-4765-B14F-63110CAB649F}">
  <ds:schemaRefs/>
</ds:datastoreItem>
</file>

<file path=customXml/itemProps4.xml><?xml version="1.0" encoding="utf-8"?>
<ds:datastoreItem xmlns:ds="http://schemas.openxmlformats.org/officeDocument/2006/customXml" ds:itemID="{A8A33985-B84A-4BB2-86BC-F4C1379B480C}">
  <ds:schemaRefs/>
</ds:datastoreItem>
</file>

<file path=customXml/itemProps5.xml><?xml version="1.0" encoding="utf-8"?>
<ds:datastoreItem xmlns:ds="http://schemas.openxmlformats.org/officeDocument/2006/customXml" ds:itemID="{8E7127AD-8765-4026-9F78-FD2E06398EF9}">
  <ds:schemaRefs/>
</ds:datastoreItem>
</file>

<file path=customXml/itemProps6.xml><?xml version="1.0" encoding="utf-8"?>
<ds:datastoreItem xmlns:ds="http://schemas.openxmlformats.org/officeDocument/2006/customXml" ds:itemID="{A904A0B3-B510-4B5B-A83E-541297CC14BC}">
  <ds:schemaRefs/>
</ds:datastoreItem>
</file>

<file path=customXml/itemProps7.xml><?xml version="1.0" encoding="utf-8"?>
<ds:datastoreItem xmlns:ds="http://schemas.openxmlformats.org/officeDocument/2006/customXml" ds:itemID="{BB3E082E-9788-4BB7-AB39-76CB73821045}">
  <ds:schemaRefs/>
</ds:datastoreItem>
</file>

<file path=customXml/itemProps8.xml><?xml version="1.0" encoding="utf-8"?>
<ds:datastoreItem xmlns:ds="http://schemas.openxmlformats.org/officeDocument/2006/customXml" ds:itemID="{093E5F99-91A9-438B-8B39-769592D624E1}">
  <ds:schemaRefs/>
</ds:datastoreItem>
</file>

<file path=customXml/itemProps9.xml><?xml version="1.0" encoding="utf-8"?>
<ds:datastoreItem xmlns:ds="http://schemas.openxmlformats.org/officeDocument/2006/customXml" ds:itemID="{7A8A2C9B-F94F-4451-B0F6-1D5B313006AA}">
  <ds:schemaRefs/>
</ds:datastoreItem>
</file>

<file path=customXml/itemProps10.xml><?xml version="1.0" encoding="utf-8"?>
<ds:datastoreItem xmlns:ds="http://schemas.openxmlformats.org/officeDocument/2006/customXml" ds:itemID="{4D7F6C51-2DB8-4FDD-91F5-F522A85645FF}">
  <ds:schemaRefs/>
</ds:datastoreItem>
</file>

<file path=customXml/itemProps11.xml><?xml version="1.0" encoding="utf-8"?>
<ds:datastoreItem xmlns:ds="http://schemas.openxmlformats.org/officeDocument/2006/customXml" ds:itemID="{3D358D4D-04DB-4448-92B4-5417E815E747}">
  <ds:schemaRefs>
    <ds:schemaRef ds:uri="http://www.w3.org/2001/XMLSchema"/>
    <ds:schemaRef ds:uri="http://microsoft.data.visualization.Client.Excel.LState/1.0"/>
  </ds:schemaRefs>
</ds:datastoreItem>
</file>

<file path=customXml/itemProps12.xml><?xml version="1.0" encoding="utf-8"?>
<ds:datastoreItem xmlns:ds="http://schemas.openxmlformats.org/officeDocument/2006/customXml" ds:itemID="{B7C2F600-8119-492A-8714-3E97C4A5ACD3}">
  <ds:schemaRefs/>
</ds:datastoreItem>
</file>

<file path=customXml/itemProps13.xml><?xml version="1.0" encoding="utf-8"?>
<ds:datastoreItem xmlns:ds="http://schemas.openxmlformats.org/officeDocument/2006/customXml" ds:itemID="{EB67F82A-6DE8-4893-9004-0DBD55434F77}">
  <ds:schemaRefs/>
</ds:datastoreItem>
</file>

<file path=customXml/itemProps14.xml><?xml version="1.0" encoding="utf-8"?>
<ds:datastoreItem xmlns:ds="http://schemas.openxmlformats.org/officeDocument/2006/customXml" ds:itemID="{6A46DA27-4518-443A-B443-73F6556004AD}">
  <ds:schemaRefs/>
</ds:datastoreItem>
</file>

<file path=customXml/itemProps15.xml><?xml version="1.0" encoding="utf-8"?>
<ds:datastoreItem xmlns:ds="http://schemas.openxmlformats.org/officeDocument/2006/customXml" ds:itemID="{D75EC377-693F-4C06-8CAE-C27DFD5FD4EF}">
  <ds:schemaRefs/>
</ds:datastoreItem>
</file>

<file path=customXml/itemProps16.xml><?xml version="1.0" encoding="utf-8"?>
<ds:datastoreItem xmlns:ds="http://schemas.openxmlformats.org/officeDocument/2006/customXml" ds:itemID="{EB8F0F60-4561-471A-AD30-040A401213EF}">
  <ds:schemaRefs/>
</ds:datastoreItem>
</file>

<file path=customXml/itemProps17.xml><?xml version="1.0" encoding="utf-8"?>
<ds:datastoreItem xmlns:ds="http://schemas.openxmlformats.org/officeDocument/2006/customXml" ds:itemID="{CCCD857B-491D-4984-9703-96D0C834FD15}">
  <ds:schemaRefs/>
</ds:datastoreItem>
</file>

<file path=customXml/itemProps18.xml><?xml version="1.0" encoding="utf-8"?>
<ds:datastoreItem xmlns:ds="http://schemas.openxmlformats.org/officeDocument/2006/customXml" ds:itemID="{1478C1A4-7726-4755-AE1A-0F8B3E4401C1}">
  <ds:schemaRefs/>
</ds:datastoreItem>
</file>

<file path=customXml/itemProps19.xml><?xml version="1.0" encoding="utf-8"?>
<ds:datastoreItem xmlns:ds="http://schemas.openxmlformats.org/officeDocument/2006/customXml" ds:itemID="{B11ACDBC-BA27-4907-86A6-84DFDCD59D92}">
  <ds:schemaRefs/>
</ds:datastoreItem>
</file>

<file path=customXml/itemProps20.xml><?xml version="1.0" encoding="utf-8"?>
<ds:datastoreItem xmlns:ds="http://schemas.openxmlformats.org/officeDocument/2006/customXml" ds:itemID="{23942C0A-7D08-48ED-B49D-5C29E246AD99}">
  <ds:schemaRefs/>
</ds:datastoreItem>
</file>

<file path=customXml/itemProps21.xml><?xml version="1.0" encoding="utf-8"?>
<ds:datastoreItem xmlns:ds="http://schemas.openxmlformats.org/officeDocument/2006/customXml" ds:itemID="{E377A98D-8FB0-43EC-BD6C-EBCFF792C908}">
  <ds:schemaRefs/>
</ds:datastoreItem>
</file>

<file path=customXml/itemProps22.xml><?xml version="1.0" encoding="utf-8"?>
<ds:datastoreItem xmlns:ds="http://schemas.openxmlformats.org/officeDocument/2006/customXml" ds:itemID="{A68B69A0-13A7-4823-B591-5EADEC3A6732}">
  <ds:schemaRefs/>
</ds:datastoreItem>
</file>

<file path=customXml/itemProps23.xml><?xml version="1.0" encoding="utf-8"?>
<ds:datastoreItem xmlns:ds="http://schemas.openxmlformats.org/officeDocument/2006/customXml" ds:itemID="{BFD1321D-7FB4-4E36-B199-79DD6D597915}">
  <ds:schemaRefs/>
</ds:datastoreItem>
</file>

<file path=customXml/itemProps24.xml><?xml version="1.0" encoding="utf-8"?>
<ds:datastoreItem xmlns:ds="http://schemas.openxmlformats.org/officeDocument/2006/customXml" ds:itemID="{3EA02D15-7516-4D39-8837-26EB7B5F2908}">
  <ds:schemaRefs/>
</ds:datastoreItem>
</file>

<file path=customXml/itemProps25.xml><?xml version="1.0" encoding="utf-8"?>
<ds:datastoreItem xmlns:ds="http://schemas.openxmlformats.org/officeDocument/2006/customXml" ds:itemID="{7588FAE7-4DED-46D1-B565-F08FA1EAF79B}">
  <ds:schemaRefs/>
</ds:datastoreItem>
</file>

<file path=customXml/itemProps26.xml><?xml version="1.0" encoding="utf-8"?>
<ds:datastoreItem xmlns:ds="http://schemas.openxmlformats.org/officeDocument/2006/customXml" ds:itemID="{CD44F6A7-D0DC-45E9-9DE4-3F07D4968FBB}">
  <ds:schemaRefs/>
</ds:datastoreItem>
</file>

<file path=customXml/itemProps27.xml><?xml version="1.0" encoding="utf-8"?>
<ds:datastoreItem xmlns:ds="http://schemas.openxmlformats.org/officeDocument/2006/customXml" ds:itemID="{231CE77D-C636-4296-BCAD-84F258A3BEC5}">
  <ds:schemaRefs/>
</ds:datastoreItem>
</file>

<file path=customXml/itemProps28.xml><?xml version="1.0" encoding="utf-8"?>
<ds:datastoreItem xmlns:ds="http://schemas.openxmlformats.org/officeDocument/2006/customXml" ds:itemID="{99368D11-6C02-49E2-B00C-169ECE1D3EC2}">
  <ds:schemaRefs/>
</ds:datastoreItem>
</file>

<file path=customXml/itemProps29.xml><?xml version="1.0" encoding="utf-8"?>
<ds:datastoreItem xmlns:ds="http://schemas.openxmlformats.org/officeDocument/2006/customXml" ds:itemID="{F8DD60C8-14BE-4B9F-9E1D-1A8EA6FB3311}">
  <ds:schemaRefs/>
</ds:datastoreItem>
</file>

<file path=customXml/itemProps30.xml><?xml version="1.0" encoding="utf-8"?>
<ds:datastoreItem xmlns:ds="http://schemas.openxmlformats.org/officeDocument/2006/customXml" ds:itemID="{F25E6228-8768-4055-B30D-450E6837AE32}">
  <ds:schemaRefs/>
</ds:datastoreItem>
</file>

<file path=customXml/itemProps31.xml><?xml version="1.0" encoding="utf-8"?>
<ds:datastoreItem xmlns:ds="http://schemas.openxmlformats.org/officeDocument/2006/customXml" ds:itemID="{634887FB-B138-4D9C-95D5-D519C9629971}">
  <ds:schemaRefs/>
</ds:datastoreItem>
</file>

<file path=customXml/itemProps32.xml><?xml version="1.0" encoding="utf-8"?>
<ds:datastoreItem xmlns:ds="http://schemas.openxmlformats.org/officeDocument/2006/customXml" ds:itemID="{45FA3E73-ADB9-4BB7-B7B0-5A4A3068017E}">
  <ds:schemaRefs/>
</ds:datastoreItem>
</file>

<file path=customXml/itemProps33.xml><?xml version="1.0" encoding="utf-8"?>
<ds:datastoreItem xmlns:ds="http://schemas.openxmlformats.org/officeDocument/2006/customXml" ds:itemID="{136B750B-2261-488F-AAB6-49DB43A2EA65}">
  <ds:schemaRefs/>
</ds:datastoreItem>
</file>

<file path=customXml/itemProps34.xml><?xml version="1.0" encoding="utf-8"?>
<ds:datastoreItem xmlns:ds="http://schemas.openxmlformats.org/officeDocument/2006/customXml" ds:itemID="{6CB7CEF2-80D1-499C-BE47-1A3AEF9F04C9}">
  <ds:schemaRefs/>
</ds:datastoreItem>
</file>

<file path=customXml/itemProps35.xml><?xml version="1.0" encoding="utf-8"?>
<ds:datastoreItem xmlns:ds="http://schemas.openxmlformats.org/officeDocument/2006/customXml" ds:itemID="{994AA89E-1BA0-4DB6-B01A-7F3F23D46198}">
  <ds:schemaRefs/>
</ds:datastoreItem>
</file>

<file path=customXml/itemProps36.xml><?xml version="1.0" encoding="utf-8"?>
<ds:datastoreItem xmlns:ds="http://schemas.openxmlformats.org/officeDocument/2006/customXml" ds:itemID="{3FB705ED-05B8-4E45-81A3-222A774FA697}">
  <ds:schemaRefs/>
</ds:datastoreItem>
</file>

<file path=customXml/itemProps37.xml><?xml version="1.0" encoding="utf-8"?>
<ds:datastoreItem xmlns:ds="http://schemas.openxmlformats.org/officeDocument/2006/customXml" ds:itemID="{6ED8C1CA-103A-4B9B-8A6F-F2DCC1388F48}">
  <ds:schemaRefs/>
</ds:datastoreItem>
</file>

<file path=customXml/itemProps38.xml><?xml version="1.0" encoding="utf-8"?>
<ds:datastoreItem xmlns:ds="http://schemas.openxmlformats.org/officeDocument/2006/customXml" ds:itemID="{E91C5A97-33A4-4BDC-A8BD-A5EF775185AB}">
  <ds:schemaRefs/>
</ds:datastoreItem>
</file>

<file path=customXml/itemProps39.xml><?xml version="1.0" encoding="utf-8"?>
<ds:datastoreItem xmlns:ds="http://schemas.openxmlformats.org/officeDocument/2006/customXml" ds:itemID="{5AF5176D-12FF-4227-A49A-981EEA3C4506}">
  <ds:schemaRefs/>
</ds:datastoreItem>
</file>

<file path=customXml/itemProps40.xml><?xml version="1.0" encoding="utf-8"?>
<ds:datastoreItem xmlns:ds="http://schemas.openxmlformats.org/officeDocument/2006/customXml" ds:itemID="{52DBC7F1-89D0-4C25-ADB8-8F9FEF73BA90}">
  <ds:schemaRefs/>
</ds:datastoreItem>
</file>

<file path=customXml/itemProps41.xml><?xml version="1.0" encoding="utf-8"?>
<ds:datastoreItem xmlns:ds="http://schemas.openxmlformats.org/officeDocument/2006/customXml" ds:itemID="{322F7AEC-7E7F-443B-82EC-24299B9DA18B}">
  <ds:schemaRefs/>
</ds:datastoreItem>
</file>

<file path=customXml/itemProps42.xml><?xml version="1.0" encoding="utf-8"?>
<ds:datastoreItem xmlns:ds="http://schemas.openxmlformats.org/officeDocument/2006/customXml" ds:itemID="{F7FFCE05-98E3-4C2C-A00A-4735EE9F1388}">
  <ds:schemaRefs/>
</ds:datastoreItem>
</file>

<file path=customXml/itemProps43.xml><?xml version="1.0" encoding="utf-8"?>
<ds:datastoreItem xmlns:ds="http://schemas.openxmlformats.org/officeDocument/2006/customXml" ds:itemID="{DAF10DCE-B342-4024-9D39-53D7E20335D6}">
  <ds:schemaRefs/>
</ds:datastoreItem>
</file>

<file path=customXml/itemProps44.xml><?xml version="1.0" encoding="utf-8"?>
<ds:datastoreItem xmlns:ds="http://schemas.openxmlformats.org/officeDocument/2006/customXml" ds:itemID="{8A194128-B9D1-49EC-ADAF-6193BBAF8459}">
  <ds:schemaRefs/>
</ds:datastoreItem>
</file>

<file path=customXml/itemProps45.xml><?xml version="1.0" encoding="utf-8"?>
<ds:datastoreItem xmlns:ds="http://schemas.openxmlformats.org/officeDocument/2006/customXml" ds:itemID="{BF08B2ED-7F3A-4A34-9084-2B62C1BEF50D}">
  <ds:schemaRefs/>
</ds:datastoreItem>
</file>

<file path=customXml/itemProps46.xml><?xml version="1.0" encoding="utf-8"?>
<ds:datastoreItem xmlns:ds="http://schemas.openxmlformats.org/officeDocument/2006/customXml" ds:itemID="{9DA15FFD-8EF9-4717-BE5F-FF2CD334810B}">
  <ds:schemaRefs/>
</ds:datastoreItem>
</file>

<file path=customXml/itemProps47.xml><?xml version="1.0" encoding="utf-8"?>
<ds:datastoreItem xmlns:ds="http://schemas.openxmlformats.org/officeDocument/2006/customXml" ds:itemID="{3AD84EA1-6F66-4A62-9DE9-EF345F00F252}">
  <ds:schemaRefs/>
</ds:datastoreItem>
</file>

<file path=customXml/itemProps48.xml><?xml version="1.0" encoding="utf-8"?>
<ds:datastoreItem xmlns:ds="http://schemas.openxmlformats.org/officeDocument/2006/customXml" ds:itemID="{2E37FEA1-856C-4139-B9DB-EA7AEE2AD4E0}">
  <ds:schemaRefs/>
</ds:datastoreItem>
</file>

<file path=customXml/itemProps49.xml><?xml version="1.0" encoding="utf-8"?>
<ds:datastoreItem xmlns:ds="http://schemas.openxmlformats.org/officeDocument/2006/customXml" ds:itemID="{C6F48399-67F5-4E85-B58B-4659E6289BA6}">
  <ds:schemaRefs/>
</ds:datastoreItem>
</file>

<file path=customXml/itemProps50.xml><?xml version="1.0" encoding="utf-8"?>
<ds:datastoreItem xmlns:ds="http://schemas.openxmlformats.org/officeDocument/2006/customXml" ds:itemID="{D32929F5-3DCC-414A-9010-B0D8468EBF0F}">
  <ds:schemaRefs/>
</ds:datastoreItem>
</file>

<file path=customXml/itemProps51.xml><?xml version="1.0" encoding="utf-8"?>
<ds:datastoreItem xmlns:ds="http://schemas.openxmlformats.org/officeDocument/2006/customXml" ds:itemID="{DE69DB11-F1A9-4AA9-9A48-AB98EC202E8D}">
  <ds:schemaRefs/>
</ds:datastoreItem>
</file>

<file path=customXml/itemProps52.xml><?xml version="1.0" encoding="utf-8"?>
<ds:datastoreItem xmlns:ds="http://schemas.openxmlformats.org/officeDocument/2006/customXml" ds:itemID="{8668A6D5-43C7-4F43-932A-B2CF93B63FC0}">
  <ds:schemaRefs/>
</ds:datastoreItem>
</file>

<file path=customXml/itemProps53.xml><?xml version="1.0" encoding="utf-8"?>
<ds:datastoreItem xmlns:ds="http://schemas.openxmlformats.org/officeDocument/2006/customXml" ds:itemID="{2BD9AF68-E768-40CB-9568-57BEB3DE1D5C}">
  <ds:schemaRefs/>
</ds:datastoreItem>
</file>

<file path=customXml/itemProps54.xml><?xml version="1.0" encoding="utf-8"?>
<ds:datastoreItem xmlns:ds="http://schemas.openxmlformats.org/officeDocument/2006/customXml" ds:itemID="{8E1C1461-DB45-4A3F-9AFE-A86CCDA3357C}">
  <ds:schemaRefs/>
</ds:datastoreItem>
</file>

<file path=customXml/itemProps55.xml><?xml version="1.0" encoding="utf-8"?>
<ds:datastoreItem xmlns:ds="http://schemas.openxmlformats.org/officeDocument/2006/customXml" ds:itemID="{C65415F3-B994-4282-A35B-281A1BE139A9}">
  <ds:schemaRefs/>
</ds:datastoreItem>
</file>

<file path=customXml/itemProps56.xml><?xml version="1.0" encoding="utf-8"?>
<ds:datastoreItem xmlns:ds="http://schemas.openxmlformats.org/officeDocument/2006/customXml" ds:itemID="{FEBC72FA-BBFA-4F0D-ACCB-A6D109EF92EE}">
  <ds:schemaRefs/>
</ds:datastoreItem>
</file>

<file path=customXml/itemProps57.xml><?xml version="1.0" encoding="utf-8"?>
<ds:datastoreItem xmlns:ds="http://schemas.openxmlformats.org/officeDocument/2006/customXml" ds:itemID="{906C3B80-1CDC-4D7F-9FB1-6FF50BFDA17A}">
  <ds:schemaRefs/>
</ds:datastoreItem>
</file>

<file path=customXml/itemProps58.xml><?xml version="1.0" encoding="utf-8"?>
<ds:datastoreItem xmlns:ds="http://schemas.openxmlformats.org/officeDocument/2006/customXml" ds:itemID="{B2AC3AD3-7E1C-4AC2-8DBF-B49D75A4D8BC}">
  <ds:schemaRefs/>
</ds:datastoreItem>
</file>

<file path=customXml/itemProps59.xml><?xml version="1.0" encoding="utf-8"?>
<ds:datastoreItem xmlns:ds="http://schemas.openxmlformats.org/officeDocument/2006/customXml" ds:itemID="{7F6054FF-BCBA-46D9-90B5-A5AD330F0663}">
  <ds:schemaRefs/>
</ds:datastoreItem>
</file>

<file path=customXml/itemProps60.xml><?xml version="1.0" encoding="utf-8"?>
<ds:datastoreItem xmlns:ds="http://schemas.openxmlformats.org/officeDocument/2006/customXml" ds:itemID="{9ED46B92-31CA-4816-A9B2-8C4EF459E484}">
  <ds:schemaRefs/>
</ds:datastoreItem>
</file>

<file path=customXml/itemProps61.xml><?xml version="1.0" encoding="utf-8"?>
<ds:datastoreItem xmlns:ds="http://schemas.openxmlformats.org/officeDocument/2006/customXml" ds:itemID="{5B057A11-A577-44E1-80FE-9C6A6E2FC122}">
  <ds:schemaRefs/>
</ds:datastoreItem>
</file>

<file path=customXml/itemProps62.xml><?xml version="1.0" encoding="utf-8"?>
<ds:datastoreItem xmlns:ds="http://schemas.openxmlformats.org/officeDocument/2006/customXml" ds:itemID="{4A83228E-3E4F-4C87-B6CF-EE27B24E7072}">
  <ds:schemaRefs/>
</ds:datastoreItem>
</file>

<file path=customXml/itemProps63.xml><?xml version="1.0" encoding="utf-8"?>
<ds:datastoreItem xmlns:ds="http://schemas.openxmlformats.org/officeDocument/2006/customXml" ds:itemID="{1B5D69E0-43F7-43F5-AFF8-2814D595923E}">
  <ds:schemaRefs/>
</ds:datastoreItem>
</file>

<file path=customXml/itemProps64.xml><?xml version="1.0" encoding="utf-8"?>
<ds:datastoreItem xmlns:ds="http://schemas.openxmlformats.org/officeDocument/2006/customXml" ds:itemID="{AECB407D-621A-4366-9E37-DCC99DF7A2B6}">
  <ds:schemaRefs/>
</ds:datastoreItem>
</file>

<file path=customXml/itemProps65.xml><?xml version="1.0" encoding="utf-8"?>
<ds:datastoreItem xmlns:ds="http://schemas.openxmlformats.org/officeDocument/2006/customXml" ds:itemID="{F2D10049-A3CC-446B-BC87-29E3D953FB96}">
  <ds:schemaRefs/>
</ds:datastoreItem>
</file>

<file path=customXml/itemProps66.xml><?xml version="1.0" encoding="utf-8"?>
<ds:datastoreItem xmlns:ds="http://schemas.openxmlformats.org/officeDocument/2006/customXml" ds:itemID="{A9061F3A-1ECE-4547-BB4B-AB35EB870AF5}">
  <ds:schemaRefs/>
</ds:datastoreItem>
</file>

<file path=customXml/itemProps67.xml><?xml version="1.0" encoding="utf-8"?>
<ds:datastoreItem xmlns:ds="http://schemas.openxmlformats.org/officeDocument/2006/customXml" ds:itemID="{F9C7A17F-F101-4B3E-9F3F-825D5D3A9D7D}">
  <ds:schemaRefs/>
</ds:datastoreItem>
</file>

<file path=customXml/itemProps68.xml><?xml version="1.0" encoding="utf-8"?>
<ds:datastoreItem xmlns:ds="http://schemas.openxmlformats.org/officeDocument/2006/customXml" ds:itemID="{A1694E57-FD8A-422C-AD0F-5DF2C5BD0E7B}">
  <ds:schemaRefs/>
</ds:datastoreItem>
</file>

<file path=customXml/itemProps69.xml><?xml version="1.0" encoding="utf-8"?>
<ds:datastoreItem xmlns:ds="http://schemas.openxmlformats.org/officeDocument/2006/customXml" ds:itemID="{F9C73FAA-C676-4657-AFD7-BB94B44F4203}">
  <ds:schemaRefs/>
</ds:datastoreItem>
</file>

<file path=customXml/itemProps70.xml><?xml version="1.0" encoding="utf-8"?>
<ds:datastoreItem xmlns:ds="http://schemas.openxmlformats.org/officeDocument/2006/customXml" ds:itemID="{68890C7D-3615-4B12-82D5-3143969657B4}">
  <ds:schemaRefs/>
</ds:datastoreItem>
</file>

<file path=customXml/itemProps71.xml><?xml version="1.0" encoding="utf-8"?>
<ds:datastoreItem xmlns:ds="http://schemas.openxmlformats.org/officeDocument/2006/customXml" ds:itemID="{3EEB2C56-86B4-4C01-8721-15C99BB9A60F}">
  <ds:schemaRefs/>
</ds:datastoreItem>
</file>

<file path=customXml/itemProps72.xml><?xml version="1.0" encoding="utf-8"?>
<ds:datastoreItem xmlns:ds="http://schemas.openxmlformats.org/officeDocument/2006/customXml" ds:itemID="{9A5D4308-1EBD-4A1A-B7E2-4228AAC630C6}">
  <ds:schemaRefs/>
</ds:datastoreItem>
</file>

<file path=customXml/itemProps73.xml><?xml version="1.0" encoding="utf-8"?>
<ds:datastoreItem xmlns:ds="http://schemas.openxmlformats.org/officeDocument/2006/customXml" ds:itemID="{BD7F5E18-D3F7-42C8-9A0D-A2730EAAEE7F}">
  <ds:schemaRefs/>
</ds:datastoreItem>
</file>

<file path=customXml/itemProps74.xml><?xml version="1.0" encoding="utf-8"?>
<ds:datastoreItem xmlns:ds="http://schemas.openxmlformats.org/officeDocument/2006/customXml" ds:itemID="{6D680DCD-964D-4E88-9A2F-C6DCC7A2F95F}">
  <ds:schemaRefs/>
</ds:datastoreItem>
</file>

<file path=customXml/itemProps75.xml><?xml version="1.0" encoding="utf-8"?>
<ds:datastoreItem xmlns:ds="http://schemas.openxmlformats.org/officeDocument/2006/customXml" ds:itemID="{AEC1C82C-517A-43AA-B7AA-81887EC8E73D}">
  <ds:schemaRefs/>
</ds:datastoreItem>
</file>

<file path=customXml/itemProps76.xml><?xml version="1.0" encoding="utf-8"?>
<ds:datastoreItem xmlns:ds="http://schemas.openxmlformats.org/officeDocument/2006/customXml" ds:itemID="{77570C05-D6BD-4335-9339-4C6038899074}">
  <ds:schemaRefs/>
</ds:datastoreItem>
</file>

<file path=customXml/itemProps77.xml><?xml version="1.0" encoding="utf-8"?>
<ds:datastoreItem xmlns:ds="http://schemas.openxmlformats.org/officeDocument/2006/customXml" ds:itemID="{E86C397E-4CD5-46BD-8376-3DE79EEE153B}">
  <ds:schemaRefs/>
</ds:datastoreItem>
</file>

<file path=customXml/itemProps78.xml><?xml version="1.0" encoding="utf-8"?>
<ds:datastoreItem xmlns:ds="http://schemas.openxmlformats.org/officeDocument/2006/customXml" ds:itemID="{C8638E6C-ED1F-4764-A4F7-037593A1327F}">
  <ds:schemaRefs/>
</ds:datastoreItem>
</file>

<file path=customXml/itemProps79.xml><?xml version="1.0" encoding="utf-8"?>
<ds:datastoreItem xmlns:ds="http://schemas.openxmlformats.org/officeDocument/2006/customXml" ds:itemID="{C9A2EF45-7B6A-4B47-B95A-3563BAEE6A28}">
  <ds:schemaRefs/>
</ds:datastoreItem>
</file>

<file path=customXml/itemProps80.xml><?xml version="1.0" encoding="utf-8"?>
<ds:datastoreItem xmlns:ds="http://schemas.openxmlformats.org/officeDocument/2006/customXml" ds:itemID="{EC265FD7-B500-488B-A3DD-7A2293BE9A05}">
  <ds:schemaRefs/>
</ds:datastoreItem>
</file>

<file path=customXml/itemProps81.xml><?xml version="1.0" encoding="utf-8"?>
<ds:datastoreItem xmlns:ds="http://schemas.openxmlformats.org/officeDocument/2006/customXml" ds:itemID="{ED0EB0BB-F1F8-4C76-839C-5282E3E8BC9B}">
  <ds:schemaRefs/>
</ds:datastoreItem>
</file>

<file path=customXml/itemProps82.xml><?xml version="1.0" encoding="utf-8"?>
<ds:datastoreItem xmlns:ds="http://schemas.openxmlformats.org/officeDocument/2006/customXml" ds:itemID="{6E042812-5EF9-44D8-9D89-8071147677D2}">
  <ds:schemaRefs/>
</ds:datastoreItem>
</file>

<file path=customXml/itemProps83.xml><?xml version="1.0" encoding="utf-8"?>
<ds:datastoreItem xmlns:ds="http://schemas.openxmlformats.org/officeDocument/2006/customXml" ds:itemID="{5B77B3AA-C33B-4E86-84F1-4DDF1E31F814}">
  <ds:schemaRefs/>
</ds:datastoreItem>
</file>

<file path=customXml/itemProps84.xml><?xml version="1.0" encoding="utf-8"?>
<ds:datastoreItem xmlns:ds="http://schemas.openxmlformats.org/officeDocument/2006/customXml" ds:itemID="{74EBC1F1-4351-4388-99A5-6FC325E027FB}">
  <ds:schemaRefs/>
</ds:datastoreItem>
</file>

<file path=customXml/itemProps85.xml><?xml version="1.0" encoding="utf-8"?>
<ds:datastoreItem xmlns:ds="http://schemas.openxmlformats.org/officeDocument/2006/customXml" ds:itemID="{A89EB220-374D-459F-BE90-93423C507221}">
  <ds:schemaRefs/>
</ds:datastoreItem>
</file>

<file path=customXml/itemProps86.xml><?xml version="1.0" encoding="utf-8"?>
<ds:datastoreItem xmlns:ds="http://schemas.openxmlformats.org/officeDocument/2006/customXml" ds:itemID="{908FAE92-1F43-46D6-A099-19A0C323EC85}">
  <ds:schemaRefs/>
</ds:datastoreItem>
</file>

<file path=customXml/itemProps87.xml><?xml version="1.0" encoding="utf-8"?>
<ds:datastoreItem xmlns:ds="http://schemas.openxmlformats.org/officeDocument/2006/customXml" ds:itemID="{BD6450A0-8A16-4656-ADFE-74A4B6008D50}">
  <ds:schemaRefs/>
</ds:datastoreItem>
</file>

<file path=customXml/itemProps88.xml><?xml version="1.0" encoding="utf-8"?>
<ds:datastoreItem xmlns:ds="http://schemas.openxmlformats.org/officeDocument/2006/customXml" ds:itemID="{E1769CEB-9DB5-4F72-92CE-69BD9F84A803}">
  <ds:schemaRefs/>
</ds:datastoreItem>
</file>

<file path=customXml/itemProps89.xml><?xml version="1.0" encoding="utf-8"?>
<ds:datastoreItem xmlns:ds="http://schemas.openxmlformats.org/officeDocument/2006/customXml" ds:itemID="{A5D5E94E-7855-4677-82C4-96D44955D811}">
  <ds:schemaRefs/>
</ds:datastoreItem>
</file>

<file path=customXml/itemProps90.xml><?xml version="1.0" encoding="utf-8"?>
<ds:datastoreItem xmlns:ds="http://schemas.openxmlformats.org/officeDocument/2006/customXml" ds:itemID="{5E68D579-B599-4BDE-A05A-D6621B2A2340}">
  <ds:schemaRefs/>
</ds:datastoreItem>
</file>

<file path=customXml/itemProps91.xml><?xml version="1.0" encoding="utf-8"?>
<ds:datastoreItem xmlns:ds="http://schemas.openxmlformats.org/officeDocument/2006/customXml" ds:itemID="{49DCDECE-BEE3-48BB-B1B6-E6C7BC95BA26}">
  <ds:schemaRefs/>
</ds:datastoreItem>
</file>

<file path=customXml/itemProps92.xml><?xml version="1.0" encoding="utf-8"?>
<ds:datastoreItem xmlns:ds="http://schemas.openxmlformats.org/officeDocument/2006/customXml" ds:itemID="{5E5327EF-225B-4D22-8AB6-F11B46E008DD}">
  <ds:schemaRefs/>
</ds:datastoreItem>
</file>

<file path=customXml/itemProps93.xml><?xml version="1.0" encoding="utf-8"?>
<ds:datastoreItem xmlns:ds="http://schemas.openxmlformats.org/officeDocument/2006/customXml" ds:itemID="{99A3E7B3-F26F-4347-8EFD-49596CB47580}">
  <ds:schemaRefs/>
</ds:datastoreItem>
</file>

<file path=customXml/itemProps94.xml><?xml version="1.0" encoding="utf-8"?>
<ds:datastoreItem xmlns:ds="http://schemas.openxmlformats.org/officeDocument/2006/customXml" ds:itemID="{C3E3E80B-1866-405C-85F0-8B817739810E}">
  <ds:schemaRefs/>
</ds:datastoreItem>
</file>

<file path=customXml/itemProps95.xml><?xml version="1.0" encoding="utf-8"?>
<ds:datastoreItem xmlns:ds="http://schemas.openxmlformats.org/officeDocument/2006/customXml" ds:itemID="{F79BCB9D-8FDA-4D72-A976-88AA3BD0CD94}">
  <ds:schemaRefs/>
</ds:datastoreItem>
</file>

<file path=customXml/itemProps96.xml><?xml version="1.0" encoding="utf-8"?>
<ds:datastoreItem xmlns:ds="http://schemas.openxmlformats.org/officeDocument/2006/customXml" ds:itemID="{8E727205-B239-4737-9950-40753AEF832A}">
  <ds:schemaRefs/>
</ds:datastoreItem>
</file>

<file path=customXml/itemProps97.xml><?xml version="1.0" encoding="utf-8"?>
<ds:datastoreItem xmlns:ds="http://schemas.openxmlformats.org/officeDocument/2006/customXml" ds:itemID="{93096139-6AC2-4257-AED8-B42EDECBB4AB}">
  <ds:schemaRefs/>
</ds:datastoreItem>
</file>

<file path=customXml/itemProps98.xml><?xml version="1.0" encoding="utf-8"?>
<ds:datastoreItem xmlns:ds="http://schemas.openxmlformats.org/officeDocument/2006/customXml" ds:itemID="{1B8B00C6-D69A-4956-8628-E3B3A59967A3}">
  <ds:schemaRefs/>
</ds:datastoreItem>
</file>

<file path=customXml/itemProps99.xml><?xml version="1.0" encoding="utf-8"?>
<ds:datastoreItem xmlns:ds="http://schemas.openxmlformats.org/officeDocument/2006/customXml" ds:itemID="{3D5E1666-BDE2-4085-A1F1-6DBA864EDF3F}">
  <ds:schemaRefs/>
</ds:datastoreItem>
</file>

<file path=customXml/itemProps100.xml><?xml version="1.0" encoding="utf-8"?>
<ds:datastoreItem xmlns:ds="http://schemas.openxmlformats.org/officeDocument/2006/customXml" ds:itemID="{9DA2394D-0263-4321-BC1C-4B1C95877F50}">
  <ds:schemaRefs/>
</ds:datastoreItem>
</file>

<file path=customXml/itemProps101.xml><?xml version="1.0" encoding="utf-8"?>
<ds:datastoreItem xmlns:ds="http://schemas.openxmlformats.org/officeDocument/2006/customXml" ds:itemID="{073030D6-C728-4A1F-ABA9-F7CD312C2555}">
  <ds:schemaRefs/>
</ds:datastoreItem>
</file>

<file path=customXml/itemProps102.xml><?xml version="1.0" encoding="utf-8"?>
<ds:datastoreItem xmlns:ds="http://schemas.openxmlformats.org/officeDocument/2006/customXml" ds:itemID="{F55706EB-6904-4C17-BF73-45AE61EAC5EC}">
  <ds:schemaRefs/>
</ds:datastoreItem>
</file>

<file path=customXml/itemProps103.xml><?xml version="1.0" encoding="utf-8"?>
<ds:datastoreItem xmlns:ds="http://schemas.openxmlformats.org/officeDocument/2006/customXml" ds:itemID="{D7DE779D-AE78-467D-8165-94B18D88652C}">
  <ds:schemaRefs/>
</ds:datastoreItem>
</file>

<file path=customXml/itemProps104.xml><?xml version="1.0" encoding="utf-8"?>
<ds:datastoreItem xmlns:ds="http://schemas.openxmlformats.org/officeDocument/2006/customXml" ds:itemID="{88874A4D-6F50-442E-8A36-D9EC99A352BF}">
  <ds:schemaRefs/>
</ds:datastoreItem>
</file>

<file path=customXml/itemProps105.xml><?xml version="1.0" encoding="utf-8"?>
<ds:datastoreItem xmlns:ds="http://schemas.openxmlformats.org/officeDocument/2006/customXml" ds:itemID="{6A6CE567-2E68-43B3-940C-51C9EE525DFB}">
  <ds:schemaRefs/>
</ds:datastoreItem>
</file>

<file path=customXml/itemProps106.xml><?xml version="1.0" encoding="utf-8"?>
<ds:datastoreItem xmlns:ds="http://schemas.openxmlformats.org/officeDocument/2006/customXml" ds:itemID="{C34E5946-2B9D-4225-80A8-E0C3E56C1D82}">
  <ds:schemaRefs/>
</ds:datastoreItem>
</file>

<file path=customXml/itemProps107.xml><?xml version="1.0" encoding="utf-8"?>
<ds:datastoreItem xmlns:ds="http://schemas.openxmlformats.org/officeDocument/2006/customXml" ds:itemID="{12E1E34F-E531-4F1C-8039-B8C1F9978D20}">
  <ds:schemaRefs/>
</ds:datastoreItem>
</file>

<file path=customXml/itemProps108.xml><?xml version="1.0" encoding="utf-8"?>
<ds:datastoreItem xmlns:ds="http://schemas.openxmlformats.org/officeDocument/2006/customXml" ds:itemID="{263E7543-1338-43DB-BC61-4505F202AC6C}">
  <ds:schemaRefs/>
</ds:datastoreItem>
</file>

<file path=customXml/itemProps109.xml><?xml version="1.0" encoding="utf-8"?>
<ds:datastoreItem xmlns:ds="http://schemas.openxmlformats.org/officeDocument/2006/customXml" ds:itemID="{88E46063-F3C3-41BB-8510-7C45BC99E55D}">
  <ds:schemaRefs/>
</ds:datastoreItem>
</file>

<file path=customXml/itemProps110.xml><?xml version="1.0" encoding="utf-8"?>
<ds:datastoreItem xmlns:ds="http://schemas.openxmlformats.org/officeDocument/2006/customXml" ds:itemID="{FE215DC8-1A6B-419F-8969-25DC139AAC2E}">
  <ds:schemaRefs/>
</ds:datastoreItem>
</file>

<file path=customXml/itemProps111.xml><?xml version="1.0" encoding="utf-8"?>
<ds:datastoreItem xmlns:ds="http://schemas.openxmlformats.org/officeDocument/2006/customXml" ds:itemID="{E63C1FAD-22CF-4399-B94E-B4B8B6359048}">
  <ds:schemaRefs/>
</ds:datastoreItem>
</file>

<file path=customXml/itemProps112.xml><?xml version="1.0" encoding="utf-8"?>
<ds:datastoreItem xmlns:ds="http://schemas.openxmlformats.org/officeDocument/2006/customXml" ds:itemID="{A8EE929C-21CE-420A-AE3D-A54785A63E36}">
  <ds:schemaRefs/>
</ds:datastoreItem>
</file>

<file path=customXml/itemProps113.xml><?xml version="1.0" encoding="utf-8"?>
<ds:datastoreItem xmlns:ds="http://schemas.openxmlformats.org/officeDocument/2006/customXml" ds:itemID="{2D0BEB05-71CB-4DF7-A38D-D75E5C80E70C}">
  <ds:schemaRefs/>
</ds:datastoreItem>
</file>

<file path=customXml/itemProps114.xml><?xml version="1.0" encoding="utf-8"?>
<ds:datastoreItem xmlns:ds="http://schemas.openxmlformats.org/officeDocument/2006/customXml" ds:itemID="{B623BC4C-C08D-490E-BD0B-A30C24313B9A}">
  <ds:schemaRefs/>
</ds:datastoreItem>
</file>

<file path=customXml/itemProps115.xml><?xml version="1.0" encoding="utf-8"?>
<ds:datastoreItem xmlns:ds="http://schemas.openxmlformats.org/officeDocument/2006/customXml" ds:itemID="{28B0B78B-0921-49C4-8471-DD08EE571735}">
  <ds:schemaRefs>
    <ds:schemaRef ds:uri="http://www.w3.org/2001/XMLSchema"/>
    <ds:schemaRef ds:uri="http://microsoft.data.visualization.Client.Excel.CustomMapList/1.0"/>
  </ds:schemaRefs>
</ds:datastoreItem>
</file>

<file path=customXml/itemProps116.xml><?xml version="1.0" encoding="utf-8"?>
<ds:datastoreItem xmlns:ds="http://schemas.openxmlformats.org/officeDocument/2006/customXml" ds:itemID="{1A1F5D54-A5B4-4322-9473-9869A1AB480D}">
  <ds:schemaRefs/>
</ds:datastoreItem>
</file>

<file path=customXml/itemProps117.xml><?xml version="1.0" encoding="utf-8"?>
<ds:datastoreItem xmlns:ds="http://schemas.openxmlformats.org/officeDocument/2006/customXml" ds:itemID="{82B84B46-2E77-4D22-8139-2E515D709D88}">
  <ds:schemaRefs/>
</ds:datastoreItem>
</file>

<file path=customXml/itemProps118.xml><?xml version="1.0" encoding="utf-8"?>
<ds:datastoreItem xmlns:ds="http://schemas.openxmlformats.org/officeDocument/2006/customXml" ds:itemID="{BDF5B7E9-6EAC-496B-B055-E4061B1B5419}">
  <ds:schemaRefs/>
</ds:datastoreItem>
</file>

<file path=customXml/itemProps119.xml><?xml version="1.0" encoding="utf-8"?>
<ds:datastoreItem xmlns:ds="http://schemas.openxmlformats.org/officeDocument/2006/customXml" ds:itemID="{6705289E-670A-4A46-9687-065B35DFB68B}">
  <ds:schemaRefs/>
</ds:datastoreItem>
</file>

<file path=customXml/itemProps120.xml><?xml version="1.0" encoding="utf-8"?>
<ds:datastoreItem xmlns:ds="http://schemas.openxmlformats.org/officeDocument/2006/customXml" ds:itemID="{6790E857-F07F-40EB-A2AD-CF63229FC80F}">
  <ds:schemaRefs/>
</ds:datastoreItem>
</file>

<file path=customXml/itemProps121.xml><?xml version="1.0" encoding="utf-8"?>
<ds:datastoreItem xmlns:ds="http://schemas.openxmlformats.org/officeDocument/2006/customXml" ds:itemID="{11315F1E-CA6F-40CF-9751-E60FC241BB7E}">
  <ds:schemaRefs/>
</ds:datastoreItem>
</file>

<file path=customXml/itemProps122.xml><?xml version="1.0" encoding="utf-8"?>
<ds:datastoreItem xmlns:ds="http://schemas.openxmlformats.org/officeDocument/2006/customXml" ds:itemID="{3FD5E3EB-EA21-402D-922A-AAD7496D2E8D}">
  <ds:schemaRefs/>
</ds:datastoreItem>
</file>

<file path=customXml/itemProps123.xml><?xml version="1.0" encoding="utf-8"?>
<ds:datastoreItem xmlns:ds="http://schemas.openxmlformats.org/officeDocument/2006/customXml" ds:itemID="{41D14260-E329-4EF7-960A-A02974EBAC38}">
  <ds:schemaRefs/>
</ds:datastoreItem>
</file>

<file path=customXml/itemProps124.xml><?xml version="1.0" encoding="utf-8"?>
<ds:datastoreItem xmlns:ds="http://schemas.openxmlformats.org/officeDocument/2006/customXml" ds:itemID="{154938F9-36D5-4BDB-A014-572D514EBB23}">
  <ds:schemaRefs/>
</ds:datastoreItem>
</file>

<file path=customXml/itemProps125.xml><?xml version="1.0" encoding="utf-8"?>
<ds:datastoreItem xmlns:ds="http://schemas.openxmlformats.org/officeDocument/2006/customXml" ds:itemID="{A588B9CC-AFE6-418C-B4CA-1CB670B608D8}">
  <ds:schemaRefs/>
</ds:datastoreItem>
</file>

<file path=customXml/itemProps126.xml><?xml version="1.0" encoding="utf-8"?>
<ds:datastoreItem xmlns:ds="http://schemas.openxmlformats.org/officeDocument/2006/customXml" ds:itemID="{B945C44C-6A66-4BC4-8FE3-DCA4CC87A4F6}">
  <ds:schemaRefs/>
</ds:datastoreItem>
</file>

<file path=customXml/itemProps127.xml><?xml version="1.0" encoding="utf-8"?>
<ds:datastoreItem xmlns:ds="http://schemas.openxmlformats.org/officeDocument/2006/customXml" ds:itemID="{2A148F57-395B-460A-9C50-92AF222A0DAC}">
  <ds:schemaRefs/>
</ds:datastoreItem>
</file>

<file path=customXml/itemProps128.xml><?xml version="1.0" encoding="utf-8"?>
<ds:datastoreItem xmlns:ds="http://schemas.openxmlformats.org/officeDocument/2006/customXml" ds:itemID="{1B3659C1-5CC5-4802-B40D-FCD38115A49B}">
  <ds:schemaRefs/>
</ds:datastoreItem>
</file>

<file path=customXml/itemProps129.xml><?xml version="1.0" encoding="utf-8"?>
<ds:datastoreItem xmlns:ds="http://schemas.openxmlformats.org/officeDocument/2006/customXml" ds:itemID="{7C14CFE5-18BD-4A2F-B5D8-CC58C5C75C33}">
  <ds:schemaRefs/>
</ds:datastoreItem>
</file>

<file path=customXml/itemProps130.xml><?xml version="1.0" encoding="utf-8"?>
<ds:datastoreItem xmlns:ds="http://schemas.openxmlformats.org/officeDocument/2006/customXml" ds:itemID="{CB950BC3-684B-450C-8CCE-213412A4E77C}">
  <ds:schemaRefs/>
</ds:datastoreItem>
</file>

<file path=customXml/itemProps131.xml><?xml version="1.0" encoding="utf-8"?>
<ds:datastoreItem xmlns:ds="http://schemas.openxmlformats.org/officeDocument/2006/customXml" ds:itemID="{58C390F0-107B-4A55-85ED-E2FA5EE8B79D}">
  <ds:schemaRefs/>
</ds:datastoreItem>
</file>

<file path=customXml/itemProps132.xml><?xml version="1.0" encoding="utf-8"?>
<ds:datastoreItem xmlns:ds="http://schemas.openxmlformats.org/officeDocument/2006/customXml" ds:itemID="{808D9452-9A76-491B-836B-14F8F0FD57B9}">
  <ds:schemaRefs/>
</ds:datastoreItem>
</file>

<file path=customXml/itemProps133.xml><?xml version="1.0" encoding="utf-8"?>
<ds:datastoreItem xmlns:ds="http://schemas.openxmlformats.org/officeDocument/2006/customXml" ds:itemID="{DDDC4727-1AE4-4AFA-BC50-693D26F26307}">
  <ds:schemaRefs/>
</ds:datastoreItem>
</file>

<file path=customXml/itemProps134.xml><?xml version="1.0" encoding="utf-8"?>
<ds:datastoreItem xmlns:ds="http://schemas.openxmlformats.org/officeDocument/2006/customXml" ds:itemID="{CFFE74EE-1C17-41A5-9130-B2F781C40958}">
  <ds:schemaRefs/>
</ds:datastoreItem>
</file>

<file path=customXml/itemProps135.xml><?xml version="1.0" encoding="utf-8"?>
<ds:datastoreItem xmlns:ds="http://schemas.openxmlformats.org/officeDocument/2006/customXml" ds:itemID="{1ED1CBA5-E447-49E3-AB29-CCD7F3140128}">
  <ds:schemaRefs/>
</ds:datastoreItem>
</file>

<file path=customXml/itemProps136.xml><?xml version="1.0" encoding="utf-8"?>
<ds:datastoreItem xmlns:ds="http://schemas.openxmlformats.org/officeDocument/2006/customXml" ds:itemID="{57C6C154-B573-4F2F-880D-9CEA46AB9E69}">
  <ds:schemaRefs/>
</ds:datastoreItem>
</file>

<file path=customXml/itemProps137.xml><?xml version="1.0" encoding="utf-8"?>
<ds:datastoreItem xmlns:ds="http://schemas.openxmlformats.org/officeDocument/2006/customXml" ds:itemID="{676CE4C6-17B0-4E7B-84CE-8E424EFC97E9}">
  <ds:schemaRefs/>
</ds:datastoreItem>
</file>

<file path=customXml/itemProps138.xml><?xml version="1.0" encoding="utf-8"?>
<ds:datastoreItem xmlns:ds="http://schemas.openxmlformats.org/officeDocument/2006/customXml" ds:itemID="{11E0A912-0117-47D4-BFCB-9D8B36E2387E}">
  <ds:schemaRefs/>
</ds:datastoreItem>
</file>

<file path=customXml/itemProps139.xml><?xml version="1.0" encoding="utf-8"?>
<ds:datastoreItem xmlns:ds="http://schemas.openxmlformats.org/officeDocument/2006/customXml" ds:itemID="{5B229DF5-4A5E-4453-98B0-81353687F101}">
  <ds:schemaRefs/>
</ds:datastoreItem>
</file>

<file path=customXml/itemProps140.xml><?xml version="1.0" encoding="utf-8"?>
<ds:datastoreItem xmlns:ds="http://schemas.openxmlformats.org/officeDocument/2006/customXml" ds:itemID="{A333CF51-B8EC-40CF-B78D-27AAC9B2DD8B}">
  <ds:schemaRefs/>
</ds:datastoreItem>
</file>

<file path=customXml/itemProps141.xml><?xml version="1.0" encoding="utf-8"?>
<ds:datastoreItem xmlns:ds="http://schemas.openxmlformats.org/officeDocument/2006/customXml" ds:itemID="{D320102A-527D-4E02-B5CA-2503C6185ED1}">
  <ds:schemaRefs/>
</ds:datastoreItem>
</file>

<file path=customXml/itemProps142.xml><?xml version="1.0" encoding="utf-8"?>
<ds:datastoreItem xmlns:ds="http://schemas.openxmlformats.org/officeDocument/2006/customXml" ds:itemID="{A16E2F87-0D2C-4BDF-A541-2D1FAFA6DEC9}">
  <ds:schemaRefs/>
</ds:datastoreItem>
</file>

<file path=customXml/itemProps143.xml><?xml version="1.0" encoding="utf-8"?>
<ds:datastoreItem xmlns:ds="http://schemas.openxmlformats.org/officeDocument/2006/customXml" ds:itemID="{B81D396A-6D2B-4D44-9087-BF82BA8AEB99}">
  <ds:schemaRefs/>
</ds:datastoreItem>
</file>

<file path=customXml/itemProps144.xml><?xml version="1.0" encoding="utf-8"?>
<ds:datastoreItem xmlns:ds="http://schemas.openxmlformats.org/officeDocument/2006/customXml" ds:itemID="{5A757599-2650-4754-B887-03430E2082B3}">
  <ds:schemaRefs/>
</ds:datastoreItem>
</file>

<file path=customXml/itemProps145.xml><?xml version="1.0" encoding="utf-8"?>
<ds:datastoreItem xmlns:ds="http://schemas.openxmlformats.org/officeDocument/2006/customXml" ds:itemID="{1586613E-344B-4CF0-81EC-670C0EC45140}">
  <ds:schemaRefs/>
</ds:datastoreItem>
</file>

<file path=customXml/itemProps146.xml><?xml version="1.0" encoding="utf-8"?>
<ds:datastoreItem xmlns:ds="http://schemas.openxmlformats.org/officeDocument/2006/customXml" ds:itemID="{8FF3260C-712C-44D8-A7FA-FB1811F87B1D}">
  <ds:schemaRefs/>
</ds:datastoreItem>
</file>

<file path=customXml/itemProps147.xml><?xml version="1.0" encoding="utf-8"?>
<ds:datastoreItem xmlns:ds="http://schemas.openxmlformats.org/officeDocument/2006/customXml" ds:itemID="{48BA657C-406C-421B-A0E5-5DB850EC39F2}">
  <ds:schemaRefs/>
</ds:datastoreItem>
</file>

<file path=customXml/itemProps148.xml><?xml version="1.0" encoding="utf-8"?>
<ds:datastoreItem xmlns:ds="http://schemas.openxmlformats.org/officeDocument/2006/customXml" ds:itemID="{40AC1A06-72D3-4159-9885-21EF0DD0EB6C}">
  <ds:schemaRefs/>
</ds:datastoreItem>
</file>

<file path=customXml/itemProps149.xml><?xml version="1.0" encoding="utf-8"?>
<ds:datastoreItem xmlns:ds="http://schemas.openxmlformats.org/officeDocument/2006/customXml" ds:itemID="{14961F20-4643-47CA-8A47-6B47E8D6425B}">
  <ds:schemaRefs/>
</ds:datastoreItem>
</file>

<file path=customXml/itemProps150.xml><?xml version="1.0" encoding="utf-8"?>
<ds:datastoreItem xmlns:ds="http://schemas.openxmlformats.org/officeDocument/2006/customXml" ds:itemID="{71E4BF87-EA3D-4978-82BE-F67C5DDBF51C}">
  <ds:schemaRefs/>
</ds:datastoreItem>
</file>

<file path=customXml/itemProps151.xml><?xml version="1.0" encoding="utf-8"?>
<ds:datastoreItem xmlns:ds="http://schemas.openxmlformats.org/officeDocument/2006/customXml" ds:itemID="{2C3905F1-A4FC-49A5-A627-2E53C5CC7415}">
  <ds:schemaRefs/>
</ds:datastoreItem>
</file>

<file path=customXml/itemProps152.xml><?xml version="1.0" encoding="utf-8"?>
<ds:datastoreItem xmlns:ds="http://schemas.openxmlformats.org/officeDocument/2006/customXml" ds:itemID="{E8D3E68A-70BF-4B8E-9C90-7BD0BE6AA829}">
  <ds:schemaRefs/>
</ds:datastoreItem>
</file>

<file path=customXml/itemProps153.xml><?xml version="1.0" encoding="utf-8"?>
<ds:datastoreItem xmlns:ds="http://schemas.openxmlformats.org/officeDocument/2006/customXml" ds:itemID="{A11E85FC-3828-4BCB-BBE3-647A9C972C97}">
  <ds:schemaRefs/>
</ds:datastoreItem>
</file>

<file path=customXml/itemProps154.xml><?xml version="1.0" encoding="utf-8"?>
<ds:datastoreItem xmlns:ds="http://schemas.openxmlformats.org/officeDocument/2006/customXml" ds:itemID="{8E941967-B6F8-45DA-AEFD-E1C630BB2498}">
  <ds:schemaRefs/>
</ds:datastoreItem>
</file>

<file path=customXml/itemProps155.xml><?xml version="1.0" encoding="utf-8"?>
<ds:datastoreItem xmlns:ds="http://schemas.openxmlformats.org/officeDocument/2006/customXml" ds:itemID="{C217FD84-A688-4C63-83E4-6712BD369FF3}">
  <ds:schemaRefs/>
</ds:datastoreItem>
</file>

<file path=customXml/itemProps156.xml><?xml version="1.0" encoding="utf-8"?>
<ds:datastoreItem xmlns:ds="http://schemas.openxmlformats.org/officeDocument/2006/customXml" ds:itemID="{F5E4F980-EB5D-40AB-8C0F-0F6FCDDFEAF5}">
  <ds:schemaRefs/>
</ds:datastoreItem>
</file>

<file path=customXml/itemProps157.xml><?xml version="1.0" encoding="utf-8"?>
<ds:datastoreItem xmlns:ds="http://schemas.openxmlformats.org/officeDocument/2006/customXml" ds:itemID="{61545358-7F8C-4BD7-92C7-092048F7010D}">
  <ds:schemaRefs/>
</ds:datastoreItem>
</file>

<file path=customXml/itemProps158.xml><?xml version="1.0" encoding="utf-8"?>
<ds:datastoreItem xmlns:ds="http://schemas.openxmlformats.org/officeDocument/2006/customXml" ds:itemID="{F6E01239-25BE-4AB3-80BF-5F9FF3D8BDD8}">
  <ds:schemaRefs/>
</ds:datastoreItem>
</file>

<file path=customXml/itemProps159.xml><?xml version="1.0" encoding="utf-8"?>
<ds:datastoreItem xmlns:ds="http://schemas.openxmlformats.org/officeDocument/2006/customXml" ds:itemID="{26111D49-1CFF-4B0F-AECA-C01E25D19D27}">
  <ds:schemaRefs/>
</ds:datastoreItem>
</file>

<file path=customXml/itemProps160.xml><?xml version="1.0" encoding="utf-8"?>
<ds:datastoreItem xmlns:ds="http://schemas.openxmlformats.org/officeDocument/2006/customXml" ds:itemID="{A65FD6E7-28B9-413D-82BF-3BA1EFB33B2F}">
  <ds:schemaRefs/>
</ds:datastoreItem>
</file>

<file path=customXml/itemProps161.xml><?xml version="1.0" encoding="utf-8"?>
<ds:datastoreItem xmlns:ds="http://schemas.openxmlformats.org/officeDocument/2006/customXml" ds:itemID="{E0DBDE7B-24D7-4137-A6B8-2CB3E541D09E}">
  <ds:schemaRefs/>
</ds:datastoreItem>
</file>

<file path=customXml/itemProps162.xml><?xml version="1.0" encoding="utf-8"?>
<ds:datastoreItem xmlns:ds="http://schemas.openxmlformats.org/officeDocument/2006/customXml" ds:itemID="{1616D2F1-0D12-47AC-90ED-173985A86667}">
  <ds:schemaRefs/>
</ds:datastoreItem>
</file>

<file path=customXml/itemProps163.xml><?xml version="1.0" encoding="utf-8"?>
<ds:datastoreItem xmlns:ds="http://schemas.openxmlformats.org/officeDocument/2006/customXml" ds:itemID="{B4C83AB8-C877-4D56-857C-C9F5F8785446}">
  <ds:schemaRefs/>
</ds:datastoreItem>
</file>

<file path=customXml/itemProps164.xml><?xml version="1.0" encoding="utf-8"?>
<ds:datastoreItem xmlns:ds="http://schemas.openxmlformats.org/officeDocument/2006/customXml" ds:itemID="{78346D83-9C6C-4499-97B3-17C387E2D0E4}">
  <ds:schemaRefs/>
</ds:datastoreItem>
</file>

<file path=customXml/itemProps165.xml><?xml version="1.0" encoding="utf-8"?>
<ds:datastoreItem xmlns:ds="http://schemas.openxmlformats.org/officeDocument/2006/customXml" ds:itemID="{47EAEC00-0450-41ED-8B25-B493200EAAE4}">
  <ds:schemaRefs/>
</ds:datastoreItem>
</file>

<file path=customXml/itemProps166.xml><?xml version="1.0" encoding="utf-8"?>
<ds:datastoreItem xmlns:ds="http://schemas.openxmlformats.org/officeDocument/2006/customXml" ds:itemID="{BF6BF091-ABE8-4032-A4EA-7C159030F141}">
  <ds:schemaRefs/>
</ds:datastoreItem>
</file>

<file path=customXml/itemProps167.xml><?xml version="1.0" encoding="utf-8"?>
<ds:datastoreItem xmlns:ds="http://schemas.openxmlformats.org/officeDocument/2006/customXml" ds:itemID="{D6D961F0-39ED-4224-A63B-F6EE86F2D37F}">
  <ds:schemaRefs/>
</ds:datastoreItem>
</file>

<file path=customXml/itemProps168.xml><?xml version="1.0" encoding="utf-8"?>
<ds:datastoreItem xmlns:ds="http://schemas.openxmlformats.org/officeDocument/2006/customXml" ds:itemID="{422B3C81-0505-4A56-886D-F70B4930CBDB}">
  <ds:schemaRefs/>
</ds:datastoreItem>
</file>

<file path=customXml/itemProps169.xml><?xml version="1.0" encoding="utf-8"?>
<ds:datastoreItem xmlns:ds="http://schemas.openxmlformats.org/officeDocument/2006/customXml" ds:itemID="{AFD5AEBF-0748-4259-90B3-2BD9EA7BD8D6}">
  <ds:schemaRefs/>
</ds:datastoreItem>
</file>

<file path=customXml/itemProps170.xml><?xml version="1.0" encoding="utf-8"?>
<ds:datastoreItem xmlns:ds="http://schemas.openxmlformats.org/officeDocument/2006/customXml" ds:itemID="{D7083E7B-EDF7-4CCE-9BB0-0836793FBD06}">
  <ds:schemaRefs/>
</ds:datastoreItem>
</file>

<file path=customXml/itemProps171.xml><?xml version="1.0" encoding="utf-8"?>
<ds:datastoreItem xmlns:ds="http://schemas.openxmlformats.org/officeDocument/2006/customXml" ds:itemID="{C301AD00-C7FD-4BF4-B542-EF7FB7A52E95}">
  <ds:schemaRefs/>
</ds:datastoreItem>
</file>

<file path=customXml/itemProps172.xml><?xml version="1.0" encoding="utf-8"?>
<ds:datastoreItem xmlns:ds="http://schemas.openxmlformats.org/officeDocument/2006/customXml" ds:itemID="{E8AAE387-7C59-4884-8C19-B7327268EA0D}">
  <ds:schemaRefs/>
</ds:datastoreItem>
</file>

<file path=customXml/itemProps173.xml><?xml version="1.0" encoding="utf-8"?>
<ds:datastoreItem xmlns:ds="http://schemas.openxmlformats.org/officeDocument/2006/customXml" ds:itemID="{56E37274-5EB4-43A7-B420-835B9005776D}">
  <ds:schemaRefs/>
</ds:datastoreItem>
</file>

<file path=customXml/itemProps174.xml><?xml version="1.0" encoding="utf-8"?>
<ds:datastoreItem xmlns:ds="http://schemas.openxmlformats.org/officeDocument/2006/customXml" ds:itemID="{DD90CD8F-2B0A-4C45-9817-FAD7464D0E68}">
  <ds:schemaRefs/>
</ds:datastoreItem>
</file>

<file path=customXml/itemProps175.xml><?xml version="1.0" encoding="utf-8"?>
<ds:datastoreItem xmlns:ds="http://schemas.openxmlformats.org/officeDocument/2006/customXml" ds:itemID="{2AE5F8BA-29BA-4663-8D6A-BE407F5FEB68}">
  <ds:schemaRefs/>
</ds:datastoreItem>
</file>

<file path=customXml/itemProps176.xml><?xml version="1.0" encoding="utf-8"?>
<ds:datastoreItem xmlns:ds="http://schemas.openxmlformats.org/officeDocument/2006/customXml" ds:itemID="{3E5424D0-AD84-474B-9CAF-AA4D0CED5710}">
  <ds:schemaRefs/>
</ds:datastoreItem>
</file>

<file path=customXml/itemProps177.xml><?xml version="1.0" encoding="utf-8"?>
<ds:datastoreItem xmlns:ds="http://schemas.openxmlformats.org/officeDocument/2006/customXml" ds:itemID="{822CC4B3-EEA6-4C17-B852-9C907810D87A}">
  <ds:schemaRefs/>
</ds:datastoreItem>
</file>

<file path=customXml/itemProps178.xml><?xml version="1.0" encoding="utf-8"?>
<ds:datastoreItem xmlns:ds="http://schemas.openxmlformats.org/officeDocument/2006/customXml" ds:itemID="{A3DA882B-1B38-456D-9DD6-64E88A80827F}">
  <ds:schemaRefs/>
</ds:datastoreItem>
</file>

<file path=customXml/itemProps179.xml><?xml version="1.0" encoding="utf-8"?>
<ds:datastoreItem xmlns:ds="http://schemas.openxmlformats.org/officeDocument/2006/customXml" ds:itemID="{E431C938-77E9-41E5-AE14-F98606279E22}">
  <ds:schemaRefs/>
</ds:datastoreItem>
</file>

<file path=customXml/itemProps180.xml><?xml version="1.0" encoding="utf-8"?>
<ds:datastoreItem xmlns:ds="http://schemas.openxmlformats.org/officeDocument/2006/customXml" ds:itemID="{EA636410-2140-4EDD-AB35-4A5464987E1A}">
  <ds:schemaRefs/>
</ds:datastoreItem>
</file>

<file path=customXml/itemProps181.xml><?xml version="1.0" encoding="utf-8"?>
<ds:datastoreItem xmlns:ds="http://schemas.openxmlformats.org/officeDocument/2006/customXml" ds:itemID="{8F75CB86-84C4-40D4-84CB-8FF8BFC44F19}">
  <ds:schemaRefs/>
</ds:datastoreItem>
</file>

<file path=customXml/itemProps182.xml><?xml version="1.0" encoding="utf-8"?>
<ds:datastoreItem xmlns:ds="http://schemas.openxmlformats.org/officeDocument/2006/customXml" ds:itemID="{6A9E78A0-26F0-4ED4-B188-862E16C53E40}">
  <ds:schemaRefs/>
</ds:datastoreItem>
</file>

<file path=customXml/itemProps183.xml><?xml version="1.0" encoding="utf-8"?>
<ds:datastoreItem xmlns:ds="http://schemas.openxmlformats.org/officeDocument/2006/customXml" ds:itemID="{05CEB961-C1EC-43BD-84D1-47D82C382A1D}">
  <ds:schemaRefs>
    <ds:schemaRef ds:uri="http://www.w3.org/2001/XMLSchema"/>
    <ds:schemaRef ds:uri="http://microsoft.data.visualization.Client.Excel/1.0"/>
  </ds:schemaRefs>
</ds:datastoreItem>
</file>

<file path=customXml/itemProps184.xml><?xml version="1.0" encoding="utf-8"?>
<ds:datastoreItem xmlns:ds="http://schemas.openxmlformats.org/officeDocument/2006/customXml" ds:itemID="{3F11E267-128A-41BC-A204-0A3C46356034}">
  <ds:schemaRefs/>
</ds:datastoreItem>
</file>

<file path=customXml/itemProps185.xml><?xml version="1.0" encoding="utf-8"?>
<ds:datastoreItem xmlns:ds="http://schemas.openxmlformats.org/officeDocument/2006/customXml" ds:itemID="{A77A746A-ECAA-47EE-8E72-F96F4EA5B0D9}">
  <ds:schemaRefs/>
</ds:datastoreItem>
</file>

<file path=customXml/itemProps186.xml><?xml version="1.0" encoding="utf-8"?>
<ds:datastoreItem xmlns:ds="http://schemas.openxmlformats.org/officeDocument/2006/customXml" ds:itemID="{21515A9D-2BA1-4A0A-8C55-5BE84F67C0B8}">
  <ds:schemaRefs/>
</ds:datastoreItem>
</file>

<file path=customXml/itemProps187.xml><?xml version="1.0" encoding="utf-8"?>
<ds:datastoreItem xmlns:ds="http://schemas.openxmlformats.org/officeDocument/2006/customXml" ds:itemID="{9D28C0BA-3851-47AC-8F9A-58791C43F7B5}">
  <ds:schemaRefs/>
</ds:datastoreItem>
</file>

<file path=customXml/itemProps188.xml><?xml version="1.0" encoding="utf-8"?>
<ds:datastoreItem xmlns:ds="http://schemas.openxmlformats.org/officeDocument/2006/customXml" ds:itemID="{3E466D48-1808-4EBA-9DB6-C6C109520604}">
  <ds:schemaRefs/>
</ds:datastoreItem>
</file>

<file path=customXml/itemProps189.xml><?xml version="1.0" encoding="utf-8"?>
<ds:datastoreItem xmlns:ds="http://schemas.openxmlformats.org/officeDocument/2006/customXml" ds:itemID="{93B7BA04-4D0A-4A1C-9DA7-92B732595E19}">
  <ds:schemaRefs/>
</ds:datastoreItem>
</file>

<file path=customXml/itemProps190.xml><?xml version="1.0" encoding="utf-8"?>
<ds:datastoreItem xmlns:ds="http://schemas.openxmlformats.org/officeDocument/2006/customXml" ds:itemID="{32F6AB45-0F59-4335-8DB7-CB8CCC864B83}">
  <ds:schemaRefs/>
</ds:datastoreItem>
</file>

<file path=customXml/itemProps191.xml><?xml version="1.0" encoding="utf-8"?>
<ds:datastoreItem xmlns:ds="http://schemas.openxmlformats.org/officeDocument/2006/customXml" ds:itemID="{1E1A07D0-F42E-4A72-8E8C-D8D38082768F}">
  <ds:schemaRefs/>
</ds:datastoreItem>
</file>

<file path=customXml/itemProps192.xml><?xml version="1.0" encoding="utf-8"?>
<ds:datastoreItem xmlns:ds="http://schemas.openxmlformats.org/officeDocument/2006/customXml" ds:itemID="{440DB35D-319D-4F74-8AA4-C1B771C6B380}">
  <ds:schemaRefs/>
</ds:datastoreItem>
</file>

<file path=customXml/itemProps193.xml><?xml version="1.0" encoding="utf-8"?>
<ds:datastoreItem xmlns:ds="http://schemas.openxmlformats.org/officeDocument/2006/customXml" ds:itemID="{6797C2CE-A31B-475F-AF60-61954CDB583C}">
  <ds:schemaRefs/>
</ds:datastoreItem>
</file>

<file path=customXml/itemProps194.xml><?xml version="1.0" encoding="utf-8"?>
<ds:datastoreItem xmlns:ds="http://schemas.openxmlformats.org/officeDocument/2006/customXml" ds:itemID="{E0F4A8AB-E4B8-407B-8B7D-4B3F44D4FA02}">
  <ds:schemaRefs/>
</ds:datastoreItem>
</file>

<file path=customXml/itemProps195.xml><?xml version="1.0" encoding="utf-8"?>
<ds:datastoreItem xmlns:ds="http://schemas.openxmlformats.org/officeDocument/2006/customXml" ds:itemID="{41BAB267-F051-48C8-AA28-575A5866CF3E}">
  <ds:schemaRefs/>
</ds:datastoreItem>
</file>

<file path=customXml/itemProps196.xml><?xml version="1.0" encoding="utf-8"?>
<ds:datastoreItem xmlns:ds="http://schemas.openxmlformats.org/officeDocument/2006/customXml" ds:itemID="{CF7B7BDF-13CE-4130-A887-A5742A4F72DC}">
  <ds:schemaRefs/>
</ds:datastoreItem>
</file>

<file path=customXml/itemProps197.xml><?xml version="1.0" encoding="utf-8"?>
<ds:datastoreItem xmlns:ds="http://schemas.openxmlformats.org/officeDocument/2006/customXml" ds:itemID="{99C9F28B-7EAD-4B2A-80AA-64C793D94C9E}">
  <ds:schemaRefs/>
</ds:datastoreItem>
</file>

<file path=customXml/itemProps198.xml><?xml version="1.0" encoding="utf-8"?>
<ds:datastoreItem xmlns:ds="http://schemas.openxmlformats.org/officeDocument/2006/customXml" ds:itemID="{AB27904F-23BE-4F7B-BF3F-13A5E62436BF}">
  <ds:schemaRefs/>
</ds:datastoreItem>
</file>

<file path=customXml/itemProps199.xml><?xml version="1.0" encoding="utf-8"?>
<ds:datastoreItem xmlns:ds="http://schemas.openxmlformats.org/officeDocument/2006/customXml" ds:itemID="{AE147C79-A8DD-4C8A-948B-978B8C8740BA}">
  <ds:schemaRefs/>
</ds:datastoreItem>
</file>

<file path=customXml/itemProps200.xml><?xml version="1.0" encoding="utf-8"?>
<ds:datastoreItem xmlns:ds="http://schemas.openxmlformats.org/officeDocument/2006/customXml" ds:itemID="{8CBA6297-B7AA-4D97-B3A3-F526F4D8F491}">
  <ds:schemaRefs>
    <ds:schemaRef ds:uri="http://www.w3.org/2001/XMLSchema"/>
    <ds:schemaRef ds:uri="http://microsoft.data.visualization.engine.tours/1.0"/>
  </ds:schemaRefs>
</ds:datastoreItem>
</file>

<file path=customXml/itemProps201.xml><?xml version="1.0" encoding="utf-8"?>
<ds:datastoreItem xmlns:ds="http://schemas.openxmlformats.org/officeDocument/2006/customXml" ds:itemID="{E14D718F-8D00-4DD1-8013-EFAB2D2571AA}">
  <ds:schemaRefs/>
</ds:datastoreItem>
</file>

<file path=customXml/itemProps202.xml><?xml version="1.0" encoding="utf-8"?>
<ds:datastoreItem xmlns:ds="http://schemas.openxmlformats.org/officeDocument/2006/customXml" ds:itemID="{E6FC5B71-70D2-4143-8561-7ABBC9E4A6C1}">
  <ds:schemaRefs/>
</ds:datastoreItem>
</file>

<file path=customXml/itemProps203.xml><?xml version="1.0" encoding="utf-8"?>
<ds:datastoreItem xmlns:ds="http://schemas.openxmlformats.org/officeDocument/2006/customXml" ds:itemID="{DFDA8D21-C75D-409D-B3E1-9615D9A1D9EF}">
  <ds:schemaRefs/>
</ds:datastoreItem>
</file>

<file path=customXml/itemProps204.xml><?xml version="1.0" encoding="utf-8"?>
<ds:datastoreItem xmlns:ds="http://schemas.openxmlformats.org/officeDocument/2006/customXml" ds:itemID="{FFADC5FE-351D-467D-8D1E-E8D8BBC0039C}">
  <ds:schemaRefs/>
</ds:datastoreItem>
</file>

<file path=customXml/itemProps205.xml><?xml version="1.0" encoding="utf-8"?>
<ds:datastoreItem xmlns:ds="http://schemas.openxmlformats.org/officeDocument/2006/customXml" ds:itemID="{3EEE992C-0E78-4D9E-8680-B3E97206A7F0}">
  <ds:schemaRefs>
    <ds:schemaRef ds:uri="http://www.w3.org/2001/XMLSchema"/>
    <ds:schemaRef ds:uri="http://microsoft.data.visualization.Client.Excel.PState/1.0"/>
  </ds:schemaRefs>
</ds:datastoreItem>
</file>

<file path=customXml/itemProps206.xml><?xml version="1.0" encoding="utf-8"?>
<ds:datastoreItem xmlns:ds="http://schemas.openxmlformats.org/officeDocument/2006/customXml" ds:itemID="{9B66C0C2-003C-4CBD-8FF8-CC2571C1E3FD}">
  <ds:schemaRefs/>
</ds:datastoreItem>
</file>

<file path=customXml/itemProps207.xml><?xml version="1.0" encoding="utf-8"?>
<ds:datastoreItem xmlns:ds="http://schemas.openxmlformats.org/officeDocument/2006/customXml" ds:itemID="{A66C631A-9AB8-4290-91CD-275131F636BA}">
  <ds:schemaRefs/>
</ds:datastoreItem>
</file>

<file path=customXml/itemProps208.xml><?xml version="1.0" encoding="utf-8"?>
<ds:datastoreItem xmlns:ds="http://schemas.openxmlformats.org/officeDocument/2006/customXml" ds:itemID="{ED7CCBF6-A17F-47F1-9C38-90B5232A8D70}">
  <ds:schemaRefs/>
</ds:datastoreItem>
</file>

<file path=customXml/itemProps209.xml><?xml version="1.0" encoding="utf-8"?>
<ds:datastoreItem xmlns:ds="http://schemas.openxmlformats.org/officeDocument/2006/customXml" ds:itemID="{68261FA9-3D7C-4D9E-B658-2805E4316A24}">
  <ds:schemaRefs/>
</ds:datastoreItem>
</file>

<file path=customXml/itemProps210.xml><?xml version="1.0" encoding="utf-8"?>
<ds:datastoreItem xmlns:ds="http://schemas.openxmlformats.org/officeDocument/2006/customXml" ds:itemID="{4C82FD12-376E-4F86-B8A8-C589C0956713}">
  <ds:schemaRefs/>
</ds:datastoreItem>
</file>

<file path=customXml/itemProps211.xml><?xml version="1.0" encoding="utf-8"?>
<ds:datastoreItem xmlns:ds="http://schemas.openxmlformats.org/officeDocument/2006/customXml" ds:itemID="{6A89D971-8098-4133-9FE4-91894D11EED8}">
  <ds:schemaRefs/>
</ds:datastoreItem>
</file>

<file path=customXml/itemProps212.xml><?xml version="1.0" encoding="utf-8"?>
<ds:datastoreItem xmlns:ds="http://schemas.openxmlformats.org/officeDocument/2006/customXml" ds:itemID="{8A6C7B5B-BAB6-47DC-AD58-25F3193055D3}">
  <ds:schemaRefs/>
</ds:datastoreItem>
</file>

<file path=customXml/itemProps213.xml><?xml version="1.0" encoding="utf-8"?>
<ds:datastoreItem xmlns:ds="http://schemas.openxmlformats.org/officeDocument/2006/customXml" ds:itemID="{E471FF46-D940-4245-AD31-573F167B9D3C}">
  <ds:schemaRefs/>
</ds:datastoreItem>
</file>

<file path=customXml/itemProps214.xml><?xml version="1.0" encoding="utf-8"?>
<ds:datastoreItem xmlns:ds="http://schemas.openxmlformats.org/officeDocument/2006/customXml" ds:itemID="{91CD8DBF-AF07-4EF7-AB03-340152F22CDE}">
  <ds:schemaRefs/>
</ds:datastoreItem>
</file>

<file path=customXml/itemProps215.xml><?xml version="1.0" encoding="utf-8"?>
<ds:datastoreItem xmlns:ds="http://schemas.openxmlformats.org/officeDocument/2006/customXml" ds:itemID="{3B234B4A-0696-4239-9392-03917456B091}">
  <ds:schemaRefs/>
</ds:datastoreItem>
</file>

<file path=customXml/itemProps216.xml><?xml version="1.0" encoding="utf-8"?>
<ds:datastoreItem xmlns:ds="http://schemas.openxmlformats.org/officeDocument/2006/customXml" ds:itemID="{92C8815B-30FA-4585-8937-66A8E5794E35}">
  <ds:schemaRefs/>
</ds:datastoreItem>
</file>

<file path=customXml/itemProps217.xml><?xml version="1.0" encoding="utf-8"?>
<ds:datastoreItem xmlns:ds="http://schemas.openxmlformats.org/officeDocument/2006/customXml" ds:itemID="{685F2D8A-5DBA-412A-AA1A-268BB6E4A12B}">
  <ds:schemaRefs/>
</ds:datastoreItem>
</file>

<file path=customXml/itemProps218.xml><?xml version="1.0" encoding="utf-8"?>
<ds:datastoreItem xmlns:ds="http://schemas.openxmlformats.org/officeDocument/2006/customXml" ds:itemID="{84EF4843-67A8-45E3-9C24-59AFC3E9FA9E}">
  <ds:schemaRefs/>
</ds:datastoreItem>
</file>

<file path=customXml/itemProps219.xml><?xml version="1.0" encoding="utf-8"?>
<ds:datastoreItem xmlns:ds="http://schemas.openxmlformats.org/officeDocument/2006/customXml" ds:itemID="{04635E87-0CF5-4615-8EEC-3705B91110EA}">
  <ds:schemaRefs/>
</ds:datastoreItem>
</file>

<file path=customXml/itemProps220.xml><?xml version="1.0" encoding="utf-8"?>
<ds:datastoreItem xmlns:ds="http://schemas.openxmlformats.org/officeDocument/2006/customXml" ds:itemID="{A1F4FBFF-D03D-47BA-9AE1-1B947BCC21EA}">
  <ds:schemaRefs/>
</ds:datastoreItem>
</file>

<file path=customXml/itemProps221.xml><?xml version="1.0" encoding="utf-8"?>
<ds:datastoreItem xmlns:ds="http://schemas.openxmlformats.org/officeDocument/2006/customXml" ds:itemID="{C7240F1A-D009-4230-BC23-C700397663BF}">
  <ds:schemaRefs/>
</ds:datastoreItem>
</file>

<file path=customXml/itemProps222.xml><?xml version="1.0" encoding="utf-8"?>
<ds:datastoreItem xmlns:ds="http://schemas.openxmlformats.org/officeDocument/2006/customXml" ds:itemID="{DB014C60-D4A5-4192-8CB5-FF911FC6E607}">
  <ds:schemaRefs/>
</ds:datastoreItem>
</file>

<file path=customXml/itemProps223.xml><?xml version="1.0" encoding="utf-8"?>
<ds:datastoreItem xmlns:ds="http://schemas.openxmlformats.org/officeDocument/2006/customXml" ds:itemID="{E5D95D4B-737E-4228-8A9C-9620CA151710}">
  <ds:schemaRefs/>
</ds:datastoreItem>
</file>

<file path=customXml/itemProps224.xml><?xml version="1.0" encoding="utf-8"?>
<ds:datastoreItem xmlns:ds="http://schemas.openxmlformats.org/officeDocument/2006/customXml" ds:itemID="{552D760B-EC2F-4DF2-98B2-7D1A9FA35B5F}">
  <ds:schemaRefs/>
</ds:datastoreItem>
</file>

<file path=customXml/itemProps225.xml><?xml version="1.0" encoding="utf-8"?>
<ds:datastoreItem xmlns:ds="http://schemas.openxmlformats.org/officeDocument/2006/customXml" ds:itemID="{B9613458-8235-4D1A-92E2-804D266CB857}">
  <ds:schemaRefs/>
</ds:datastoreItem>
</file>

<file path=customXml/itemProps226.xml><?xml version="1.0" encoding="utf-8"?>
<ds:datastoreItem xmlns:ds="http://schemas.openxmlformats.org/officeDocument/2006/customXml" ds:itemID="{FC4316DB-4F26-4D7B-9511-B5038D4447D3}">
  <ds:schemaRefs/>
</ds:datastoreItem>
</file>

<file path=customXml/itemProps227.xml><?xml version="1.0" encoding="utf-8"?>
<ds:datastoreItem xmlns:ds="http://schemas.openxmlformats.org/officeDocument/2006/customXml" ds:itemID="{39FDC873-F870-4601-A88C-6A8620C80643}">
  <ds:schemaRefs/>
</ds:datastoreItem>
</file>

<file path=customXml/itemProps228.xml><?xml version="1.0" encoding="utf-8"?>
<ds:datastoreItem xmlns:ds="http://schemas.openxmlformats.org/officeDocument/2006/customXml" ds:itemID="{CF297705-A368-4225-9F1C-268291DCC01F}">
  <ds:schemaRefs/>
</ds:datastoreItem>
</file>

<file path=customXml/itemProps229.xml><?xml version="1.0" encoding="utf-8"?>
<ds:datastoreItem xmlns:ds="http://schemas.openxmlformats.org/officeDocument/2006/customXml" ds:itemID="{AA8E8DC6-2B8D-4BDF-BE29-BBF67832545B}">
  <ds:schemaRefs/>
</ds:datastoreItem>
</file>

<file path=customXml/itemProps230.xml><?xml version="1.0" encoding="utf-8"?>
<ds:datastoreItem xmlns:ds="http://schemas.openxmlformats.org/officeDocument/2006/customXml" ds:itemID="{3B6298AB-20DC-411F-9E31-F0B03CC44808}">
  <ds:schemaRefs/>
</ds:datastoreItem>
</file>

<file path=customXml/itemProps231.xml><?xml version="1.0" encoding="utf-8"?>
<ds:datastoreItem xmlns:ds="http://schemas.openxmlformats.org/officeDocument/2006/customXml" ds:itemID="{79B7717E-E38C-456C-918B-0F5355160CD1}">
  <ds:schemaRefs/>
</ds:datastoreItem>
</file>

<file path=customXml/itemProps232.xml><?xml version="1.0" encoding="utf-8"?>
<ds:datastoreItem xmlns:ds="http://schemas.openxmlformats.org/officeDocument/2006/customXml" ds:itemID="{1AFA2237-0EEA-4F66-8310-C4608F5B018B}">
  <ds:schemaRefs/>
</ds:datastoreItem>
</file>

<file path=customXml/itemProps233.xml><?xml version="1.0" encoding="utf-8"?>
<ds:datastoreItem xmlns:ds="http://schemas.openxmlformats.org/officeDocument/2006/customXml" ds:itemID="{3E2D87EE-2C96-4D51-860F-8C561E947EE6}">
  <ds:schemaRefs/>
</ds:datastoreItem>
</file>

<file path=customXml/itemProps234.xml><?xml version="1.0" encoding="utf-8"?>
<ds:datastoreItem xmlns:ds="http://schemas.openxmlformats.org/officeDocument/2006/customXml" ds:itemID="{36BEC1E5-E6CB-4F26-AB82-1FCBAE01F2BD}">
  <ds:schemaRefs/>
</ds:datastoreItem>
</file>

<file path=customXml/itemProps235.xml><?xml version="1.0" encoding="utf-8"?>
<ds:datastoreItem xmlns:ds="http://schemas.openxmlformats.org/officeDocument/2006/customXml" ds:itemID="{EBC38995-20D2-4E9D-8885-7F1A649D0DF9}">
  <ds:schemaRefs/>
</ds:datastoreItem>
</file>

<file path=customXml/itemProps236.xml><?xml version="1.0" encoding="utf-8"?>
<ds:datastoreItem xmlns:ds="http://schemas.openxmlformats.org/officeDocument/2006/customXml" ds:itemID="{24113C84-AD7D-4E7B-BB01-6610386F0181}">
  <ds:schemaRefs/>
</ds:datastoreItem>
</file>

<file path=customXml/itemProps237.xml><?xml version="1.0" encoding="utf-8"?>
<ds:datastoreItem xmlns:ds="http://schemas.openxmlformats.org/officeDocument/2006/customXml" ds:itemID="{B10C2B4A-3B0F-4068-977E-3E580FFC3F21}">
  <ds:schemaRefs/>
</ds:datastoreItem>
</file>

<file path=customXml/itemProps238.xml><?xml version="1.0" encoding="utf-8"?>
<ds:datastoreItem xmlns:ds="http://schemas.openxmlformats.org/officeDocument/2006/customXml" ds:itemID="{09774F33-58AE-4B14-8F82-366977A680F4}">
  <ds:schemaRefs/>
</ds:datastoreItem>
</file>

<file path=customXml/itemProps239.xml><?xml version="1.0" encoding="utf-8"?>
<ds:datastoreItem xmlns:ds="http://schemas.openxmlformats.org/officeDocument/2006/customXml" ds:itemID="{6295D772-B5D8-47E2-A018-205A353A6EBB}">
  <ds:schemaRefs/>
</ds:datastoreItem>
</file>

<file path=customXml/itemProps240.xml><?xml version="1.0" encoding="utf-8"?>
<ds:datastoreItem xmlns:ds="http://schemas.openxmlformats.org/officeDocument/2006/customXml" ds:itemID="{CBD5C666-116E-4D22-9BD6-C8E9665F646A}">
  <ds:schemaRefs/>
</ds:datastoreItem>
</file>

<file path=customXml/itemProps241.xml><?xml version="1.0" encoding="utf-8"?>
<ds:datastoreItem xmlns:ds="http://schemas.openxmlformats.org/officeDocument/2006/customXml" ds:itemID="{AD49BE85-4E85-4774-BB95-B709444DD735}">
  <ds:schemaRefs/>
</ds:datastoreItem>
</file>

<file path=customXml/itemProps242.xml><?xml version="1.0" encoding="utf-8"?>
<ds:datastoreItem xmlns:ds="http://schemas.openxmlformats.org/officeDocument/2006/customXml" ds:itemID="{534A3967-B137-481C-AEE6-31D098A94046}">
  <ds:schemaRefs/>
</ds:datastoreItem>
</file>

<file path=customXml/itemProps243.xml><?xml version="1.0" encoding="utf-8"?>
<ds:datastoreItem xmlns:ds="http://schemas.openxmlformats.org/officeDocument/2006/customXml" ds:itemID="{7789BB69-356D-4491-B616-42D10EB47E29}">
  <ds:schemaRefs/>
</ds:datastoreItem>
</file>

<file path=customXml/itemProps244.xml><?xml version="1.0" encoding="utf-8"?>
<ds:datastoreItem xmlns:ds="http://schemas.openxmlformats.org/officeDocument/2006/customXml" ds:itemID="{B2236E55-4115-40DB-99AE-3BAC220A199A}">
  <ds:schemaRefs/>
</ds:datastoreItem>
</file>

<file path=customXml/itemProps245.xml><?xml version="1.0" encoding="utf-8"?>
<ds:datastoreItem xmlns:ds="http://schemas.openxmlformats.org/officeDocument/2006/customXml" ds:itemID="{D4E2A501-0341-4D5E-8B77-ED38227CDE10}">
  <ds:schemaRefs/>
</ds:datastoreItem>
</file>

<file path=customXml/itemProps246.xml><?xml version="1.0" encoding="utf-8"?>
<ds:datastoreItem xmlns:ds="http://schemas.openxmlformats.org/officeDocument/2006/customXml" ds:itemID="{99F96DFE-7363-4EAC-8B72-7259DD3CF8E6}">
  <ds:schemaRefs/>
</ds:datastoreItem>
</file>

<file path=customXml/itemProps247.xml><?xml version="1.0" encoding="utf-8"?>
<ds:datastoreItem xmlns:ds="http://schemas.openxmlformats.org/officeDocument/2006/customXml" ds:itemID="{AE32A5FA-B8BA-46FC-AD22-53A2849F328F}">
  <ds:schemaRefs/>
</ds:datastoreItem>
</file>

<file path=customXml/itemProps248.xml><?xml version="1.0" encoding="utf-8"?>
<ds:datastoreItem xmlns:ds="http://schemas.openxmlformats.org/officeDocument/2006/customXml" ds:itemID="{B4D9DB99-CA89-4737-A0BC-C59801C33327}">
  <ds:schemaRefs/>
</ds:datastoreItem>
</file>

<file path=customXml/itemProps249.xml><?xml version="1.0" encoding="utf-8"?>
<ds:datastoreItem xmlns:ds="http://schemas.openxmlformats.org/officeDocument/2006/customXml" ds:itemID="{37669EAB-4C66-43CE-97CD-18B3538F2BFE}">
  <ds:schemaRefs/>
</ds:datastoreItem>
</file>

<file path=customXml/itemProps250.xml><?xml version="1.0" encoding="utf-8"?>
<ds:datastoreItem xmlns:ds="http://schemas.openxmlformats.org/officeDocument/2006/customXml" ds:itemID="{6A0BC688-CB10-4DB6-A84D-47D2CC8141CB}">
  <ds:schemaRefs/>
</ds:datastoreItem>
</file>

<file path=customXml/itemProps251.xml><?xml version="1.0" encoding="utf-8"?>
<ds:datastoreItem xmlns:ds="http://schemas.openxmlformats.org/officeDocument/2006/customXml" ds:itemID="{0530B8BC-7253-4200-AFF9-9B3B0258F509}">
  <ds:schemaRefs/>
</ds:datastoreItem>
</file>

<file path=customXml/itemProps252.xml><?xml version="1.0" encoding="utf-8"?>
<ds:datastoreItem xmlns:ds="http://schemas.openxmlformats.org/officeDocument/2006/customXml" ds:itemID="{3A923D5B-ED06-4CF8-8914-D734C1D72E4D}">
  <ds:schemaRefs/>
</ds:datastoreItem>
</file>

<file path=customXml/itemProps253.xml><?xml version="1.0" encoding="utf-8"?>
<ds:datastoreItem xmlns:ds="http://schemas.openxmlformats.org/officeDocument/2006/customXml" ds:itemID="{2922F0E0-A5EF-4CDD-BBC5-E37B8165520F}">
  <ds:schemaRefs/>
</ds:datastoreItem>
</file>

<file path=customXml/itemProps254.xml><?xml version="1.0" encoding="utf-8"?>
<ds:datastoreItem xmlns:ds="http://schemas.openxmlformats.org/officeDocument/2006/customXml" ds:itemID="{5050AAD2-4BB5-4C37-896F-609766ECA826}">
  <ds:schemaRefs/>
</ds:datastoreItem>
</file>

<file path=customXml/itemProps255.xml><?xml version="1.0" encoding="utf-8"?>
<ds:datastoreItem xmlns:ds="http://schemas.openxmlformats.org/officeDocument/2006/customXml" ds:itemID="{6FCF00CB-E935-4917-8FFE-E1599C3D2087}">
  <ds:schemaRefs/>
</ds:datastoreItem>
</file>

<file path=customXml/itemProps256.xml><?xml version="1.0" encoding="utf-8"?>
<ds:datastoreItem xmlns:ds="http://schemas.openxmlformats.org/officeDocument/2006/customXml" ds:itemID="{53135694-7724-499D-A582-32B6D2A0A54C}">
  <ds:schemaRefs/>
</ds:datastoreItem>
</file>

<file path=customXml/itemProps257.xml><?xml version="1.0" encoding="utf-8"?>
<ds:datastoreItem xmlns:ds="http://schemas.openxmlformats.org/officeDocument/2006/customXml" ds:itemID="{DB4DE79D-36D4-4503-A275-426A923032EF}">
  <ds:schemaRefs/>
</ds:datastoreItem>
</file>

<file path=customXml/itemProps258.xml><?xml version="1.0" encoding="utf-8"?>
<ds:datastoreItem xmlns:ds="http://schemas.openxmlformats.org/officeDocument/2006/customXml" ds:itemID="{C8CD1380-A042-42B6-9E96-7EFB183D265D}">
  <ds:schemaRefs/>
</ds:datastoreItem>
</file>

<file path=customXml/itemProps259.xml><?xml version="1.0" encoding="utf-8"?>
<ds:datastoreItem xmlns:ds="http://schemas.openxmlformats.org/officeDocument/2006/customXml" ds:itemID="{B6358B73-9353-4848-9254-5E15F8EF6587}">
  <ds:schemaRefs/>
</ds:datastoreItem>
</file>

<file path=customXml/itemProps260.xml><?xml version="1.0" encoding="utf-8"?>
<ds:datastoreItem xmlns:ds="http://schemas.openxmlformats.org/officeDocument/2006/customXml" ds:itemID="{FB543371-D219-47BB-8912-B0B0ED385B5E}">
  <ds:schemaRefs/>
</ds:datastoreItem>
</file>

<file path=customXml/itemProps261.xml><?xml version="1.0" encoding="utf-8"?>
<ds:datastoreItem xmlns:ds="http://schemas.openxmlformats.org/officeDocument/2006/customXml" ds:itemID="{7663ED02-2891-4046-80DE-63222231F9BE}">
  <ds:schemaRefs/>
</ds:datastoreItem>
</file>

<file path=customXml/itemProps262.xml><?xml version="1.0" encoding="utf-8"?>
<ds:datastoreItem xmlns:ds="http://schemas.openxmlformats.org/officeDocument/2006/customXml" ds:itemID="{408792FC-13FE-4646-9437-7D31A977E045}">
  <ds:schemaRefs/>
</ds:datastoreItem>
</file>

<file path=customXml/itemProps263.xml><?xml version="1.0" encoding="utf-8"?>
<ds:datastoreItem xmlns:ds="http://schemas.openxmlformats.org/officeDocument/2006/customXml" ds:itemID="{51EC9D0C-69E9-41DF-B384-64A22D3C3890}">
  <ds:schemaRefs/>
</ds:datastoreItem>
</file>

<file path=customXml/itemProps264.xml><?xml version="1.0" encoding="utf-8"?>
<ds:datastoreItem xmlns:ds="http://schemas.openxmlformats.org/officeDocument/2006/customXml" ds:itemID="{504B9BED-53FC-42DD-9382-BF7EF689CD6F}">
  <ds:schemaRefs/>
</ds:datastoreItem>
</file>

<file path=customXml/itemProps265.xml><?xml version="1.0" encoding="utf-8"?>
<ds:datastoreItem xmlns:ds="http://schemas.openxmlformats.org/officeDocument/2006/customXml" ds:itemID="{E1C65A49-9CFD-4205-8E30-5E9E038C07DE}">
  <ds:schemaRefs/>
</ds:datastoreItem>
</file>

<file path=customXml/itemProps266.xml><?xml version="1.0" encoding="utf-8"?>
<ds:datastoreItem xmlns:ds="http://schemas.openxmlformats.org/officeDocument/2006/customXml" ds:itemID="{DC89007A-165A-4B1D-A2B3-25930096D0B8}">
  <ds:schemaRefs/>
</ds:datastoreItem>
</file>

<file path=customXml/itemProps267.xml><?xml version="1.0" encoding="utf-8"?>
<ds:datastoreItem xmlns:ds="http://schemas.openxmlformats.org/officeDocument/2006/customXml" ds:itemID="{8CE1331B-66A3-49B6-A998-F232301EF363}">
  <ds:schemaRefs/>
</ds:datastoreItem>
</file>

<file path=customXml/itemProps268.xml><?xml version="1.0" encoding="utf-8"?>
<ds:datastoreItem xmlns:ds="http://schemas.openxmlformats.org/officeDocument/2006/customXml" ds:itemID="{D35D9351-1C1A-4AA8-9C61-EE495B742EB8}">
  <ds:schemaRefs/>
</ds:datastoreItem>
</file>

<file path=customXml/itemProps269.xml><?xml version="1.0" encoding="utf-8"?>
<ds:datastoreItem xmlns:ds="http://schemas.openxmlformats.org/officeDocument/2006/customXml" ds:itemID="{31282AE0-CA5A-47D1-BAEA-A437D463B6D2}">
  <ds:schemaRefs/>
</ds:datastoreItem>
</file>

<file path=customXml/itemProps270.xml><?xml version="1.0" encoding="utf-8"?>
<ds:datastoreItem xmlns:ds="http://schemas.openxmlformats.org/officeDocument/2006/customXml" ds:itemID="{8CFAE82F-DC07-4151-831A-17FEF5DFE0AC}">
  <ds:schemaRefs/>
</ds:datastoreItem>
</file>

<file path=customXml/itemProps271.xml><?xml version="1.0" encoding="utf-8"?>
<ds:datastoreItem xmlns:ds="http://schemas.openxmlformats.org/officeDocument/2006/customXml" ds:itemID="{23E981A9-B969-495C-B82B-5E543799C618}">
  <ds:schemaRefs/>
</ds:datastoreItem>
</file>

<file path=customXml/itemProps272.xml><?xml version="1.0" encoding="utf-8"?>
<ds:datastoreItem xmlns:ds="http://schemas.openxmlformats.org/officeDocument/2006/customXml" ds:itemID="{7A6FF62D-E039-4B61-9AB8-CC616F6CEA00}">
  <ds:schemaRefs/>
</ds:datastoreItem>
</file>

<file path=customXml/itemProps273.xml><?xml version="1.0" encoding="utf-8"?>
<ds:datastoreItem xmlns:ds="http://schemas.openxmlformats.org/officeDocument/2006/customXml" ds:itemID="{9787C682-D160-41AC-BD4A-EEEAE87C0B03}">
  <ds:schemaRefs/>
</ds:datastoreItem>
</file>

<file path=customXml/itemProps274.xml><?xml version="1.0" encoding="utf-8"?>
<ds:datastoreItem xmlns:ds="http://schemas.openxmlformats.org/officeDocument/2006/customXml" ds:itemID="{CD2F3118-08E7-4B95-8DA6-FF065AF732D9}">
  <ds:schemaRefs/>
</ds:datastoreItem>
</file>

<file path=customXml/itemProps275.xml><?xml version="1.0" encoding="utf-8"?>
<ds:datastoreItem xmlns:ds="http://schemas.openxmlformats.org/officeDocument/2006/customXml" ds:itemID="{E5FBEBE7-83D7-44CA-8E34-6D1B64F6D533}">
  <ds:schemaRefs/>
</ds:datastoreItem>
</file>

<file path=customXml/itemProps276.xml><?xml version="1.0" encoding="utf-8"?>
<ds:datastoreItem xmlns:ds="http://schemas.openxmlformats.org/officeDocument/2006/customXml" ds:itemID="{92C1B810-B3D2-492C-A687-AC1DC80D87E5}">
  <ds:schemaRefs/>
</ds:datastoreItem>
</file>

<file path=customXml/itemProps277.xml><?xml version="1.0" encoding="utf-8"?>
<ds:datastoreItem xmlns:ds="http://schemas.openxmlformats.org/officeDocument/2006/customXml" ds:itemID="{8D59414D-4B8C-425C-BD4B-C649AC0F92A9}">
  <ds:schemaRefs/>
</ds:datastoreItem>
</file>

<file path=customXml/itemProps278.xml><?xml version="1.0" encoding="utf-8"?>
<ds:datastoreItem xmlns:ds="http://schemas.openxmlformats.org/officeDocument/2006/customXml" ds:itemID="{8D41657F-75F9-4D37-8DD1-57FBDF39F640}">
  <ds:schemaRefs/>
</ds:datastoreItem>
</file>

<file path=customXml/itemProps279.xml><?xml version="1.0" encoding="utf-8"?>
<ds:datastoreItem xmlns:ds="http://schemas.openxmlformats.org/officeDocument/2006/customXml" ds:itemID="{1D14D93E-1AFB-4BDB-A455-62D3F2B5B326}">
  <ds:schemaRefs/>
</ds:datastoreItem>
</file>

<file path=customXml/itemProps280.xml><?xml version="1.0" encoding="utf-8"?>
<ds:datastoreItem xmlns:ds="http://schemas.openxmlformats.org/officeDocument/2006/customXml" ds:itemID="{68165E59-A20F-4A45-B534-68A21512B1F6}">
  <ds:schemaRefs/>
</ds:datastoreItem>
</file>

<file path=customXml/itemProps281.xml><?xml version="1.0" encoding="utf-8"?>
<ds:datastoreItem xmlns:ds="http://schemas.openxmlformats.org/officeDocument/2006/customXml" ds:itemID="{43BA8CE6-591B-4C7E-913D-161BB55C147B}">
  <ds:schemaRefs/>
</ds:datastoreItem>
</file>

<file path=customXml/itemProps282.xml><?xml version="1.0" encoding="utf-8"?>
<ds:datastoreItem xmlns:ds="http://schemas.openxmlformats.org/officeDocument/2006/customXml" ds:itemID="{5E32A3E0-4CC0-4B86-B4B9-AE83D562D0DB}">
  <ds:schemaRefs/>
</ds:datastoreItem>
</file>

<file path=customXml/itemProps283.xml><?xml version="1.0" encoding="utf-8"?>
<ds:datastoreItem xmlns:ds="http://schemas.openxmlformats.org/officeDocument/2006/customXml" ds:itemID="{520F2123-C371-4EE5-BD91-D3621CEA0305}">
  <ds:schemaRefs/>
</ds:datastoreItem>
</file>

<file path=customXml/itemProps284.xml><?xml version="1.0" encoding="utf-8"?>
<ds:datastoreItem xmlns:ds="http://schemas.openxmlformats.org/officeDocument/2006/customXml" ds:itemID="{8A621209-1A20-4219-B27E-060BCB6D8C01}">
  <ds:schemaRefs/>
</ds:datastoreItem>
</file>

<file path=customXml/itemProps285.xml><?xml version="1.0" encoding="utf-8"?>
<ds:datastoreItem xmlns:ds="http://schemas.openxmlformats.org/officeDocument/2006/customXml" ds:itemID="{716EA437-DE2F-4D85-94EF-DD2636BDBBA2}">
  <ds:schemaRefs/>
</ds:datastoreItem>
</file>

<file path=customXml/itemProps286.xml><?xml version="1.0" encoding="utf-8"?>
<ds:datastoreItem xmlns:ds="http://schemas.openxmlformats.org/officeDocument/2006/customXml" ds:itemID="{51F53C30-13C9-411E-8D57-61C4F01F8FE8}">
  <ds:schemaRefs/>
</ds:datastoreItem>
</file>

<file path=customXml/itemProps287.xml><?xml version="1.0" encoding="utf-8"?>
<ds:datastoreItem xmlns:ds="http://schemas.openxmlformats.org/officeDocument/2006/customXml" ds:itemID="{4DA3FC9E-0EBE-493A-83AF-8FF1F10D317F}">
  <ds:schemaRefs/>
</ds:datastoreItem>
</file>

<file path=customXml/itemProps288.xml><?xml version="1.0" encoding="utf-8"?>
<ds:datastoreItem xmlns:ds="http://schemas.openxmlformats.org/officeDocument/2006/customXml" ds:itemID="{5467F2B8-5899-4590-820A-0558F3BAF991}">
  <ds:schemaRefs/>
</ds:datastoreItem>
</file>

<file path=customXml/itemProps289.xml><?xml version="1.0" encoding="utf-8"?>
<ds:datastoreItem xmlns:ds="http://schemas.openxmlformats.org/officeDocument/2006/customXml" ds:itemID="{9C7E069C-5D84-4D81-874D-1864F4E651DF}">
  <ds:schemaRefs/>
</ds:datastoreItem>
</file>

<file path=customXml/itemProps290.xml><?xml version="1.0" encoding="utf-8"?>
<ds:datastoreItem xmlns:ds="http://schemas.openxmlformats.org/officeDocument/2006/customXml" ds:itemID="{649A9709-F54A-4D9E-AE01-6F7E9CB908F3}">
  <ds:schemaRefs/>
</ds:datastoreItem>
</file>

<file path=customXml/itemProps291.xml><?xml version="1.0" encoding="utf-8"?>
<ds:datastoreItem xmlns:ds="http://schemas.openxmlformats.org/officeDocument/2006/customXml" ds:itemID="{BFA57357-B849-40B1-89C5-A5861FA22251}">
  <ds:schemaRefs/>
</ds:datastoreItem>
</file>

<file path=customXml/itemProps292.xml><?xml version="1.0" encoding="utf-8"?>
<ds:datastoreItem xmlns:ds="http://schemas.openxmlformats.org/officeDocument/2006/customXml" ds:itemID="{CB63EFEB-DCF3-48F6-BF8B-18E5F95DD248}">
  <ds:schemaRefs/>
</ds:datastoreItem>
</file>

<file path=customXml/itemProps293.xml><?xml version="1.0" encoding="utf-8"?>
<ds:datastoreItem xmlns:ds="http://schemas.openxmlformats.org/officeDocument/2006/customXml" ds:itemID="{48852517-6FF3-462D-B5D9-854FA19340A6}">
  <ds:schemaRefs/>
</ds:datastoreItem>
</file>

<file path=customXml/itemProps294.xml><?xml version="1.0" encoding="utf-8"?>
<ds:datastoreItem xmlns:ds="http://schemas.openxmlformats.org/officeDocument/2006/customXml" ds:itemID="{4333D3B8-E6B4-4E2C-887D-48FA2B3F86C4}">
  <ds:schemaRefs/>
</ds:datastoreItem>
</file>

<file path=customXml/itemProps295.xml><?xml version="1.0" encoding="utf-8"?>
<ds:datastoreItem xmlns:ds="http://schemas.openxmlformats.org/officeDocument/2006/customXml" ds:itemID="{AB11C3E7-ADA7-421E-ACD7-2F80A4ED1EA0}">
  <ds:schemaRefs/>
</ds:datastoreItem>
</file>

<file path=customXml/itemProps296.xml><?xml version="1.0" encoding="utf-8"?>
<ds:datastoreItem xmlns:ds="http://schemas.openxmlformats.org/officeDocument/2006/customXml" ds:itemID="{AB9DED92-4ACB-4D6F-95E4-DE302B05E71F}">
  <ds:schemaRefs/>
</ds:datastoreItem>
</file>

<file path=customXml/itemProps297.xml><?xml version="1.0" encoding="utf-8"?>
<ds:datastoreItem xmlns:ds="http://schemas.openxmlformats.org/officeDocument/2006/customXml" ds:itemID="{E52B3457-DE43-4D69-983E-7B714FB87ADD}">
  <ds:schemaRefs/>
</ds:datastoreItem>
</file>

<file path=customXml/itemProps298.xml><?xml version="1.0" encoding="utf-8"?>
<ds:datastoreItem xmlns:ds="http://schemas.openxmlformats.org/officeDocument/2006/customXml" ds:itemID="{F55BDF08-5ED5-44F2-ABF6-22301B8A394B}">
  <ds:schemaRefs/>
</ds:datastoreItem>
</file>

<file path=customXml/itemProps299.xml><?xml version="1.0" encoding="utf-8"?>
<ds:datastoreItem xmlns:ds="http://schemas.openxmlformats.org/officeDocument/2006/customXml" ds:itemID="{7CCA7EE5-388C-4EAC-A5E1-47F43D963126}">
  <ds:schemaRefs/>
</ds:datastoreItem>
</file>

<file path=customXml/itemProps300.xml><?xml version="1.0" encoding="utf-8"?>
<ds:datastoreItem xmlns:ds="http://schemas.openxmlformats.org/officeDocument/2006/customXml" ds:itemID="{E9AB2FA9-B28C-49AB-ABA8-EFC5093747F6}">
  <ds:schemaRefs/>
</ds:datastoreItem>
</file>

<file path=customXml/itemProps301.xml><?xml version="1.0" encoding="utf-8"?>
<ds:datastoreItem xmlns:ds="http://schemas.openxmlformats.org/officeDocument/2006/customXml" ds:itemID="{7A64B818-ADF2-4E39-AE85-7F3759002A3B}">
  <ds:schemaRefs/>
</ds:datastoreItem>
</file>

<file path=customXml/itemProps302.xml><?xml version="1.0" encoding="utf-8"?>
<ds:datastoreItem xmlns:ds="http://schemas.openxmlformats.org/officeDocument/2006/customXml" ds:itemID="{5FB455DF-1E9D-4441-AFFC-71F88D654F04}">
  <ds:schemaRefs/>
</ds:datastoreItem>
</file>

<file path=customXml/itemProps303.xml><?xml version="1.0" encoding="utf-8"?>
<ds:datastoreItem xmlns:ds="http://schemas.openxmlformats.org/officeDocument/2006/customXml" ds:itemID="{BA16A974-3E1B-49F3-A0C1-7D6A06540F13}">
  <ds:schemaRefs/>
</ds:datastoreItem>
</file>

<file path=customXml/itemProps304.xml><?xml version="1.0" encoding="utf-8"?>
<ds:datastoreItem xmlns:ds="http://schemas.openxmlformats.org/officeDocument/2006/customXml" ds:itemID="{5C0C60BE-76D9-457A-94DD-215E6DAEF66E}">
  <ds:schemaRefs/>
</ds:datastoreItem>
</file>

<file path=customXml/itemProps305.xml><?xml version="1.0" encoding="utf-8"?>
<ds:datastoreItem xmlns:ds="http://schemas.openxmlformats.org/officeDocument/2006/customXml" ds:itemID="{A1D54D98-4202-4BF4-AFCF-E88444546D97}">
  <ds:schemaRefs/>
</ds:datastoreItem>
</file>

<file path=customXml/itemProps306.xml><?xml version="1.0" encoding="utf-8"?>
<ds:datastoreItem xmlns:ds="http://schemas.openxmlformats.org/officeDocument/2006/customXml" ds:itemID="{7633C94F-5996-4294-88EA-4BCA378AE4BC}">
  <ds:schemaRefs/>
</ds:datastoreItem>
</file>

<file path=customXml/itemProps307.xml><?xml version="1.0" encoding="utf-8"?>
<ds:datastoreItem xmlns:ds="http://schemas.openxmlformats.org/officeDocument/2006/customXml" ds:itemID="{EE8CD2BA-EAF8-4F05-94D5-060A85EA5547}">
  <ds:schemaRefs/>
</ds:datastoreItem>
</file>

<file path=customXml/itemProps308.xml><?xml version="1.0" encoding="utf-8"?>
<ds:datastoreItem xmlns:ds="http://schemas.openxmlformats.org/officeDocument/2006/customXml" ds:itemID="{62DFF893-310E-4D85-89B4-83EDECBE7294}">
  <ds:schemaRefs/>
</ds:datastoreItem>
</file>

<file path=customXml/itemProps309.xml><?xml version="1.0" encoding="utf-8"?>
<ds:datastoreItem xmlns:ds="http://schemas.openxmlformats.org/officeDocument/2006/customXml" ds:itemID="{18C40777-35D3-4760-BC72-5CF54962CD7A}">
  <ds:schemaRefs/>
</ds:datastoreItem>
</file>

<file path=customXml/itemProps310.xml><?xml version="1.0" encoding="utf-8"?>
<ds:datastoreItem xmlns:ds="http://schemas.openxmlformats.org/officeDocument/2006/customXml" ds:itemID="{07870400-24AB-4F1B-9911-3F332E42A483}">
  <ds:schemaRefs/>
</ds:datastoreItem>
</file>

<file path=customXml/itemProps311.xml><?xml version="1.0" encoding="utf-8"?>
<ds:datastoreItem xmlns:ds="http://schemas.openxmlformats.org/officeDocument/2006/customXml" ds:itemID="{4B619ED7-AA00-4F46-A5ED-E351F1F5DA2D}">
  <ds:schemaRefs/>
</ds:datastoreItem>
</file>

<file path=customXml/itemProps312.xml><?xml version="1.0" encoding="utf-8"?>
<ds:datastoreItem xmlns:ds="http://schemas.openxmlformats.org/officeDocument/2006/customXml" ds:itemID="{34EE6071-FC4B-4096-96A4-D31A4B4987DA}">
  <ds:schemaRefs/>
</ds:datastoreItem>
</file>

<file path=customXml/itemProps313.xml><?xml version="1.0" encoding="utf-8"?>
<ds:datastoreItem xmlns:ds="http://schemas.openxmlformats.org/officeDocument/2006/customXml" ds:itemID="{1CD5A070-337E-4B4D-A3EB-16FAF44CFB0B}">
  <ds:schemaRefs/>
</ds:datastoreItem>
</file>

<file path=customXml/itemProps314.xml><?xml version="1.0" encoding="utf-8"?>
<ds:datastoreItem xmlns:ds="http://schemas.openxmlformats.org/officeDocument/2006/customXml" ds:itemID="{ABBBDFC9-7228-4DD6-BD25-40C6C340A5C5}">
  <ds:schemaRefs/>
</ds:datastoreItem>
</file>

<file path=customXml/itemProps315.xml><?xml version="1.0" encoding="utf-8"?>
<ds:datastoreItem xmlns:ds="http://schemas.openxmlformats.org/officeDocument/2006/customXml" ds:itemID="{B2FB7D35-2CBB-465E-9099-90590B9286A5}">
  <ds:schemaRefs/>
</ds:datastoreItem>
</file>

<file path=customXml/itemProps316.xml><?xml version="1.0" encoding="utf-8"?>
<ds:datastoreItem xmlns:ds="http://schemas.openxmlformats.org/officeDocument/2006/customXml" ds:itemID="{4FB23629-CF29-4686-A548-98299C42B8C7}">
  <ds:schemaRefs/>
</ds:datastoreItem>
</file>

<file path=customXml/itemProps317.xml><?xml version="1.0" encoding="utf-8"?>
<ds:datastoreItem xmlns:ds="http://schemas.openxmlformats.org/officeDocument/2006/customXml" ds:itemID="{1A7908EE-8FD5-40F3-B2E7-9AABCCCDA4CC}">
  <ds:schemaRefs/>
</ds:datastoreItem>
</file>

<file path=customXml/itemProps318.xml><?xml version="1.0" encoding="utf-8"?>
<ds:datastoreItem xmlns:ds="http://schemas.openxmlformats.org/officeDocument/2006/customXml" ds:itemID="{DA4CD22B-869E-4347-A57B-9C2C39B54B58}">
  <ds:schemaRefs/>
</ds:datastoreItem>
</file>

<file path=customXml/itemProps319.xml><?xml version="1.0" encoding="utf-8"?>
<ds:datastoreItem xmlns:ds="http://schemas.openxmlformats.org/officeDocument/2006/customXml" ds:itemID="{469ACAB4-98AA-4EDD-A1BF-15085ADF32F6}">
  <ds:schemaRefs/>
</ds:datastoreItem>
</file>

<file path=customXml/itemProps320.xml><?xml version="1.0" encoding="utf-8"?>
<ds:datastoreItem xmlns:ds="http://schemas.openxmlformats.org/officeDocument/2006/customXml" ds:itemID="{16C968A3-49A3-4C14-A00B-BF3CAA46B972}">
  <ds:schemaRefs/>
</ds:datastoreItem>
</file>

<file path=customXml/itemProps321.xml><?xml version="1.0" encoding="utf-8"?>
<ds:datastoreItem xmlns:ds="http://schemas.openxmlformats.org/officeDocument/2006/customXml" ds:itemID="{4A7BA7A3-7DB9-4ECA-B031-AC0CF172380A}">
  <ds:schemaRefs/>
</ds:datastoreItem>
</file>

<file path=customXml/itemProps322.xml><?xml version="1.0" encoding="utf-8"?>
<ds:datastoreItem xmlns:ds="http://schemas.openxmlformats.org/officeDocument/2006/customXml" ds:itemID="{08979DB1-810F-4249-B837-ADDABADEEEB8}">
  <ds:schemaRefs/>
</ds:datastoreItem>
</file>

<file path=customXml/itemProps323.xml><?xml version="1.0" encoding="utf-8"?>
<ds:datastoreItem xmlns:ds="http://schemas.openxmlformats.org/officeDocument/2006/customXml" ds:itemID="{56475F32-2FEA-425F-A4E8-3EB168634F9B}">
  <ds:schemaRefs/>
</ds:datastoreItem>
</file>

<file path=customXml/itemProps324.xml><?xml version="1.0" encoding="utf-8"?>
<ds:datastoreItem xmlns:ds="http://schemas.openxmlformats.org/officeDocument/2006/customXml" ds:itemID="{FC4531D4-4257-4982-9FB0-738A57E48BE9}">
  <ds:schemaRefs/>
</ds:datastoreItem>
</file>

<file path=customXml/itemProps325.xml><?xml version="1.0" encoding="utf-8"?>
<ds:datastoreItem xmlns:ds="http://schemas.openxmlformats.org/officeDocument/2006/customXml" ds:itemID="{F998C50A-540C-46E6-BA5B-CF48716710A0}">
  <ds:schemaRefs/>
</ds:datastoreItem>
</file>

<file path=customXml/itemProps326.xml><?xml version="1.0" encoding="utf-8"?>
<ds:datastoreItem xmlns:ds="http://schemas.openxmlformats.org/officeDocument/2006/customXml" ds:itemID="{73F44D85-1892-483F-BDFC-CC8ABC01FCFA}">
  <ds:schemaRefs/>
</ds:datastoreItem>
</file>

<file path=customXml/itemProps327.xml><?xml version="1.0" encoding="utf-8"?>
<ds:datastoreItem xmlns:ds="http://schemas.openxmlformats.org/officeDocument/2006/customXml" ds:itemID="{BCA281F2-5F9E-4437-9BD3-7599DCD4A7D9}">
  <ds:schemaRefs/>
</ds:datastoreItem>
</file>

<file path=customXml/itemProps328.xml><?xml version="1.0" encoding="utf-8"?>
<ds:datastoreItem xmlns:ds="http://schemas.openxmlformats.org/officeDocument/2006/customXml" ds:itemID="{E533207C-BE3A-4114-A06D-22D9A7D5B8CE}">
  <ds:schemaRefs/>
</ds:datastoreItem>
</file>

<file path=customXml/itemProps329.xml><?xml version="1.0" encoding="utf-8"?>
<ds:datastoreItem xmlns:ds="http://schemas.openxmlformats.org/officeDocument/2006/customXml" ds:itemID="{97FC11D5-1B32-4558-90E2-955A161C94DE}">
  <ds:schemaRefs/>
</ds:datastoreItem>
</file>

<file path=customXml/itemProps330.xml><?xml version="1.0" encoding="utf-8"?>
<ds:datastoreItem xmlns:ds="http://schemas.openxmlformats.org/officeDocument/2006/customXml" ds:itemID="{EB001F64-BC53-43CA-B421-561E019AD821}">
  <ds:schemaRefs/>
</ds:datastoreItem>
</file>

<file path=customXml/itemProps331.xml><?xml version="1.0" encoding="utf-8"?>
<ds:datastoreItem xmlns:ds="http://schemas.openxmlformats.org/officeDocument/2006/customXml" ds:itemID="{30CB4EC7-3CC7-4865-B703-E71F9D9CF7EF}">
  <ds:schemaRefs/>
</ds:datastoreItem>
</file>

<file path=customXml/itemProps332.xml><?xml version="1.0" encoding="utf-8"?>
<ds:datastoreItem xmlns:ds="http://schemas.openxmlformats.org/officeDocument/2006/customXml" ds:itemID="{0CB04559-609C-4DFA-A5DE-9CCD7E438E07}">
  <ds:schemaRefs/>
</ds:datastoreItem>
</file>

<file path=customXml/itemProps333.xml><?xml version="1.0" encoding="utf-8"?>
<ds:datastoreItem xmlns:ds="http://schemas.openxmlformats.org/officeDocument/2006/customXml" ds:itemID="{D50757F3-88DA-4FC7-8174-E6797CA12A35}">
  <ds:schemaRefs/>
</ds:datastoreItem>
</file>

<file path=customXml/itemProps334.xml><?xml version="1.0" encoding="utf-8"?>
<ds:datastoreItem xmlns:ds="http://schemas.openxmlformats.org/officeDocument/2006/customXml" ds:itemID="{DDC88E13-4AB5-42E6-AD73-61BA839F9C5C}">
  <ds:schemaRefs/>
</ds:datastoreItem>
</file>

<file path=customXml/itemProps335.xml><?xml version="1.0" encoding="utf-8"?>
<ds:datastoreItem xmlns:ds="http://schemas.openxmlformats.org/officeDocument/2006/customXml" ds:itemID="{C183CC85-752F-463A-B5D2-A9FBBDEBA407}">
  <ds:schemaRefs/>
</ds:datastoreItem>
</file>

<file path=customXml/itemProps336.xml><?xml version="1.0" encoding="utf-8"?>
<ds:datastoreItem xmlns:ds="http://schemas.openxmlformats.org/officeDocument/2006/customXml" ds:itemID="{E3EC2762-C64A-4F6A-9418-C2D4AA9A5247}">
  <ds:schemaRefs/>
</ds:datastoreItem>
</file>

<file path=customXml/itemProps337.xml><?xml version="1.0" encoding="utf-8"?>
<ds:datastoreItem xmlns:ds="http://schemas.openxmlformats.org/officeDocument/2006/customXml" ds:itemID="{02FF1D45-6358-4072-9855-46C04C97D99D}">
  <ds:schemaRefs/>
</ds:datastoreItem>
</file>

<file path=customXml/itemProps338.xml><?xml version="1.0" encoding="utf-8"?>
<ds:datastoreItem xmlns:ds="http://schemas.openxmlformats.org/officeDocument/2006/customXml" ds:itemID="{43777DB2-CDEA-4BE8-8E6C-15F603CE794B}">
  <ds:schemaRefs/>
</ds:datastoreItem>
</file>

<file path=customXml/itemProps339.xml><?xml version="1.0" encoding="utf-8"?>
<ds:datastoreItem xmlns:ds="http://schemas.openxmlformats.org/officeDocument/2006/customXml" ds:itemID="{163E11CA-7150-4741-AC31-66D392ED0798}">
  <ds:schemaRefs/>
</ds:datastoreItem>
</file>

<file path=customXml/itemProps340.xml><?xml version="1.0" encoding="utf-8"?>
<ds:datastoreItem xmlns:ds="http://schemas.openxmlformats.org/officeDocument/2006/customXml" ds:itemID="{83770D2B-D9DF-4A07-A802-61FF6D768EF4}">
  <ds:schemaRefs/>
</ds:datastoreItem>
</file>

<file path=customXml/itemProps341.xml><?xml version="1.0" encoding="utf-8"?>
<ds:datastoreItem xmlns:ds="http://schemas.openxmlformats.org/officeDocument/2006/customXml" ds:itemID="{866E973E-16E3-412C-A609-6923EE0AE58F}">
  <ds:schemaRefs/>
</ds:datastoreItem>
</file>

<file path=customXml/itemProps342.xml><?xml version="1.0" encoding="utf-8"?>
<ds:datastoreItem xmlns:ds="http://schemas.openxmlformats.org/officeDocument/2006/customXml" ds:itemID="{E1323408-3FF7-4E61-B377-473A3CB4585A}">
  <ds:schemaRefs/>
</ds:datastoreItem>
</file>

<file path=customXml/itemProps343.xml><?xml version="1.0" encoding="utf-8"?>
<ds:datastoreItem xmlns:ds="http://schemas.openxmlformats.org/officeDocument/2006/customXml" ds:itemID="{62B78C5F-9589-49E1-B085-D9EB888CAE36}">
  <ds:schemaRefs/>
</ds:datastoreItem>
</file>

<file path=customXml/itemProps344.xml><?xml version="1.0" encoding="utf-8"?>
<ds:datastoreItem xmlns:ds="http://schemas.openxmlformats.org/officeDocument/2006/customXml" ds:itemID="{BD95B24E-EB90-4E52-9F45-FDF240AFCB4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</vt:i4>
      </vt:variant>
      <vt:variant>
        <vt:lpstr>Navngivne områder</vt:lpstr>
      </vt:variant>
      <vt:variant>
        <vt:i4>16</vt:i4>
      </vt:variant>
    </vt:vector>
  </HeadingPairs>
  <TitlesOfParts>
    <vt:vector size="21" baseType="lpstr">
      <vt:lpstr>✍️ Input</vt:lpstr>
      <vt:lpstr>💡🏆🎫 Status</vt:lpstr>
      <vt:lpstr>🏓🆚 Puljer</vt:lpstr>
      <vt:lpstr>🗂️ Filtre nøgletal</vt:lpstr>
      <vt:lpstr>🗝️ Nøgletal</vt:lpstr>
      <vt:lpstr>tbl_Billettype_d2</vt:lpstr>
      <vt:lpstr>tbl_Bordtennisklub_d1</vt:lpstr>
      <vt:lpstr>tbl_Event_d3</vt:lpstr>
      <vt:lpstr>tbl_Event_år_billettype_d1</vt:lpstr>
      <vt:lpstr>tbl_Event_år_d2</vt:lpstr>
      <vt:lpstr>tbl_Køn_d1</vt:lpstr>
      <vt:lpstr>tbl_Placering_d1</vt:lpstr>
      <vt:lpstr>tbl_Slutspil_d1</vt:lpstr>
      <vt:lpstr>tbl_Tilmeldingsstatus_d1</vt:lpstr>
      <vt:lpstr>tbl_TRUE_FALSE_d1</vt:lpstr>
      <vt:lpstr>'✍️ Input'!Udskriftsområde</vt:lpstr>
      <vt:lpstr>'🏓🆚 Puljer'!Udskriftsområde</vt:lpstr>
      <vt:lpstr>'💡🏆🎫 Status'!Udskriftsområde</vt:lpstr>
      <vt:lpstr>'🗂️ Filtre nøgletal'!Udskriftsområde</vt:lpstr>
      <vt:lpstr>'🗝️ Nøgletal'!Udskriftsområde</vt:lpstr>
      <vt:lpstr>Valg_af_tilmeldingsår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Sørensen</dc:creator>
  <cp:lastModifiedBy>Benjamin Sørensen</cp:lastModifiedBy>
  <cp:lastPrinted>2023-05-15T20:45:32Z</cp:lastPrinted>
  <dcterms:created xsi:type="dcterms:W3CDTF">2018-07-22T12:15:40Z</dcterms:created>
  <dcterms:modified xsi:type="dcterms:W3CDTF">2023-05-15T20:46:44Z</dcterms:modified>
</cp:coreProperties>
</file>