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tables/table19.xml" ContentType="application/vnd.openxmlformats-officedocument.spreadsheetml.table+xml"/>
  <Override PartName="/xl/queryTables/queryTable2.xml" ContentType="application/vnd.openxmlformats-officedocument.spreadsheetml.queryTable+xml"/>
  <Override PartName="/xl/tables/table20.xml" ContentType="application/vnd.openxmlformats-officedocument.spreadsheetml.table+xml"/>
  <Override PartName="/xl/queryTables/queryTable3.xml" ContentType="application/vnd.openxmlformats-officedocument.spreadsheetml.queryTable+xml"/>
  <Override PartName="/xl/tables/table21.xml" ContentType="application/vnd.openxmlformats-officedocument.spreadsheetml.table+xml"/>
  <Override PartName="/xl/queryTables/queryTable4.xml" ContentType="application/vnd.openxmlformats-officedocument.spreadsheetml.queryTable+xml"/>
  <Override PartName="/xl/tables/table22.xml" ContentType="application/vnd.openxmlformats-officedocument.spreadsheetml.table+xml"/>
  <Override PartName="/xl/queryTables/queryTable5.xml" ContentType="application/vnd.openxmlformats-officedocument.spreadsheetml.queryTable+xml"/>
  <Override PartName="/xl/tables/table23.xml" ContentType="application/vnd.openxmlformats-officedocument.spreadsheetml.table+xml"/>
  <Override PartName="/xl/queryTables/queryTable6.xml" ContentType="application/vnd.openxmlformats-officedocument.spreadsheetml.queryTable+xml"/>
  <Override PartName="/xl/tables/table24.xml" ContentType="application/vnd.openxmlformats-officedocument.spreadsheetml.table+xml"/>
  <Override PartName="/xl/queryTables/queryTable7.xml" ContentType="application/vnd.openxmlformats-officedocument.spreadsheetml.queryTable+xml"/>
  <Override PartName="/xl/tables/table25.xml" ContentType="application/vnd.openxmlformats-officedocument.spreadsheetml.table+xml"/>
  <Override PartName="/xl/queryTables/queryTable8.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customXml/itemProps189.xml" ContentType="application/vnd.openxmlformats-officedocument.customXmlProperties+xml"/>
  <Override PartName="/customXml/itemProps190.xml" ContentType="application/vnd.openxmlformats-officedocument.customXmlProperties+xml"/>
  <Override PartName="/customXml/itemProps191.xml" ContentType="application/vnd.openxmlformats-officedocument.customXmlProperties+xml"/>
  <Override PartName="/customXml/itemProps192.xml" ContentType="application/vnd.openxmlformats-officedocument.customXmlProperties+xml"/>
  <Override PartName="/customXml/itemProps193.xml" ContentType="application/vnd.openxmlformats-officedocument.customXmlProperties+xml"/>
  <Override PartName="/customXml/itemProps194.xml" ContentType="application/vnd.openxmlformats-officedocument.customXmlProperties+xml"/>
  <Override PartName="/customXml/itemProps195.xml" ContentType="application/vnd.openxmlformats-officedocument.customXmlProperties+xml"/>
  <Override PartName="/customXml/itemProps196.xml" ContentType="application/vnd.openxmlformats-officedocument.customXmlProperties+xml"/>
  <Override PartName="/customXml/itemProps197.xml" ContentType="application/vnd.openxmlformats-officedocument.customXmlProperties+xml"/>
  <Override PartName="/customXml/itemProps198.xml" ContentType="application/vnd.openxmlformats-officedocument.customXmlProperties+xml"/>
  <Override PartName="/customXml/itemProps199.xml" ContentType="application/vnd.openxmlformats-officedocument.customXmlProperties+xml"/>
  <Override PartName="/customXml/itemProps200.xml" ContentType="application/vnd.openxmlformats-officedocument.customXmlProperties+xml"/>
  <Override PartName="/customXml/itemProps201.xml" ContentType="application/vnd.openxmlformats-officedocument.customXmlProperties+xml"/>
  <Override PartName="/customXml/itemProps202.xml" ContentType="application/vnd.openxmlformats-officedocument.customXmlProperties+xml"/>
  <Override PartName="/customXml/itemProps203.xml" ContentType="application/vnd.openxmlformats-officedocument.customXmlProperties+xml"/>
  <Override PartName="/customXml/itemProps204.xml" ContentType="application/vnd.openxmlformats-officedocument.customXmlProperties+xml"/>
  <Override PartName="/customXml/itemProps205.xml" ContentType="application/vnd.openxmlformats-officedocument.customXmlProperties+xml"/>
  <Override PartName="/customXml/itemProps206.xml" ContentType="application/vnd.openxmlformats-officedocument.customXmlProperties+xml"/>
  <Override PartName="/customXml/itemProps207.xml" ContentType="application/vnd.openxmlformats-officedocument.customXmlProperties+xml"/>
  <Override PartName="/customXml/itemProps208.xml" ContentType="application/vnd.openxmlformats-officedocument.customXmlProperties+xml"/>
  <Override PartName="/customXml/itemProps209.xml" ContentType="application/vnd.openxmlformats-officedocument.customXmlProperties+xml"/>
  <Override PartName="/customXml/itemProps210.xml" ContentType="application/vnd.openxmlformats-officedocument.customXmlProperties+xml"/>
  <Override PartName="/customXml/itemProps211.xml" ContentType="application/vnd.openxmlformats-officedocument.customXmlProperties+xml"/>
  <Override PartName="/customXml/itemProps212.xml" ContentType="application/vnd.openxmlformats-officedocument.customXmlProperties+xml"/>
  <Override PartName="/customXml/itemProps213.xml" ContentType="application/vnd.openxmlformats-officedocument.customXmlProperties+xml"/>
  <Override PartName="/customXml/itemProps214.xml" ContentType="application/vnd.openxmlformats-officedocument.customXmlProperties+xml"/>
  <Override PartName="/customXml/itemProps215.xml" ContentType="application/vnd.openxmlformats-officedocument.customXmlProperties+xml"/>
  <Override PartName="/customXml/itemProps216.xml" ContentType="application/vnd.openxmlformats-officedocument.customXmlProperties+xml"/>
  <Override PartName="/customXml/itemProps217.xml" ContentType="application/vnd.openxmlformats-officedocument.customXmlProperties+xml"/>
  <Override PartName="/customXml/itemProps218.xml" ContentType="application/vnd.openxmlformats-officedocument.customXmlProperties+xml"/>
  <Override PartName="/customXml/itemProps219.xml" ContentType="application/vnd.openxmlformats-officedocument.customXmlProperties+xml"/>
  <Override PartName="/customXml/itemProps220.xml" ContentType="application/vnd.openxmlformats-officedocument.customXmlProperties+xml"/>
  <Override PartName="/customXml/itemProps221.xml" ContentType="application/vnd.openxmlformats-officedocument.customXmlProperties+xml"/>
  <Override PartName="/customXml/itemProps222.xml" ContentType="application/vnd.openxmlformats-officedocument.customXmlProperties+xml"/>
  <Override PartName="/customXml/itemProps223.xml" ContentType="application/vnd.openxmlformats-officedocument.customXmlProperties+xml"/>
  <Override PartName="/customXml/itemProps224.xml" ContentType="application/vnd.openxmlformats-officedocument.customXmlProperties+xml"/>
  <Override PartName="/customXml/itemProps225.xml" ContentType="application/vnd.openxmlformats-officedocument.customXmlProperties+xml"/>
  <Override PartName="/customXml/itemProps226.xml" ContentType="application/vnd.openxmlformats-officedocument.customXmlProperties+xml"/>
  <Override PartName="/customXml/itemProps227.xml" ContentType="application/vnd.openxmlformats-officedocument.customXmlProperties+xml"/>
  <Override PartName="/customXml/itemProps228.xml" ContentType="application/vnd.openxmlformats-officedocument.customXmlProperties+xml"/>
  <Override PartName="/customXml/itemProps229.xml" ContentType="application/vnd.openxmlformats-officedocument.customXmlProperties+xml"/>
  <Override PartName="/customXml/itemProps230.xml" ContentType="application/vnd.openxmlformats-officedocument.customXmlProperties+xml"/>
  <Override PartName="/customXml/itemProps231.xml" ContentType="application/vnd.openxmlformats-officedocument.customXmlProperties+xml"/>
  <Override PartName="/customXml/itemProps232.xml" ContentType="application/vnd.openxmlformats-officedocument.customXmlProperties+xml"/>
  <Override PartName="/customXml/itemProps233.xml" ContentType="application/vnd.openxmlformats-officedocument.customXmlProperties+xml"/>
  <Override PartName="/customXml/itemProps234.xml" ContentType="application/vnd.openxmlformats-officedocument.customXmlProperties+xml"/>
  <Override PartName="/customXml/itemProps235.xml" ContentType="application/vnd.openxmlformats-officedocument.customXmlProperties+xml"/>
  <Override PartName="/customXml/itemProps236.xml" ContentType="application/vnd.openxmlformats-officedocument.customXmlProperties+xml"/>
  <Override PartName="/customXml/itemProps237.xml" ContentType="application/vnd.openxmlformats-officedocument.customXmlProperties+xml"/>
  <Override PartName="/customXml/itemProps238.xml" ContentType="application/vnd.openxmlformats-officedocument.customXmlProperties+xml"/>
  <Override PartName="/customXml/itemProps239.xml" ContentType="application/vnd.openxmlformats-officedocument.customXmlProperties+xml"/>
  <Override PartName="/customXml/itemProps240.xml" ContentType="application/vnd.openxmlformats-officedocument.customXmlProperties+xml"/>
  <Override PartName="/customXml/itemProps241.xml" ContentType="application/vnd.openxmlformats-officedocument.customXmlProperties+xml"/>
  <Override PartName="/customXml/itemProps242.xml" ContentType="application/vnd.openxmlformats-officedocument.customXmlProperties+xml"/>
  <Override PartName="/customXml/itemProps243.xml" ContentType="application/vnd.openxmlformats-officedocument.customXmlProperties+xml"/>
  <Override PartName="/customXml/itemProps244.xml" ContentType="application/vnd.openxmlformats-officedocument.customXmlProperties+xml"/>
  <Override PartName="/customXml/itemProps245.xml" ContentType="application/vnd.openxmlformats-officedocument.customXmlProperties+xml"/>
  <Override PartName="/customXml/itemProps246.xml" ContentType="application/vnd.openxmlformats-officedocument.customXmlProperties+xml"/>
  <Override PartName="/customXml/itemProps247.xml" ContentType="application/vnd.openxmlformats-officedocument.customXmlProperties+xml"/>
  <Override PartName="/customXml/itemProps248.xml" ContentType="application/vnd.openxmlformats-officedocument.customXmlProperties+xml"/>
  <Override PartName="/customXml/itemProps249.xml" ContentType="application/vnd.openxmlformats-officedocument.customXmlProperties+xml"/>
  <Override PartName="/customXml/itemProps250.xml" ContentType="application/vnd.openxmlformats-officedocument.customXmlProperties+xml"/>
  <Override PartName="/customXml/itemProps251.xml" ContentType="application/vnd.openxmlformats-officedocument.customXmlProperties+xml"/>
  <Override PartName="/customXml/itemProps252.xml" ContentType="application/vnd.openxmlformats-officedocument.customXmlProperties+xml"/>
  <Override PartName="/customXml/itemProps253.xml" ContentType="application/vnd.openxmlformats-officedocument.customXmlProperties+xml"/>
  <Override PartName="/customXml/itemProps254.xml" ContentType="application/vnd.openxmlformats-officedocument.customXmlProperties+xml"/>
  <Override PartName="/customXml/itemProps255.xml" ContentType="application/vnd.openxmlformats-officedocument.customXmlProperties+xml"/>
  <Override PartName="/customXml/itemProps256.xml" ContentType="application/vnd.openxmlformats-officedocument.customXmlProperties+xml"/>
  <Override PartName="/customXml/itemProps257.xml" ContentType="application/vnd.openxmlformats-officedocument.customXmlProperties+xml"/>
  <Override PartName="/customXml/itemProps258.xml" ContentType="application/vnd.openxmlformats-officedocument.customXmlProperties+xml"/>
  <Override PartName="/customXml/itemProps259.xml" ContentType="application/vnd.openxmlformats-officedocument.customXmlProperties+xml"/>
  <Override PartName="/customXml/itemProps260.xml" ContentType="application/vnd.openxmlformats-officedocument.customXmlProperties+xml"/>
  <Override PartName="/customXml/itemProps261.xml" ContentType="application/vnd.openxmlformats-officedocument.customXmlProperties+xml"/>
  <Override PartName="/customXml/itemProps262.xml" ContentType="application/vnd.openxmlformats-officedocument.customXmlProperties+xml"/>
  <Override PartName="/customXml/itemProps263.xml" ContentType="application/vnd.openxmlformats-officedocument.customXmlProperties+xml"/>
  <Override PartName="/customXml/itemProps264.xml" ContentType="application/vnd.openxmlformats-officedocument.customXmlProperties+xml"/>
  <Override PartName="/customXml/itemProps265.xml" ContentType="application/vnd.openxmlformats-officedocument.customXmlProperties+xml"/>
  <Override PartName="/customXml/itemProps266.xml" ContentType="application/vnd.openxmlformats-officedocument.customXmlProperties+xml"/>
  <Override PartName="/customXml/itemProps267.xml" ContentType="application/vnd.openxmlformats-officedocument.customXmlProperties+xml"/>
  <Override PartName="/customXml/itemProps268.xml" ContentType="application/vnd.openxmlformats-officedocument.customXmlProperties+xml"/>
  <Override PartName="/customXml/itemProps269.xml" ContentType="application/vnd.openxmlformats-officedocument.customXmlProperties+xml"/>
  <Override PartName="/customXml/itemProps270.xml" ContentType="application/vnd.openxmlformats-officedocument.customXmlProperties+xml"/>
  <Override PartName="/customXml/itemProps271.xml" ContentType="application/vnd.openxmlformats-officedocument.customXmlProperties+xml"/>
  <Override PartName="/customXml/itemProps272.xml" ContentType="application/vnd.openxmlformats-officedocument.customXmlProperties+xml"/>
  <Override PartName="/customXml/itemProps273.xml" ContentType="application/vnd.openxmlformats-officedocument.customXmlProperties+xml"/>
  <Override PartName="/customXml/itemProps274.xml" ContentType="application/vnd.openxmlformats-officedocument.customXmlProperties+xml"/>
  <Override PartName="/customXml/itemProps275.xml" ContentType="application/vnd.openxmlformats-officedocument.customXmlProperties+xml"/>
  <Override PartName="/customXml/itemProps276.xml" ContentType="application/vnd.openxmlformats-officedocument.customXmlProperties+xml"/>
  <Override PartName="/customXml/itemProps277.xml" ContentType="application/vnd.openxmlformats-officedocument.customXmlProperties+xml"/>
  <Override PartName="/customXml/itemProps278.xml" ContentType="application/vnd.openxmlformats-officedocument.customXmlProperties+xml"/>
  <Override PartName="/customXml/itemProps279.xml" ContentType="application/vnd.openxmlformats-officedocument.customXmlProperties+xml"/>
  <Override PartName="/customXml/itemProps280.xml" ContentType="application/vnd.openxmlformats-officedocument.customXmlProperties+xml"/>
  <Override PartName="/customXml/itemProps281.xml" ContentType="application/vnd.openxmlformats-officedocument.customXmlProperties+xml"/>
  <Override PartName="/customXml/itemProps282.xml" ContentType="application/vnd.openxmlformats-officedocument.customXmlProperties+xml"/>
  <Override PartName="/customXml/itemProps283.xml" ContentType="application/vnd.openxmlformats-officedocument.customXmlProperties+xml"/>
  <Override PartName="/customXml/itemProps284.xml" ContentType="application/vnd.openxmlformats-officedocument.customXmlProperties+xml"/>
  <Override PartName="/customXml/itemProps285.xml" ContentType="application/vnd.openxmlformats-officedocument.customXmlProperties+xml"/>
  <Override PartName="/customXml/itemProps286.xml" ContentType="application/vnd.openxmlformats-officedocument.customXmlProperties+xml"/>
  <Override PartName="/customXml/itemProps287.xml" ContentType="application/vnd.openxmlformats-officedocument.customXmlProperties+xml"/>
  <Override PartName="/customXml/itemProps288.xml" ContentType="application/vnd.openxmlformats-officedocument.customXmlProperties+xml"/>
  <Override PartName="/customXml/itemProps289.xml" ContentType="application/vnd.openxmlformats-officedocument.customXmlProperties+xml"/>
  <Override PartName="/customXml/itemProps290.xml" ContentType="application/vnd.openxmlformats-officedocument.customXmlProperties+xml"/>
  <Override PartName="/customXml/itemProps291.xml" ContentType="application/vnd.openxmlformats-officedocument.customXmlProperties+xml"/>
  <Override PartName="/customXml/itemProps292.xml" ContentType="application/vnd.openxmlformats-officedocument.customXmlProperties+xml"/>
  <Override PartName="/customXml/itemProps293.xml" ContentType="application/vnd.openxmlformats-officedocument.customXmlProperties+xml"/>
  <Override PartName="/customXml/itemProps294.xml" ContentType="application/vnd.openxmlformats-officedocument.customXmlProperties+xml"/>
  <Override PartName="/customXml/itemProps295.xml" ContentType="application/vnd.openxmlformats-officedocument.customXmlProperties+xml"/>
  <Override PartName="/customXml/itemProps296.xml" ContentType="application/vnd.openxmlformats-officedocument.customXmlProperties+xml"/>
  <Override PartName="/customXml/itemProps297.xml" ContentType="application/vnd.openxmlformats-officedocument.customXmlProperties+xml"/>
  <Override PartName="/customXml/itemProps298.xml" ContentType="application/vnd.openxmlformats-officedocument.customXmlProperties+xml"/>
  <Override PartName="/customXml/itemProps299.xml" ContentType="application/vnd.openxmlformats-officedocument.customXmlProperties+xml"/>
  <Override PartName="/customXml/itemProps300.xml" ContentType="application/vnd.openxmlformats-officedocument.customXmlProperties+xml"/>
  <Override PartName="/customXml/itemProps301.xml" ContentType="application/vnd.openxmlformats-officedocument.customXmlProperties+xml"/>
  <Override PartName="/customXml/itemProps302.xml" ContentType="application/vnd.openxmlformats-officedocument.customXmlProperties+xml"/>
  <Override PartName="/customXml/itemProps303.xml" ContentType="application/vnd.openxmlformats-officedocument.customXmlProperties+xml"/>
  <Override PartName="/customXml/itemProps304.xml" ContentType="application/vnd.openxmlformats-officedocument.customXmlProperties+xml"/>
  <Override PartName="/customXml/itemProps305.xml" ContentType="application/vnd.openxmlformats-officedocument.customXmlProperties+xml"/>
  <Override PartName="/customXml/itemProps306.xml" ContentType="application/vnd.openxmlformats-officedocument.customXmlProperties+xml"/>
  <Override PartName="/customXml/itemProps307.xml" ContentType="application/vnd.openxmlformats-officedocument.customXmlProperties+xml"/>
  <Override PartName="/customXml/itemProps308.xml" ContentType="application/vnd.openxmlformats-officedocument.customXmlProperties+xml"/>
  <Override PartName="/customXml/itemProps309.xml" ContentType="application/vnd.openxmlformats-officedocument.customXmlProperties+xml"/>
  <Override PartName="/customXml/itemProps310.xml" ContentType="application/vnd.openxmlformats-officedocument.customXmlProperties+xml"/>
  <Override PartName="/customXml/itemProps311.xml" ContentType="application/vnd.openxmlformats-officedocument.customXmlProperties+xml"/>
  <Override PartName="/customXml/itemProps312.xml" ContentType="application/vnd.openxmlformats-officedocument.customXmlProperties+xml"/>
  <Override PartName="/customXml/itemProps313.xml" ContentType="application/vnd.openxmlformats-officedocument.customXmlProperties+xml"/>
  <Override PartName="/customXml/itemProps314.xml" ContentType="application/vnd.openxmlformats-officedocument.customXmlProperties+xml"/>
  <Override PartName="/customXml/itemProps315.xml" ContentType="application/vnd.openxmlformats-officedocument.customXmlProperties+xml"/>
  <Override PartName="/customXml/itemProps316.xml" ContentType="application/vnd.openxmlformats-officedocument.customXmlProperties+xml"/>
  <Override PartName="/customXml/itemProps317.xml" ContentType="application/vnd.openxmlformats-officedocument.customXmlProperties+xml"/>
  <Override PartName="/customXml/itemProps318.xml" ContentType="application/vnd.openxmlformats-officedocument.customXmlProperties+xml"/>
  <Override PartName="/customXml/itemProps319.xml" ContentType="application/vnd.openxmlformats-officedocument.customXmlProperties+xml"/>
  <Override PartName="/customXml/itemProps320.xml" ContentType="application/vnd.openxmlformats-officedocument.customXmlProperties+xml"/>
  <Override PartName="/customXml/itemProps321.xml" ContentType="application/vnd.openxmlformats-officedocument.customXmlProperties+xml"/>
  <Override PartName="/customXml/itemProps322.xml" ContentType="application/vnd.openxmlformats-officedocument.customXmlProperties+xml"/>
  <Override PartName="/customXml/itemProps323.xml" ContentType="application/vnd.openxmlformats-officedocument.customXmlProperties+xml"/>
  <Override PartName="/customXml/itemProps324.xml" ContentType="application/vnd.openxmlformats-officedocument.customXmlProperties+xml"/>
  <Override PartName="/customXml/itemProps325.xml" ContentType="application/vnd.openxmlformats-officedocument.customXmlProperties+xml"/>
  <Override PartName="/customXml/itemProps326.xml" ContentType="application/vnd.openxmlformats-officedocument.customXmlProperties+xml"/>
  <Override PartName="/customXml/itemProps327.xml" ContentType="application/vnd.openxmlformats-officedocument.customXmlProperties+xml"/>
  <Override PartName="/customXml/itemProps328.xml" ContentType="application/vnd.openxmlformats-officedocument.customXmlProperties+xml"/>
  <Override PartName="/customXml/itemProps329.xml" ContentType="application/vnd.openxmlformats-officedocument.customXmlProperties+xml"/>
  <Override PartName="/customXml/itemProps330.xml" ContentType="application/vnd.openxmlformats-officedocument.customXmlProperties+xml"/>
  <Override PartName="/customXml/itemProps331.xml" ContentType="application/vnd.openxmlformats-officedocument.customXmlProperties+xml"/>
  <Override PartName="/customXml/itemProps332.xml" ContentType="application/vnd.openxmlformats-officedocument.customXmlProperties+xml"/>
  <Override PartName="/customXml/itemProps333.xml" ContentType="application/vnd.openxmlformats-officedocument.customXmlProperties+xml"/>
  <Override PartName="/customXml/itemProps334.xml" ContentType="application/vnd.openxmlformats-officedocument.customXmlProperties+xml"/>
  <Override PartName="/customXml/itemProps335.xml" ContentType="application/vnd.openxmlformats-officedocument.customXmlProperties+xml"/>
  <Override PartName="/customXml/itemProps336.xml" ContentType="application/vnd.openxmlformats-officedocument.customXmlProperties+xml"/>
  <Override PartName="/customXml/itemProps337.xml" ContentType="application/vnd.openxmlformats-officedocument.customXmlProperties+xml"/>
  <Override PartName="/customXml/itemProps338.xml" ContentType="application/vnd.openxmlformats-officedocument.customXmlProperties+xml"/>
  <Override PartName="/customXml/itemProps339.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codeName="Denne_projektmappe" hidePivotFieldList="1" defaultThemeVersion="166925"/>
  <mc:AlternateContent xmlns:mc="http://schemas.openxmlformats.org/markup-compatibility/2006">
    <mc:Choice Requires="x15">
      <x15ac:absPath xmlns:x15ac="http://schemas.microsoft.com/office/spreadsheetml/2010/11/ac" url="C:\Users\BSben\Desktop\ping_pong_dm\Filer\"/>
    </mc:Choice>
  </mc:AlternateContent>
  <xr:revisionPtr revIDLastSave="0" documentId="13_ncr:1_{21916350-CBFF-471E-A863-42C9184E1B2A}" xr6:coauthVersionLast="47" xr6:coauthVersionMax="47" xr10:uidLastSave="{00000000-0000-0000-0000-000000000000}"/>
  <bookViews>
    <workbookView xWindow="-108" yWindow="-108" windowWidth="23256" windowHeight="12456" tabRatio="854" xr2:uid="{2CA1C24A-35AE-4703-99CC-A963D3CF8F1C}"/>
  </bookViews>
  <sheets>
    <sheet name="✍️ Input" sheetId="41" r:id="rId1"/>
    <sheet name="💡🏆🎫 Status" sheetId="46" r:id="rId2"/>
    <sheet name="🏓🆚 Puljer" sheetId="58" r:id="rId3"/>
    <sheet name="🗂️ Filtre nøgletal" sheetId="47" r:id="rId4"/>
    <sheet name="🗝️ Nøgletal" sheetId="42" r:id="rId5"/>
  </sheets>
  <definedNames>
    <definedName name="_xlcn.WorksheetConnection_DeltagereogtilmeldingertilDMiPingPong.xlsxKlokkeslætsinterval_d1" hidden="1">Klokkeslætsinterval_d1[]</definedName>
    <definedName name="_xlcn.WorksheetConnection_DeltagereogtilmeldingertilDMiPingPong.xlsxRegion_d3" hidden="1">Region_d3[]</definedName>
    <definedName name="_xlcn.WorksheetConnection_DeltagereogtilmeldingertilDMiPingPong.xlsxSpillertype_d2" hidden="1">Spillertype_d2[]</definedName>
    <definedName name="_xlcn.WorksheetConnection_DeltagereogtilmeldingertilDMiPingPong.xlsxTilmeldingskanal_d127" hidden="1">Billetsalg_pr_tilmelding_d1[]</definedName>
    <definedName name="_xlcn.WorksheetConnection_DeltagereogtilmeldingertilDMiPingPongKopi.xlsxGentilmeldinger_d1" hidden="1">Gentilmeldinger_d1[]</definedName>
    <definedName name="_xlcn.WorksheetConnection_DeltagereogtilmeldingertilDMiPingPongKopi.xlsxTilmeldingsstatus_d1" hidden="1">Tilmeldingsstatus_d1[]</definedName>
    <definedName name="_xlcn.WorksheetConnection_OrdrerogbillettertilDMiPingPongBilletFix.xlsxBillettype_og_evt_tilvalg_d1" hidden="1">Billettype_og_tilvalg_d1[]</definedName>
    <definedName name="_xlcn.WorksheetConnection_TilmeldingertilDMiPingPong.xlsxBilletpris_d2" hidden="1">Billettype_d2[]</definedName>
    <definedName name="_xlcn.WorksheetConnection_TilmeldingertilDMiPingPong.xlsxTilvalg_d2" hidden="1">Tilvalg_d2[]</definedName>
    <definedName name="_xlcn.WorksheetConnection_TilmeldingertilDMiPingPongBilletFix.xlsxKøn_d1" hidden="1">Køn_d2[]</definedName>
    <definedName name="_xlcn.WorksheetConnection_TilmeldingertilDMiPingPongBilletFix.xlsxLandsdel_d2" hidden="1">Landsdel_d3[]</definedName>
    <definedName name="_xlcn.WorksheetConnection_TilmeldingertilDMiPingPongBilletFix.xlsxLandsdel_og_klub_d1" hidden="1">Bordtennisklub_d2[]</definedName>
    <definedName name="_xlcn.WorksheetConnection_TilmeldingertilDMiPingPongBilletFix.xlsxRating_interval_d2" hidden="1">Ratinggruppe_d2[]</definedName>
    <definedName name="_xlcn.WorksheetConnection_TilmeldingertilDMiPingPongBilletFix.xlsxTabel23" hidden="1">Tilmeldingstype_d1[]</definedName>
    <definedName name="_xlcn.WorksheetConnection_TilmeldingertilDMiPingPongBilletFix.xlsxTilvalg_d26" hidden="1">Aldersgruppe_d2[]</definedName>
    <definedName name="Drive_in">'✍️ Input'!$C$4</definedName>
    <definedName name="EksterneData_1" localSheetId="1" hidden="1">'💡🏆🎫 Status'!$C$129:$D$149</definedName>
    <definedName name="EksterneData_10" localSheetId="1" hidden="1">'💡🏆🎫 Status'!$I$48:$L$96</definedName>
    <definedName name="EksterneData_11" localSheetId="2" hidden="1">'🏓🆚 Puljer'!$F$68:$X$80</definedName>
    <definedName name="EksterneData_12" localSheetId="2" hidden="1">'🏓🆚 Puljer'!$A$7:$AC$15</definedName>
    <definedName name="EksterneData_2" localSheetId="1" hidden="1">'💡🏆🎫 Status'!#REF!</definedName>
    <definedName name="EksterneData_3" localSheetId="1" hidden="1">'💡🏆🎫 Status'!#REF!</definedName>
    <definedName name="EksterneData_4" localSheetId="1" hidden="1">'💡🏆🎫 Status'!$U$21:$AC$122</definedName>
    <definedName name="EksterneData_5" localSheetId="1" hidden="1">'💡🏆🎫 Status'!#REF!</definedName>
    <definedName name="EksterneData_6" localSheetId="1" hidden="1">'💡🏆🎫 Status'!$O$33:$S$75</definedName>
    <definedName name="EksterneData_7" localSheetId="1" hidden="1">'💡🏆🎫 Status'!$C$58:$D$118</definedName>
    <definedName name="EksterneData_8" localSheetId="1" hidden="1">'💡🏆🎫 Status'!$F$49:$G$109</definedName>
    <definedName name="EksterneData_9" localSheetId="1" hidden="1">'💡🏆🎫 Status'!$I$108:$L$189</definedName>
    <definedName name="tbl_Billettype_d2_Billettype">Billettype_d2[K: Billettype]</definedName>
    <definedName name="tbl_Bordtennisklub_d2_Bordtennisklub">Bordtennisklub_d2[K: Bordtennisklub]</definedName>
    <definedName name="tbl_Deltagere_deltager">Deltagere[K: Deltager]</definedName>
    <definedName name="tbl_Køn_d2_Køn">Køn_d2[K: Køn]</definedName>
    <definedName name="tbl_Spiller_ID_fødselsdato">#REF!</definedName>
    <definedName name="tbl_Tilmeldingsstatus">Tilmeldingsstatus_d1[K: Tilmeldingsstatus]</definedName>
    <definedName name="tbl_Tilvalg_d2_Tilvalg">Tilvalg_d2[K: Tilvalg]</definedName>
    <definedName name="_xlnm.Print_Area" localSheetId="0">'✍️ Input'!$A:$AA</definedName>
    <definedName name="_xlnm.Print_Area" localSheetId="2">'🏓🆚 Puljer'!$A:$AC</definedName>
    <definedName name="_xlnm.Print_Area" localSheetId="1">'💡🏆🎫 Status'!$A:$AC</definedName>
    <definedName name="_xlnm.Print_Area" localSheetId="3">'🗂️ Filtre nøgletal'!$A:$E</definedName>
    <definedName name="_xlnm.Print_Area" localSheetId="4">'🗝️ Nøgletal'!$A:$M</definedName>
    <definedName name="Udsnit_K__Alder_interval">#N/A</definedName>
    <definedName name="Udsnit_K__Billetantal_pr._tilmelding">#N/A</definedName>
    <definedName name="Udsnit_K__Billettype">#N/A</definedName>
    <definedName name="Udsnit_K__Bordtennisklub">#N/A</definedName>
    <definedName name="Udsnit_K__Deltager_ID">#N/A</definedName>
    <definedName name="Udsnit_K__Gentilmeldinger">#N/A</definedName>
    <definedName name="Udsnit_K__Klokkeslætsinterval">#N/A</definedName>
    <definedName name="Udsnit_K__Køn">#N/A</definedName>
    <definedName name="Udsnit_K__Landsdel">#N/A</definedName>
    <definedName name="Udsnit_K__Måned_og_år">#N/A</definedName>
    <definedName name="Udsnit_K__Rating_interval">#N/A</definedName>
    <definedName name="Udsnit_K__Region">#N/A</definedName>
    <definedName name="Udsnit_K__Spillertype">#N/A</definedName>
    <definedName name="Udsnit_K__Tilmeldingskanal">#N/A</definedName>
    <definedName name="Udsnit_K__Tilmeldingsstatus">#N/A</definedName>
    <definedName name="Udsnit_K__Uge1">#N/A</definedName>
    <definedName name="Udsnit_K__År">#N/A</definedName>
    <definedName name="Valg_af_tilmeldingsår">'✍️ Input'!$B$4</definedName>
  </definedNames>
  <calcPr calcId="191029"/>
  <pivotCaches>
    <pivotCache cacheId="0" r:id="rId6"/>
    <pivotCache cacheId="1" r:id="rId7"/>
    <pivotCache cacheId="2"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841E416B-1EF1-43b6-AB56-02D37102CBD5}">
      <x15:pivotCaches>
        <pivotCache cacheId="4" r:id="rId27"/>
        <pivotCache cacheId="5" r:id="rId28"/>
        <pivotCache cacheId="6" r:id="rId29"/>
        <pivotCache cacheId="7" r:id="rId30"/>
        <pivotCache cacheId="8" r:id="rId31"/>
        <pivotCache cacheId="9" r:id="rId32"/>
        <pivotCache cacheId="10" r:id="rId33"/>
        <pivotCache cacheId="11" r:id="rId34"/>
        <pivotCache cacheId="12" r:id="rId35"/>
        <pivotCache cacheId="13" r:id="rId36"/>
        <pivotCache cacheId="14" r:id="rId37"/>
        <pivotCache cacheId="15" r:id="rId38"/>
        <pivotCache cacheId="16" r:id="rId39"/>
        <pivotCache cacheId="17" r:id="rId40"/>
      </x15:pivotCaches>
    </ext>
    <ext xmlns:x15="http://schemas.microsoft.com/office/spreadsheetml/2010/11/main" uri="{983426D0-5260-488c-9760-48F4B6AC55F4}">
      <x15:pivotTableReferences>
        <x15:pivotTableReference r:id="rId41"/>
        <x15:pivotTableReference r:id="rId42"/>
        <x15:pivotTableReference r:id="rId43"/>
        <x15:pivotTableReference r:id="rId44"/>
        <x15:pivotTableReference r:id="rId45"/>
        <x15:pivotTableReference r:id="rId46"/>
        <x15:pivotTableReference r:id="rId47"/>
        <x15:pivotTableReference r:id="rId48"/>
        <x15:pivotTableReference r:id="rId49"/>
        <x15:pivotTableReference r:id="rId50"/>
        <x15:pivotTableReference r:id="rId51"/>
        <x15:pivotTableReference r:id="rId52"/>
        <x15:pivotTableReference r:id="rId53"/>
        <x15:pivotTableReference r:id="rId54"/>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ilmeldinger_1f_18560c4a-5c1a-4d7f-bf6a-a5cdda7de17a" name="Tilmeldinger_1f" connection="Forespørgsel - Tilmeldinger_1f"/>
          <x15:modelTable id="Deltagere_d1_809483e0-7395-4834-acd9-7c5e300208fd" name="Deltagere_d1" connection="Forespørgsel - Deltagere_d1"/>
          <x15:modelTable id="Tilvalg_d2" name="Tilvalg_d2" connection="WorksheetConnection_Tilmeldinger til DM i Ping Pong.xlsx!Tilvalg_d2"/>
          <x15:modelTable id="Billetpris_d2" name="Billettype_d2" connection="WorksheetConnection_Tilmeldinger til DM i Ping Pong.xlsx!Billetpris_d2"/>
          <x15:modelTable id="Tilvalg_d26" name="Aldersgruppe_d2" connection="WorksheetConnection_Tilmeldinger til DM i Ping Pong - BilletFix.xlsx!Tilvalg_d26"/>
          <x15:modelTable id="Tabel23" name="Tilmeldingstype_d1" connection="WorksheetConnection_Tilmeldinger til DM i Ping Pong - BilletFix.xlsx!Tabel23"/>
          <x15:modelTable id="Rating_interval_d2" name="Ratinggruppe_d2" connection="WorksheetConnection_Tilmeldinger til DM i Ping Pong - BilletFix.xlsx!Rating_interval_d2"/>
          <x15:modelTable id="Landsdel_og_klub_d1" name="Bordtennisklub_d2" connection="WorksheetConnection_Tilmeldinger til DM i Ping Pong - BilletFix.xlsx!Landsdel_og_klub_d1"/>
          <x15:modelTable id="Landsdel_d2" name="Landsdel_d3" connection="WorksheetConnection_Tilmeldinger til DM i Ping Pong - BilletFix.xlsx!Landsdel_d2"/>
          <x15:modelTable id="Køn_d1" name="Køn_d2" connection="WorksheetConnection_Tilmeldinger til DM i Ping Pong - BilletFix.xlsx!Køn_d1"/>
          <x15:modelTable id="Billettype_og_evt_tilvalg_d1" name="Billettype_og_tilvalg_d1" connection="WorksheetConnection_Ordrer og billetter til DM i Ping Pong - BilletFix.xlsx!Billettype_og_evt_tilvalg_d1"/>
          <x15:modelTable id="Tilmeldingskanal_d127" name="Billetsalg_pr_tilmelding_d1" connection="WorksheetConnection_Deltagere og tilmeldinger til DM i Ping Pong.xlsx!Tilmeldingskanal_d127"/>
          <x15:modelTable id="Spillertype_d2" name="Spillertype_d2" connection="WorksheetConnection_Deltagere og tilmeldinger til DM i Ping Pong.xlsx!Spillertype_d2"/>
          <x15:modelTable id="Region_d3" name="Region_d3" connection="WorksheetConnection_Deltagere og tilmeldinger til DM i Ping Pong.xlsx!Region_d3"/>
          <x15:modelTable id="Klokkeslætsinterval_d1" name="Klokkeslætsinterval_d1" connection="WorksheetConnection_Deltagere og tilmeldinger til DM i Ping Pong.xlsx!Klokkeslætsinterval_d1"/>
          <x15:modelTable id="Tilmeldingsstatus_d1" name="Tilmeldingsstatus_d1" connection="WorksheetConnection_Deltagere og tilmeldinger til DM i Ping Pong - Kopi.xlsx!Tilmeldingsstatus_d1"/>
          <x15:modelTable id="Gentilmeldinger_d1" name="Gentilmeldinger_d1" connection="WorksheetConnection_Deltagere og tilmeldinger til DM i Ping Pong - Kopi.xlsx!Gentilmeldinger_d1"/>
          <x15:modelTable id="Kalender" name="Kalender" connection="Forbindelse"/>
        </x15:modelTables>
        <x15:modelRelationships>
          <x15:modelRelationship fromTable="Tilmeldinger_1f" fromColumn="K: Ordredato" toTable="Kalender" toColumn="K: Dato"/>
          <x15:modelRelationship fromTable="Tilmeldinger_1f" fromColumn="K: Billettype &amp; tilvalg" toTable="Billettype_og_tilvalg_d1" toColumn="K: Billettype &amp; tilvalg"/>
          <x15:modelRelationship fromTable="Tilmeldinger_1f" fromColumn="K: Deltager-ID" toTable="Deltagere_d1" toColumn="K: Deltager-ID"/>
          <x15:modelRelationship fromTable="Tilmeldinger_1f" fromColumn="K: Billetsalg pr. tilmelding" toTable="Billetsalg_pr_tilmelding_d1" toColumn="K: Billetsalg pr. tilmelding"/>
          <x15:modelRelationship fromTable="Tilmeldinger_1f" fromColumn="K: Klokkeslætsinterval" toTable="Klokkeslætsinterval_d1" toColumn="K: Klokkeslætsinterval"/>
          <x15:modelRelationship fromTable="Tilmeldinger_1f" fromColumn="K: Gentilmeldinger" toTable="Gentilmeldinger_d1" toColumn="K: Gentilmeldinger"/>
          <x15:modelRelationship fromTable="Tilmeldinger_1f" fromColumn="K: Status" toTable="Tilmeldingsstatus_d1" toColumn="K: Tilmeldingsstatus"/>
          <x15:modelRelationship fromTable="Tilmeldinger_1f" fromColumn="K: Tilmeldingstype" toTable="Tilmeldingstype_d1" toColumn="K: Tilmeldingstype"/>
          <x15:modelRelationship fromTable="Billettype_og_tilvalg_d1" fromColumn="K: Billettype" toTable="Billettype_d2" toColumn="K: Billettype"/>
          <x15:modelRelationship fromTable="Billettype_og_tilvalg_d1" fromColumn="K: Tilvalg" toTable="Tilvalg_d2" toColumn="K: Tilvalg"/>
          <x15:modelRelationship fromTable="Bordtennisklub_d2" fromColumn="K: Landsdel" toTable="Landsdel_d3" toColumn="K: Landsdel"/>
          <x15:modelRelationship fromTable="Bordtennisklub_d2" fromColumn="K: Region" toTable="Region_d3" toColumn="K: Region"/>
          <x15:modelRelationship fromTable="Deltagere_d1" fromColumn="K: Køn" toTable="Køn_d2" toColumn="K: Køn"/>
          <x15:modelRelationship fromTable="Deltagere_d1" fromColumn="K: Bordtennisklub" toTable="Bordtennisklub_d2" toColumn="K: Bordtennisklub"/>
          <x15:modelRelationship fromTable="Deltagere_d1" fromColumn="K: Spillertype" toTable="Spillertype_d2" toColumn="K: Spillertype"/>
          <x15:modelRelationship fromTable="Deltagere_d1" fromColumn="K: Ratinggruppe" toTable="Ratinggruppe_d2" toColumn="K: Ratinggruppe"/>
          <x15:modelRelationship fromTable="Deltagere_d1" fromColumn="K: Aldersgruppe" toTable="Aldersgruppe_d2" toColumn="K: Aldersgrupp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41" l="1" a="1"/>
  <c r="A4" i="41" s="1"/>
  <c r="U38" i="41" a="1"/>
  <c r="U38" i="41" s="1"/>
  <c r="U16" i="46"/>
  <c r="M40" i="41" a="1"/>
  <c r="M40" i="41" s="1"/>
  <c r="M72" i="41" a="1"/>
  <c r="M72" i="41" s="1"/>
  <c r="M44" i="41" a="1"/>
  <c r="M44" i="41" s="1"/>
  <c r="M71" i="41" a="1"/>
  <c r="M71" i="41" s="1"/>
  <c r="M73" i="41" a="1"/>
  <c r="M73" i="41" s="1"/>
  <c r="M74" i="41" a="1"/>
  <c r="M74" i="41" s="1"/>
  <c r="M75" i="41" a="1"/>
  <c r="M75" i="41" s="1"/>
  <c r="M76" i="41" a="1"/>
  <c r="M76" i="41" s="1"/>
  <c r="M77" i="41" a="1"/>
  <c r="M77" i="41" s="1"/>
  <c r="M78" i="41" a="1"/>
  <c r="M78" i="41" s="1"/>
  <c r="M80" i="41" a="1"/>
  <c r="M80" i="41" s="1"/>
  <c r="M81" i="41" a="1"/>
  <c r="M81" i="41" s="1"/>
  <c r="M82" i="41" a="1"/>
  <c r="M82" i="41" s="1"/>
  <c r="M83" i="41" a="1"/>
  <c r="M83" i="41" s="1"/>
  <c r="M84" i="41" a="1"/>
  <c r="M84" i="41" s="1"/>
  <c r="M85" i="41" a="1"/>
  <c r="M85" i="41" s="1"/>
  <c r="M86" i="41" a="1"/>
  <c r="M86" i="41" s="1"/>
  <c r="M87" i="41" a="1"/>
  <c r="M87" i="41" s="1"/>
  <c r="M88" i="41" a="1"/>
  <c r="M88" i="41" s="1"/>
  <c r="M66" i="41" a="1"/>
  <c r="M66" i="41" s="1"/>
  <c r="M42" i="41" a="1"/>
  <c r="M42" i="41" s="1"/>
  <c r="M8" i="41" a="1"/>
  <c r="M8" i="41" s="1"/>
  <c r="M47" i="41" a="1"/>
  <c r="M47" i="41" s="1"/>
  <c r="U56" i="58" a="1"/>
  <c r="U56" i="58" s="1"/>
  <c r="U55" i="58" a="1"/>
  <c r="U55" i="58" s="1"/>
  <c r="U54" i="58" a="1"/>
  <c r="U54" i="58" s="1"/>
  <c r="U53" i="58" a="1"/>
  <c r="U53" i="58" s="1"/>
  <c r="U52" i="58" a="1"/>
  <c r="U52" i="58" s="1"/>
  <c r="U51" i="58" a="1"/>
  <c r="U51" i="58" s="1"/>
  <c r="P56" i="58" a="1"/>
  <c r="P56" i="58" s="1"/>
  <c r="P55" i="58" a="1"/>
  <c r="P55" i="58" s="1"/>
  <c r="P54" i="58" a="1"/>
  <c r="P54" i="58" s="1"/>
  <c r="P53" i="58" a="1"/>
  <c r="P53" i="58" s="1"/>
  <c r="P52" i="58" a="1"/>
  <c r="P52" i="58" s="1"/>
  <c r="P51" i="58" a="1"/>
  <c r="P51" i="58" s="1"/>
  <c r="K56" i="58" a="1"/>
  <c r="K56" i="58" s="1"/>
  <c r="K55" i="58" a="1"/>
  <c r="K55" i="58" s="1"/>
  <c r="K54" i="58" a="1"/>
  <c r="K54" i="58" s="1"/>
  <c r="K53" i="58" a="1"/>
  <c r="K53" i="58" s="1"/>
  <c r="K52" i="58" a="1"/>
  <c r="K52" i="58" s="1"/>
  <c r="K51" i="58" a="1"/>
  <c r="K51" i="58" s="1"/>
  <c r="F56" i="58" a="1"/>
  <c r="F56" i="58" s="1"/>
  <c r="F55" i="58" a="1"/>
  <c r="F55" i="58" s="1"/>
  <c r="F54" i="58" a="1"/>
  <c r="F54" i="58" s="1"/>
  <c r="F53" i="58" a="1"/>
  <c r="F53" i="58" s="1"/>
  <c r="F52" i="58" a="1"/>
  <c r="F52" i="58" s="1"/>
  <c r="F51" i="58" a="1"/>
  <c r="F51" i="58" s="1"/>
  <c r="U46" i="58" a="1"/>
  <c r="U46" i="58" s="1"/>
  <c r="U45" i="58" a="1"/>
  <c r="U45" i="58" s="1"/>
  <c r="U44" i="58" a="1"/>
  <c r="U44" i="58" s="1"/>
  <c r="U43" i="58" a="1"/>
  <c r="U43" i="58" s="1"/>
  <c r="U42" i="58" a="1"/>
  <c r="U42" i="58" s="1"/>
  <c r="U41" i="58" a="1"/>
  <c r="U41" i="58" s="1"/>
  <c r="P46" i="58" a="1"/>
  <c r="P46" i="58" s="1"/>
  <c r="P45" i="58" a="1"/>
  <c r="P45" i="58" s="1"/>
  <c r="P44" i="58" a="1"/>
  <c r="P44" i="58" s="1"/>
  <c r="P43" i="58" a="1"/>
  <c r="P43" i="58" s="1"/>
  <c r="P42" i="58" a="1"/>
  <c r="P42" i="58" s="1"/>
  <c r="P41" i="58" a="1"/>
  <c r="P41" i="58" s="1"/>
  <c r="K46" i="58" a="1"/>
  <c r="K46" i="58" s="1"/>
  <c r="K45" i="58" a="1"/>
  <c r="K45" i="58" s="1"/>
  <c r="K44" i="58" a="1"/>
  <c r="K44" i="58" s="1"/>
  <c r="K43" i="58" a="1"/>
  <c r="K43" i="58" s="1"/>
  <c r="K42" i="58" a="1"/>
  <c r="K42" i="58" s="1"/>
  <c r="K41" i="58" a="1"/>
  <c r="K41" i="58" s="1"/>
  <c r="F46" i="58" a="1"/>
  <c r="F46" i="58" s="1"/>
  <c r="F45" i="58" a="1"/>
  <c r="F45" i="58" s="1"/>
  <c r="F44" i="58" a="1"/>
  <c r="F44" i="58" s="1"/>
  <c r="F43" i="58" a="1"/>
  <c r="F43" i="58" s="1"/>
  <c r="F42" i="58" a="1"/>
  <c r="F42" i="58" s="1"/>
  <c r="F41" i="58" a="1"/>
  <c r="F41" i="58" s="1"/>
  <c r="U36" i="58" a="1"/>
  <c r="U36" i="58" s="1"/>
  <c r="U35" i="58" a="1"/>
  <c r="U35" i="58" s="1"/>
  <c r="U34" i="58" a="1"/>
  <c r="U34" i="58" s="1"/>
  <c r="U33" i="58" a="1"/>
  <c r="U33" i="58" s="1"/>
  <c r="U32" i="58" a="1"/>
  <c r="U32" i="58" s="1"/>
  <c r="U31" i="58" a="1"/>
  <c r="U31" i="58" s="1"/>
  <c r="P36" i="58" a="1"/>
  <c r="P36" i="58" s="1"/>
  <c r="P35" i="58" a="1"/>
  <c r="P35" i="58" s="1"/>
  <c r="P34" i="58" a="1"/>
  <c r="P34" i="58" s="1"/>
  <c r="P33" i="58" a="1"/>
  <c r="P33" i="58" s="1"/>
  <c r="P32" i="58" a="1"/>
  <c r="P32" i="58" s="1"/>
  <c r="P31" i="58" a="1"/>
  <c r="P31" i="58" s="1"/>
  <c r="K36" i="58" a="1"/>
  <c r="K36" i="58" s="1"/>
  <c r="K35" i="58" a="1"/>
  <c r="K35" i="58" s="1"/>
  <c r="K34" i="58" a="1"/>
  <c r="K34" i="58" s="1"/>
  <c r="K33" i="58" a="1"/>
  <c r="K33" i="58" s="1"/>
  <c r="K32" i="58" a="1"/>
  <c r="K32" i="58" s="1"/>
  <c r="K31" i="58" a="1"/>
  <c r="K31" i="58" s="1"/>
  <c r="F36" i="58" a="1"/>
  <c r="F36" i="58" s="1"/>
  <c r="F35" i="58" a="1"/>
  <c r="F35" i="58" s="1"/>
  <c r="F34" i="58" a="1"/>
  <c r="F34" i="58" s="1"/>
  <c r="F33" i="58" a="1"/>
  <c r="F33" i="58" s="1"/>
  <c r="F32" i="58" a="1"/>
  <c r="F32" i="58" s="1"/>
  <c r="F31" i="58" a="1"/>
  <c r="F31" i="58" s="1"/>
  <c r="U122" i="58" a="1"/>
  <c r="U122" i="58" s="1"/>
  <c r="U121" i="58" a="1"/>
  <c r="U121" i="58" s="1"/>
  <c r="U120" i="58" a="1"/>
  <c r="U120" i="58" s="1"/>
  <c r="U119" i="58" a="1"/>
  <c r="U119" i="58" s="1"/>
  <c r="P122" i="58" a="1"/>
  <c r="P122" i="58" s="1"/>
  <c r="P121" i="58" a="1"/>
  <c r="P121" i="58" s="1"/>
  <c r="P120" i="58" a="1"/>
  <c r="P120" i="58" s="1"/>
  <c r="P119" i="58" a="1"/>
  <c r="P119" i="58" s="1"/>
  <c r="K122" i="58" a="1"/>
  <c r="K122" i="58" s="1"/>
  <c r="K121" i="58" a="1"/>
  <c r="K121" i="58" s="1"/>
  <c r="K120" i="58" a="1"/>
  <c r="K120" i="58" s="1"/>
  <c r="K119" i="58" a="1"/>
  <c r="K119" i="58" s="1"/>
  <c r="F122" i="58" a="1"/>
  <c r="F122" i="58" s="1"/>
  <c r="F121" i="58" a="1"/>
  <c r="F121" i="58" s="1"/>
  <c r="F120" i="58" a="1"/>
  <c r="F120" i="58" s="1"/>
  <c r="F119" i="58" a="1"/>
  <c r="F119" i="58" s="1"/>
  <c r="U114" i="58" a="1"/>
  <c r="U114" i="58" s="1"/>
  <c r="U113" i="58" a="1"/>
  <c r="U113" i="58" s="1"/>
  <c r="U112" i="58" a="1"/>
  <c r="U112" i="58" s="1"/>
  <c r="U111" i="58" a="1"/>
  <c r="U111" i="58" s="1"/>
  <c r="P114" i="58" a="1"/>
  <c r="P114" i="58" s="1"/>
  <c r="P113" i="58" a="1"/>
  <c r="P113" i="58" s="1"/>
  <c r="P112" i="58" a="1"/>
  <c r="P112" i="58" s="1"/>
  <c r="P111" i="58" a="1"/>
  <c r="P111" i="58" s="1"/>
  <c r="K114" i="58" a="1"/>
  <c r="K114" i="58" s="1"/>
  <c r="K113" i="58" a="1"/>
  <c r="K113" i="58" s="1"/>
  <c r="K112" i="58" a="1"/>
  <c r="K112" i="58" s="1"/>
  <c r="K111" i="58" a="1"/>
  <c r="K111" i="58" s="1"/>
  <c r="F114" i="58" a="1"/>
  <c r="F114" i="58" s="1"/>
  <c r="F113" i="58" a="1"/>
  <c r="F113" i="58" s="1"/>
  <c r="F112" i="58" a="1"/>
  <c r="F112" i="58" s="1"/>
  <c r="F111" i="58" a="1"/>
  <c r="F111" i="58" s="1"/>
  <c r="U106" i="58" a="1"/>
  <c r="U106" i="58" s="1"/>
  <c r="U105" i="58" a="1"/>
  <c r="U105" i="58" s="1"/>
  <c r="U104" i="58" a="1"/>
  <c r="U104" i="58" s="1"/>
  <c r="U103" i="58" a="1"/>
  <c r="U103" i="58" s="1"/>
  <c r="P106" i="58" a="1"/>
  <c r="P106" i="58" s="1"/>
  <c r="P105" i="58" a="1"/>
  <c r="P105" i="58" s="1"/>
  <c r="P104" i="58" a="1"/>
  <c r="P104" i="58" s="1"/>
  <c r="P103" i="58" a="1"/>
  <c r="P103" i="58" s="1"/>
  <c r="K106" i="58" a="1"/>
  <c r="K106" i="58" s="1"/>
  <c r="K105" i="58" a="1"/>
  <c r="K105" i="58" s="1"/>
  <c r="K104" i="58" a="1"/>
  <c r="K104" i="58" s="1"/>
  <c r="K103" i="58" a="1"/>
  <c r="K103" i="58" s="1"/>
  <c r="F106" i="58" a="1"/>
  <c r="F106" i="58" s="1"/>
  <c r="F105" i="58" a="1"/>
  <c r="F105" i="58" s="1"/>
  <c r="F104" i="58" a="1"/>
  <c r="F104" i="58" s="1"/>
  <c r="F103" i="58" a="1"/>
  <c r="F103" i="58" s="1"/>
  <c r="U98" i="58" a="1"/>
  <c r="U98" i="58" s="1"/>
  <c r="U97" i="58" a="1"/>
  <c r="U97" i="58" s="1"/>
  <c r="U96" i="58" a="1"/>
  <c r="U96" i="58" s="1"/>
  <c r="U95" i="58" a="1"/>
  <c r="U95" i="58" s="1"/>
  <c r="P98" i="58" a="1"/>
  <c r="P98" i="58" s="1"/>
  <c r="P97" i="58" a="1"/>
  <c r="P97" i="58" s="1"/>
  <c r="P96" i="58" a="1"/>
  <c r="P96" i="58" s="1"/>
  <c r="P95" i="58" a="1"/>
  <c r="P95" i="58" s="1"/>
  <c r="K98" i="58" a="1"/>
  <c r="K98" i="58" s="1"/>
  <c r="K97" i="58" a="1"/>
  <c r="K97" i="58" s="1"/>
  <c r="K96" i="58" a="1"/>
  <c r="K96" i="58" s="1"/>
  <c r="K95" i="58" a="1"/>
  <c r="K95" i="58" s="1"/>
  <c r="F98" i="58" a="1"/>
  <c r="F98" i="58" s="1"/>
  <c r="F97" i="58" a="1"/>
  <c r="F97" i="58" s="1"/>
  <c r="F96" i="58" a="1"/>
  <c r="F96" i="58" s="1"/>
  <c r="F95" i="58" a="1"/>
  <c r="F95" i="58" s="1"/>
  <c r="U19" i="46"/>
  <c r="U18" i="46"/>
  <c r="U17" i="46"/>
  <c r="F89" i="58"/>
  <c r="F94" i="58" a="1"/>
  <c r="F94" i="58" s="1"/>
  <c r="K94" i="58" a="1"/>
  <c r="K94" i="58" s="1"/>
  <c r="P94" i="58" a="1"/>
  <c r="P94" i="58" s="1"/>
  <c r="U94" i="58" a="1"/>
  <c r="U94" i="58" s="1"/>
  <c r="F102" i="58" a="1"/>
  <c r="F102" i="58" s="1"/>
  <c r="K102" i="58" a="1"/>
  <c r="K102" i="58" s="1"/>
  <c r="P102" i="58" a="1"/>
  <c r="P102" i="58" s="1"/>
  <c r="U102" i="58" a="1"/>
  <c r="U102" i="58" s="1"/>
  <c r="F110" i="58" a="1"/>
  <c r="F110" i="58" s="1"/>
  <c r="K110" i="58" a="1"/>
  <c r="K110" i="58" s="1"/>
  <c r="P110" i="58" a="1"/>
  <c r="P110" i="58" s="1"/>
  <c r="U110" i="58" a="1"/>
  <c r="U110" i="58" s="1"/>
  <c r="F118" i="58" a="1"/>
  <c r="F118" i="58" s="1"/>
  <c r="K118" i="58" a="1"/>
  <c r="K118" i="58" s="1"/>
  <c r="P118" i="58" a="1"/>
  <c r="P118" i="58" s="1"/>
  <c r="U118" i="58" a="1"/>
  <c r="U118" i="58" s="1"/>
  <c r="AA9" i="41"/>
  <c r="AA8" i="41"/>
  <c r="AA7" i="41"/>
  <c r="U41" i="41" a="1"/>
  <c r="U41" i="41" s="1"/>
  <c r="M13" i="41" a="1"/>
  <c r="M13" i="41" s="1"/>
  <c r="U44" i="41" a="1"/>
  <c r="U44" i="41" s="1"/>
  <c r="U43" i="41" a="1"/>
  <c r="U43" i="41" s="1"/>
  <c r="U21" i="41" a="1"/>
  <c r="U21" i="41" s="1"/>
  <c r="U23" i="41" a="1"/>
  <c r="U23" i="41" s="1"/>
  <c r="U24" i="41" a="1"/>
  <c r="U24" i="41" s="1"/>
  <c r="U25" i="41" a="1"/>
  <c r="U25" i="41" s="1"/>
  <c r="O37" i="41" a="1"/>
  <c r="O37" i="41" s="1"/>
  <c r="M69" i="41" a="1"/>
  <c r="M69" i="41" s="1"/>
  <c r="M27" i="41" a="1"/>
  <c r="M27" i="41" s="1"/>
  <c r="M6" i="41" a="1"/>
  <c r="M6" i="41" s="1"/>
  <c r="M7" i="41" a="1"/>
  <c r="M7" i="41" s="1"/>
  <c r="M9" i="41" a="1"/>
  <c r="M9" i="41" s="1"/>
  <c r="M10" i="41" a="1"/>
  <c r="M10" i="41" s="1"/>
  <c r="M11" i="41" a="1"/>
  <c r="M11" i="41" s="1"/>
  <c r="M12" i="41" a="1"/>
  <c r="M12" i="41" s="1"/>
  <c r="M14" i="41" a="1"/>
  <c r="M14" i="41" s="1"/>
  <c r="M15" i="41" a="1"/>
  <c r="M15" i="41" s="1"/>
  <c r="M16" i="41" a="1"/>
  <c r="M16" i="41" s="1"/>
  <c r="M17" i="41" a="1"/>
  <c r="M17" i="41" s="1"/>
  <c r="M18" i="41" a="1"/>
  <c r="M18" i="41" s="1"/>
  <c r="M19" i="41" a="1"/>
  <c r="M19" i="41" s="1"/>
  <c r="M20" i="41" a="1"/>
  <c r="M20" i="41" s="1"/>
  <c r="M21" i="41" a="1"/>
  <c r="M21" i="41" s="1"/>
  <c r="M22" i="41" a="1"/>
  <c r="M22" i="41" s="1"/>
  <c r="M23" i="41" a="1"/>
  <c r="M23" i="41" s="1"/>
  <c r="M24" i="41" a="1"/>
  <c r="M24" i="41" s="1"/>
  <c r="M25" i="41" a="1"/>
  <c r="M25" i="41" s="1"/>
  <c r="M26" i="41" a="1"/>
  <c r="M26" i="41" s="1"/>
  <c r="M28" i="41" a="1"/>
  <c r="M28" i="41" s="1"/>
  <c r="M29" i="41" a="1"/>
  <c r="M29" i="41" s="1"/>
  <c r="M30" i="41" a="1"/>
  <c r="M30" i="41" s="1"/>
  <c r="M31" i="41" a="1"/>
  <c r="M31" i="41" s="1"/>
  <c r="M32" i="41" a="1"/>
  <c r="M32" i="41" s="1"/>
  <c r="M33" i="41" a="1"/>
  <c r="M33" i="41" s="1"/>
  <c r="M34" i="41" a="1"/>
  <c r="M34" i="41" s="1"/>
  <c r="M35" i="41" a="1"/>
  <c r="M35" i="41" s="1"/>
  <c r="M36" i="41" a="1"/>
  <c r="M36" i="41" s="1"/>
  <c r="M37" i="41" a="1"/>
  <c r="M37" i="41" s="1"/>
  <c r="M38" i="41" a="1"/>
  <c r="M38" i="41" s="1"/>
  <c r="M39" i="41" a="1"/>
  <c r="M39" i="41" s="1"/>
  <c r="M41" i="41" a="1"/>
  <c r="M41" i="41" s="1"/>
  <c r="M43" i="41" a="1"/>
  <c r="M43" i="41" s="1"/>
  <c r="M79" i="41" a="1"/>
  <c r="M79" i="41" s="1"/>
  <c r="M45" i="41" a="1"/>
  <c r="M45" i="41" s="1"/>
  <c r="M46" i="41" a="1"/>
  <c r="M46" i="41" s="1"/>
  <c r="M48" i="41" a="1"/>
  <c r="M48" i="41" s="1"/>
  <c r="M49" i="41" a="1"/>
  <c r="M49" i="41" s="1"/>
  <c r="M50" i="41" a="1"/>
  <c r="M50" i="41" s="1"/>
  <c r="M51" i="41" a="1"/>
  <c r="M51" i="41" s="1"/>
  <c r="M52" i="41" a="1"/>
  <c r="M52" i="41" s="1"/>
  <c r="M53" i="41" a="1"/>
  <c r="M53" i="41" s="1"/>
  <c r="M54" i="41" a="1"/>
  <c r="M54" i="41" s="1"/>
  <c r="M55" i="41" a="1"/>
  <c r="M55" i="41" s="1"/>
  <c r="M56" i="41" a="1"/>
  <c r="M56" i="41" s="1"/>
  <c r="M57" i="41" a="1"/>
  <c r="M57" i="41" s="1"/>
  <c r="M58" i="41" a="1"/>
  <c r="M58" i="41" s="1"/>
  <c r="M59" i="41" a="1"/>
  <c r="M59" i="41" s="1"/>
  <c r="M60" i="41" a="1"/>
  <c r="M60" i="41" s="1"/>
  <c r="M61" i="41" a="1"/>
  <c r="M61" i="41" s="1"/>
  <c r="M62" i="41" a="1"/>
  <c r="M62" i="41" s="1"/>
  <c r="M63" i="41" a="1"/>
  <c r="M63" i="41" s="1"/>
  <c r="M64" i="41" a="1"/>
  <c r="M64" i="41" s="1"/>
  <c r="M65" i="41" a="1"/>
  <c r="M65" i="41" s="1"/>
  <c r="M67" i="41" a="1"/>
  <c r="M67" i="41" s="1"/>
  <c r="M68" i="41" a="1"/>
  <c r="M68" i="41" s="1"/>
  <c r="M70" i="41" a="1"/>
  <c r="M70" i="41" s="1"/>
  <c r="U49" i="41" a="1"/>
  <c r="U49" i="41" s="1"/>
  <c r="U50" i="41" a="1"/>
  <c r="U50" i="41" s="1"/>
  <c r="U47" i="41" a="1"/>
  <c r="U47" i="41" s="1"/>
  <c r="O13" i="41" a="1"/>
  <c r="O13" i="41" s="1"/>
  <c r="U6" i="41" a="1"/>
  <c r="U6" i="41" s="1"/>
  <c r="U7" i="41" a="1"/>
  <c r="U7" i="41" s="1"/>
  <c r="O6" i="41" a="1"/>
  <c r="O6" i="41" s="1"/>
  <c r="O7" i="41" a="1"/>
  <c r="O7" i="41" s="1"/>
  <c r="O8" i="41" a="1"/>
  <c r="O8" i="41" s="1"/>
  <c r="O9" i="41" a="1"/>
  <c r="O9" i="41" s="1"/>
  <c r="O10" i="41" a="1"/>
  <c r="O10" i="41" s="1"/>
  <c r="O11" i="41" a="1"/>
  <c r="O11" i="41" s="1"/>
  <c r="O12" i="41" a="1"/>
  <c r="O12" i="41" s="1"/>
  <c r="O14" i="41" a="1"/>
  <c r="O14" i="41" s="1"/>
  <c r="O15" i="41" a="1"/>
  <c r="O15" i="41" s="1"/>
  <c r="O16" i="41" a="1"/>
  <c r="O16" i="41" s="1"/>
  <c r="O17" i="41" a="1"/>
  <c r="O17" i="41" s="1"/>
  <c r="O18" i="41" a="1"/>
  <c r="O18" i="41" s="1"/>
  <c r="O19" i="41" a="1"/>
  <c r="O19" i="41" s="1"/>
  <c r="O20" i="41" a="1"/>
  <c r="O20" i="41" s="1"/>
  <c r="O21" i="41" a="1"/>
  <c r="O21" i="41" s="1"/>
  <c r="O22" i="41" a="1"/>
  <c r="O22" i="41" s="1"/>
  <c r="O23" i="41" a="1"/>
  <c r="O23" i="41" s="1"/>
  <c r="O24" i="41" a="1"/>
  <c r="O24" i="41" s="1"/>
  <c r="O25" i="41" a="1"/>
  <c r="O25" i="41" s="1"/>
  <c r="O26" i="41" a="1"/>
  <c r="O26" i="41" s="1"/>
  <c r="O27" i="41" a="1"/>
  <c r="O27" i="41" s="1"/>
  <c r="O28" i="41" a="1"/>
  <c r="O28" i="41" s="1"/>
  <c r="O29" i="41" a="1"/>
  <c r="O29" i="41" s="1"/>
  <c r="O30" i="41" a="1"/>
  <c r="O30" i="41" s="1"/>
  <c r="O31" i="41" a="1"/>
  <c r="O31" i="41" s="1"/>
  <c r="O32" i="41" a="1"/>
  <c r="O32" i="41" s="1"/>
  <c r="O33" i="41" a="1"/>
  <c r="O33" i="41" s="1"/>
  <c r="O34" i="41" a="1"/>
  <c r="O34" i="41" s="1"/>
  <c r="O35" i="41" a="1"/>
  <c r="O35" i="41" s="1"/>
  <c r="O36" i="41" a="1"/>
  <c r="O36" i="41" s="1"/>
  <c r="O38" i="41" a="1"/>
  <c r="O38" i="41" s="1"/>
  <c r="O39" i="41" a="1"/>
  <c r="O39" i="41" s="1"/>
  <c r="U50" i="58" a="1"/>
  <c r="U50" i="58" s="1"/>
  <c r="P50" i="58" a="1"/>
  <c r="P50" i="58" s="1"/>
  <c r="K50" i="58" a="1"/>
  <c r="K50" i="58" s="1"/>
  <c r="F50" i="58" a="1"/>
  <c r="F50" i="58" s="1"/>
  <c r="F40" i="58" a="1"/>
  <c r="F40" i="58" s="1"/>
  <c r="K40" i="58" a="1"/>
  <c r="K40" i="58" s="1"/>
  <c r="P40" i="58" a="1"/>
  <c r="P40" i="58" s="1"/>
  <c r="U40" i="58" a="1"/>
  <c r="U40" i="58" s="1"/>
  <c r="U30" i="58" a="1"/>
  <c r="U30" i="58" s="1"/>
  <c r="P30" i="58" a="1"/>
  <c r="P30" i="58" s="1"/>
  <c r="K30" i="58" a="1"/>
  <c r="K30" i="58" s="1"/>
  <c r="F30" i="58" a="1"/>
  <c r="F30" i="58" s="1"/>
  <c r="U31" i="41" a="1"/>
  <c r="U31" i="41" s="1"/>
  <c r="U30" i="41" a="1"/>
  <c r="U30" i="41" s="1"/>
  <c r="U28" i="41" a="1"/>
  <c r="U28" i="41" s="1"/>
  <c r="G22" i="46"/>
  <c r="O64" i="41" a="1"/>
  <c r="O64" i="41" s="1"/>
  <c r="L25" i="46"/>
  <c r="L22" i="46"/>
  <c r="U15" i="46"/>
  <c r="O5" i="46"/>
  <c r="D53" i="46"/>
  <c r="J104" i="46"/>
  <c r="J41" i="46"/>
  <c r="K102" i="46"/>
  <c r="S7" i="46"/>
  <c r="L43" i="46"/>
  <c r="I30" i="46"/>
  <c r="L41" i="46"/>
  <c r="K43" i="46"/>
  <c r="I42" i="46"/>
  <c r="O27" i="46"/>
  <c r="D52" i="46"/>
  <c r="D54" i="46"/>
  <c r="A2" i="47"/>
  <c r="J102" i="46"/>
  <c r="M7" i="46"/>
  <c r="M8" i="46"/>
  <c r="I31" i="46"/>
  <c r="S6" i="46"/>
  <c r="O30" i="46"/>
  <c r="I45" i="46"/>
  <c r="K104" i="46"/>
  <c r="I43" i="46"/>
  <c r="I46" i="46"/>
  <c r="S8" i="46"/>
  <c r="J43" i="46"/>
  <c r="O28" i="46"/>
  <c r="D56" i="46"/>
  <c r="K41" i="46"/>
  <c r="M6" i="46"/>
  <c r="L104" i="46"/>
  <c r="L102" i="46"/>
  <c r="O25" i="46"/>
  <c r="O31" i="46"/>
  <c r="D55" i="46"/>
  <c r="D51" i="46" l="1"/>
  <c r="G42" i="46"/>
  <c r="O24" i="46"/>
  <c r="F63" i="58"/>
  <c r="S19" i="46"/>
  <c r="R19" i="46"/>
  <c r="R16" i="46"/>
  <c r="R15" i="46"/>
  <c r="G6" i="46"/>
  <c r="AA10" i="41" a="1"/>
  <c r="AA10" i="41" s="1"/>
  <c r="C2" i="46"/>
  <c r="F2" i="46"/>
  <c r="F4" i="41" a="1"/>
  <c r="F4" i="41" s="1"/>
  <c r="I105" i="46"/>
  <c r="I103" i="46"/>
  <c r="I106" i="46"/>
  <c r="I104" i="46"/>
  <c r="L26" i="46"/>
  <c r="G44" i="46"/>
  <c r="G46" i="46"/>
  <c r="G45" i="46"/>
  <c r="O8" i="46"/>
  <c r="O7" i="46"/>
  <c r="O6" i="46"/>
  <c r="J24" i="46"/>
  <c r="J23" i="46"/>
  <c r="G33" i="46"/>
  <c r="F35" i="46"/>
  <c r="F34" i="46"/>
  <c r="F33" i="46"/>
  <c r="G11" i="46"/>
  <c r="F11" i="46"/>
  <c r="G26" i="46"/>
  <c r="F30" i="46"/>
  <c r="F29" i="46"/>
  <c r="F28" i="46"/>
  <c r="F27" i="46"/>
  <c r="F26" i="46"/>
  <c r="G32" i="46"/>
  <c r="G25" i="46"/>
  <c r="D13" i="46"/>
  <c r="I38" i="46"/>
  <c r="F90" i="58" s="1"/>
  <c r="D30" i="46"/>
  <c r="G21" i="46" s="1"/>
  <c r="I40" i="46"/>
  <c r="O26" i="46"/>
  <c r="I41" i="46"/>
  <c r="I29" i="46"/>
  <c r="O29" i="46"/>
  <c r="K31" i="46"/>
  <c r="I44" i="46"/>
  <c r="K30" i="46"/>
  <c r="I28" i="46"/>
  <c r="R17" i="46" l="1" a="1"/>
  <c r="R17" i="46" s="1"/>
  <c r="O13" i="46" s="1"/>
  <c r="K100" i="46"/>
  <c r="J100" i="46"/>
  <c r="L100" i="46"/>
  <c r="I39" i="46"/>
  <c r="F88" i="58" s="1"/>
  <c r="A2" i="42"/>
  <c r="L39" i="46"/>
  <c r="J39" i="46"/>
  <c r="K39" i="46"/>
  <c r="S16" i="46"/>
  <c r="S15" i="46"/>
  <c r="G43" i="46"/>
  <c r="M10" i="46"/>
  <c r="G47" i="46"/>
  <c r="A2" i="58"/>
  <c r="I2" i="46"/>
  <c r="U2" i="46"/>
  <c r="O2" i="46"/>
  <c r="G7" i="46"/>
  <c r="D15" i="46"/>
  <c r="O76" i="41" a="1"/>
  <c r="O76" i="41" s="1"/>
  <c r="O82" i="41" a="1"/>
  <c r="O82" i="41" s="1"/>
  <c r="O83" i="41" a="1"/>
  <c r="O83" i="41" s="1"/>
  <c r="O81" i="41" a="1"/>
  <c r="O81" i="41" s="1"/>
  <c r="O80" i="41" a="1"/>
  <c r="O80" i="41" s="1"/>
  <c r="O79" i="41" a="1"/>
  <c r="O79" i="41" s="1"/>
  <c r="O78" i="41" a="1"/>
  <c r="O78" i="41" s="1"/>
  <c r="O72" i="41" a="1"/>
  <c r="O72" i="41" s="1"/>
  <c r="A26" i="58"/>
  <c r="O51" i="41" a="1"/>
  <c r="O51" i="41" s="1"/>
  <c r="O50" i="41" a="1"/>
  <c r="O50" i="41" s="1"/>
  <c r="O48" i="41" a="1"/>
  <c r="O48" i="41" s="1"/>
  <c r="U4" i="41" a="1"/>
  <c r="U4" i="41" s="1"/>
  <c r="U18" i="41" a="1"/>
  <c r="U18" i="41" s="1"/>
  <c r="O73" i="41" a="1"/>
  <c r="O73" i="41" s="1"/>
  <c r="O63" i="41" a="1"/>
  <c r="O63" i="41" s="1"/>
  <c r="O61" i="41" a="1"/>
  <c r="O61" i="41" s="1"/>
  <c r="K28" i="46"/>
  <c r="K29" i="46"/>
  <c r="S17" i="46" l="1" a="1"/>
  <c r="S17" i="46" s="1"/>
  <c r="I101" i="46"/>
  <c r="I102" i="46"/>
  <c r="A24" i="58"/>
  <c r="I100" i="46"/>
  <c r="M11" i="46"/>
  <c r="D47" i="46"/>
  <c r="G38" i="46" s="1"/>
  <c r="D46" i="46"/>
  <c r="G37" i="46" s="1"/>
  <c r="M33" i="46" l="1"/>
  <c r="I15" i="46"/>
  <c r="M34" i="46"/>
  <c r="U34" i="41" a="1"/>
  <c r="U34" i="41" s="1"/>
  <c r="U36" i="41" a="1"/>
  <c r="U36" i="41" s="1"/>
  <c r="U37" i="41" a="1"/>
  <c r="U37" i="41" s="1"/>
  <c r="D32" i="46" l="1"/>
  <c r="G23" i="46"/>
  <c r="O45" i="41" l="1" a="1"/>
  <c r="O45" i="41" s="1"/>
  <c r="O44" i="41" a="1"/>
  <c r="O44" i="41" s="1"/>
  <c r="O42" i="41" a="1"/>
  <c r="O42" i="41" s="1"/>
  <c r="O4" i="41" a="1"/>
  <c r="O4" i="41" s="1"/>
  <c r="O71" i="41" a="1"/>
  <c r="O71" i="41" s="1"/>
  <c r="O70" i="41" a="1"/>
  <c r="O70" i="41" s="1"/>
  <c r="O69" i="41" a="1"/>
  <c r="O69" i="41" s="1"/>
  <c r="O67" i="41" a="1"/>
  <c r="O67" i="41" s="1"/>
  <c r="O58" i="41" a="1"/>
  <c r="O58" i="41" s="1"/>
  <c r="O57" i="41" a="1"/>
  <c r="O57" i="41" s="1"/>
  <c r="O56" i="41" a="1"/>
  <c r="O56" i="41" s="1"/>
  <c r="O54" i="41" a="1"/>
  <c r="O54" i="41" s="1"/>
  <c r="U16" i="41" l="1" a="1"/>
  <c r="U16" i="41" s="1"/>
  <c r="M19" i="46" l="1"/>
  <c r="M20" i="46"/>
  <c r="K19" i="46"/>
  <c r="K20" i="46"/>
  <c r="K18" i="46"/>
  <c r="K21" i="46"/>
  <c r="M18" i="46"/>
  <c r="M23" i="46"/>
  <c r="M24" i="46"/>
  <c r="K23" i="46"/>
  <c r="K24" i="46"/>
  <c r="M21" i="46"/>
  <c r="M25" i="46" l="1"/>
  <c r="K22" i="46"/>
  <c r="K25" i="46"/>
  <c r="M22" i="46"/>
  <c r="D38" i="46"/>
  <c r="G29" i="46"/>
  <c r="G30" i="46"/>
  <c r="D39" i="46"/>
  <c r="G35" i="46"/>
  <c r="D44" i="46"/>
  <c r="G27" i="46"/>
  <c r="D36" i="46"/>
  <c r="D37" i="46"/>
  <c r="G28" i="46"/>
  <c r="G34" i="46"/>
  <c r="D43" i="46"/>
  <c r="M26" i="46" l="1"/>
  <c r="K26" i="46"/>
  <c r="AB11" i="46" l="1"/>
  <c r="Y11" i="46"/>
  <c r="Y10" i="46"/>
  <c r="Y7" i="46"/>
  <c r="Y12" i="46"/>
  <c r="Y9" i="46"/>
  <c r="AB12" i="46"/>
  <c r="AB10" i="46"/>
  <c r="Y13" i="46"/>
  <c r="Y8" i="46"/>
  <c r="AB13" i="46"/>
  <c r="AB9" i="46"/>
  <c r="AB7" i="46"/>
  <c r="AB8" i="46"/>
  <c r="D33" i="46"/>
  <c r="I16" i="46"/>
  <c r="G24" i="46" s="1"/>
  <c r="U13" i="41" a="1"/>
  <c r="U13" i="41" s="1"/>
  <c r="U12" i="41" a="1"/>
  <c r="U12" i="41" s="1"/>
  <c r="U10" i="41" a="1"/>
  <c r="U10" i="4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B499EC-D83A-4EE9-9489-ED445E43AE70}" name="Forbindelse" type="104" refreshedVersion="0" saveData="1">
    <extLst>
      <ext xmlns:x15="http://schemas.microsoft.com/office/spreadsheetml/2010/11/main" uri="{DE250136-89BD-433C-8126-D09CA5730AF9}">
        <x15:connection id="Kalender"/>
      </ext>
    </extLst>
  </connection>
  <connection id="2" xr16:uid="{A307F07F-72D8-4644-90F1-A6D79D6D9A0E}" keepAlive="1" name="Forespørgsel - Antal 4-mandspuljer" description="Forbindelse til forespørgslen 'Antal 4-mandspuljer' i projektmappen." type="5" refreshedVersion="7" background="1" saveData="1">
    <dbPr connection="Provider=Microsoft.Mashup.OleDb.1;Data Source=$Workbook$;Location=&quot;Antal 4-mandspuljer&quot;;Extended Properties=&quot;&quot;" command="SELECT * FROM [Antal 4-mandspuljer]"/>
  </connection>
  <connection id="3" xr16:uid="{BB45996A-F9F1-42D4-BA0C-60578907F03C}" keepAlive="1" name="Forespørgsel - Antal 6-mandspuljer" description="Forbindelse til forespørgslen 'Antal 6-mandspuljer' i projektmappen." type="5" refreshedVersion="0" background="1">
    <dbPr connection="Provider=Microsoft.Mashup.OleDb.1;Data Source=$Workbook$;Location=&quot;Antal 6-mandspuljer&quot;;Extended Properties=&quot;&quot;" command="SELECT * FROM [Antal 6-mandspuljer]"/>
  </connection>
  <connection id="4" xr16:uid="{F0C8FA16-2986-44F4-BE76-5646082B5451}" name="Forespørgsel - Deltagere_d1" description="Forbindelse til forespørgslen 'Deltagere_d1' i projektmappen." type="100" refreshedVersion="8" minRefreshableVersion="5">
    <extLst>
      <ext xmlns:x15="http://schemas.microsoft.com/office/spreadsheetml/2010/11/main" uri="{DE250136-89BD-433C-8126-D09CA5730AF9}">
        <x15:connection id="8e8d20bf-0507-48b5-92af-e946bc7c6811"/>
      </ext>
    </extLst>
  </connection>
  <connection id="5" xr16:uid="{B0C817D4-0DCD-42D0-89D2-CDA165F82CE2}" keepAlive="1" name="Forespørgsel - Deltagere_og_tilmeldinger" description="Forbindelse til forespørgslen 'Deltagere_og_tilmeldinger' i projektmappen." type="5" refreshedVersion="8" background="1" saveData="1">
    <dbPr connection="Provider=Microsoft.Mashup.OleDb.1;Data Source=$Workbook$;Location=Deltagere_og_tilmeldinger;Extended Properties=&quot;&quot;" command="SELECT * FROM [Deltagere_og_tilmeldinger]"/>
  </connection>
  <connection id="6" xr16:uid="{0C2302F5-E27E-4D71-826C-CD4557546AEF}" keepAlive="1" name="Forespørgsel - Endelige_tilmeldinger" description="Forbindelse til forespørgslen 'Endelige_tilmeldinger' i projektmappen." type="5" refreshedVersion="8" background="1" saveData="1">
    <dbPr connection="Provider=Microsoft.Mashup.OleDb.1;Data Source=$Workbook$;Location=Endelige_tilmeldinger;Extended Properties=&quot;&quot;" command="SELECT * FROM [Endelige_tilmeldinger]"/>
  </connection>
  <connection id="7" xr16:uid="{8B96A946-14D3-4B89-A9CE-4DA378ABF14D}" keepAlive="1" name="Forespørgsel - Foreløbige_tilmeldinger" description="Forbindelse til forespørgslen 'Foreløbige_tilmeldinger' i projektmappen." type="5" refreshedVersion="8" background="1" saveData="1">
    <dbPr connection="Provider=Microsoft.Mashup.OleDb.1;Data Source=$Workbook$;Location=Foreløbige_tilmeldinger;Extended Properties=&quot;&quot;" command="SELECT * FROM [Foreløbige_tilmeldinger]"/>
  </connection>
  <connection id="8" xr16:uid="{08214DB2-CA93-4964-8E8A-10803D9F3124}" keepAlive="1" name="Forespørgsel - Seedningslag_4_mandspuljer" description="Forbindelse til forespørgslen 'Seedningslag_4_mandspuljer' i projektmappen." type="5" refreshedVersion="8" background="1" saveData="1">
    <dbPr connection="Provider=Microsoft.Mashup.OleDb.1;Data Source=$Workbook$;Location=Seedningslag_4_mandspuljer;Extended Properties=&quot;&quot;" command="SELECT * FROM [Seedningslag_4_mandspuljer]"/>
  </connection>
  <connection id="9" xr16:uid="{1D485F72-96B8-48F2-970A-C07479373E43}" keepAlive="1" name="Forespørgsel - Seedningslag_6_mandspuljer" description="Forbindelse til forespørgslen 'Seedningslag_6_mandspuljer' i projektmappen." type="5" refreshedVersion="8" background="1" saveData="1">
    <dbPr connection="Provider=Microsoft.Mashup.OleDb.1;Data Source=$Workbook$;Location=Seedningslag_6_mandspuljer;Extended Properties=&quot;&quot;" command="SELECT * FROM [Seedningslag_6_mandspuljer]"/>
  </connection>
  <connection id="10" xr16:uid="{B97D368B-B3D3-46CD-B3F6-68590E7E0CE4}" name="Forespørgsel - Tilmeldinger_1f" description="Forbindelse til forespørgslen 'Tilmeldinger_1f' i projektmappen." type="100" refreshedVersion="8" minRefreshableVersion="5">
    <extLst>
      <ext xmlns:x15="http://schemas.microsoft.com/office/spreadsheetml/2010/11/main" uri="{DE250136-89BD-433C-8126-D09CA5730AF9}">
        <x15:connection id="6686f8f7-6c00-4d85-b047-04c3a5201695"/>
      </ext>
    </extLst>
  </connection>
  <connection id="11" xr16:uid="{956163C9-CFCC-4FBA-B57B-8893A384D6E6}" keepAlive="1" name="Forespørgsel - Tilmeldinger_billettype_1_klub" description="Forbindelse til forespørgslen 'Tilmeldinger_billettype_1_klub' i projektmappen." type="5" refreshedVersion="8" background="1" saveData="1">
    <dbPr connection="Provider=Microsoft.Mashup.OleDb.1;Data Source=$Workbook$;Location=Tilmeldinger_billettype_1_klub;Extended Properties=&quot;&quot;" command="SELECT * FROM [Tilmeldinger_billettype_1_klub]"/>
  </connection>
  <connection id="12" xr16:uid="{A2111AA3-AD77-4522-A0DD-D83D0FCDFFC5}" keepAlive="1" name="Forespørgsel - Tilmeldinger_billettype_1_seedning" description="Forbindelse til forespørgslen 'Tilmeldinger_billettype_1_seedning' i projektmappen." type="5" refreshedVersion="8" background="1" saveData="1">
    <dbPr connection="Provider=Microsoft.Mashup.OleDb.1;Data Source=$Workbook$;Location=Tilmeldinger_billettype_1_seedning;Extended Properties=&quot;&quot;" command="SELECT * FROM [Tilmeldinger_billettype_1_seedning]"/>
  </connection>
  <connection id="13" xr16:uid="{9DAD5FBD-B238-401D-BAEB-66250DF7B69F}" keepAlive="1" name="Forespørgsel - Tilmeldinger_billettype_2_alder" description="Forbindelse til forespørgslen 'Tilmeldinger_billettype_2_alder' i projektmappen." type="5" refreshedVersion="8" background="1" saveData="1">
    <dbPr connection="Provider=Microsoft.Mashup.OleDb.1;Data Source=$Workbook$;Location=Tilmeldinger_billettype_2_alder;Extended Properties=&quot;&quot;" command="SELECT * FROM [Tilmeldinger_billettype_2_alder]"/>
  </connection>
  <connection id="14" xr16:uid="{62DA8328-8655-4148-BFD1-CFD01CF28207}" keepAlive="1" name="Forespørgsel - Tilmeldingsstatus" description="Forbindelse til forespørgslen 'Tilmeldingsstatus' i projektmappen." type="5" refreshedVersion="8" background="1" saveData="1">
    <dbPr connection="Provider=Microsoft.Mashup.OleDb.1;Data Source=$Workbook$;Location=Tilmeldingsstatus;Extended Properties=&quot;&quot;" command="SELECT * FROM [Tilmeldingsstatus]"/>
  </connection>
  <connection id="15" xr16:uid="{26B42F93-0531-4548-8B20-FD265DD6DC4F}" keepAlive="1" name="ThisWorkbookDataModel" description="Data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6" xr16:uid="{B2ADDDC3-7421-4949-A6D8-18498DEDBF28}" name="WorksheetConnection_Deltagere og tilmeldinger til DM i Ping Pong - Kopi.xlsx!Gentilmeldinger_d1" type="102" refreshedVersion="8" minRefreshableVersion="5">
    <extLst>
      <ext xmlns:x15="http://schemas.microsoft.com/office/spreadsheetml/2010/11/main" uri="{DE250136-89BD-433C-8126-D09CA5730AF9}">
        <x15:connection id="Gentilmeldinger_d1">
          <x15:rangePr sourceName="_xlcn.WorksheetConnection_DeltagereogtilmeldingertilDMiPingPongKopi.xlsxGentilmeldinger_d1"/>
        </x15:connection>
      </ext>
    </extLst>
  </connection>
  <connection id="17" xr16:uid="{B6FE46A9-2013-48CC-9B1A-300BBD2897FE}" name="WorksheetConnection_Deltagere og tilmeldinger til DM i Ping Pong - Kopi.xlsx!Tilmeldingsstatus_d1" type="102" refreshedVersion="8" minRefreshableVersion="5">
    <extLst>
      <ext xmlns:x15="http://schemas.microsoft.com/office/spreadsheetml/2010/11/main" uri="{DE250136-89BD-433C-8126-D09CA5730AF9}">
        <x15:connection id="Tilmeldingsstatus_d1">
          <x15:rangePr sourceName="_xlcn.WorksheetConnection_DeltagereogtilmeldingertilDMiPingPongKopi.xlsxTilmeldingsstatus_d1"/>
        </x15:connection>
      </ext>
    </extLst>
  </connection>
  <connection id="18" xr16:uid="{EBD8D41E-781A-44E3-92B9-D70B9488C982}" name="WorksheetConnection_Deltagere og tilmeldinger til DM i Ping Pong.xlsx!Klokkeslætsinterval_d1" type="102" refreshedVersion="8" minRefreshableVersion="5">
    <extLst>
      <ext xmlns:x15="http://schemas.microsoft.com/office/spreadsheetml/2010/11/main" uri="{DE250136-89BD-433C-8126-D09CA5730AF9}">
        <x15:connection id="Klokkeslætsinterval_d1">
          <x15:rangePr sourceName="_xlcn.WorksheetConnection_DeltagereogtilmeldingertilDMiPingPong.xlsxKlokkeslætsinterval_d1"/>
        </x15:connection>
      </ext>
    </extLst>
  </connection>
  <connection id="19" xr16:uid="{08842C08-81EF-40C2-8B41-DE366139DF27}" name="WorksheetConnection_Deltagere og tilmeldinger til DM i Ping Pong.xlsx!Region_d3" type="102" refreshedVersion="8" minRefreshableVersion="5">
    <extLst>
      <ext xmlns:x15="http://schemas.microsoft.com/office/spreadsheetml/2010/11/main" uri="{DE250136-89BD-433C-8126-D09CA5730AF9}">
        <x15:connection id="Region_d3">
          <x15:rangePr sourceName="_xlcn.WorksheetConnection_DeltagereogtilmeldingertilDMiPingPong.xlsxRegion_d3"/>
        </x15:connection>
      </ext>
    </extLst>
  </connection>
  <connection id="20" xr16:uid="{146FACDD-0CDA-4C9D-8E69-A320DC76BA42}" name="WorksheetConnection_Deltagere og tilmeldinger til DM i Ping Pong.xlsx!Spillertype_d2" type="102" refreshedVersion="8" minRefreshableVersion="5">
    <extLst>
      <ext xmlns:x15="http://schemas.microsoft.com/office/spreadsheetml/2010/11/main" uri="{DE250136-89BD-433C-8126-D09CA5730AF9}">
        <x15:connection id="Spillertype_d2">
          <x15:rangePr sourceName="_xlcn.WorksheetConnection_DeltagereogtilmeldingertilDMiPingPong.xlsxSpillertype_d2"/>
        </x15:connection>
      </ext>
    </extLst>
  </connection>
  <connection id="21" xr16:uid="{D7BB60E8-548F-4661-B383-DB48844EF778}" name="WorksheetConnection_Deltagere og tilmeldinger til DM i Ping Pong.xlsx!Tilmeldingskanal_d127" type="102" refreshedVersion="8" minRefreshableVersion="5">
    <extLst>
      <ext xmlns:x15="http://schemas.microsoft.com/office/spreadsheetml/2010/11/main" uri="{DE250136-89BD-433C-8126-D09CA5730AF9}">
        <x15:connection id="Tilmeldingskanal_d127">
          <x15:rangePr sourceName="_xlcn.WorksheetConnection_DeltagereogtilmeldingertilDMiPingPong.xlsxTilmeldingskanal_d127"/>
        </x15:connection>
      </ext>
    </extLst>
  </connection>
  <connection id="22" xr16:uid="{C6F7266B-C19F-41A2-A4C7-A0BFA65DDD76}" name="WorksheetConnection_Ordrer og billetter til DM i Ping Pong - BilletFix.xlsx!Billettype_og_evt_tilvalg_d1" type="102" refreshedVersion="8" minRefreshableVersion="5">
    <extLst>
      <ext xmlns:x15="http://schemas.microsoft.com/office/spreadsheetml/2010/11/main" uri="{DE250136-89BD-433C-8126-D09CA5730AF9}">
        <x15:connection id="Billettype_og_evt_tilvalg_d1">
          <x15:rangePr sourceName="_xlcn.WorksheetConnection_OrdrerogbillettertilDMiPingPongBilletFix.xlsxBillettype_og_evt_tilvalg_d1"/>
        </x15:connection>
      </ext>
    </extLst>
  </connection>
  <connection id="23" xr16:uid="{1F64DD61-348E-4CC8-9973-51AE9091169B}" name="WorksheetConnection_Tilmeldinger til DM i Ping Pong - BilletFix.xlsx!Køn_d1" type="102" refreshedVersion="8" minRefreshableVersion="5">
    <extLst>
      <ext xmlns:x15="http://schemas.microsoft.com/office/spreadsheetml/2010/11/main" uri="{DE250136-89BD-433C-8126-D09CA5730AF9}">
        <x15:connection id="Køn_d1">
          <x15:rangePr sourceName="_xlcn.WorksheetConnection_TilmeldingertilDMiPingPongBilletFix.xlsxKøn_d1"/>
        </x15:connection>
      </ext>
    </extLst>
  </connection>
  <connection id="24" xr16:uid="{E8AD7341-AFAF-4C1F-B86C-167E2DEF99B7}" name="WorksheetConnection_Tilmeldinger til DM i Ping Pong - BilletFix.xlsx!Landsdel_d2" type="102" refreshedVersion="8" minRefreshableVersion="5">
    <extLst>
      <ext xmlns:x15="http://schemas.microsoft.com/office/spreadsheetml/2010/11/main" uri="{DE250136-89BD-433C-8126-D09CA5730AF9}">
        <x15:connection id="Landsdel_d2">
          <x15:rangePr sourceName="_xlcn.WorksheetConnection_TilmeldingertilDMiPingPongBilletFix.xlsxLandsdel_d2"/>
        </x15:connection>
      </ext>
    </extLst>
  </connection>
  <connection id="25" xr16:uid="{594D4F74-2C29-46EC-B840-6D14080B1C5B}" name="WorksheetConnection_Tilmeldinger til DM i Ping Pong - BilletFix.xlsx!Landsdel_og_klub_d1" type="102" refreshedVersion="8" minRefreshableVersion="5">
    <extLst>
      <ext xmlns:x15="http://schemas.microsoft.com/office/spreadsheetml/2010/11/main" uri="{DE250136-89BD-433C-8126-D09CA5730AF9}">
        <x15:connection id="Landsdel_og_klub_d1">
          <x15:rangePr sourceName="_xlcn.WorksheetConnection_TilmeldingertilDMiPingPongBilletFix.xlsxLandsdel_og_klub_d1"/>
        </x15:connection>
      </ext>
    </extLst>
  </connection>
  <connection id="26" xr16:uid="{962A016E-04EA-454F-A5F4-757252309BCD}" name="WorksheetConnection_Tilmeldinger til DM i Ping Pong - BilletFix.xlsx!Rating_interval_d2" type="102" refreshedVersion="8" minRefreshableVersion="5">
    <extLst>
      <ext xmlns:x15="http://schemas.microsoft.com/office/spreadsheetml/2010/11/main" uri="{DE250136-89BD-433C-8126-D09CA5730AF9}">
        <x15:connection id="Rating_interval_d2">
          <x15:rangePr sourceName="_xlcn.WorksheetConnection_TilmeldingertilDMiPingPongBilletFix.xlsxRating_interval_d2"/>
        </x15:connection>
      </ext>
    </extLst>
  </connection>
  <connection id="27" xr16:uid="{95CAE3C9-C0D4-4B6A-B160-A58EA8911E1E}" name="WorksheetConnection_Tilmeldinger til DM i Ping Pong - BilletFix.xlsx!Tabel23" type="102" refreshedVersion="8" minRefreshableVersion="5">
    <extLst>
      <ext xmlns:x15="http://schemas.microsoft.com/office/spreadsheetml/2010/11/main" uri="{DE250136-89BD-433C-8126-D09CA5730AF9}">
        <x15:connection id="Tabel23">
          <x15:rangePr sourceName="_xlcn.WorksheetConnection_TilmeldingertilDMiPingPongBilletFix.xlsxTabel23"/>
        </x15:connection>
      </ext>
    </extLst>
  </connection>
  <connection id="28" xr16:uid="{B5A21CC1-8349-4296-B92C-28BF0C3D4D68}" name="WorksheetConnection_Tilmeldinger til DM i Ping Pong - BilletFix.xlsx!Tilvalg_d26" type="102" refreshedVersion="8" minRefreshableVersion="5">
    <extLst>
      <ext xmlns:x15="http://schemas.microsoft.com/office/spreadsheetml/2010/11/main" uri="{DE250136-89BD-433C-8126-D09CA5730AF9}">
        <x15:connection id="Tilvalg_d26">
          <x15:rangePr sourceName="_xlcn.WorksheetConnection_TilmeldingertilDMiPingPongBilletFix.xlsxTilvalg_d26"/>
        </x15:connection>
      </ext>
    </extLst>
  </connection>
  <connection id="29" xr16:uid="{992ACD54-0796-4673-BB10-922AC30F8704}" name="WorksheetConnection_Tilmeldinger til DM i Ping Pong.xlsx!Billetpris_d2" type="102" refreshedVersion="8" minRefreshableVersion="5">
    <extLst>
      <ext xmlns:x15="http://schemas.microsoft.com/office/spreadsheetml/2010/11/main" uri="{DE250136-89BD-433C-8126-D09CA5730AF9}">
        <x15:connection id="Billetpris_d2">
          <x15:rangePr sourceName="_xlcn.WorksheetConnection_TilmeldingertilDMiPingPong.xlsxBilletpris_d2"/>
        </x15:connection>
      </ext>
    </extLst>
  </connection>
  <connection id="30" xr16:uid="{38802108-6CA3-44FA-A7E9-584D1AF4533B}" name="WorksheetConnection_Tilmeldinger til DM i Ping Pong.xlsx!Tilvalg_d2" type="102" refreshedVersion="8" minRefreshableVersion="5">
    <extLst>
      <ext xmlns:x15="http://schemas.microsoft.com/office/spreadsheetml/2010/11/main" uri="{DE250136-89BD-433C-8126-D09CA5730AF9}">
        <x15:connection id="Tilvalg_d2">
          <x15:rangePr sourceName="_xlcn.WorksheetConnection_TilmeldingertilDMiPingPong.xlsxTilvalg_d2"/>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13">
    <s v="ThisWorkbookDataModel"/>
    <s v="[Measures].[🎁 Yngst Ping Pong]"/>
    <s v="[Measures].[🎁 Ældst Ping Pong]"/>
    <s v="#,0"/>
    <s v="[Billettype_d2].[K: Billettype emoji].&amp;[🏓]"/>
    <s v="&quot;kr.&quot; #,0;#,0 -&quot;kr.&quot;;&quot;kr.&quot; #,0"/>
    <s v="[Measures].[💲 Billetpris]"/>
    <s v="[Measures].[🎫 Billetantal maks.]"/>
    <s v="0"/>
    <s v="[Measures].[👥 Aktuel tilmeldingsantal]"/>
    <s v="[Measures].[👤 Højeste rating Ping Pong]"/>
    <s v="[Measures].[👤 Laveste rating Ping Pong]"/>
    <s v="[Billettype_d2].[K: Billettype emoji].&amp;[🥳]"/>
  </metadataStrings>
  <mdxMetadata count="14">
    <mdx n="0" f="m">
      <t c="1">
        <n x="1"/>
      </t>
    </mdx>
    <mdx n="0" f="v">
      <t c="1" fi="0">
        <n x="1"/>
      </t>
    </mdx>
    <mdx n="0" f="m">
      <t c="1">
        <n x="2"/>
      </t>
    </mdx>
    <mdx n="0" f="v">
      <t c="1" fi="0">
        <n x="2"/>
      </t>
    </mdx>
    <mdx n="0" f="v">
      <t c="2" si="5">
        <n x="4"/>
        <n x="6"/>
      </t>
    </mdx>
    <mdx n="0" f="v">
      <t c="2" si="3">
        <n x="4"/>
        <n x="7"/>
      </t>
    </mdx>
    <mdx n="0" f="v">
      <t c="2" si="8">
        <n x="4"/>
        <n x="9"/>
      </t>
    </mdx>
    <mdx n="0" f="m">
      <t c="1">
        <n x="10"/>
      </t>
    </mdx>
    <mdx n="0" f="m">
      <t c="1">
        <n x="11"/>
      </t>
    </mdx>
    <mdx n="0" f="v">
      <t c="1" fi="0">
        <n x="10"/>
      </t>
    </mdx>
    <mdx n="0" f="v">
      <t c="1" fi="0">
        <n x="11"/>
      </t>
    </mdx>
    <mdx n="0" f="v">
      <t c="2" si="5">
        <n x="12"/>
        <n x="6"/>
      </t>
    </mdx>
    <mdx n="0" f="v">
      <t c="2" si="8">
        <n x="12"/>
        <n x="9"/>
      </t>
    </mdx>
    <mdx n="0" f="v">
      <t c="2" si="3">
        <n x="12"/>
        <n x="7"/>
      </t>
    </mdx>
  </mdxMetadata>
  <futureMetadata name="XLDAPR" count="1">
    <bk>
      <extLst>
        <ext uri="{bdbb8cdc-fa1e-496e-a857-3c3f30c029c3}">
          <xda:dynamicArrayProperties fDynamic="1" fCollapsed="0"/>
        </ext>
      </extLst>
    </bk>
  </futureMetadata>
  <cellMetadata count="1">
    <bk>
      <rc t="1" v="0"/>
    </bk>
  </cellMetadata>
  <valueMetadata count="14">
    <bk>
      <rc t="2" v="0"/>
    </bk>
    <bk>
      <rc t="2" v="1"/>
    </bk>
    <bk>
      <rc t="2" v="2"/>
    </bk>
    <bk>
      <rc t="2" v="3"/>
    </bk>
    <bk>
      <rc t="2" v="4"/>
    </bk>
    <bk>
      <rc t="2" v="5"/>
    </bk>
    <bk>
      <rc t="2" v="6"/>
    </bk>
    <bk>
      <rc t="2" v="7"/>
    </bk>
    <bk>
      <rc t="2" v="8"/>
    </bk>
    <bk>
      <rc t="2" v="9"/>
    </bk>
    <bk>
      <rc t="2" v="10"/>
    </bk>
    <bk>
      <rc t="2" v="11"/>
    </bk>
    <bk>
      <rc t="2" v="12"/>
    </bk>
    <bk>
      <rc t="2" v="13"/>
    </bk>
  </valueMetadata>
</metadata>
</file>

<file path=xl/sharedStrings.xml><?xml version="1.0" encoding="utf-8"?>
<sst xmlns="http://schemas.openxmlformats.org/spreadsheetml/2006/main" count="2902" uniqueCount="1184">
  <si>
    <t>Nr.</t>
  </si>
  <si>
    <t>Billettype</t>
  </si>
  <si>
    <t>Status</t>
  </si>
  <si>
    <t>Sjørring BTK</t>
  </si>
  <si>
    <t>BTK Viby</t>
  </si>
  <si>
    <t>Hørning BTK</t>
  </si>
  <si>
    <t>Ringkøbing</t>
  </si>
  <si>
    <t>Rønde BTK</t>
  </si>
  <si>
    <t>Sisu/MBK</t>
  </si>
  <si>
    <t>Amager BTK</t>
  </si>
  <si>
    <t>Københavns BTK</t>
  </si>
  <si>
    <t>B75</t>
  </si>
  <si>
    <t>Tilmeldinger</t>
  </si>
  <si>
    <t>K: Billettype</t>
  </si>
  <si>
    <t>K: Tilvalg</t>
  </si>
  <si>
    <t>Alder</t>
  </si>
  <si>
    <t>Inputstatus</t>
  </si>
  <si>
    <t>Antal tabeller</t>
  </si>
  <si>
    <t>Antal kolonner</t>
  </si>
  <si>
    <t>Antal rækker</t>
  </si>
  <si>
    <t>Antal celler</t>
  </si>
  <si>
    <t>Distinkt</t>
  </si>
  <si>
    <t>Benjamin Sørensen</t>
  </si>
  <si>
    <t>John Sabalic</t>
  </si>
  <si>
    <t>Simon Larsen</t>
  </si>
  <si>
    <t>Bjarke Krog</t>
  </si>
  <si>
    <t>Michel Christensen</t>
  </si>
  <si>
    <t>Mai Jensen</t>
  </si>
  <si>
    <t>Daniel Wolf</t>
  </si>
  <si>
    <t>Amanda Mau</t>
  </si>
  <si>
    <t>Victoria Berthelsen</t>
  </si>
  <si>
    <t>Gabriel Berthelsen</t>
  </si>
  <si>
    <t>Maja Helene Hansen</t>
  </si>
  <si>
    <t>Esbjerg BTK</t>
  </si>
  <si>
    <t>K: Arrangørpris</t>
  </si>
  <si>
    <t>Malik Hartvig Bruun Severinsen</t>
  </si>
  <si>
    <t>Lars Hartvig Bruun Severinsen</t>
  </si>
  <si>
    <t>K: Landsdel</t>
  </si>
  <si>
    <t>Jylland</t>
  </si>
  <si>
    <t>Fyn</t>
  </si>
  <si>
    <t>Sjælland</t>
  </si>
  <si>
    <t>K: Bordtennisklub</t>
  </si>
  <si>
    <t>Silkeborg BTK</t>
  </si>
  <si>
    <t>K: Køn</t>
  </si>
  <si>
    <t>Jeff Tølbøll</t>
  </si>
  <si>
    <t>Kresten Christensen</t>
  </si>
  <si>
    <t>Esbjerg</t>
  </si>
  <si>
    <t>Hørning</t>
  </si>
  <si>
    <t>Silkeborg</t>
  </si>
  <si>
    <t>Hirtshals</t>
  </si>
  <si>
    <t>Kastrup</t>
  </si>
  <si>
    <t>Viby J</t>
  </si>
  <si>
    <t>København Ø</t>
  </si>
  <si>
    <t>Odense C</t>
  </si>
  <si>
    <t>OB Bordtennis</t>
  </si>
  <si>
    <t>Aarhus N</t>
  </si>
  <si>
    <t>Århus C</t>
  </si>
  <si>
    <t>Thisted</t>
  </si>
  <si>
    <t>K: By</t>
  </si>
  <si>
    <t>Jakub Dorocinski</t>
  </si>
  <si>
    <t>Peter Skalborg Jensen</t>
  </si>
  <si>
    <t>Mads Harbo Jensen</t>
  </si>
  <si>
    <t>Input</t>
  </si>
  <si>
    <t>Sebastian Kjær Jensen</t>
  </si>
  <si>
    <t>Galten</t>
  </si>
  <si>
    <t>Galten FS</t>
  </si>
  <si>
    <t>Brønderslev</t>
  </si>
  <si>
    <t>Peter Bruhn</t>
  </si>
  <si>
    <t>Seedningslag 1</t>
  </si>
  <si>
    <t>Seedningslag 2</t>
  </si>
  <si>
    <t>Seedningslag 3</t>
  </si>
  <si>
    <t>Seedningslag 4</t>
  </si>
  <si>
    <t>Seedningslag</t>
  </si>
  <si>
    <t>Seedningslag 5</t>
  </si>
  <si>
    <t>Seedningslag 6</t>
  </si>
  <si>
    <t>Puljer</t>
  </si>
  <si>
    <t>K: Ordredato</t>
  </si>
  <si>
    <t>K: Evt. rang (1)</t>
  </si>
  <si>
    <t>K: Evt. rang (3)</t>
  </si>
  <si>
    <t>K: Evt. rating (2)</t>
  </si>
  <si>
    <t>Benjamin Sørensen, Hørning BTK</t>
  </si>
  <si>
    <t>(Ingen klub)</t>
  </si>
  <si>
    <t>Bordtennisklub</t>
  </si>
  <si>
    <t>(Ukendt landsdel)</t>
  </si>
  <si>
    <t>Rating</t>
  </si>
  <si>
    <t>(Ukendt by)</t>
  </si>
  <si>
    <t>(Intet tilvalg)</t>
  </si>
  <si>
    <t>191003‑AMMA</t>
  </si>
  <si>
    <t>261205‑VIBE</t>
  </si>
  <si>
    <t>041007‑GABE</t>
  </si>
  <si>
    <t>281101‑BJKR</t>
  </si>
  <si>
    <t>250501‑SILA</t>
  </si>
  <si>
    <t>130407‑MAHA</t>
  </si>
  <si>
    <t>180209‑JETØ</t>
  </si>
  <si>
    <t>060206‑KRCH</t>
  </si>
  <si>
    <t>230961‑PEBR</t>
  </si>
  <si>
    <t>200210‑MASE</t>
  </si>
  <si>
    <t>190382‑LASE</t>
  </si>
  <si>
    <t>090775‑JENE</t>
  </si>
  <si>
    <t>290593‑EMMA</t>
  </si>
  <si>
    <t>210798‑LALA</t>
  </si>
  <si>
    <t>220465‑MAJE</t>
  </si>
  <si>
    <t>140989‑MICH</t>
  </si>
  <si>
    <t>231195‑MIKN</t>
  </si>
  <si>
    <t>180365‑JOSA</t>
  </si>
  <si>
    <t>290171‑JAHE</t>
  </si>
  <si>
    <t>160975‑MAHA</t>
  </si>
  <si>
    <t>080892‑JADO</t>
  </si>
  <si>
    <t>300496‑DAWO</t>
  </si>
  <si>
    <t>080790‑PEJE</t>
  </si>
  <si>
    <t>100595‑SEJE</t>
  </si>
  <si>
    <t>K: Spillertype</t>
  </si>
  <si>
    <t>Foreløbige tilmeldinger</t>
  </si>
  <si>
    <t>Emil Madsen</t>
  </si>
  <si>
    <t>Bornholm</t>
  </si>
  <si>
    <t>K: Region</t>
  </si>
  <si>
    <t>(Ukendt region)</t>
  </si>
  <si>
    <t>Region Nordjylland</t>
  </si>
  <si>
    <t>Region Midtjylland</t>
  </si>
  <si>
    <t>Region Syddanmark</t>
  </si>
  <si>
    <t>Region Sjælland</t>
  </si>
  <si>
    <t>Region Hovedstaden</t>
  </si>
  <si>
    <t>231093</t>
  </si>
  <si>
    <t>Navn</t>
  </si>
  <si>
    <t>K: Navn</t>
  </si>
  <si>
    <t>Navn og bordtennisklub</t>
  </si>
  <si>
    <t>080294‑BESØ</t>
  </si>
  <si>
    <t>🏃 Meld dig gerne til først som sidst så andre kan se, at DU skal med (først til mølle-princip) 🙌</t>
  </si>
  <si>
    <t>🥇 1. plads</t>
  </si>
  <si>
    <t>🥈 2. plads</t>
  </si>
  <si>
    <t>🥉 3. plads</t>
  </si>
  <si>
    <t>🏅 4. plads</t>
  </si>
  <si>
    <t>🏓 A-slutspil:</t>
  </si>
  <si>
    <t>🏓 B-slutspil:</t>
  </si>
  <si>
    <t>💰 Præmiepenge pr. tilmelding</t>
  </si>
  <si>
    <t>💰 Over-/underskud stævnearrangør pr. tilmelding</t>
  </si>
  <si>
    <t>💰 Aktuel over-/underskud stævnearrangør</t>
  </si>
  <si>
    <t>💰 Potentiel over-/underskud stævnearrangør</t>
  </si>
  <si>
    <t>🏓 A-slutspil</t>
  </si>
  <si>
    <t>🏓 B-slutspil</t>
  </si>
  <si>
    <t>👥 Tilmeldingsantal</t>
  </si>
  <si>
    <t>🎫 Billetantal gns.</t>
  </si>
  <si>
    <t>🛖 Klubantal</t>
  </si>
  <si>
    <t>👤 Yngst</t>
  </si>
  <si>
    <t>👤 Ældst</t>
  </si>
  <si>
    <t>💰 Omsætning</t>
  </si>
  <si>
    <t>💰 Arrangørpris</t>
  </si>
  <si>
    <t>👥 Alder forskel</t>
  </si>
  <si>
    <t>👥 Alder gns.</t>
  </si>
  <si>
    <t>🎫 Billettype</t>
  </si>
  <si>
    <t>🏛️ Landsdel</t>
  </si>
  <si>
    <t>🏛️ Region</t>
  </si>
  <si>
    <t>👤 Navn og bordtennisklub</t>
  </si>
  <si>
    <t>💲💸 Tilmeldingsstatus</t>
  </si>
  <si>
    <t>🎫 Billettype &amp; tilvalg</t>
  </si>
  <si>
    <t>🛖 Bordtennisklub</t>
  </si>
  <si>
    <t>🎫 Tilvalg</t>
  </si>
  <si>
    <t>👥 Køn</t>
  </si>
  <si>
    <t>👥 Spillertype</t>
  </si>
  <si>
    <t>🏓 Pulje 1</t>
  </si>
  <si>
    <t>🏓 Pulje 2</t>
  </si>
  <si>
    <t>🏓 Pulje 3</t>
  </si>
  <si>
    <t>🏓 Pulje 4</t>
  </si>
  <si>
    <t>🏓 Pulje 5</t>
  </si>
  <si>
    <t>🏓 Pulje 6</t>
  </si>
  <si>
    <t>🏓 Pulje 7</t>
  </si>
  <si>
    <t>🏓 Pulje 8</t>
  </si>
  <si>
    <t>🏓 Pulje 12</t>
  </si>
  <si>
    <t>🏓 Pulje 11</t>
  </si>
  <si>
    <t>🏓 Pulje 10</t>
  </si>
  <si>
    <t>🏓 Pulje 9</t>
  </si>
  <si>
    <t>🏓 Pulje 13</t>
  </si>
  <si>
    <t>🏓 Pulje 14</t>
  </si>
  <si>
    <t>🏓 Pulje 15</t>
  </si>
  <si>
    <t>🏓 Pulje 16</t>
  </si>
  <si>
    <t>🏓🆚 6-mandspuljer</t>
  </si>
  <si>
    <t>🏓🆚 4-mandspuljer</t>
  </si>
  <si>
    <t>👥 Deltagerantal*</t>
  </si>
  <si>
    <t>👥 Manglende deltagerantal*</t>
  </si>
  <si>
    <t>∙</t>
  </si>
  <si>
    <t>Punkt</t>
  </si>
  <si>
    <t>Præmiepenge A-slutspil</t>
  </si>
  <si>
    <t>Præmiepenge B-slutspil</t>
  </si>
  <si>
    <t>Tidsplan</t>
  </si>
  <si>
    <t>❗ Bemærk: Drive-in-tilmeldinger eller afbud kan ændre præmier og seedning.</t>
  </si>
  <si>
    <t>K: Spiller-ID/fødselsdato (ddmmåå)</t>
  </si>
  <si>
    <t xml:space="preserve">         💡 Intern planlægning         </t>
  </si>
  <si>
    <r>
      <t xml:space="preserve">🙌 </t>
    </r>
    <r>
      <rPr>
        <b/>
        <u/>
        <sz val="24"/>
        <rFont val="Calibri"/>
        <family val="2"/>
        <scheme val="minor"/>
      </rPr>
      <t>Endeligt program</t>
    </r>
    <r>
      <rPr>
        <b/>
        <sz val="24"/>
        <rFont val="Calibri"/>
        <family val="2"/>
        <scheme val="minor"/>
      </rPr>
      <t>:</t>
    </r>
  </si>
  <si>
    <t>🗝️ Nøgletal</t>
  </si>
  <si>
    <t>🔃🏓 Rating opdateret</t>
  </si>
  <si>
    <t>🕑 Kl. 14:00-16:00: A-slutspil frem til og med kvartfinalerne og B-slutspil færdigspilles 🏓</t>
  </si>
  <si>
    <t>🕓 Kl. 16:00-18:00: ”Final 4” i A-slutspil 🏓</t>
  </si>
  <si>
    <r>
      <t xml:space="preserve">🔃 </t>
    </r>
    <r>
      <rPr>
        <b/>
        <u/>
        <sz val="24"/>
        <rFont val="Calibri"/>
        <family val="2"/>
        <scheme val="minor"/>
      </rPr>
      <t>Foreløbigt program</t>
    </r>
    <r>
      <rPr>
        <b/>
        <sz val="24"/>
        <rFont val="Calibri"/>
        <family val="2"/>
        <scheme val="minor"/>
      </rPr>
      <t>:</t>
    </r>
  </si>
  <si>
    <r>
      <t xml:space="preserve">🔃⏳ </t>
    </r>
    <r>
      <rPr>
        <b/>
        <u/>
        <sz val="14"/>
        <rFont val="Calibri"/>
        <family val="2"/>
        <scheme val="minor"/>
      </rPr>
      <t>Foreløbig tidsplan</t>
    </r>
    <r>
      <rPr>
        <b/>
        <sz val="14"/>
        <rFont val="Calibri"/>
        <family val="2"/>
        <scheme val="minor"/>
      </rPr>
      <t>:</t>
    </r>
  </si>
  <si>
    <r>
      <t xml:space="preserve">🔃🏆 </t>
    </r>
    <r>
      <rPr>
        <b/>
        <u/>
        <sz val="14"/>
        <rFont val="Calibri"/>
        <family val="2"/>
        <scheme val="minor"/>
      </rPr>
      <t>Foreløbige præmier</t>
    </r>
    <r>
      <rPr>
        <b/>
        <sz val="14"/>
        <rFont val="Calibri"/>
        <family val="2"/>
        <scheme val="minor"/>
      </rPr>
      <t>:</t>
    </r>
  </si>
  <si>
    <r>
      <t xml:space="preserve">🔃👥 </t>
    </r>
    <r>
      <rPr>
        <b/>
        <u/>
        <sz val="14"/>
        <rFont val="Calibri"/>
        <family val="2"/>
        <scheme val="minor"/>
      </rPr>
      <t>Foreløbige tilmeldinger</t>
    </r>
    <r>
      <rPr>
        <b/>
        <sz val="14"/>
        <rFont val="Calibri"/>
        <family val="2"/>
        <scheme val="minor"/>
      </rPr>
      <t>:</t>
    </r>
  </si>
  <si>
    <r>
      <t xml:space="preserve">⏳ </t>
    </r>
    <r>
      <rPr>
        <b/>
        <u/>
        <sz val="14"/>
        <rFont val="Calibri"/>
        <family val="2"/>
        <scheme val="minor"/>
      </rPr>
      <t>Tidsplan</t>
    </r>
    <r>
      <rPr>
        <b/>
        <sz val="14"/>
        <rFont val="Calibri"/>
        <family val="2"/>
        <scheme val="minor"/>
      </rPr>
      <t>:</t>
    </r>
  </si>
  <si>
    <r>
      <t xml:space="preserve">🏆 </t>
    </r>
    <r>
      <rPr>
        <b/>
        <u/>
        <sz val="14"/>
        <rFont val="Calibri"/>
        <family val="2"/>
        <scheme val="minor"/>
      </rPr>
      <t>Præmier</t>
    </r>
    <r>
      <rPr>
        <b/>
        <sz val="14"/>
        <rFont val="Calibri"/>
        <family val="2"/>
        <scheme val="minor"/>
      </rPr>
      <t>:</t>
    </r>
  </si>
  <si>
    <t>✍️ Input</t>
  </si>
  <si>
    <t>Foreløbig tidsplan kan ændre sig en smule alt efter antal tilmeldinger (forventes dog at passe meget godt).</t>
  </si>
  <si>
    <r>
      <t xml:space="preserve">👥 </t>
    </r>
    <r>
      <rPr>
        <b/>
        <u/>
        <sz val="14"/>
        <rFont val="Calibri"/>
        <family val="2"/>
        <scheme val="minor"/>
      </rPr>
      <t>Tilmeldinger og seedninger</t>
    </r>
    <r>
      <rPr>
        <b/>
        <sz val="14"/>
        <rFont val="Calibri"/>
        <family val="2"/>
        <scheme val="minor"/>
      </rPr>
      <t>:</t>
    </r>
  </si>
  <si>
    <t>💰 Præmiepenge af tilmeldingspris i pct.</t>
  </si>
  <si>
    <t>👥 Tilmeldingsantal aktuel</t>
  </si>
  <si>
    <t>⏳🏆👥 Foreløbig tidsplan, -præmier og -tilmeldinger ses her og vil løbende blive opdateret 🔃</t>
  </si>
  <si>
    <t>ℹ️ Endeligt program offentliggøres en uge før eventet her på siden.</t>
  </si>
  <si>
    <t>⏳🏆👥 Tidsplan, præmier og tilmeldinger ses her under endeligt program 🙌</t>
  </si>
  <si>
    <r>
      <t xml:space="preserve">🔃🏆👥 </t>
    </r>
    <r>
      <rPr>
        <b/>
        <u/>
        <sz val="14"/>
        <rFont val="Calibri"/>
        <family val="2"/>
        <scheme val="minor"/>
      </rPr>
      <t>Foreløbige præmier og -tilmeldinger</t>
    </r>
    <r>
      <rPr>
        <b/>
        <sz val="14"/>
        <rFont val="Calibri"/>
        <family val="2"/>
        <scheme val="minor"/>
      </rPr>
      <t>:</t>
    </r>
  </si>
  <si>
    <t>🏆👥 Foreløbige præmier og -tilmeldinger vil løbende blive opdateret fra 24. april 2022 her.</t>
  </si>
  <si>
    <t>🕙 Kl. 10:00-14:00: Puljespil (primært 6-mandspuljer) 🏓</t>
  </si>
  <si>
    <t>👀 Indtil da kan du læse om hele eventet/konceptet her på siden 👇</t>
  </si>
  <si>
    <t>Input:</t>
  </si>
  <si>
    <t>Ordredato</t>
  </si>
  <si>
    <t>📜 Diplomer uddeles til alle gave-/præmietagere.</t>
  </si>
  <si>
    <r>
      <t xml:space="preserve">🎁 Der er også en gave til den </t>
    </r>
    <r>
      <rPr>
        <b/>
        <sz val="11"/>
        <color theme="1"/>
        <rFont val="Calibri"/>
        <family val="2"/>
        <scheme val="minor"/>
      </rPr>
      <t>yngste</t>
    </r>
    <r>
      <rPr>
        <sz val="11"/>
        <color theme="1"/>
        <rFont val="Calibri"/>
        <family val="2"/>
        <scheme val="minor"/>
      </rPr>
      <t xml:space="preserve">- og </t>
    </r>
    <r>
      <rPr>
        <b/>
        <sz val="11"/>
        <color theme="1"/>
        <rFont val="Calibri"/>
        <family val="2"/>
        <scheme val="minor"/>
      </rPr>
      <t>ældste</t>
    </r>
    <r>
      <rPr>
        <sz val="11"/>
        <color theme="1"/>
        <rFont val="Calibri"/>
        <family val="2"/>
        <scheme val="minor"/>
      </rPr>
      <t xml:space="preserve"> Ping Pong deltager for at hylde mangfoldigheden.</t>
    </r>
  </si>
  <si>
    <t>🕥 Kl. 9:30 (senest): Check-in for deltagere til DM i Ping Pong 2022 🏓</t>
  </si>
  <si>
    <r>
      <t xml:space="preserve">🎫🔓 </t>
    </r>
    <r>
      <rPr>
        <b/>
        <u/>
        <sz val="14"/>
        <rFont val="Calibri"/>
        <family val="2"/>
        <scheme val="minor"/>
      </rPr>
      <t>Tilmelding åbnes søndag 17. april 2022 kl. 12 🙌</t>
    </r>
  </si>
  <si>
    <t>250372‑JESK</t>
  </si>
  <si>
    <t>Jesper Skivesen</t>
  </si>
  <si>
    <t>Mathias Christensen</t>
  </si>
  <si>
    <t>Mathias Christensen, Silkeborg BTK</t>
  </si>
  <si>
    <t>Jesper Skivesen, Silkeborg BTK</t>
  </si>
  <si>
    <t>080950‑BEJA</t>
  </si>
  <si>
    <t>040282‑CAST</t>
  </si>
  <si>
    <t>Casper Staal</t>
  </si>
  <si>
    <t>Bent O. Jakobsen</t>
  </si>
  <si>
    <t>Bent O. Jakobsen, Sisu/MBK [71 år, 08-09-1950]</t>
  </si>
  <si>
    <t>Casper Staal, Sisu/MBK</t>
  </si>
  <si>
    <t>Bent O. Jakobsen, Sisu/MBK</t>
  </si>
  <si>
    <t>♂️ Herre</t>
  </si>
  <si>
    <t>♀️ Dame</t>
  </si>
  <si>
    <t>Daniel Wolf, Sisu/MBK</t>
  </si>
  <si>
    <t>Sebastian Kjær Jensen, Sjørring BTK</t>
  </si>
  <si>
    <t>200792‑CHAN</t>
  </si>
  <si>
    <t>Christian H. Andersen</t>
  </si>
  <si>
    <t>Christian H. Andersen, Sisu/MBK</t>
  </si>
  <si>
    <t>190594‑MACH</t>
  </si>
  <si>
    <t>2067</t>
  </si>
  <si>
    <t>🍕 Pris for pizza pr. tilmelding</t>
  </si>
  <si>
    <r>
      <t xml:space="preserve">👥 </t>
    </r>
    <r>
      <rPr>
        <b/>
        <u/>
        <sz val="14"/>
        <rFont val="Calibri"/>
        <family val="2"/>
        <scheme val="minor"/>
      </rPr>
      <t>Seedning</t>
    </r>
    <r>
      <rPr>
        <b/>
        <sz val="14"/>
        <rFont val="Calibri"/>
        <family val="2"/>
        <scheme val="minor"/>
      </rPr>
      <t>:</t>
    </r>
  </si>
  <si>
    <r>
      <t xml:space="preserve">👥 </t>
    </r>
    <r>
      <rPr>
        <b/>
        <u/>
        <sz val="14"/>
        <rFont val="Calibri"/>
        <family val="2"/>
        <scheme val="minor"/>
      </rPr>
      <t>Tilmeldinger</t>
    </r>
    <r>
      <rPr>
        <b/>
        <sz val="14"/>
        <rFont val="Calibri"/>
        <family val="2"/>
        <scheme val="minor"/>
      </rPr>
      <t>:</t>
    </r>
  </si>
  <si>
    <t>🍺 Pris for fri bar pr. tilmelding</t>
  </si>
  <si>
    <t>✅🏓 DM I PING PONG</t>
  </si>
  <si>
    <r>
      <rPr>
        <i/>
        <u/>
        <sz val="11"/>
        <color theme="1"/>
        <rFont val="Calibri"/>
        <family val="2"/>
        <scheme val="minor"/>
      </rPr>
      <t>Sorteret efter seedning</t>
    </r>
    <r>
      <rPr>
        <i/>
        <sz val="11"/>
        <color theme="1"/>
        <rFont val="Calibri"/>
        <family val="2"/>
        <scheme val="minor"/>
      </rPr>
      <t>:</t>
    </r>
  </si>
  <si>
    <r>
      <rPr>
        <i/>
        <u/>
        <sz val="11"/>
        <color theme="1"/>
        <rFont val="Calibri"/>
        <family val="2"/>
        <scheme val="minor"/>
      </rPr>
      <t>Sorteret efter alder</t>
    </r>
    <r>
      <rPr>
        <i/>
        <sz val="11"/>
        <color theme="1"/>
        <rFont val="Calibri"/>
        <family val="2"/>
        <scheme val="minor"/>
      </rPr>
      <t>:</t>
    </r>
  </si>
  <si>
    <r>
      <rPr>
        <i/>
        <u/>
        <sz val="11"/>
        <color theme="1"/>
        <rFont val="Calibri"/>
        <family val="2"/>
        <scheme val="minor"/>
      </rPr>
      <t>Sorteret efter ordredato</t>
    </r>
    <r>
      <rPr>
        <i/>
        <sz val="11"/>
        <color theme="1"/>
        <rFont val="Calibri"/>
        <family val="2"/>
        <scheme val="minor"/>
      </rPr>
      <t>:</t>
    </r>
  </si>
  <si>
    <t>💲🍕 Pizza</t>
  </si>
  <si>
    <t>💲🍺 Fri bar</t>
  </si>
  <si>
    <t>👤 Laveste rating</t>
  </si>
  <si>
    <t>👤 Højeste rating</t>
  </si>
  <si>
    <t>250901‑MIEL</t>
  </si>
  <si>
    <t>Vejle BTK</t>
  </si>
  <si>
    <t>Vejle</t>
  </si>
  <si>
    <t>060598‑BELI</t>
  </si>
  <si>
    <t>Benjamin Lillelund</t>
  </si>
  <si>
    <t>Hasle IF</t>
  </si>
  <si>
    <t>Hasle</t>
  </si>
  <si>
    <t>010883‑MAHE</t>
  </si>
  <si>
    <t>Mathias Heidmann</t>
  </si>
  <si>
    <t>Mathias Heidmann, Sisu/MBK</t>
  </si>
  <si>
    <t>121000‑MADA</t>
  </si>
  <si>
    <t>Marius Dam</t>
  </si>
  <si>
    <t>050993‑MALA</t>
  </si>
  <si>
    <t>Mads Larsen</t>
  </si>
  <si>
    <t>120297‑JOHA</t>
  </si>
  <si>
    <t>Jonathan Abildgaard Hansen</t>
  </si>
  <si>
    <t>091184</t>
  </si>
  <si>
    <t>Lasse Frølich Rasmussen</t>
  </si>
  <si>
    <t>Lasse Frølich Rasmussen (ingen klub)</t>
  </si>
  <si>
    <t>Marius Dam, BTK Viby</t>
  </si>
  <si>
    <t>2369</t>
  </si>
  <si>
    <t>051192‑MIJA</t>
  </si>
  <si>
    <t>Mie Binnerup Jacobsen</t>
  </si>
  <si>
    <t>150888‑SINY</t>
  </si>
  <si>
    <t>160897‑MAKY</t>
  </si>
  <si>
    <t>Marc Kynde</t>
  </si>
  <si>
    <t>230702‑OSHO</t>
  </si>
  <si>
    <t>Nyborg G &amp; IF</t>
  </si>
  <si>
    <t>Nyborg</t>
  </si>
  <si>
    <t>010297‑JOOV</t>
  </si>
  <si>
    <t>230403‑JOGR</t>
  </si>
  <si>
    <t>160878‑HABO</t>
  </si>
  <si>
    <t>220475-JEST</t>
  </si>
  <si>
    <t>John Sabalic, Rønde BTK</t>
  </si>
  <si>
    <t>John Sabalic, Rønde BTK [57 år] 🏓</t>
  </si>
  <si>
    <t>Peter Skalborg Jensen, Sisu/MBK</t>
  </si>
  <si>
    <t>Simon Larsen, BTK Viby</t>
  </si>
  <si>
    <t>(2) 2362</t>
  </si>
  <si>
    <t>Marc Kynde, BTK Viby</t>
  </si>
  <si>
    <t>Emil Madsen, Hørning BTK</t>
  </si>
  <si>
    <t>300678‑THKJ</t>
  </si>
  <si>
    <t>Thomas Kjeldgård</t>
  </si>
  <si>
    <t>221206‑OLJO</t>
  </si>
  <si>
    <t>Oliver Kjeldgaard Johansson</t>
  </si>
  <si>
    <t>100510‑FRKJ</t>
  </si>
  <si>
    <t>Frederik Kjeldgaard</t>
  </si>
  <si>
    <t>info@amagerbtk.dk</t>
  </si>
  <si>
    <t>jensknudsen1885@gmail.com</t>
  </si>
  <si>
    <t>simon88nf@gmail.com</t>
  </si>
  <si>
    <t>bolding.olesen@gmail.com</t>
  </si>
  <si>
    <t>jb_tb@mail.dk</t>
  </si>
  <si>
    <t>kennyjensen535@gmail.com</t>
  </si>
  <si>
    <t>ole@compurevision.dk</t>
  </si>
  <si>
    <t>kontakt@kbhbordtennis.dk</t>
  </si>
  <si>
    <t>ftv@c.dk</t>
  </si>
  <si>
    <t>asbp@sol.dk</t>
  </si>
  <si>
    <t>npb@sbtk.dk</t>
  </si>
  <si>
    <t>bestyrelse@sisu-mbk.dk</t>
  </si>
  <si>
    <t>peterbakjensen@gmail.com</t>
  </si>
  <si>
    <t>formand@vejlebordtennisklub.dk</t>
  </si>
  <si>
    <t>daniel.christensen@b75.dk</t>
  </si>
  <si>
    <t>K: Mail</t>
  </si>
  <si>
    <t>291252</t>
  </si>
  <si>
    <t>Poul B. Pedersen</t>
  </si>
  <si>
    <t>Poul B. Pedersen (ingen klub)</t>
  </si>
  <si>
    <t>Hillerød GI</t>
  </si>
  <si>
    <t>Hillerød</t>
  </si>
  <si>
    <t>formand@hgibordtennis.dk</t>
  </si>
  <si>
    <t>ara@vucfyn.dk</t>
  </si>
  <si>
    <t>Roskilde</t>
  </si>
  <si>
    <t>bestyrelsen@btk61.dk</t>
  </si>
  <si>
    <t>bs@naestved-bordtennis.dk</t>
  </si>
  <si>
    <t>Næstved BTK</t>
  </si>
  <si>
    <t>Holmegaard</t>
  </si>
  <si>
    <t>København NV</t>
  </si>
  <si>
    <t>klapklaus@mail.dk</t>
  </si>
  <si>
    <t>Virum Sorgenfri BTK</t>
  </si>
  <si>
    <t>Virum</t>
  </si>
  <si>
    <t>vsbtk.bestyrelsen@gmail.com</t>
  </si>
  <si>
    <t>Odense M</t>
  </si>
  <si>
    <t>ole.bay.jensen@outlook.dk</t>
  </si>
  <si>
    <t>Brøndby BC</t>
  </si>
  <si>
    <t>Brøndby</t>
  </si>
  <si>
    <t>Greve BTK</t>
  </si>
  <si>
    <t>Greve</t>
  </si>
  <si>
    <t>hvidovrebordtennisklub@gmail.com</t>
  </si>
  <si>
    <t>michael.ryding@hotmail.com</t>
  </si>
  <si>
    <t>Hvidovre BTK</t>
  </si>
  <si>
    <t>Hvidovre</t>
  </si>
  <si>
    <t>btkmidtjylland@hotmail.com</t>
  </si>
  <si>
    <t>BTK Midtjylland</t>
  </si>
  <si>
    <t>Herning</t>
  </si>
  <si>
    <t>Frederiksberg BTK</t>
  </si>
  <si>
    <t>Frederiksberg</t>
  </si>
  <si>
    <t>nielsrudolfsen@outlook.dk</t>
  </si>
  <si>
    <t>250662‑MASV</t>
  </si>
  <si>
    <t>Holbæk BTK</t>
  </si>
  <si>
    <t>Martin Svendsen</t>
  </si>
  <si>
    <t>Holbæk</t>
  </si>
  <si>
    <t>formand@holbaekbordtennis.dk</t>
  </si>
  <si>
    <t>Martin Svendsen, Holbæk BTK</t>
  </si>
  <si>
    <t>jonasagerholm@studmed.au.dk</t>
  </si>
  <si>
    <t>230709-ALBR</t>
  </si>
  <si>
    <t>Alfred Brøgger</t>
  </si>
  <si>
    <t>Alfred Brøgger, Sisu/MBK</t>
  </si>
  <si>
    <t>Thomas Kjeldgård, Hørning BTK</t>
  </si>
  <si>
    <t>Frederik Kjeldgaard, Hørning BTK</t>
  </si>
  <si>
    <t>Oliver Kjeldgaard Johansson, Hørning BTK</t>
  </si>
  <si>
    <t>Oliver Kjeldgaard Johansson, Hørning BTK [1363 rating ∙ 15 år] 🏓</t>
  </si>
  <si>
    <t>Frederik Kjeldgaard, Hørning BTK [12 år] 🏓</t>
  </si>
  <si>
    <t>Oliver Kjeldgaard Johansson, Hørning BTK [15 år] 🏓</t>
  </si>
  <si>
    <t>2413</t>
  </si>
  <si>
    <t>1363</t>
  </si>
  <si>
    <t>2042</t>
  </si>
  <si>
    <t>201005‑BADI</t>
  </si>
  <si>
    <t>Bastian Diness</t>
  </si>
  <si>
    <t>Bastian Diness, Sisu/MBK</t>
  </si>
  <si>
    <t>Bastian Diness, Sisu/MBK [1790 rating ∙ 16 år] 🏓</t>
  </si>
  <si>
    <t>Bastian Diness, Sisu/MBK [16 år] 🏓</t>
  </si>
  <si>
    <t>1790</t>
  </si>
  <si>
    <t>K: Aldersgruppe</t>
  </si>
  <si>
    <t>(3) 2553</t>
  </si>
  <si>
    <t>Benjamin Lillelund, Sisu/MBK</t>
  </si>
  <si>
    <t>(1) 2551</t>
  </si>
  <si>
    <t>John Sabalic, Rønde BTK [2455 rating ∙ 57 år] 🏓</t>
  </si>
  <si>
    <t>Benjamin Lillelund, Sisu/MBK [2094 rating ∙ 24 år] 🏓</t>
  </si>
  <si>
    <t>Frederik Kjeldgaard, Hørning BTK [1166 rating ∙ 12 år] 🏓</t>
  </si>
  <si>
    <t>Benjamin Lillelund, Sisu/MBK [24 år] 🏓</t>
  </si>
  <si>
    <t>2455</t>
  </si>
  <si>
    <t>2381</t>
  </si>
  <si>
    <t>2119</t>
  </si>
  <si>
    <t>2094</t>
  </si>
  <si>
    <t>2064</t>
  </si>
  <si>
    <t>1944</t>
  </si>
  <si>
    <t>1942</t>
  </si>
  <si>
    <t>1647</t>
  </si>
  <si>
    <t>1547</t>
  </si>
  <si>
    <t>1491</t>
  </si>
  <si>
    <t>1166</t>
  </si>
  <si>
    <t>[&lt;=17] Ungdom</t>
  </si>
  <si>
    <t>[&lt;=39] Senior</t>
  </si>
  <si>
    <t>[&gt;=40] Veteran</t>
  </si>
  <si>
    <t>💲 Aktuel</t>
  </si>
  <si>
    <t>💲 Potentiel</t>
  </si>
  <si>
    <t xml:space="preserve">           💰 Potentiel</t>
  </si>
  <si>
    <t xml:space="preserve">                        💰 %</t>
  </si>
  <si>
    <t xml:space="preserve">               💰 Aktuel</t>
  </si>
  <si>
    <t>💰🏆 Præmiepenge total</t>
  </si>
  <si>
    <t>Output:</t>
  </si>
  <si>
    <r>
      <t xml:space="preserve">💰 </t>
    </r>
    <r>
      <rPr>
        <b/>
        <u/>
        <sz val="14"/>
        <rFont val="Calibri"/>
        <family val="2"/>
        <scheme val="minor"/>
      </rPr>
      <t>Eventpris total</t>
    </r>
    <r>
      <rPr>
        <b/>
        <sz val="14"/>
        <rFont val="Calibri"/>
        <family val="2"/>
        <scheme val="minor"/>
      </rPr>
      <t>:</t>
    </r>
  </si>
  <si>
    <t>🏓 Over-/underskud stævnearrangør</t>
  </si>
  <si>
    <t>141298‑ANLI</t>
  </si>
  <si>
    <t>Anders Lind</t>
  </si>
  <si>
    <t>💲 Eventpris total</t>
  </si>
  <si>
    <t>🏓 DM i Ping Pong</t>
  </si>
  <si>
    <t>💲👥 Aktuel</t>
  </si>
  <si>
    <t>💲👥 Potentiel</t>
  </si>
  <si>
    <t>🏓 A-slutspil total</t>
  </si>
  <si>
    <t>🏓 B-slutspil total</t>
  </si>
  <si>
    <t>Mie Binnerup Jacobsen, Sisu/MBK</t>
  </si>
  <si>
    <t>151090‑IZNØ</t>
  </si>
  <si>
    <t>Izabell Nørlem</t>
  </si>
  <si>
    <t>Brønshøj BTK</t>
  </si>
  <si>
    <t>Roskilde, BTK 61</t>
  </si>
  <si>
    <t>Izabell Nørlem, Hvidovre BTK</t>
  </si>
  <si>
    <t>🎫 Ordreuge- og dato</t>
  </si>
  <si>
    <t>K: Postnr.</t>
  </si>
  <si>
    <t>(Ukendt postnr.)</t>
  </si>
  <si>
    <t>(Ukendt mail)</t>
  </si>
  <si>
    <t>Triton</t>
  </si>
  <si>
    <t>preben@greve-btk.dk</t>
  </si>
  <si>
    <t>🏓 Præmiesum</t>
  </si>
  <si>
    <t>K: Billetantal maks.</t>
  </si>
  <si>
    <t>K: Billetpris</t>
  </si>
  <si>
    <t>👥 Billetantal maks.</t>
  </si>
  <si>
    <t>💲 Billetpris</t>
  </si>
  <si>
    <t>🎫 Billetantal maks.</t>
  </si>
  <si>
    <t>🎫 Tilgængelige billetter</t>
  </si>
  <si>
    <t>🎫 Billetsalg</t>
  </si>
  <si>
    <t>💰 Over-/underskud arrangør</t>
  </si>
  <si>
    <t>300503-KIBE</t>
  </si>
  <si>
    <t>BTK Grenå</t>
  </si>
  <si>
    <t>Grenaa</t>
  </si>
  <si>
    <t>hammelev@hammelev.net</t>
  </si>
  <si>
    <t>Mads Larsen, Silkeborg BTK</t>
  </si>
  <si>
    <t>2352</t>
  </si>
  <si>
    <t>230578‑THBJ</t>
  </si>
  <si>
    <t>Thomas Bjerregaard</t>
  </si>
  <si>
    <t>Thomas Bjerregaard, BTK Midtjylland</t>
  </si>
  <si>
    <t>Thomas Bjerregaard, BTK Midtjylland [1867 rating ∙ 44 år] 🏓</t>
  </si>
  <si>
    <t>Thomas Bjerregaard, BTK Midtjylland [44 år] 🏓</t>
  </si>
  <si>
    <t>1867</t>
  </si>
  <si>
    <t>K: Ratinggruppe</t>
  </si>
  <si>
    <t>040791‑THPE</t>
  </si>
  <si>
    <t>Thomas B. Petersen</t>
  </si>
  <si>
    <t>Køn</t>
  </si>
  <si>
    <t>🎁 Gave til den yngste- og ældste Ping Pong deltager.</t>
  </si>
  <si>
    <t>Billetsalg 1 stk.</t>
  </si>
  <si>
    <t>Billetsalg 2 stk.</t>
  </si>
  <si>
    <t>K: Billetsalg pr. tilmelding</t>
  </si>
  <si>
    <t>🎫 Billetsalg pr. tilmelding</t>
  </si>
  <si>
    <t>🎫 Tilmeldingstype</t>
  </si>
  <si>
    <t>K: Tilmeldingstype</t>
  </si>
  <si>
    <t>Rasmus Hansen</t>
  </si>
  <si>
    <t>Simon Egebæk</t>
  </si>
  <si>
    <t>110501-SESØ</t>
  </si>
  <si>
    <t>Sebastian Sørensen</t>
  </si>
  <si>
    <t>030201</t>
  </si>
  <si>
    <t>Rasmus Hansen (ingen klub)</t>
  </si>
  <si>
    <t>Simon Egebæk (ingen klub)</t>
  </si>
  <si>
    <t>Sebastian Sørensen, Esbjerg BTK</t>
  </si>
  <si>
    <t>Simon Nykjær-Fisher</t>
  </si>
  <si>
    <t>Simon Nykjær-Fisher, BTK Viby</t>
  </si>
  <si>
    <t>2587</t>
  </si>
  <si>
    <t>🏃 Drive-in</t>
  </si>
  <si>
    <t>👤 Ikke-bordtennisspiller</t>
  </si>
  <si>
    <t>🏓 Bordtennisspiller</t>
  </si>
  <si>
    <t>291095</t>
  </si>
  <si>
    <t>030894</t>
  </si>
  <si>
    <t>Sarah Svendsen</t>
  </si>
  <si>
    <t>Annsofie Sommer</t>
  </si>
  <si>
    <t>Sarah Svendsen (ingen klub)</t>
  </si>
  <si>
    <t>Annsofie Sommer (ingen klub)</t>
  </si>
  <si>
    <t>Jesper Nedergård</t>
  </si>
  <si>
    <t>Michael Hegelund Knudsen</t>
  </si>
  <si>
    <t>📅 29-10-1995, 26 år [&lt;=39] Senior</t>
  </si>
  <si>
    <t>📅 15-08-1988, 33 år [&lt;=39] Senior</t>
  </si>
  <si>
    <t>📅 28-05-2001, 21 år [&lt;=39] Senior</t>
  </si>
  <si>
    <t>📅 03-02-2001, 21 år [&lt;=39] Senior</t>
  </si>
  <si>
    <t>📅 11-05-2001, 21 år [&lt;=39] Senior</t>
  </si>
  <si>
    <t>📅 23-05-1978, 44 år [&gt;=40] Veteran</t>
  </si>
  <si>
    <t>📅 05-09-1993, 28 år [&lt;=39] Senior</t>
  </si>
  <si>
    <t>📅 15-10-1990, 31 år [&lt;=39] Senior</t>
  </si>
  <si>
    <t>📅 05-11-1992, 29 år [&lt;=39] Senior</t>
  </si>
  <si>
    <t>📅 20-10-2005, 16 år [&lt;=17] Ungdom</t>
  </si>
  <si>
    <t>📅 22-12-2006, 15 år [&lt;=17] Ungdom</t>
  </si>
  <si>
    <t>📅 10-05-2010, 12 år [&lt;=17] Ungdom</t>
  </si>
  <si>
    <t>📅 29-12-1952, 69 år [&gt;=40] Veteran</t>
  </si>
  <si>
    <t>📅 29-05-1993, 29 år [&lt;=39] Senior</t>
  </si>
  <si>
    <t>📅 16-08-1997, 24 år [&lt;=39] Senior</t>
  </si>
  <si>
    <t>📅 25-05-2001, 21 år [&lt;=39] Senior</t>
  </si>
  <si>
    <t>📅 18-03-1965, 57 år [&gt;=40] Veteran</t>
  </si>
  <si>
    <t>📅 12-10-2000, 21 år [&lt;=39] Senior</t>
  </si>
  <si>
    <t>📅 09-11-1984, 37 år [&lt;=39] Senior</t>
  </si>
  <si>
    <t>📅 06-05-1998, 24 år [&lt;=39] Senior</t>
  </si>
  <si>
    <t>📅 10-05-1995, 27 år [&lt;=39] Senior</t>
  </si>
  <si>
    <t>📅 30-04-1996, 26 år [&lt;=39] Senior</t>
  </si>
  <si>
    <t>📅 08-09-1950, 71 år [&gt;=40] Veteran</t>
  </si>
  <si>
    <t>📅 04-02-1982, 40 år [&gt;=40] Veteran</t>
  </si>
  <si>
    <t>📅 25-03-1972, 50 år [&gt;=40] Veteran</t>
  </si>
  <si>
    <t>📅 19-05-1994, 28 år [&lt;=39] Senior</t>
  </si>
  <si>
    <t>📅 08-02-1994, 28 år [&lt;=39] Senior</t>
  </si>
  <si>
    <t>🏛️ (Ingen klub)</t>
  </si>
  <si>
    <t>🏛️ Jylland, Region Midtjylland, 8260 Viby J</t>
  </si>
  <si>
    <t>🏛️ Jylland, Region Syddanmark, 6700 Esbjerg</t>
  </si>
  <si>
    <t>🏛️ Jylland, Region Midtjylland, 7400 Herning</t>
  </si>
  <si>
    <t>🏛️ Jylland, Region Midtjylland, 8600 Silkeborg</t>
  </si>
  <si>
    <t>🏛️ Sjælland, Region Hovedstaden, 2650 Hvidovre</t>
  </si>
  <si>
    <t>🏛️ Jylland, Region Midtjylland, 8000 Århus C</t>
  </si>
  <si>
    <t>🏛️ Jylland, Region Midtjylland, 8362 Hørning</t>
  </si>
  <si>
    <t>🏛️ Sjælland, Region Sjælland, 4300 Holbæk</t>
  </si>
  <si>
    <t>🏛️ Jylland, Region Midtjylland, 8200 Aarhus N</t>
  </si>
  <si>
    <t>🏛️ Jylland, Region Nordjylland, 7700 Thisted</t>
  </si>
  <si>
    <t>💪 Ratinggruppe</t>
  </si>
  <si>
    <t>📅 Aldersgruppe</t>
  </si>
  <si>
    <t>⠀👥 Køn⠀</t>
  </si>
  <si>
    <t>📅 Fødselsdato og alder⠀⠀⠀⠀⠀⠀⠀</t>
  </si>
  <si>
    <t>👥 Spillertype⠀⠀⠀⠀⠀⠀</t>
  </si>
  <si>
    <t>🏛️ Område⠀⠀⠀⠀⠀⠀⠀⠀⠀⠀⠀⠀⠀⠀⠀⠀⠀⠀⠀⠀⠀⠀⠀⠀</t>
  </si>
  <si>
    <t>👥 Tilmeldinger:</t>
  </si>
  <si>
    <r>
      <rPr>
        <i/>
        <u/>
        <sz val="11"/>
        <color theme="1"/>
        <rFont val="Calibri"/>
        <family val="2"/>
        <scheme val="minor"/>
      </rPr>
      <t>Sorteret efter klub</t>
    </r>
    <r>
      <rPr>
        <i/>
        <sz val="11"/>
        <color theme="1"/>
        <rFont val="Calibri"/>
        <family val="2"/>
        <scheme val="minor"/>
      </rPr>
      <t>:</t>
    </r>
  </si>
  <si>
    <t>Deltager-ID</t>
  </si>
  <si>
    <t>110696‑RAHA</t>
  </si>
  <si>
    <t>Rasmus Damkjær Hansen</t>
  </si>
  <si>
    <t>Rasmus Damkjær Hansen, Sisu/MBK</t>
  </si>
  <si>
    <t>Johan Grønhøj</t>
  </si>
  <si>
    <t>300470‑JANO</t>
  </si>
  <si>
    <t>Jan Nordhøj</t>
  </si>
  <si>
    <t>📅 23-04-2003, 19 år [&lt;=39] Senior</t>
  </si>
  <si>
    <t>📅 30-04-1970, 52 år [&gt;=40] Veteran</t>
  </si>
  <si>
    <t>Jan Nordhøj, Hvidovre BTK</t>
  </si>
  <si>
    <t>2269</t>
  </si>
  <si>
    <t>Johan Grønhøj, Sisu/MBK</t>
  </si>
  <si>
    <t>2092</t>
  </si>
  <si>
    <r>
      <t>Sorteret efter fødselsdato</t>
    </r>
    <r>
      <rPr>
        <i/>
        <sz val="11"/>
        <color theme="1"/>
        <rFont val="Calibri"/>
        <family val="2"/>
        <scheme val="minor"/>
      </rPr>
      <t>:</t>
    </r>
  </si>
  <si>
    <t>Jonas Overgaard</t>
  </si>
  <si>
    <t>📅 01-02-1997, 25 år [&lt;=39] Senior</t>
  </si>
  <si>
    <t>Jonas Overgaard, Silkeborg BTK</t>
  </si>
  <si>
    <t/>
  </si>
  <si>
    <t>Holbæk BTK [1]</t>
  </si>
  <si>
    <t>💪 2050 rating [&gt;=2000] Elite</t>
  </si>
  <si>
    <t>💪 2092 rating [&gt;=2000] Elite</t>
  </si>
  <si>
    <t>💪 2269 rating [&gt;=2000] Elite</t>
  </si>
  <si>
    <t>💪 1913 rating [&lt;=1999] Ikke-elite</t>
  </si>
  <si>
    <t>💪 2587 rating [&gt;=2000] Elite</t>
  </si>
  <si>
    <t>💪 1867 rating [&lt;=1999] Ikke-elite</t>
  </si>
  <si>
    <t>💪 2352 rating [&gt;=2000] Elite</t>
  </si>
  <si>
    <t>💪 2187 rating [&gt;=2000] Elite</t>
  </si>
  <si>
    <t>💪 2295 rating [&gt;=2000] Elite</t>
  </si>
  <si>
    <t>💪 1790 rating [&lt;=1999] Ikke-elite</t>
  </si>
  <si>
    <t>💪 1363 rating [&lt;=1999] Ikke-elite</t>
  </si>
  <si>
    <t>💪 1166 rating [&lt;=1999] Ikke-elite</t>
  </si>
  <si>
    <t>💪 2413 rating [&gt;=2000] Elite</t>
  </si>
  <si>
    <t>💪 1491 rating [&lt;=1999] Ikke-elite</t>
  </si>
  <si>
    <t>💪 (3) 2553 rating [&gt;=2000] Elite</t>
  </si>
  <si>
    <t>💪 2381 rating [&gt;=2000] Elite</t>
  </si>
  <si>
    <t>💪 (2) 2362 rating [&gt;=2000] Elite</t>
  </si>
  <si>
    <t>💪 2042 rating [&gt;=2000] Elite</t>
  </si>
  <si>
    <t>💪 2455 rating [&gt;=2000] Elite</t>
  </si>
  <si>
    <t>💪 2369 rating [&gt;=2000] Elite</t>
  </si>
  <si>
    <t>💪 1944 rating [&lt;=1999] Ikke-elite</t>
  </si>
  <si>
    <t>💪 2094 rating [&gt;=2000] Elite</t>
  </si>
  <si>
    <t>💪 1942 rating [&lt;=1999] Ikke-elite</t>
  </si>
  <si>
    <t>💪 2064 rating [&gt;=2000] Elite</t>
  </si>
  <si>
    <t>💪 2067 rating [&gt;=2000] Elite</t>
  </si>
  <si>
    <t>💪 1647 rating [&lt;=1999] Ikke-elite</t>
  </si>
  <si>
    <t>💪 2119 rating [&gt;=2000] Elite</t>
  </si>
  <si>
    <t>💪 1547 rating [&lt;=1999] Ikke-elite</t>
  </si>
  <si>
    <t>💪 2100 rating [&gt;=2000] Elite</t>
  </si>
  <si>
    <t>💪 (1) 2551 rating [&gt;=2000] Elite</t>
  </si>
  <si>
    <t>[&gt;=2000] Elite</t>
  </si>
  <si>
    <t>[&lt;=1999] Ikke-elite</t>
  </si>
  <si>
    <t>Jesper Steffensen</t>
  </si>
  <si>
    <t>📅 22-04-1975, 47 år [&gt;=40] Veteran</t>
  </si>
  <si>
    <t>Jesper Steffensen, Sisu/MBK</t>
  </si>
  <si>
    <t>Jannick Helbo Wagner</t>
  </si>
  <si>
    <t>080289‑MEKR</t>
  </si>
  <si>
    <t>Mette Kristensen, Sisu/MBK</t>
  </si>
  <si>
    <t>📅 08-02-1989, 33 år [&lt;=39] Senior</t>
  </si>
  <si>
    <t>💪 1531 rating [&lt;=1999] Ikke-elite</t>
  </si>
  <si>
    <t>Ida Nielsen</t>
  </si>
  <si>
    <t>090391‑IDNI</t>
  </si>
  <si>
    <t>📅 09-03-1991, 31 år [&lt;=39] Senior</t>
  </si>
  <si>
    <t>💪 1516 rating [&lt;=1999] Ikke-elite</t>
  </si>
  <si>
    <t>Ida Nielsen, Sisu/MBK</t>
  </si>
  <si>
    <t>020686‑DENI</t>
  </si>
  <si>
    <t>Dennis K. Nielsen</t>
  </si>
  <si>
    <t>Mette Kristensen</t>
  </si>
  <si>
    <t>Team Nørreå</t>
  </si>
  <si>
    <t>Bjerringbro</t>
  </si>
  <si>
    <t>tommyj@sport.dk</t>
  </si>
  <si>
    <t>070387‑NISO</t>
  </si>
  <si>
    <t>Nick Sommer</t>
  </si>
  <si>
    <t>Mickey Elsborg</t>
  </si>
  <si>
    <t>070802‑EMSØ</t>
  </si>
  <si>
    <t>Emil Lynge Sørensen</t>
  </si>
  <si>
    <t>📅 25-09-2001, 20 år [&lt;=39] Senior</t>
  </si>
  <si>
    <t>💪 2265 rating [&gt;=2000] Elite</t>
  </si>
  <si>
    <t>🏛️ Jylland, Region Syddanmark, 7100 Vejle</t>
  </si>
  <si>
    <t>📅 07-08-2002, 19 år [&lt;=39] Senior</t>
  </si>
  <si>
    <t>💪 2376 rating [&gt;=2000] Elite</t>
  </si>
  <si>
    <t>🏛️ Sjælland, Region Hovedstaden, 2770 Kastrup</t>
  </si>
  <si>
    <t>Emil Lynge Sørensen, Amager BTK</t>
  </si>
  <si>
    <t>2376</t>
  </si>
  <si>
    <t>Mickey Elsborg, Vejle BTK</t>
  </si>
  <si>
    <t>2265</t>
  </si>
  <si>
    <t>📅 07-03-1987, 35 år [&lt;=39] Senior</t>
  </si>
  <si>
    <t>💪 2229 rating [&gt;=2000] Elite</t>
  </si>
  <si>
    <t>🏛️ Jylland, Region Midtjylland, 8850 Bjerringbro</t>
  </si>
  <si>
    <t>📅 02-06-1986, 36 år [&lt;=39] Senior</t>
  </si>
  <si>
    <t>💪 2068 rating [&gt;=2000] Elite</t>
  </si>
  <si>
    <t>Nick Sommer, Team Nørreå</t>
  </si>
  <si>
    <t>2229</t>
  </si>
  <si>
    <t>Dennis K. Nielsen, Team Nørreå</t>
  </si>
  <si>
    <t>2068</t>
  </si>
  <si>
    <t>💪 [&lt;=1999] Ikke-elite</t>
  </si>
  <si>
    <t>💪 Rating⠀⠀⠀⠀⠀⠀⠀⠀⠀⠀⠀⠀⠀⠀</t>
  </si>
  <si>
    <t>100906‑ANHO</t>
  </si>
  <si>
    <t>Anders Holler</t>
  </si>
  <si>
    <t>BTK Tateni</t>
  </si>
  <si>
    <t>Aalborg</t>
  </si>
  <si>
    <t>larsthomsen123@gmail.com</t>
  </si>
  <si>
    <t>📅 10-09-2006, 15 år [&lt;=17] Ungdom</t>
  </si>
  <si>
    <t>💪 1485 rating [&lt;=1999] Ikke-elite</t>
  </si>
  <si>
    <t>🏛️ Jylland, Region Nordjylland, 9000 Aalborg</t>
  </si>
  <si>
    <t>Anders Holler, BTK Tateni</t>
  </si>
  <si>
    <t>1485</t>
  </si>
  <si>
    <t>BTK Tateni [1]</t>
  </si>
  <si>
    <t>Anders Holler, BTK Tateni [1485 rating ∙ 15 år] 🏓</t>
  </si>
  <si>
    <t>Anders Holler, BTK Tateni [15 år] 🏓</t>
  </si>
  <si>
    <t>Lasse Kardel Larsen</t>
  </si>
  <si>
    <t>311002-JOMO</t>
  </si>
  <si>
    <t>Johannes Messick Mortensen</t>
  </si>
  <si>
    <t>Oscar Hovmøller</t>
  </si>
  <si>
    <t>💪 2374 rating [&gt;=2000] Elite</t>
  </si>
  <si>
    <t>📅 31-10-2002, 19 år [&lt;=39] Senior</t>
  </si>
  <si>
    <t>Oscar Hovmøller, BTK Viby</t>
  </si>
  <si>
    <t>2374</t>
  </si>
  <si>
    <t>Johannes Messick Mortensen, Sisu/MBK</t>
  </si>
  <si>
    <t>Andreas Bjørnholdt</t>
  </si>
  <si>
    <t>311292‑NIMI</t>
  </si>
  <si>
    <t>Nichlas Middelhede</t>
  </si>
  <si>
    <t>📅 31-12-1992, 29 år [&lt;=39] Senior</t>
  </si>
  <si>
    <t>💪 2547 rating [&gt;=2000] Elite</t>
  </si>
  <si>
    <t>Nichlas Middelhede, Team Nørreå</t>
  </si>
  <si>
    <t>2547</t>
  </si>
  <si>
    <t>Ordredato med tid</t>
  </si>
  <si>
    <t>K: Klokkeslætsinterval</t>
  </si>
  <si>
    <t>🎫 Klokkeslætsinterval</t>
  </si>
  <si>
    <t>[&gt;=00] Øvrig</t>
  </si>
  <si>
    <t>[&gt;=18] Aften</t>
  </si>
  <si>
    <t>💪 2164 rating [&gt;=2000] Elite</t>
  </si>
  <si>
    <t>💪 2048 rating [&gt;=2000] Elite</t>
  </si>
  <si>
    <t>💪 1685 rating [&lt;=1999] Ikke-elite</t>
  </si>
  <si>
    <t>💪 1067 rating [&lt;=1999] Ikke-elite</t>
  </si>
  <si>
    <t>2048</t>
  </si>
  <si>
    <t>1685</t>
  </si>
  <si>
    <t>1067</t>
  </si>
  <si>
    <t>K: Deltager</t>
  </si>
  <si>
    <t>Nichlas Middelhede (311292‑NIMI)</t>
  </si>
  <si>
    <t>Oscar Hovmøller (230702‑OSHO)</t>
  </si>
  <si>
    <t>Lasse Kardel Larsen (210798‑LALA)</t>
  </si>
  <si>
    <t>Johannes Messick Mortensen (311002-JOMO)</t>
  </si>
  <si>
    <t>Anders Holler (100906‑ANHO)</t>
  </si>
  <si>
    <t>Nick Sommer (070387‑NISO)</t>
  </si>
  <si>
    <t>Dennis K. Nielsen (020686‑DENI)</t>
  </si>
  <si>
    <t>Mickey Elsborg (250901‑MIEL)</t>
  </si>
  <si>
    <t>Emil Lynge Sørensen (070802‑EMSØ)</t>
  </si>
  <si>
    <t>Ida Nielsen (090391‑IDNI)</t>
  </si>
  <si>
    <t>Mette Kristensen (080289‑MEKR)</t>
  </si>
  <si>
    <t>Jesper Steffensen (220475-JEST)</t>
  </si>
  <si>
    <t>Jonas Overgaard (010297‑JOOV)</t>
  </si>
  <si>
    <t>Johan Grønhøj (230403‑JOGR)</t>
  </si>
  <si>
    <t>Jan Nordhøj (300470‑JANO)</t>
  </si>
  <si>
    <t>Rasmus Damkjær Hansen (110696‑RAHA)</t>
  </si>
  <si>
    <t>Sarah Svendsen (291095)</t>
  </si>
  <si>
    <t>Annsofie Sommer (030894)</t>
  </si>
  <si>
    <t>Simon Nykjær-Fisher (150888‑SINY)</t>
  </si>
  <si>
    <t>Rasmus Hansen (280501)</t>
  </si>
  <si>
    <t>Simon Egebæk (030201)</t>
  </si>
  <si>
    <t>Sebastian Sørensen (110501-SESØ)</t>
  </si>
  <si>
    <t>Thomas B. Petersen (040791‑THPE)</t>
  </si>
  <si>
    <t>Thomas Bjerregaard (230578‑THBJ)</t>
  </si>
  <si>
    <t>Mads Larsen (050993‑MALA)</t>
  </si>
  <si>
    <t>Izabell Nørlem (151090‑IZNØ)</t>
  </si>
  <si>
    <t>Mie Binnerup Jacobsen (051192‑MIJA)</t>
  </si>
  <si>
    <t>Anders Lind (141298‑ANLI)</t>
  </si>
  <si>
    <t>Bastian Diness (201005‑BADI)</t>
  </si>
  <si>
    <t>Oliver Kjeldgaard Johansson (221206‑OLJO)</t>
  </si>
  <si>
    <t>Frederik Kjeldgaard (100510‑FRKJ)</t>
  </si>
  <si>
    <t>Thomas Kjeldgård (300678‑THKJ)</t>
  </si>
  <si>
    <t>Alfred Brøgger (230709-ALBR)</t>
  </si>
  <si>
    <t>Martin Svendsen (250662‑MASV)</t>
  </si>
  <si>
    <t>Poul B. Pedersen (291252)</t>
  </si>
  <si>
    <t>Emil Madsen (290593‑EMMA)</t>
  </si>
  <si>
    <t>Marc Kynde (160897‑MAKY)</t>
  </si>
  <si>
    <t>Simon Larsen (250501‑SILA)</t>
  </si>
  <si>
    <t>Peter Skalborg Jensen (080790‑PEJE)</t>
  </si>
  <si>
    <t>John Sabalic (180365‑JOSA)</t>
  </si>
  <si>
    <t>Marius Dam (121000‑MADA)</t>
  </si>
  <si>
    <t>Lasse Frølich Rasmussen (091184)</t>
  </si>
  <si>
    <t>Jonathan Abildgaard Hansen (120297‑JOHA)</t>
  </si>
  <si>
    <t>Mathias Heidmann (010883‑MAHE)</t>
  </si>
  <si>
    <t>Michel Christensen (140989‑MICH)</t>
  </si>
  <si>
    <t>Benjamin Lillelund (060598‑BELI)</t>
  </si>
  <si>
    <t>Christian H. Andersen (200792‑CHAN)</t>
  </si>
  <si>
    <t>Sebastian Kjær Jensen (100595‑SEJE)</t>
  </si>
  <si>
    <t>Daniel Wolf (300496‑DAWO)</t>
  </si>
  <si>
    <t>Bent O. Jakobsen (080950‑BEJA)</t>
  </si>
  <si>
    <t>Casper Staal (040282‑CAST)</t>
  </si>
  <si>
    <t>Jesper Skivesen (250372‑JESK)</t>
  </si>
  <si>
    <t>Mathias Christensen (190594‑MACH)</t>
  </si>
  <si>
    <t>Benjamin Sørensen (080294‑BESØ)</t>
  </si>
  <si>
    <t>Jesper Nedergård (090775‑JENE)</t>
  </si>
  <si>
    <t>Mads Harbo Jensen (160975‑MAHA)</t>
  </si>
  <si>
    <t>Jakub Dorocinski (080892‑JADO)</t>
  </si>
  <si>
    <t>Kresten Christensen (060206‑KRCH)</t>
  </si>
  <si>
    <t>Andreas Bjørnholdt (231093)</t>
  </si>
  <si>
    <t>Jeff Tølbøll (180209‑JETØ)</t>
  </si>
  <si>
    <t>Jannick Helbo Wagner (290171‑JAHE)</t>
  </si>
  <si>
    <t>Lars Hartvig Bruun Severinsen (190382‑LASE)</t>
  </si>
  <si>
    <t>Malik Hartvig Bruun Severinsen (200210‑MASE)</t>
  </si>
  <si>
    <t>Maja Helene Hansen (130407‑MAHA)</t>
  </si>
  <si>
    <t>Gabriel Berthelsen (041007‑GABE)</t>
  </si>
  <si>
    <t>Victoria Berthelsen (261205‑VIBE)</t>
  </si>
  <si>
    <t>Amanda Mau (191003‑AMMA)</t>
  </si>
  <si>
    <t>Mai Jensen (220465‑MAJE)</t>
  </si>
  <si>
    <t>Bjarke Krog (281101‑BJKR)</t>
  </si>
  <si>
    <t>Peter Bruhn (230961‑PEBR)</t>
  </si>
  <si>
    <t>Michael Hegelund Knudsen (231195‑MIKN)</t>
  </si>
  <si>
    <t>230706‑LAJO</t>
  </si>
  <si>
    <t>Laust Ravn Johansen</t>
  </si>
  <si>
    <t>Laust Ravn Johansen (230706‑LAJO)</t>
  </si>
  <si>
    <t>💪 2025 rating [&gt;=2000] Elite</t>
  </si>
  <si>
    <t>Laust Ravn Johansen, BTK Viby</t>
  </si>
  <si>
    <t>2025</t>
  </si>
  <si>
    <t>👥 Deltagere</t>
  </si>
  <si>
    <t>👥 Tilmeldinger</t>
  </si>
  <si>
    <t>🏓 DM I PING PONG</t>
  </si>
  <si>
    <t>Jesper Steffensen, Sisu/MBK (47 år, 22-04-1975)</t>
  </si>
  <si>
    <t>Johan Grønhøj, Sisu/MBK (19 år, 23-04-2003)</t>
  </si>
  <si>
    <t>Bastian Diness, Sisu/MBK (16 år, 20-10-2005)</t>
  </si>
  <si>
    <t>Benjamin Lillelund, Sisu/MBK (24 år, 06-05-1998)</t>
  </si>
  <si>
    <t>Daniel Wolf, Sisu/MBK (26 år, 30-04-1996)</t>
  </si>
  <si>
    <t>Bent O. Jakobsen, Sisu/MBK (71 år, 08-09-1950)</t>
  </si>
  <si>
    <t>Casper Staal, Sisu/MBK (40 år, 04-02-1982)</t>
  </si>
  <si>
    <t>Simon Nykjær-Fisher, BTK Viby (33 år, 15-08-1988)</t>
  </si>
  <si>
    <t>Marc Kynde, BTK Viby (24 år, 16-08-1997)</t>
  </si>
  <si>
    <t>Simon Larsen, BTK Viby (21 år, 25-05-2001)</t>
  </si>
  <si>
    <t>Marius Dam, BTK Viby (21 år, 12-10-2000)</t>
  </si>
  <si>
    <t>Frederik Kjeldgaard, Hørning BTK (12 år, 10-05-2010)</t>
  </si>
  <si>
    <t>Oliver Kjeldgaard Johansson, Hørning BTK (15 år, 22-12-2006)</t>
  </si>
  <si>
    <t>Emil Madsen, Hørning BTK (29 år, 29-05-1993)</t>
  </si>
  <si>
    <t>Benjamin Sørensen, Hørning BTK (28 år, 08-02-1994)</t>
  </si>
  <si>
    <t>Dennis K. Nielsen, Team Nørreå (36 år, 02-06-1986)</t>
  </si>
  <si>
    <t>Nichlas Middelhede, Team Nørreå (29 år, 31-12-1992)</t>
  </si>
  <si>
    <t>Nick Sommer, Team Nørreå (35 år, 07-03-1987)</t>
  </si>
  <si>
    <t>Thomas Bjerregaard, BTK Midtjylland (44 år, 23-05-1978)</t>
  </si>
  <si>
    <t>Mads Larsen, Silkeborg BTK (28 år, 05-09-1993)</t>
  </si>
  <si>
    <t>Jesper Skivesen, Silkeborg BTK (50 år, 25-03-1972)</t>
  </si>
  <si>
    <t>Emil Lynge Sørensen, Amager BTK (19 år, 07-08-2002)</t>
  </si>
  <si>
    <t>Anders Holler, BTK Tateni (15 år, 10-09-2006)</t>
  </si>
  <si>
    <t>Sebastian Sørensen, Esbjerg BTK (21 år, 11-05-2001)</t>
  </si>
  <si>
    <t>Jan Nordhøj, Hvidovre BTK (52 år, 30-04-1970)</t>
  </si>
  <si>
    <t>John Sabalic, Rønde BTK (57 år, 18-03-1965)</t>
  </si>
  <si>
    <t>Sebastian Kjær Jensen, Sjørring BTK (27 år, 10-05-1995)</t>
  </si>
  <si>
    <t>Mickey Elsborg, Vejle BTK (20 år, 25-09-2001)</t>
  </si>
  <si>
    <t>Rasmus Hansen (21 år, 28-05-2001)</t>
  </si>
  <si>
    <t>Poul B. Pedersen (69 år, 29-12-1952)</t>
  </si>
  <si>
    <t>Lasse Frølich Rasmussen (37 år, 09-11-1984)</t>
  </si>
  <si>
    <t>👤 Rating forskel</t>
  </si>
  <si>
    <t>👥 Rating gns.</t>
  </si>
  <si>
    <t>Hans Herluf Boisen</t>
  </si>
  <si>
    <t>020496‑NIJO</t>
  </si>
  <si>
    <t>Nicklas Martti Johnsen</t>
  </si>
  <si>
    <t>Viborg BTK</t>
  </si>
  <si>
    <t>Viborg</t>
  </si>
  <si>
    <t>lhsloth@post.tele.dk</t>
  </si>
  <si>
    <t>Nicklas Martti Johnsen (020496‑NIJO)</t>
  </si>
  <si>
    <t>Hans Herluf Boisen (160878‑HABO)</t>
  </si>
  <si>
    <t>Hans Herluf Boisen, BTK Viby</t>
  </si>
  <si>
    <t>Hans Herluf Boisen, BTK Viby (43 år, 16-08-1978)</t>
  </si>
  <si>
    <t>📅 16-08-1978, 43 år [&gt;=40] Veteran</t>
  </si>
  <si>
    <t>K: Tilmeldingsstatus</t>
  </si>
  <si>
    <t>🔃 Gentilmeldinger</t>
  </si>
  <si>
    <t>📅 11-06-1996, 26 år [&lt;=39] Senior</t>
  </si>
  <si>
    <t>K: Gentilmeldinger</t>
  </si>
  <si>
    <t>030197‑ANAN</t>
  </si>
  <si>
    <t>Anton Andersson</t>
  </si>
  <si>
    <t>Anton Andersson (030197‑ANAN)</t>
  </si>
  <si>
    <t>📅 03-01-1997, 25 år [&lt;=39] Senior</t>
  </si>
  <si>
    <t>Anton Andersson, Hillerød GI</t>
  </si>
  <si>
    <t>Anton Andersson, Hillerød GI (25 år, 03-01-1997)</t>
  </si>
  <si>
    <t>(Ingen rating) [1]</t>
  </si>
  <si>
    <t>(Ingen rating) [2]</t>
  </si>
  <si>
    <t>(Ingen rating) [3]</t>
  </si>
  <si>
    <t>(Ingen rating) [4]</t>
  </si>
  <si>
    <t>📅 Valg af tilmeldingsår</t>
  </si>
  <si>
    <t>🎫 Tilmeldingsstatus</t>
  </si>
  <si>
    <t>🕥 Kl. 10:00 (senest): Check-in for deltagere til DM i Ping Pong 2022 🏓</t>
  </si>
  <si>
    <t>🏛️ Sjælland, Region Hovedstaden, 3400 Hillerød</t>
  </si>
  <si>
    <t>🆕 Ny</t>
  </si>
  <si>
    <t>🔃 Tidligere</t>
  </si>
  <si>
    <t>📅 23-09-1961, 60 år [&gt;=40] Veteran</t>
  </si>
  <si>
    <t>💪 2284 rating [&gt;=2000] Elite</t>
  </si>
  <si>
    <t>🏛️ Jylland, Region Nordjylland, 9700 Brønderslev</t>
  </si>
  <si>
    <t>Peter Bruhn, Brønderslev</t>
  </si>
  <si>
    <t>2284</t>
  </si>
  <si>
    <t>Brønderslev [1]</t>
  </si>
  <si>
    <t>Peter Bruhn, Brønderslev (60 år, 23-09-1961)</t>
  </si>
  <si>
    <t>Peter Bruhn, Brønderslev [2284 rating ∙ 60 år] 🏓</t>
  </si>
  <si>
    <t>Peter Bruhn, Brønderslev [60 år] 🏓</t>
  </si>
  <si>
    <t>🎁 Gave til yngste- og ældste Ping Pong deltager</t>
  </si>
  <si>
    <t>🗂️ Filtre nøgletal</t>
  </si>
  <si>
    <t>⏩ Nr. 1-3 går videre til A-slutspil, og de resterende går i B-slutspil.</t>
  </si>
  <si>
    <t>❌💸👍 Afbud inkl. refusion</t>
  </si>
  <si>
    <t>❌💸👎 Afbud ekskl. refusion</t>
  </si>
  <si>
    <t>✔️💲👍 Tilmeldt inkl. betaling</t>
  </si>
  <si>
    <t>🎫 Uge 25, 13-06-2022 12:38</t>
  </si>
  <si>
    <t>🎫 Uge 24, 11-06-2022 17:58</t>
  </si>
  <si>
    <t>🎫 Uge 24, 10-06-2022 20:37</t>
  </si>
  <si>
    <t>🎫 Uge 24, 07-06-2022 20:51</t>
  </si>
  <si>
    <t>🎫 Uge 23, 05-06-2022 23:01</t>
  </si>
  <si>
    <t>🎫 Uge 23, 05-06-2022 22:42</t>
  </si>
  <si>
    <t>🎫 Uge 23, 05-06-2022 22:31</t>
  </si>
  <si>
    <t>🎫 Uge 23, 05-06-2022 22:04</t>
  </si>
  <si>
    <t>🎫 Uge 23, 05-06-2022 21:07</t>
  </si>
  <si>
    <t>🎫 Uge 23, 05-06-2022 21:05</t>
  </si>
  <si>
    <t>🎫 Uge 23, 05-06-2022 20:52</t>
  </si>
  <si>
    <t>🎫 Uge 23, 05-06-2022 20:40</t>
  </si>
  <si>
    <t>🎫 Uge 23, 05-06-2022 19:47</t>
  </si>
  <si>
    <t>🎫 Uge 23, 05-06-2022 19:40</t>
  </si>
  <si>
    <t>🎫 Uge 23, 05-06-2022 15:51</t>
  </si>
  <si>
    <t>🎫 Uge 23, 05-06-2022 12:53</t>
  </si>
  <si>
    <t>🎫 Uge 23, 04-06-2022 20:15</t>
  </si>
  <si>
    <t>🎫 Uge 23, 04-06-2022 20:12</t>
  </si>
  <si>
    <t>🎫 Uge 23, 04-06-2022 16:25</t>
  </si>
  <si>
    <t>🎫 Uge 23, 03-06-2022 20:16</t>
  </si>
  <si>
    <t>🎫 Uge 23, 03-06-2022 16:52</t>
  </si>
  <si>
    <t>🎫 Uge 23, 03-06-2022 14:29</t>
  </si>
  <si>
    <t>🎫 Uge 23, 03-06-2022 14:28</t>
  </si>
  <si>
    <t>🎫 Uge 23, 03-06-2022 14:27</t>
  </si>
  <si>
    <t>🎫 Uge 23, 01-06-2022 21:49</t>
  </si>
  <si>
    <t>🎫 Uge 23, 01-06-2022 18:22</t>
  </si>
  <si>
    <t>🎫 Uge 22, 29-05-2022 19:36</t>
  </si>
  <si>
    <t>🎫 Uge 22, 29-05-2022 15:20</t>
  </si>
  <si>
    <t>🎫 Uge 22, 27-05-2022 18:50</t>
  </si>
  <si>
    <t>🎫 Uge 22, 27-05-2022 12:40</t>
  </si>
  <si>
    <t>🎫 Uge 22, 27-05-2022 12:35</t>
  </si>
  <si>
    <t>🎫 Uge 22, 27-05-2022 12:32</t>
  </si>
  <si>
    <t>🎫 Uge 22, 23-05-2022 18:11</t>
  </si>
  <si>
    <t>🎫 Uge 21, 21-05-2022 17:34</t>
  </si>
  <si>
    <t>🎫 Uge 21, 21-05-2022 12:54</t>
  </si>
  <si>
    <t>🎫 Uge 21, 20-05-2022 18:07</t>
  </si>
  <si>
    <t>🎫 Uge 21, 20-05-2022 18:00</t>
  </si>
  <si>
    <t>🎫 Uge 20, 15-05-2022 21:53</t>
  </si>
  <si>
    <t>🎫 Uge 20, 12-05-2022 18:11</t>
  </si>
  <si>
    <t>🎫 Uge 20, 10-05-2022 14:12</t>
  </si>
  <si>
    <t>🎫 Uge 19, 03-05-2022 21:24</t>
  </si>
  <si>
    <t>🎫 Uge 18, 30-04-2022 20:18</t>
  </si>
  <si>
    <t>🎫 Uge 18, 26-04-2022 22:34</t>
  </si>
  <si>
    <t>🎫 Uge 18, 25-04-2022 09:56</t>
  </si>
  <si>
    <t>🎫 Uge 17, 23-04-2022 09:57</t>
  </si>
  <si>
    <t>🎫 Uge 17, 21-04-2022 15:04</t>
  </si>
  <si>
    <t>🎫 Uge 17, 21-04-2022 14:54</t>
  </si>
  <si>
    <t>🎫 Uge 17, 18-04-2022 10:44</t>
  </si>
  <si>
    <t>🎫 Uge 17, 18-04-2022 09:43</t>
  </si>
  <si>
    <t>🎫 Uge 16, 17-04-2022 17:55</t>
  </si>
  <si>
    <t>🎫 Uge 16, 17-04-2022 17:21</t>
  </si>
  <si>
    <t>🎫 Uge 16, 17-04-2022 12:00</t>
  </si>
  <si>
    <t>Nr.¹</t>
  </si>
  <si>
    <t>Navn og bordtennisklub¹</t>
  </si>
  <si>
    <t>Alder¹</t>
  </si>
  <si>
    <t>Rating¹</t>
  </si>
  <si>
    <t>Nr.²</t>
  </si>
  <si>
    <t>Navn og bordtennisklub²</t>
  </si>
  <si>
    <t>Alder²</t>
  </si>
  <si>
    <t>Rating²</t>
  </si>
  <si>
    <t>Nr.³</t>
  </si>
  <si>
    <t>Navn og bordtennisklub³</t>
  </si>
  <si>
    <t>Alder³</t>
  </si>
  <si>
    <t>Rating³</t>
  </si>
  <si>
    <t>Nr.⁴</t>
  </si>
  <si>
    <t>Navn og bordtennisklub⁴</t>
  </si>
  <si>
    <t>Alder⁴</t>
  </si>
  <si>
    <t>Rating⁴</t>
  </si>
  <si>
    <t>Nr.⁵</t>
  </si>
  <si>
    <t>Navn og bordtennisklub⁵</t>
  </si>
  <si>
    <t>Alder⁵</t>
  </si>
  <si>
    <t>Rating⁵</t>
  </si>
  <si>
    <t>Nr.⁶</t>
  </si>
  <si>
    <t>Navn og bordtennisklub⁶</t>
  </si>
  <si>
    <t>Alder⁶</t>
  </si>
  <si>
    <t>Rating⁶</t>
  </si>
  <si>
    <t>BTK Viby [7]</t>
  </si>
  <si>
    <t>Hørning BTK [6]</t>
  </si>
  <si>
    <t>Team Nørreå [3]</t>
  </si>
  <si>
    <t>Amager BTK [1]</t>
  </si>
  <si>
    <t>Esbjerg BTK [1]</t>
  </si>
  <si>
    <t>Hillerød GI [1]</t>
  </si>
  <si>
    <t>Hvidovre BTK [1]</t>
  </si>
  <si>
    <t>Sjørring BTK [1]</t>
  </si>
  <si>
    <t>Vejle BTK [1]</t>
  </si>
  <si>
    <t>(Ingen klub) [3]</t>
  </si>
  <si>
    <t>280466‑LAJØ</t>
  </si>
  <si>
    <t>Lars Jørgensen</t>
  </si>
  <si>
    <t>Lars Jørgensen (280466‑LAJØ)</t>
  </si>
  <si>
    <t>🎫 Uge 25, 16-06-2022 07:23</t>
  </si>
  <si>
    <t>📅 28-04-1966, 56 år [&gt;=40] Veteran</t>
  </si>
  <si>
    <t>💪 1643 rating [&lt;=1999] Ikke-elite</t>
  </si>
  <si>
    <t>Lars Jørgensen, Silkeborg BTK</t>
  </si>
  <si>
    <t>1643</t>
  </si>
  <si>
    <t>Silkeborg BTK [3]</t>
  </si>
  <si>
    <t>Lars Jørgensen, Silkeborg BTK (56 år, 28-04-1966)</t>
  </si>
  <si>
    <t>Lars Jørgensen, Silkeborg BTK [1643 rating ∙ 56 år] 🏓</t>
  </si>
  <si>
    <t>Lars Jørgensen, Silkeborg BTK [56 år] 🏓</t>
  </si>
  <si>
    <t>030882‑MIMI</t>
  </si>
  <si>
    <t>Milosz Miszczuk</t>
  </si>
  <si>
    <t>Milosz Miszczuk (030882‑MIMI)</t>
  </si>
  <si>
    <t>280389‑JOAG</t>
  </si>
  <si>
    <t>Jonas Ring Agerholm</t>
  </si>
  <si>
    <t>050612-AMAL</t>
  </si>
  <si>
    <t>Amin Saad Al-Zayadi</t>
  </si>
  <si>
    <t>030302‑JOWE</t>
  </si>
  <si>
    <t>Jonathan Weiss</t>
  </si>
  <si>
    <t>Amin Saad Al-Zayadi (050612-AMAL)</t>
  </si>
  <si>
    <t>Jonathan Weiss (030302‑JOWE)</t>
  </si>
  <si>
    <t>Jonas Ring Agerholm (280389‑JOAG)</t>
  </si>
  <si>
    <t>Amin Saad Al-Zayadi, Sisu/MBK [10 år, 05-06-2012]</t>
  </si>
  <si>
    <t>🎫 Uge 25, 16-06-2022 21:46</t>
  </si>
  <si>
    <t>💪 1220 rating [&lt;=1999] Ikke-elite</t>
  </si>
  <si>
    <t>🎫 Uge 25, 16-06-2022 20:37</t>
  </si>
  <si>
    <t>📅 28-03-1989, 33 år [&lt;=39] Senior</t>
  </si>
  <si>
    <t>💪 2380 rating [&gt;=2000] Elite</t>
  </si>
  <si>
    <t>🎫 Uge 25, 16-06-2022 17:42</t>
  </si>
  <si>
    <t>📅 05-06-2012, 10 år [&lt;=17] Ungdom</t>
  </si>
  <si>
    <t>🎫 Uge 25, 16-06-2022 17:24</t>
  </si>
  <si>
    <t>📅 03-03-2002, 20 år [&lt;=39] Senior</t>
  </si>
  <si>
    <t>💪 2057 rating [&gt;=2000] Elite</t>
  </si>
  <si>
    <t>Jonas Ring Agerholm, Rønde BTK</t>
  </si>
  <si>
    <t>2380</t>
  </si>
  <si>
    <t>Jonathan Weiss, Sisu/MBK</t>
  </si>
  <si>
    <t>2057</t>
  </si>
  <si>
    <t>Milosz Miszczuk, Hørning BTK</t>
  </si>
  <si>
    <t>1220</t>
  </si>
  <si>
    <t>Amin Saad Al-Zayadi, Sisu/MBK</t>
  </si>
  <si>
    <t>Amin Saad Al-Zayadi, Sisu/MBK (10 år, 05-06-2012)</t>
  </si>
  <si>
    <t>Jonathan Weiss, Sisu/MBK (20 år, 03-03-2002)</t>
  </si>
  <si>
    <t>Rønde BTK [2]</t>
  </si>
  <si>
    <t>Jonas Ring Agerholm, Rønde BTK (33 år, 28-03-1989)</t>
  </si>
  <si>
    <t>Jonas Ring Agerholm, Rønde BTK [2380 rating ∙ 33 år] 🏓</t>
  </si>
  <si>
    <t>Jonathan Weiss, Sisu/MBK [2057 rating ∙ 20 år] 🏓</t>
  </si>
  <si>
    <t>Amin Saad Al-Zayadi, Sisu/MBK [10 år] 🏓</t>
  </si>
  <si>
    <t>Jonathan Weiss, Sisu/MBK [20 år] 🏓</t>
  </si>
  <si>
    <t>Jonas Ring Agerholm, Rønde BTK [33 år] 🏓</t>
  </si>
  <si>
    <t>050512‑OTSV</t>
  </si>
  <si>
    <t>Otto Svindt</t>
  </si>
  <si>
    <t>Otto Svindt (050512‑OTSV)</t>
  </si>
  <si>
    <t>🎫 Uge 25, 17-06-2022 11:22</t>
  </si>
  <si>
    <t>📅 05-05-2012, 10 år [&lt;=17] Ungdom</t>
  </si>
  <si>
    <t>💪 1117 rating [&lt;=1999] Ikke-elite</t>
  </si>
  <si>
    <t>💪 914 rating [&lt;=1999] Ikke-elite</t>
  </si>
  <si>
    <t>Otto Svindt, Sisu/MBK</t>
  </si>
  <si>
    <t>1117</t>
  </si>
  <si>
    <t>914</t>
  </si>
  <si>
    <t>Otto Svindt, Sisu/MBK (10 år, 05-05-2012)</t>
  </si>
  <si>
    <t>Otto Svindt, Sisu/MBK [1117 rating ∙ 10 år] 🏓</t>
  </si>
  <si>
    <t>Amin Saad Al-Zayadi, Sisu/MBK [914 rating ∙ 10 år] 🏓</t>
  </si>
  <si>
    <t>Otto Svindt, Sisu/MBK [10 år] 🏓</t>
  </si>
  <si>
    <t>Sisu/MBK [14]</t>
  </si>
  <si>
    <t>BTK Midtjylland [1]</t>
  </si>
  <si>
    <t>Sebastian Karlsmose</t>
  </si>
  <si>
    <t>Amin Saad Al-Zayadi, Sisu/MBK (914 rating)</t>
  </si>
  <si>
    <t>Sebastian Karlsmose (300503-KIBE)</t>
  </si>
  <si>
    <t>Billetpris</t>
  </si>
  <si>
    <t>🕙 Kl. 10:30-13:30: Puljespil (primært 6-mandspuljer) 🏓</t>
  </si>
  <si>
    <t>🕑 Kl. 14:30-16:00: A-slutspil frem til og med kvartfinalerne og B-slutspil færdigspilles 🏓</t>
  </si>
  <si>
    <t>Simon Nykjær-Fisher, BTK Viby (2587 rating)</t>
  </si>
  <si>
    <t>👥 Tilmeldingsantal afbud</t>
  </si>
  <si>
    <t>🎫 Billetsalg afbud</t>
  </si>
  <si>
    <t>161098-JOBR</t>
  </si>
  <si>
    <t>Jonas Brandt</t>
  </si>
  <si>
    <t>Jonas Brandt (161098-JOBR)</t>
  </si>
  <si>
    <t>🎫 Uge 25, 18-06-2022 11:08</t>
  </si>
  <si>
    <t>📅 16-10-1998, 23 år [&lt;=39] Senior</t>
  </si>
  <si>
    <t>Jonas Brandt, Silkeborg BTK</t>
  </si>
  <si>
    <t>📅 25-06-1962, 60 år [&gt;=40] Veteran</t>
  </si>
  <si>
    <t>Martin Svendsen, Holbæk BTK (60 år, 25-06-1962)</t>
  </si>
  <si>
    <t>Martin Svendsen, Holbæk BTK [1491 rating ∙ 60 år] 🏓</t>
  </si>
  <si>
    <t>Martin Svendsen, Holbæk BTK [60 år] 🏓</t>
  </si>
  <si>
    <t>Thomas Kjeldgård, Hørning BTK (44 år, 30-06-1978)</t>
  </si>
  <si>
    <t>Thomas Kjeldgård, Hørning BTK [44 år] 🏓</t>
  </si>
  <si>
    <t>Thomas Kjeldgård, Hørning BTK [2413 rating ∙ 44 år] 🏓</t>
  </si>
  <si>
    <t>Peter Skalborg Jensen, Sisu/MBK (32 år, 08-07-1990)</t>
  </si>
  <si>
    <t>📅 30-06-1978, 44 år [&gt;=40] Veteran</t>
  </si>
  <si>
    <t>📅 08-07-1990, 32 år [&lt;=39] Senior</t>
  </si>
  <si>
    <t>🥳 FEST OM AFTENEN</t>
  </si>
  <si>
    <t>Jonas Brandt, Silkeborg BTK [23 år] 🥳</t>
  </si>
  <si>
    <t>Anton Andersson, Hillerød GI [25 år] 🏓🥳</t>
  </si>
  <si>
    <t>Hans Herluf Boisen, BTK Viby [43 år] 🏓🥳</t>
  </si>
  <si>
    <t>Hans Herluf Boisen, BTK Viby [2042 rating ∙ 43 år] 🏓🥳</t>
  </si>
  <si>
    <t>Nichlas Middelhede, Team Nørreå [29 år] 🏓🥳</t>
  </si>
  <si>
    <t>Nichlas Middelhede, Team Nørreå [2547 rating ∙ 29 år] 🏓🥳</t>
  </si>
  <si>
    <t>Johannes Messick Mortensen, Sisu/MBK [19 år] 🥳</t>
  </si>
  <si>
    <t>Nick Sommer, Team Nørreå [35 år] 🏓🥳</t>
  </si>
  <si>
    <t>Nick Sommer, Team Nørreå [2229 rating ∙ 35 år] 🏓🥳</t>
  </si>
  <si>
    <t>Dennis K. Nielsen, Team Nørreå [36 år] 🏓🥳</t>
  </si>
  <si>
    <t>Dennis K. Nielsen, Team Nørreå [2068 rating ∙ 36 år] 🏓🥳</t>
  </si>
  <si>
    <t>Mickey Elsborg, Vejle BTK [20 år] 🏓🥳</t>
  </si>
  <si>
    <t>Mickey Elsborg, Vejle BTK [2265 rating ∙ 20 år] 🏓🥳</t>
  </si>
  <si>
    <t>Emil Lynge Sørensen, Amager BTK [19 år] 🏓🥳</t>
  </si>
  <si>
    <t>Emil Lynge Sørensen, Amager BTK [2376 rating ∙ 19 år] 🏓🥳</t>
  </si>
  <si>
    <t>Ida Nielsen, Sisu/MBK [31 år] 🥳</t>
  </si>
  <si>
    <t>Mette Kristensen, Sisu/MBK [33 år] 🥳</t>
  </si>
  <si>
    <t>Jesper Steffensen, Sisu/MBK [47 år] 🏓🥳</t>
  </si>
  <si>
    <t>Jesper Steffensen, Sisu/MBK [2048 rating ∙ 47 år] 🏓🥳</t>
  </si>
  <si>
    <t>Jonas Overgaard, Silkeborg BTK [25 år] 🥳</t>
  </si>
  <si>
    <t>Johan Grønhøj, Sisu/MBK [19 år] 🏓🥳</t>
  </si>
  <si>
    <t>Johan Grønhøj, Sisu/MBK [2092 rating ∙ 19 år] 🏓🥳</t>
  </si>
  <si>
    <t>Jan Nordhøj, Hvidovre BTK [52 år] 🏓🥳</t>
  </si>
  <si>
    <t>Jan Nordhøj, Hvidovre BTK [2269 rating ∙ 52 år] 🏓🥳</t>
  </si>
  <si>
    <t>Rasmus Damkjær Hansen, Sisu/MBK [26 år] 🥳</t>
  </si>
  <si>
    <t>Sarah Svendsen [26 år] 🥳</t>
  </si>
  <si>
    <t>Simon Nykjær-Fisher, BTK Viby [33 år] 🏓🥳</t>
  </si>
  <si>
    <t>Simon Nykjær-Fisher, BTK Viby [2587 rating ∙ 33 år] 🏓🥳</t>
  </si>
  <si>
    <t>Rasmus Hansen [21 år] 🏓🥳</t>
  </si>
  <si>
    <t>Simon Egebæk [21 år] 🥳</t>
  </si>
  <si>
    <t>Sebastian Sørensen, Esbjerg BTK [21 år] 🏓🥳</t>
  </si>
  <si>
    <t>Sebastian Sørensen, Esbjerg BTK [1685 rating ∙ 21 år] 🏓🥳</t>
  </si>
  <si>
    <t>Mads Larsen, Silkeborg BTK [28 år] 🏓🥳</t>
  </si>
  <si>
    <t>Mads Larsen, Silkeborg BTK [2352 rating ∙ 28 år] 🏓🥳</t>
  </si>
  <si>
    <t>Izabell Nørlem, Hvidovre BTK [31 år] 🥳</t>
  </si>
  <si>
    <t>Mie Binnerup Jacobsen, Sisu/MBK [29 år] 🥳</t>
  </si>
  <si>
    <t>Poul B. Pedersen [69 år] 🏓🥳</t>
  </si>
  <si>
    <t>Emil Madsen, Hørning BTK [29 år] 🏓🥳</t>
  </si>
  <si>
    <t>Emil Madsen, Hørning BTK [(3) 2553 rating ∙ 29 år] 🏓🥳</t>
  </si>
  <si>
    <t>Marc Kynde, BTK Viby [24 år] 🏓🥳</t>
  </si>
  <si>
    <t>Marc Kynde, BTK Viby [2381 rating ∙ 24 år] 🏓🥳</t>
  </si>
  <si>
    <t>Simon Larsen, BTK Viby [21 år] 🏓🥳</t>
  </si>
  <si>
    <t>Simon Larsen, BTK Viby [(2) 2362 rating ∙ 21 år] 🏓🥳</t>
  </si>
  <si>
    <t>Peter Skalborg Jensen, Sisu/MBK [32 år] 🏓🥳</t>
  </si>
  <si>
    <t>Peter Skalborg Jensen, Sisu/MBK [2042 rating ∙ 32 år] 🏓🥳</t>
  </si>
  <si>
    <t>Marius Dam, BTK Viby [21 år] 🏓🥳</t>
  </si>
  <si>
    <t>Marius Dam, BTK Viby [2369 rating ∙ 21 år] 🏓🥳</t>
  </si>
  <si>
    <t>Lasse Frølich Rasmussen [37 år] 🏓🥳</t>
  </si>
  <si>
    <t>Sebastian Kjær Jensen, Sjørring BTK [27 år] 🏓🥳</t>
  </si>
  <si>
    <t>Sebastian Kjær Jensen, Sjørring BTK [2064 rating ∙ 27 år] 🏓🥳</t>
  </si>
  <si>
    <t>Daniel Wolf, Sisu/MBK [26 år] 🏓🥳</t>
  </si>
  <si>
    <t>Daniel Wolf, Sisu/MBK [2067 rating ∙ 26 år] 🏓🥳</t>
  </si>
  <si>
    <t>Bent O. Jakobsen, Sisu/MBK [71 år] 🏓🥳</t>
  </si>
  <si>
    <t>Bent O. Jakobsen, Sisu/MBK [1647 rating ∙ 71 år] 🏓🥳</t>
  </si>
  <si>
    <t>Casper Staal, Sisu/MBK [40 år] 🏓🥳</t>
  </si>
  <si>
    <t>Casper Staal, Sisu/MBK [2119 rating ∙ 40 år] 🏓🥳</t>
  </si>
  <si>
    <t>Jesper Skivesen, Silkeborg BTK [50 år] 🏓🥳</t>
  </si>
  <si>
    <t>Jesper Skivesen, Silkeborg BTK [1547 rating ∙ 50 år] 🏓🥳</t>
  </si>
  <si>
    <t>Mathias Christensen, Silkeborg BTK [28 år] 🥳</t>
  </si>
  <si>
    <t>Benjamin Sørensen, Hørning BTK [28 år] 🏓🥳</t>
  </si>
  <si>
    <t>Benjamin Sørensen, Hørning BTK [(1) 2551 rating ∙ 28 år] 🏓🥳</t>
  </si>
  <si>
    <t>✅🥳 FEST OM AFTENEN</t>
  </si>
  <si>
    <t>🥳 Arrangørpris:</t>
  </si>
  <si>
    <t>🥳 Fest om aftenen</t>
  </si>
  <si>
    <t>🥳 Fest om aftenen + gaver</t>
  </si>
  <si>
    <t>🕖 Kl. 19:00-22:00: Fest om aftenen med pizza og fri bar i 3 timer i Sisu/MBK's lokaler 🥳</t>
  </si>
  <si>
    <t>🕙 Fra kl. 22:00: Det aarhusianske byliv rammes for de festlystne (Sisu/MBK's lokaler lukkes kl. 22) 🥳</t>
  </si>
  <si>
    <t>💲🥳 Arrangørpris total</t>
  </si>
  <si>
    <t>🕖 Kl. 19:00-22:00: Fest om aftenen med pizza og fri bar i 3 timer 🥳</t>
  </si>
  <si>
    <t>Christian H. Andersen, Sisu/MBK (30 år, 20-07-1992)</t>
  </si>
  <si>
    <t>Christian H. Andersen, Sisu/MBK [30 år] 🏓🥳</t>
  </si>
  <si>
    <t>Christian H. Andersen, Sisu/MBK [1942 rating ∙ 30 år] 🏓🥳</t>
  </si>
  <si>
    <t>📅 20-07-1992, 30 år [&lt;=39] Senior</t>
  </si>
  <si>
    <t>❌ Afbud</t>
  </si>
  <si>
    <t>🏃 Jonas Brandt, Silkeborg BTK 🥳</t>
  </si>
  <si>
    <t>🏃 Otto Svindt, Sisu/MBK 🏓</t>
  </si>
  <si>
    <t>🏃 Milosz Miszczuk, Hørning BTK 🏓</t>
  </si>
  <si>
    <t>🏃 Jonas Ring Agerholm, Rønde BTK 🏓</t>
  </si>
  <si>
    <t>🏃 Amin Saad Al-Zayadi, Sisu/MBK 🏓</t>
  </si>
  <si>
    <t>🏃 Jonathan Weiss, Sisu/MBK 🏓</t>
  </si>
  <si>
    <t>🏃 Lars Jørgensen, Silkeborg BTK 🏓</t>
  </si>
  <si>
    <t>🏃 Peter Bruhn, Brønderslev 🏓</t>
  </si>
  <si>
    <t>🏃 Anton Andersson, Hillerød GI 🏓🥳</t>
  </si>
  <si>
    <t>🏃 Hans Herluf Boisen, BTK Viby 🏓🥳</t>
  </si>
  <si>
    <t>🏃 Laust Ravn Johansen, BTK Viby 🏓</t>
  </si>
  <si>
    <t>✔️ Ordinær</t>
  </si>
  <si>
    <t>🎫 Uge 24, 10-06-2022 18:13</t>
  </si>
  <si>
    <t>❌ Nicklas Martti Johnsen, Viborg BTK 🏓</t>
  </si>
  <si>
    <t>📅 02-04-1996, 26 år [&lt;=39] Senior</t>
  </si>
  <si>
    <t>💪 1788 rating [&lt;=1999] Ikke-elite</t>
  </si>
  <si>
    <t>🏛️ Jylland, Region Midtjylland, 8800 Viborg</t>
  </si>
  <si>
    <t>✔️ Nichlas Middelhede, Team Nørreå 🏓🥳</t>
  </si>
  <si>
    <t>✔️ Oscar Hovmøller, BTK Viby 🏓🥳</t>
  </si>
  <si>
    <t>🎫 Uge 23, 05-06-2022 22:33</t>
  </si>
  <si>
    <t>❌ Lasse Kardel Larsen, Hørning BTK 🏓🥳</t>
  </si>
  <si>
    <t>📅 21-07-1998, 24 år [&lt;=39] Senior</t>
  </si>
  <si>
    <t>💪 1928 rating [&lt;=1999] Ikke-elite</t>
  </si>
  <si>
    <t>✔️❌ Johannes Messick Mortensen, Sisu/MBK 🏓🥳</t>
  </si>
  <si>
    <t>✔️ Ordinær, ❌ Afbud</t>
  </si>
  <si>
    <t>✔️ Anders Holler, BTK Tateni 🏓</t>
  </si>
  <si>
    <t>✔️ Nick Sommer, Team Nørreå 🏓🥳</t>
  </si>
  <si>
    <t>✔️ Dennis K. Nielsen, Team Nørreå 🏓🥳</t>
  </si>
  <si>
    <t>✔️ Mickey Elsborg, Vejle BTK 🏓🥳</t>
  </si>
  <si>
    <t>✔️ Emil Lynge Sørensen, Amager BTK 🏓🥳</t>
  </si>
  <si>
    <t>✔️ Ida Nielsen, Sisu/MBK 🥳</t>
  </si>
  <si>
    <t>✔️ Mette Kristensen, Sisu/MBK 🥳</t>
  </si>
  <si>
    <t>✔️ Jesper Steffensen, Sisu/MBK 🏓🥳</t>
  </si>
  <si>
    <t>✔️ Jonas Overgaard, Silkeborg BTK 🥳</t>
  </si>
  <si>
    <t>✔️ Johan Grønhøj, Sisu/MBK 🏓🥳</t>
  </si>
  <si>
    <t>✔️ Jan Nordhøj, Hvidovre BTK 🏓🥳</t>
  </si>
  <si>
    <t>✔️ Rasmus Damkjær Hansen, Sisu/MBK 🥳</t>
  </si>
  <si>
    <t>✔️ Sarah Svendsen (ingen klub) 🥳</t>
  </si>
  <si>
    <t>✔️ Annsofie Sommer (ingen klub) 🥳</t>
  </si>
  <si>
    <t>✔️ Simon Nykjær-Fisher, BTK Viby 🏓🥳</t>
  </si>
  <si>
    <t>✔️ Rasmus Hansen (ingen klub) 🏓🥳</t>
  </si>
  <si>
    <t>✔️ Simon Egebæk (ingen klub) 🥳</t>
  </si>
  <si>
    <t>✔️ Sebastian Sørensen, Esbjerg BTK 🏓🥳</t>
  </si>
  <si>
    <t>🎫 Uge 23, 01-06-2022 22:56</t>
  </si>
  <si>
    <t>❌ Thomas B. Petersen, BTK Midtjylland 🏓</t>
  </si>
  <si>
    <t>📅 04-07-1991, 31 år [&lt;=39] Senior</t>
  </si>
  <si>
    <t>💪 1717 rating [&lt;=1999] Ikke-elite</t>
  </si>
  <si>
    <t>✔️ Thomas Bjerregaard, BTK Midtjylland 🏓</t>
  </si>
  <si>
    <t>✔️ Mads Larsen, Silkeborg BTK 🏓🥳</t>
  </si>
  <si>
    <t>🎫 Uge 23, 30-05-2022 23:44</t>
  </si>
  <si>
    <t>❌ Sebastian Karlsmose (ingen klub) 🏓</t>
  </si>
  <si>
    <t>📅 30-05-2003, 19 år [&lt;=39] Senior</t>
  </si>
  <si>
    <t>✔️ Izabell Nørlem, Hvidovre BTK 🥳</t>
  </si>
  <si>
    <t>✔️ Mie Binnerup Jacobsen, Sisu/MBK 🥳</t>
  </si>
  <si>
    <t>🎫 Uge 22, 28-05-2022 13:37</t>
  </si>
  <si>
    <t>❌ Anders Lind, Brønshøj BTK 🏓🥳</t>
  </si>
  <si>
    <t>📅 14-12-1998, 23 år [&lt;=39] Senior</t>
  </si>
  <si>
    <t>💪 2803 rating [&gt;=2000] Elite</t>
  </si>
  <si>
    <t>🏛️ Sjælland, Region Hovedstaden, 2400 København NV</t>
  </si>
  <si>
    <t>✔️ Bastian Diness, Sisu/MBK 🏓</t>
  </si>
  <si>
    <t>✔️ Oliver Kjeldgaard Johansson, Hørning BTK 🏓</t>
  </si>
  <si>
    <t>✔️ Frederik Kjeldgaard, Hørning BTK 🏓</t>
  </si>
  <si>
    <t>✔️ Thomas Kjeldgård, Hørning BTK 🏓</t>
  </si>
  <si>
    <t>✔️ Alfred Brøgger, Sisu/MBK 🏓</t>
  </si>
  <si>
    <t>✔️ Martin Svendsen, Holbæk BTK 🏓</t>
  </si>
  <si>
    <t>✔️ Poul B. Pedersen (ingen klub) 🏓🥳</t>
  </si>
  <si>
    <t>✔️ Emil Madsen, Hørning BTK 🏓🥳</t>
  </si>
  <si>
    <t>✔️ Marc Kynde, BTK Viby 🏓🥳</t>
  </si>
  <si>
    <t>✔️ Simon Larsen, BTK Viby 🏓🥳</t>
  </si>
  <si>
    <t>✔️ Peter Skalborg Jensen, Sisu/MBK 🏓🥳</t>
  </si>
  <si>
    <t>✔️ John Sabalic, Rønde BTK 🏓</t>
  </si>
  <si>
    <t>✔️ Marius Dam, BTK Viby 🏓🥳</t>
  </si>
  <si>
    <t>✔️ Lasse Frølich Rasmussen (ingen klub) 🏓🥳</t>
  </si>
  <si>
    <t>🎫 Uge 18, 29-04-2022 20:44</t>
  </si>
  <si>
    <t>❌ Jonathan Abildgaard Hansen, Sisu/MBK 🏓🥳</t>
  </si>
  <si>
    <t>📅 12-02-1997, 25 år [&lt;=39] Senior</t>
  </si>
  <si>
    <t>💪 2468 rating [&gt;=2000] Elite</t>
  </si>
  <si>
    <t>✔️ Mathias Heidmann, Sisu/MBK 🏓🥳</t>
  </si>
  <si>
    <t>🎫 Uge 18, 26-04-2022 17:35</t>
  </si>
  <si>
    <t>❌ Michel Christensen, Ringkøbing 🏓</t>
  </si>
  <si>
    <t>📅 14-09-1989, 32 år [&lt;=39] Senior</t>
  </si>
  <si>
    <t>💪 1646 rating [&lt;=1999] Ikke-elite</t>
  </si>
  <si>
    <t>🏛️ Jylland, Region Midtjylland, 6950 Ringkøbing</t>
  </si>
  <si>
    <t>✔️ Benjamin Lillelund, Sisu/MBK 🏓</t>
  </si>
  <si>
    <t>✔️ Christian H. Andersen, Sisu/MBK 🏓🥳</t>
  </si>
  <si>
    <t>✔️ Sebastian Kjær Jensen, Sjørring BTK 🏓🥳</t>
  </si>
  <si>
    <t>✔️ Daniel Wolf, Sisu/MBK 🏓🥳</t>
  </si>
  <si>
    <t>✔️ Bent O. Jakobsen, Sisu/MBK 🏓🥳</t>
  </si>
  <si>
    <t>✔️ Casper Staal, Sisu/MBK 🏓🥳</t>
  </si>
  <si>
    <t>✔️ Jesper Skivesen, Silkeborg BTK 🏓🥳</t>
  </si>
  <si>
    <t>✔️ Mathias Christensen, Silkeborg BTK 🥳</t>
  </si>
  <si>
    <t>✔️ Benjamin Sørensen, Hørning BTK 🏓🥳</t>
  </si>
  <si>
    <t>Laust Ravn Johansen, BTK Viby (16 år, 23-07-2006)</t>
  </si>
  <si>
    <t>Laust Ravn Johansen, BTK Viby [16 år] 🏓</t>
  </si>
  <si>
    <t>Laust Ravn Johansen, BTK Viby [2025 rating ∙ 16 år] 🏓</t>
  </si>
  <si>
    <t>Oscar Hovmøller, BTK Viby (20 år, 23-07-2002)</t>
  </si>
  <si>
    <t>Oscar Hovmøller, BTK Viby [20 år] 🏓🥳</t>
  </si>
  <si>
    <t>Oscar Hovmøller, BTK Viby [2374 rating ∙ 20 år] 🏓🥳</t>
  </si>
  <si>
    <t>Alfred Brøgger, Sisu/MBK (13 år, 23-07-2009)</t>
  </si>
  <si>
    <t>Alfred Brøgger, Sisu/MBK [13 år] 🏓</t>
  </si>
  <si>
    <t>Alfred Brøgger, Sisu/MBK [1067 rating ∙ 13 år] 🏓</t>
  </si>
  <si>
    <t>📅 23-07-2006, 16 år [&lt;=17] Ungdom</t>
  </si>
  <si>
    <t>📅 23-07-2002, 20 år [&lt;=39] Senior</t>
  </si>
  <si>
    <t>📅 23-07-2009, 13 år [&lt;=17] Ungdom</t>
  </si>
  <si>
    <t>📅 03-08-1982, 40 år [&gt;=40] Veteran</t>
  </si>
  <si>
    <t>📅 03-08-1994, 28 år [&lt;=39] Senior</t>
  </si>
  <si>
    <t>📅 01-08-1983, 39 år [&lt;=39] Senior</t>
  </si>
  <si>
    <t>Mathias Heidmann, Sisu/MBK (39 år, 01-08-1983)</t>
  </si>
  <si>
    <t>Milosz Miszczuk, Hørning BTK (40 år, 03-08-1982)</t>
  </si>
  <si>
    <t>Mathias Heidmann, Sisu/MBK [1944 rating ∙ 39 år] 🏓🥳</t>
  </si>
  <si>
    <t>Milosz Miszczuk, Hørning BTK [1220 rating ∙ 40 år] 🏓</t>
  </si>
  <si>
    <t>Annsofie Sommer [28 år] 🥳</t>
  </si>
  <si>
    <t>Mathias Heidmann, Sisu/MBK [39 år] 🏓🥳</t>
  </si>
  <si>
    <t>Milosz Miszczuk, Hørning BTK [40 år]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</si>
</sst>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164" formatCode="_(&quot;kr.&quot;* #,##0_);_(&quot;kr.&quot;* \(#,##0\);_(&quot;kr.&quot;* &quot;-&quot;_);_(@_)"/>
    <numFmt numFmtId="165" formatCode="_(* #,##0_);_(* \(#,##0\);_(* &quot;-&quot;_);_(@_)"/>
    <numFmt numFmtId="166" formatCode="_(&quot;kr.&quot;* #,##0.00_);_(&quot;kr.&quot;* \(#,##0.00\);_(&quot;kr.&quot;* &quot;-&quot;??_);_(@_)"/>
    <numFmt numFmtId="167" formatCode="_(* #,##0.00_);_(* \(#,##0.00\);_(* &quot;-&quot;??_);_(@_)"/>
    <numFmt numFmtId="168" formatCode="[Color10]#,##0;[Color9]\-#,##0"/>
    <numFmt numFmtId="169" formatCode="General;\-General;\-* "/>
    <numFmt numFmtId="170" formatCode="[Color10]&quot;kr.&quot;\ #,##0;[Color9]&quot;kr.&quot;\ \-#,##0"/>
    <numFmt numFmtId="171" formatCode="#,##0.0"/>
    <numFmt numFmtId="172" formatCode="&quot;kr.&quot;\ #,##0"/>
    <numFmt numFmtId="173" formatCode="[Color10]&quot;kr.&quot;\ #,##0.00;[Color9]&quot;kr.&quot;\ \-#,##0.00"/>
    <numFmt numFmtId="174" formatCode="[Color9]&quot;kr.&quot;\ \-#,##0;[Color9]&quot;kr.&quot;\ \-#,##0;0"/>
    <numFmt numFmtId="175" formatCode="dd/mm/yyyy\ hh:mm:ss"/>
    <numFmt numFmtId="176" formatCode="[Color9]General"/>
    <numFmt numFmtId="177" formatCode="[Color9]&quot;kr.&quot;\ \-#,##0.00;[Color9]&quot;kr.&quot;\ \-#,##0.00;0.00"/>
    <numFmt numFmtId="178" formatCode=";;;"/>
  </numFmts>
  <fonts count="28" x14ac:knownFonts="1">
    <font>
      <sz val="11"/>
      <color theme="1"/>
      <name val="Calibri"/>
      <family val="2"/>
      <scheme val="minor"/>
    </font>
    <font>
      <b/>
      <sz val="11"/>
      <color theme="1"/>
      <name val="Calibri"/>
      <family val="2"/>
      <scheme val="minor"/>
    </font>
    <font>
      <sz val="11"/>
      <color rgb="FF3F3F76"/>
      <name val="Calibri"/>
      <family val="2"/>
      <scheme val="minor"/>
    </font>
    <font>
      <b/>
      <sz val="14"/>
      <name val="Calibri"/>
      <family val="2"/>
      <scheme val="minor"/>
    </font>
    <font>
      <b/>
      <sz val="11"/>
      <name val="Calibri"/>
      <family val="2"/>
      <scheme val="minor"/>
    </font>
    <font>
      <u/>
      <sz val="11"/>
      <name val="Calibri"/>
      <family val="2"/>
      <scheme val="minor"/>
    </font>
    <font>
      <b/>
      <u/>
      <sz val="14"/>
      <name val="Calibri"/>
      <family val="2"/>
      <scheme val="minor"/>
    </font>
    <font>
      <b/>
      <sz val="11"/>
      <color rgb="FF9C0006"/>
      <name val="Calibri"/>
      <family val="2"/>
      <scheme val="minor"/>
    </font>
    <font>
      <b/>
      <sz val="11"/>
      <color theme="0"/>
      <name val="Calibri"/>
      <family val="2"/>
      <scheme val="minor"/>
    </font>
    <font>
      <sz val="18"/>
      <name val="Calibri Light"/>
      <family val="2"/>
      <scheme val="major"/>
    </font>
    <font>
      <sz val="11"/>
      <color theme="1"/>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3F3F3F"/>
      <name val="Calibri"/>
      <family val="2"/>
      <scheme val="minor"/>
    </font>
    <font>
      <sz val="11"/>
      <name val="Calibri"/>
      <family val="2"/>
      <scheme val="minor"/>
    </font>
    <font>
      <sz val="11"/>
      <color rgb="FF9C5700"/>
      <name val="Calibri"/>
      <family val="2"/>
      <scheme val="minor"/>
    </font>
    <font>
      <sz val="8"/>
      <name val="Calibri"/>
      <family val="2"/>
      <scheme val="minor"/>
    </font>
    <font>
      <b/>
      <sz val="24"/>
      <name val="Calibri"/>
      <family val="2"/>
      <scheme val="minor"/>
    </font>
    <font>
      <u/>
      <sz val="11"/>
      <color theme="1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i/>
      <u/>
      <sz val="11"/>
      <color theme="1"/>
      <name val="Calibri"/>
      <family val="2"/>
      <scheme val="minor"/>
    </font>
    <font>
      <b/>
      <u/>
      <sz val="24"/>
      <name val="Calibri"/>
      <family val="2"/>
      <scheme val="minor"/>
    </font>
    <font>
      <sz val="11"/>
      <color theme="0" tint="-0.499984740745262"/>
      <name val="Calibri"/>
      <family val="2"/>
      <scheme val="minor"/>
    </font>
    <font>
      <b/>
      <sz val="11"/>
      <color theme="0" tint="-0.499984740745262"/>
      <name val="Calibri"/>
      <family val="2"/>
      <scheme val="minor"/>
    </font>
  </fonts>
  <fills count="47">
    <fill>
      <patternFill patternType="none"/>
    </fill>
    <fill>
      <patternFill patternType="gray125"/>
    </fill>
    <fill>
      <patternFill patternType="solid">
        <fgColor rgb="FFFFCC99"/>
      </patternFill>
    </fill>
    <fill>
      <patternFill patternType="solid">
        <fgColor rgb="FFF2F2F2"/>
        <bgColor indexed="64"/>
      </patternFill>
    </fill>
    <fill>
      <patternFill patternType="solid">
        <fgColor theme="0" tint="-0.14996795556505021"/>
        <bgColor indexed="64"/>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4"/>
        <bgColor indexed="64"/>
      </patternFill>
    </fill>
    <fill>
      <patternFill patternType="solid">
        <fgColor theme="7" tint="0.79998168889431442"/>
        <bgColor indexed="64"/>
      </patternFill>
    </fill>
    <fill>
      <patternFill patternType="solid">
        <fgColor theme="7"/>
        <bgColor theme="6"/>
      </patternFill>
    </fill>
    <fill>
      <patternFill patternType="solid">
        <fgColor theme="7" tint="0.79998168889431442"/>
        <bgColor theme="6" tint="0.79998168889431442"/>
      </patternFill>
    </fill>
    <fill>
      <patternFill patternType="solid">
        <fgColor theme="7"/>
        <bgColor theme="7"/>
      </patternFill>
    </fill>
    <fill>
      <patternFill patternType="solid">
        <fgColor theme="7" tint="0.79998168889431442"/>
        <bgColor theme="7" tint="0.79998168889431442"/>
      </patternFill>
    </fill>
    <fill>
      <patternFill patternType="solid">
        <fgColor theme="9"/>
        <bgColor theme="6"/>
      </patternFill>
    </fill>
    <fill>
      <patternFill patternType="solid">
        <fgColor theme="9" tint="0.79998168889431442"/>
        <bgColor theme="6" tint="0.79998168889431442"/>
      </patternFill>
    </fill>
    <fill>
      <patternFill patternType="solid">
        <fgColor theme="5"/>
        <bgColor indexed="64"/>
      </patternFill>
    </fill>
    <fill>
      <patternFill patternType="solid">
        <fgColor theme="6"/>
        <bgColor indexed="64"/>
      </patternFill>
    </fill>
    <fill>
      <patternFill patternType="solid">
        <fgColor theme="4" tint="0.79998168889431442"/>
        <bgColor indexed="64"/>
      </patternFill>
    </fill>
  </fills>
  <borders count="61">
    <border>
      <left/>
      <right/>
      <top/>
      <bottom/>
      <diagonal/>
    </border>
    <border>
      <left/>
      <right/>
      <top style="thin">
        <color auto="1"/>
      </top>
      <bottom style="double">
        <color auto="1"/>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right/>
      <top style="thin">
        <color rgb="FF9C0006"/>
      </top>
      <bottom style="thin">
        <color rgb="FF9C0006"/>
      </bottom>
      <diagonal/>
    </border>
    <border>
      <left/>
      <right/>
      <top style="thin">
        <color theme="4"/>
      </top>
      <bottom style="double">
        <color theme="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theme="0" tint="-0.14999847407452621"/>
      </top>
      <bottom style="thin">
        <color indexed="64"/>
      </bottom>
      <diagonal/>
    </border>
    <border>
      <left/>
      <right style="thin">
        <color indexed="64"/>
      </right>
      <top style="thin">
        <color theme="0" tint="-0.14999847407452621"/>
      </top>
      <bottom style="thin">
        <color indexed="64"/>
      </bottom>
      <diagonal/>
    </border>
    <border>
      <left style="thin">
        <color theme="0" tint="-0.14999847407452621"/>
      </left>
      <right style="thin">
        <color theme="0" tint="-0.14999847407452621"/>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theme="0" tint="-0.14999847407452621"/>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style="thin">
        <color theme="0" tint="-0.14999847407452621"/>
      </left>
      <right/>
      <top/>
      <bottom/>
      <diagonal/>
    </border>
    <border>
      <left style="thin">
        <color theme="0" tint="-0.14999847407452621"/>
      </left>
      <right/>
      <top style="thin">
        <color theme="0" tint="-0.14999847407452621"/>
      </top>
      <bottom/>
      <diagonal/>
    </border>
    <border>
      <left/>
      <right style="thin">
        <color theme="0" tint="-0.14999847407452621"/>
      </right>
      <top/>
      <bottom/>
      <diagonal/>
    </border>
    <border>
      <left/>
      <right style="thin">
        <color theme="7" tint="0.39994506668294322"/>
      </right>
      <top style="thin">
        <color theme="7" tint="0.39997558519241921"/>
      </top>
      <bottom style="thin">
        <color theme="7" tint="0.39994506668294322"/>
      </bottom>
      <diagonal/>
    </border>
    <border>
      <left style="thin">
        <color theme="7" tint="0.39994506668294322"/>
      </left>
      <right/>
      <top style="thin">
        <color theme="7" tint="0.39997558519241921"/>
      </top>
      <bottom style="thin">
        <color theme="7" tint="0.39994506668294322"/>
      </bottom>
      <diagonal/>
    </border>
    <border>
      <left/>
      <right style="thin">
        <color theme="7" tint="0.39994506668294322"/>
      </right>
      <top style="thin">
        <color theme="7" tint="0.39994506668294322"/>
      </top>
      <bottom style="thin">
        <color theme="7" tint="0.39994506668294322"/>
      </bottom>
      <diagonal/>
    </border>
    <border>
      <left style="thin">
        <color theme="7" tint="0.39994506668294322"/>
      </left>
      <right/>
      <top style="thin">
        <color theme="7" tint="0.39994506668294322"/>
      </top>
      <bottom style="thin">
        <color theme="7" tint="0.39994506668294322"/>
      </bottom>
      <diagonal/>
    </border>
    <border>
      <left style="thin">
        <color theme="7" tint="0.39994506668294322"/>
      </left>
      <right/>
      <top style="thin">
        <color theme="7" tint="0.39994506668294322"/>
      </top>
      <bottom style="thin">
        <color theme="7" tint="0.39997558519241921"/>
      </bottom>
      <diagonal/>
    </border>
    <border>
      <left style="thin">
        <color theme="7" tint="0.39997558519241921"/>
      </left>
      <right/>
      <top style="thin">
        <color theme="7" tint="0.39997558519241921"/>
      </top>
      <bottom style="thin">
        <color theme="7" tint="0.39994506668294322"/>
      </bottom>
      <diagonal/>
    </border>
    <border>
      <left/>
      <right style="thin">
        <color theme="7" tint="0.39997558519241921"/>
      </right>
      <top style="thin">
        <color theme="7" tint="0.39997558519241921"/>
      </top>
      <bottom style="thin">
        <color theme="7" tint="0.39994506668294322"/>
      </bottom>
      <diagonal/>
    </border>
    <border>
      <left style="thin">
        <color theme="7" tint="0.39997558519241921"/>
      </left>
      <right/>
      <top style="thin">
        <color theme="7" tint="0.39994506668294322"/>
      </top>
      <bottom style="thin">
        <color theme="7" tint="0.39994506668294322"/>
      </bottom>
      <diagonal/>
    </border>
    <border>
      <left style="thin">
        <color theme="7" tint="0.39997558519241921"/>
      </left>
      <right/>
      <top style="thin">
        <color theme="7" tint="0.39994506668294322"/>
      </top>
      <bottom style="thin">
        <color theme="7" tint="0.39997558519241921"/>
      </bottom>
      <diagonal/>
    </border>
    <border>
      <left style="thin">
        <color theme="7" tint="0.39997558519241921"/>
      </left>
      <right/>
      <top style="thin">
        <color theme="7" tint="0.39997558519241921"/>
      </top>
      <bottom style="thin">
        <color theme="7" tint="0.39997558519241921"/>
      </bottom>
      <diagonal/>
    </border>
    <border>
      <left/>
      <right style="thin">
        <color theme="7" tint="0.39997558519241921"/>
      </right>
      <top style="thin">
        <color theme="7" tint="0.39997558519241921"/>
      </top>
      <bottom style="thin">
        <color theme="7" tint="0.39997558519241921"/>
      </bottom>
      <diagonal/>
    </border>
    <border>
      <left style="thin">
        <color theme="9" tint="0.39994506668294322"/>
      </left>
      <right/>
      <top style="thin">
        <color theme="9" tint="0.39994506668294322"/>
      </top>
      <bottom style="thin">
        <color theme="9" tint="0.39994506668294322"/>
      </bottom>
      <diagonal/>
    </border>
    <border>
      <left/>
      <right style="thin">
        <color theme="9" tint="0.39994506668294322"/>
      </right>
      <top style="thin">
        <color theme="9" tint="0.39994506668294322"/>
      </top>
      <bottom style="thin">
        <color theme="9" tint="0.39994506668294322"/>
      </bottom>
      <diagonal/>
    </border>
    <border>
      <left/>
      <right/>
      <top/>
      <bottom style="thin">
        <color theme="9" tint="0.39994506668294322"/>
      </bottom>
      <diagonal/>
    </border>
    <border>
      <left style="thin">
        <color theme="0" tint="-0.14999847407452621"/>
      </left>
      <right/>
      <top/>
      <bottom style="thin">
        <color theme="0" tint="-0.14999847407452621"/>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right/>
      <top/>
      <bottom style="thin">
        <color theme="4" tint="0.39997558519241921"/>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s>
  <cellStyleXfs count="57">
    <xf numFmtId="0" fontId="0" fillId="0" borderId="0"/>
    <xf numFmtId="3" fontId="2" fillId="2" borderId="5">
      <alignment horizontal="right"/>
      <protection locked="0"/>
    </xf>
    <xf numFmtId="38" fontId="15" fillId="0" borderId="0" applyFill="0" applyBorder="0" applyAlignment="0"/>
    <xf numFmtId="168" fontId="1" fillId="0" borderId="1" applyFill="0" applyProtection="0">
      <alignment horizontal="right"/>
    </xf>
    <xf numFmtId="168" fontId="16" fillId="3" borderId="0" applyBorder="0">
      <alignment horizontal="right"/>
    </xf>
    <xf numFmtId="0" fontId="9" fillId="0" borderId="0" applyNumberFormat="0" applyFill="0" applyBorder="0" applyAlignment="0" applyProtection="0"/>
    <xf numFmtId="0" fontId="3" fillId="4" borderId="0" applyBorder="0" applyProtection="0">
      <alignment horizontal="center" vertical="center" wrapText="1"/>
    </xf>
    <xf numFmtId="0" fontId="6" fillId="0" borderId="0" applyNumberFormat="0" applyFill="0" applyBorder="0" applyProtection="0">
      <alignment horizontal="left"/>
    </xf>
    <xf numFmtId="0" fontId="4" fillId="0" borderId="0" applyNumberFormat="0" applyFill="0" applyBorder="0">
      <alignment horizontal="left"/>
      <protection locked="0"/>
    </xf>
    <xf numFmtId="0" fontId="5" fillId="0" borderId="0" applyNumberFormat="0" applyFill="0" applyBorder="0" applyProtection="0"/>
    <xf numFmtId="0" fontId="8" fillId="7" borderId="2" applyNumberFormat="0" applyAlignment="0" applyProtection="0"/>
    <xf numFmtId="168" fontId="16" fillId="3" borderId="0" applyBorder="0">
      <alignment horizontal="right"/>
    </xf>
    <xf numFmtId="3" fontId="7" fillId="5" borderId="6" applyProtection="0">
      <alignment horizontal="right"/>
    </xf>
    <xf numFmtId="3" fontId="17" fillId="6" borderId="0" applyBorder="0" applyProtection="0">
      <alignment horizontal="right"/>
    </xf>
    <xf numFmtId="0" fontId="11" fillId="0" borderId="3" applyNumberFormat="0" applyFill="0" applyAlignment="0" applyProtection="0"/>
    <xf numFmtId="0" fontId="12" fillId="0" borderId="0" applyNumberFormat="0" applyFill="0" applyBorder="0" applyAlignment="0" applyProtection="0"/>
    <xf numFmtId="0" fontId="10" fillId="8" borderId="4" applyNumberFormat="0" applyFont="0" applyAlignment="0" applyProtection="0"/>
    <xf numFmtId="0" fontId="13" fillId="0" borderId="0" applyNumberFormat="0" applyFill="0" applyBorder="0" applyAlignment="0" applyProtection="0"/>
    <xf numFmtId="0" fontId="14"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4"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4"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4"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4"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4"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9" fontId="10" fillId="0" borderId="0" applyFont="0" applyFill="0" applyBorder="0" applyAlignment="0" applyProtection="0"/>
    <xf numFmtId="38" fontId="15" fillId="0" borderId="0" applyFill="0" applyBorder="0">
      <alignment horizontal="right"/>
    </xf>
    <xf numFmtId="0" fontId="5" fillId="0" borderId="0" applyNumberFormat="0" applyFill="0" applyBorder="0" applyProtection="0">
      <alignment horizontal="right"/>
    </xf>
    <xf numFmtId="167"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4" fontId="10" fillId="0" borderId="0" applyFont="0" applyFill="0" applyBorder="0" applyAlignment="0" applyProtection="0"/>
    <xf numFmtId="0" fontId="3" fillId="0" borderId="0"/>
    <xf numFmtId="169" fontId="20" fillId="0" borderId="0" applyNumberFormat="0" applyFill="0" applyBorder="0" applyAlignment="0" applyProtection="0"/>
    <xf numFmtId="0" fontId="1" fillId="0" borderId="7" applyNumberFormat="0" applyFill="0" applyAlignment="0"/>
    <xf numFmtId="0" fontId="21" fillId="0" borderId="0" applyNumberFormat="0" applyFill="0" applyBorder="0" applyAlignment="0" applyProtection="0">
      <protection locked="0"/>
    </xf>
    <xf numFmtId="0" fontId="20" fillId="0" borderId="0" applyNumberFormat="0" applyFill="0" applyBorder="0" applyAlignment="0" applyProtection="0">
      <protection locked="0"/>
    </xf>
    <xf numFmtId="0" fontId="19" fillId="0" borderId="0">
      <alignment horizontal="center"/>
    </xf>
    <xf numFmtId="0" fontId="19" fillId="0" borderId="0">
      <alignment horizontal="center"/>
    </xf>
    <xf numFmtId="0" fontId="10" fillId="19" borderId="0" applyNumberFormat="0" applyBorder="0" applyAlignment="0" applyProtection="0"/>
  </cellStyleXfs>
  <cellXfs count="300">
    <xf numFmtId="0" fontId="0" fillId="0" borderId="0" xfId="0"/>
    <xf numFmtId="0" fontId="0" fillId="0" borderId="0" xfId="0" applyAlignment="1">
      <alignment horizontal="left"/>
    </xf>
    <xf numFmtId="49" fontId="0" fillId="0" borderId="0" xfId="0" applyNumberFormat="1"/>
    <xf numFmtId="0" fontId="0" fillId="0" borderId="0" xfId="0"/>
    <xf numFmtId="0" fontId="0" fillId="0" borderId="0" xfId="0"/>
    <xf numFmtId="0" fontId="0" fillId="0" borderId="0" xfId="0"/>
    <xf numFmtId="0" fontId="0" fillId="0" borderId="0" xfId="0"/>
    <xf numFmtId="3" fontId="0" fillId="0" borderId="0" xfId="0" applyNumberFormat="1" applyAlignment="1">
      <alignment horizontal="center"/>
    </xf>
    <xf numFmtId="0" fontId="0" fillId="0" borderId="0" xfId="0" applyAlignment="1">
      <alignment horizontal="center"/>
    </xf>
    <xf numFmtId="0" fontId="0" fillId="0" borderId="0" xfId="0"/>
    <xf numFmtId="0" fontId="0" fillId="0" borderId="0" xfId="0" applyNumberFormat="1"/>
    <xf numFmtId="0" fontId="8" fillId="36" borderId="15" xfId="0" applyFont="1" applyFill="1" applyBorder="1" applyAlignment="1">
      <alignment horizontal="right"/>
    </xf>
    <xf numFmtId="0" fontId="14" fillId="36" borderId="15" xfId="0" applyFont="1" applyFill="1" applyBorder="1" applyAlignment="1">
      <alignment horizontal="right"/>
    </xf>
    <xf numFmtId="0" fontId="0" fillId="0" borderId="0" xfId="0"/>
    <xf numFmtId="0" fontId="0" fillId="0" borderId="0" xfId="0"/>
    <xf numFmtId="1" fontId="0" fillId="0" borderId="0" xfId="0" applyNumberFormat="1" applyAlignment="1">
      <alignment horizontal="center"/>
    </xf>
    <xf numFmtId="0" fontId="0" fillId="0" borderId="0" xfId="0"/>
    <xf numFmtId="0" fontId="0" fillId="0" borderId="0" xfId="0"/>
    <xf numFmtId="0" fontId="0" fillId="0" borderId="0" xfId="0"/>
    <xf numFmtId="0" fontId="0" fillId="34" borderId="19" xfId="0" applyFill="1" applyBorder="1" applyAlignment="1">
      <alignment horizontal="left"/>
    </xf>
    <xf numFmtId="0" fontId="0" fillId="34" borderId="20" xfId="0" applyFill="1" applyBorder="1" applyAlignment="1">
      <alignment horizontal="left"/>
    </xf>
    <xf numFmtId="0" fontId="0" fillId="34" borderId="20" xfId="0" applyFill="1" applyBorder="1" applyAlignment="1">
      <alignment horizontal="center"/>
    </xf>
    <xf numFmtId="0" fontId="0" fillId="34" borderId="24" xfId="0" applyFill="1" applyBorder="1" applyAlignment="1">
      <alignment horizontal="left"/>
    </xf>
    <xf numFmtId="0" fontId="0" fillId="34" borderId="0" xfId="0" applyFill="1" applyBorder="1" applyAlignment="1">
      <alignment horizontal="left"/>
    </xf>
    <xf numFmtId="0" fontId="0" fillId="34" borderId="25" xfId="0" applyFill="1" applyBorder="1" applyAlignment="1">
      <alignment horizontal="left"/>
    </xf>
    <xf numFmtId="0" fontId="0" fillId="34" borderId="26" xfId="0" applyFill="1" applyBorder="1" applyAlignment="1">
      <alignment horizontal="left"/>
    </xf>
    <xf numFmtId="0" fontId="0" fillId="34" borderId="26" xfId="0" applyFill="1" applyBorder="1" applyAlignment="1">
      <alignment horizontal="center"/>
    </xf>
    <xf numFmtId="0" fontId="0" fillId="0" borderId="0" xfId="0"/>
    <xf numFmtId="0" fontId="0" fillId="0" borderId="0" xfId="0"/>
    <xf numFmtId="0" fontId="0" fillId="0" borderId="0" xfId="0"/>
    <xf numFmtId="0" fontId="0" fillId="0" borderId="0" xfId="0"/>
    <xf numFmtId="49" fontId="0" fillId="0" borderId="0" xfId="0" applyNumberFormat="1" applyAlignment="1">
      <alignment horizontal="center"/>
    </xf>
    <xf numFmtId="49" fontId="0" fillId="0" borderId="0" xfId="0" applyNumberFormat="1" applyAlignment="1"/>
    <xf numFmtId="0" fontId="0" fillId="0" borderId="0" xfId="0"/>
    <xf numFmtId="1" fontId="0" fillId="0" borderId="0" xfId="0" applyNumberFormat="1" applyAlignment="1">
      <alignment horizontal="left"/>
    </xf>
    <xf numFmtId="0" fontId="0" fillId="0" borderId="0" xfId="0"/>
    <xf numFmtId="0" fontId="0" fillId="0" borderId="0" xfId="0" applyAlignment="1">
      <alignment horizontal="right"/>
    </xf>
    <xf numFmtId="0" fontId="0" fillId="0" borderId="0" xfId="0" applyFont="1"/>
    <xf numFmtId="0" fontId="0" fillId="0" borderId="0" xfId="0" applyFont="1" applyAlignment="1">
      <alignment horizontal="center"/>
    </xf>
    <xf numFmtId="49" fontId="1" fillId="0" borderId="0" xfId="0" applyNumberFormat="1" applyFont="1" applyAlignment="1"/>
    <xf numFmtId="49" fontId="1" fillId="0" borderId="0" xfId="0" applyNumberFormat="1" applyFont="1"/>
    <xf numFmtId="0" fontId="0" fillId="0" borderId="0" xfId="0" applyNumberFormat="1" applyAlignment="1">
      <alignment horizontal="left"/>
    </xf>
    <xf numFmtId="0" fontId="22" fillId="0" borderId="0" xfId="0" applyFont="1"/>
    <xf numFmtId="0" fontId="22" fillId="0" borderId="0" xfId="0" applyFont="1"/>
    <xf numFmtId="0" fontId="23" fillId="0" borderId="0" xfId="0" applyFont="1"/>
    <xf numFmtId="0" fontId="24" fillId="0" borderId="0" xfId="0" applyFont="1"/>
    <xf numFmtId="0" fontId="0" fillId="0" borderId="0" xfId="0"/>
    <xf numFmtId="0" fontId="0" fillId="0" borderId="0" xfId="0"/>
    <xf numFmtId="0" fontId="0" fillId="0" borderId="0" xfId="0" applyNumberFormat="1" applyAlignment="1">
      <alignment horizontal="center"/>
    </xf>
    <xf numFmtId="3" fontId="0" fillId="34" borderId="15" xfId="0" applyNumberFormat="1" applyFont="1" applyFill="1" applyBorder="1" applyAlignment="1">
      <alignment horizontal="center"/>
    </xf>
    <xf numFmtId="0" fontId="1" fillId="0" borderId="0" xfId="0" applyFont="1" applyAlignment="1"/>
    <xf numFmtId="0" fontId="0" fillId="0" borderId="0" xfId="0" applyAlignment="1"/>
    <xf numFmtId="0" fontId="22" fillId="0" borderId="0" xfId="0" applyFont="1" applyAlignment="1"/>
    <xf numFmtId="0" fontId="14" fillId="36" borderId="13" xfId="0" applyFont="1" applyFill="1" applyBorder="1" applyAlignment="1">
      <alignment horizontal="center"/>
    </xf>
    <xf numFmtId="0" fontId="14" fillId="36" borderId="14" xfId="0" applyFont="1" applyFill="1" applyBorder="1" applyAlignment="1">
      <alignment horizontal="center"/>
    </xf>
    <xf numFmtId="0" fontId="14" fillId="36" borderId="16" xfId="0" applyFont="1" applyFill="1" applyBorder="1" applyAlignment="1">
      <alignment horizontal="center"/>
    </xf>
    <xf numFmtId="0" fontId="0" fillId="0" borderId="0" xfId="0" applyFont="1" applyAlignment="1"/>
    <xf numFmtId="0" fontId="0" fillId="0" borderId="0" xfId="0" applyAlignment="1"/>
    <xf numFmtId="0" fontId="22" fillId="0" borderId="0" xfId="0" applyFont="1"/>
    <xf numFmtId="10" fontId="0" fillId="34" borderId="13" xfId="0" applyNumberFormat="1" applyFill="1" applyBorder="1" applyAlignment="1"/>
    <xf numFmtId="10" fontId="0" fillId="34" borderId="14" xfId="0" applyNumberFormat="1" applyFill="1" applyBorder="1" applyAlignment="1"/>
    <xf numFmtId="10" fontId="0" fillId="34" borderId="16" xfId="0" applyNumberFormat="1" applyFill="1" applyBorder="1" applyAlignment="1"/>
    <xf numFmtId="10" fontId="1" fillId="34" borderId="15" xfId="0" applyNumberFormat="1" applyFont="1" applyFill="1" applyBorder="1" applyAlignment="1"/>
    <xf numFmtId="170" fontId="0" fillId="34" borderId="15" xfId="0" applyNumberFormat="1" applyFont="1" applyFill="1" applyBorder="1" applyAlignment="1">
      <alignment horizontal="center"/>
    </xf>
    <xf numFmtId="170" fontId="0" fillId="34" borderId="15" xfId="0" applyNumberFormat="1" applyFont="1" applyFill="1" applyBorder="1" applyAlignment="1">
      <alignment horizontal="center" vertical="center"/>
    </xf>
    <xf numFmtId="173" fontId="1" fillId="34" borderId="13" xfId="0" applyNumberFormat="1" applyFont="1" applyFill="1" applyBorder="1" applyAlignment="1"/>
    <xf numFmtId="173" fontId="1" fillId="34" borderId="15" xfId="0" applyNumberFormat="1" applyFont="1" applyFill="1" applyBorder="1" applyAlignment="1"/>
    <xf numFmtId="173" fontId="0" fillId="34" borderId="13" xfId="0" applyNumberFormat="1" applyFill="1" applyBorder="1" applyAlignment="1"/>
    <xf numFmtId="173" fontId="0" fillId="34" borderId="14" xfId="0" applyNumberFormat="1" applyFill="1" applyBorder="1" applyAlignment="1"/>
    <xf numFmtId="173" fontId="0" fillId="34" borderId="16" xfId="0" applyNumberFormat="1" applyFill="1" applyBorder="1" applyAlignment="1"/>
    <xf numFmtId="1" fontId="0" fillId="33" borderId="0" xfId="0" applyNumberFormat="1" applyFill="1" applyAlignment="1">
      <alignment horizontal="center"/>
    </xf>
    <xf numFmtId="1" fontId="0" fillId="37" borderId="0" xfId="0" applyNumberFormat="1" applyFill="1" applyAlignment="1">
      <alignment horizontal="center"/>
    </xf>
    <xf numFmtId="0" fontId="1" fillId="0" borderId="0" xfId="0" applyFont="1" applyAlignment="1"/>
    <xf numFmtId="0" fontId="0" fillId="0" borderId="0" xfId="0" applyAlignment="1"/>
    <xf numFmtId="0" fontId="0" fillId="0" borderId="0" xfId="0"/>
    <xf numFmtId="0" fontId="0" fillId="0" borderId="0" xfId="0" applyFont="1" applyAlignment="1"/>
    <xf numFmtId="0" fontId="22" fillId="0" borderId="0" xfId="0" applyFont="1" applyAlignment="1"/>
    <xf numFmtId="0" fontId="22" fillId="0" borderId="0" xfId="0" applyFont="1"/>
    <xf numFmtId="0" fontId="22" fillId="0" borderId="0" xfId="0" applyFont="1"/>
    <xf numFmtId="0" fontId="0" fillId="34" borderId="0" xfId="0" applyFill="1" applyBorder="1" applyAlignment="1">
      <alignment horizontal="center"/>
    </xf>
    <xf numFmtId="0" fontId="22" fillId="0" borderId="0" xfId="0" applyFont="1" applyAlignment="1"/>
    <xf numFmtId="0" fontId="0" fillId="34" borderId="21" xfId="0" applyFill="1" applyBorder="1" applyAlignment="1">
      <alignment horizontal="right"/>
    </xf>
    <xf numFmtId="0" fontId="0" fillId="34" borderId="10" xfId="0" applyFill="1" applyBorder="1" applyAlignment="1">
      <alignment horizontal="right"/>
    </xf>
    <xf numFmtId="0" fontId="0" fillId="34" borderId="27" xfId="0" applyFill="1" applyBorder="1" applyAlignment="1">
      <alignment horizontal="right"/>
    </xf>
    <xf numFmtId="0" fontId="0" fillId="0" borderId="26" xfId="0" applyBorder="1"/>
    <xf numFmtId="0" fontId="22" fillId="0" borderId="0" xfId="0" applyFont="1"/>
    <xf numFmtId="0" fontId="19" fillId="0" borderId="0" xfId="55" applyAlignment="1">
      <alignment horizontal="center"/>
    </xf>
    <xf numFmtId="0" fontId="0" fillId="0" borderId="0" xfId="0"/>
    <xf numFmtId="0" fontId="0" fillId="0" borderId="0" xfId="0" applyFont="1" applyAlignment="1">
      <alignment horizontal="right"/>
    </xf>
    <xf numFmtId="0" fontId="8" fillId="38" borderId="41" xfId="0" applyFont="1" applyFill="1" applyBorder="1" applyAlignment="1">
      <alignment horizontal="center"/>
    </xf>
    <xf numFmtId="0" fontId="8" fillId="38" borderId="42" xfId="0" applyFont="1" applyFill="1" applyBorder="1" applyAlignment="1"/>
    <xf numFmtId="0" fontId="0" fillId="37" borderId="43" xfId="0" applyFont="1" applyFill="1" applyBorder="1" applyAlignment="1">
      <alignment horizontal="center"/>
    </xf>
    <xf numFmtId="0" fontId="0" fillId="34" borderId="44" xfId="0" applyFont="1" applyFill="1" applyBorder="1" applyAlignment="1">
      <alignment horizontal="center"/>
    </xf>
    <xf numFmtId="0" fontId="8" fillId="38" borderId="36" xfId="0" applyFont="1" applyFill="1" applyBorder="1" applyAlignment="1"/>
    <xf numFmtId="0" fontId="0" fillId="39" borderId="38" xfId="0" applyFont="1" applyFill="1" applyBorder="1" applyAlignment="1"/>
    <xf numFmtId="0" fontId="22" fillId="0" borderId="0" xfId="0" applyFont="1" applyAlignment="1">
      <alignment horizontal="center"/>
    </xf>
    <xf numFmtId="0" fontId="0" fillId="0" borderId="0" xfId="0"/>
    <xf numFmtId="0" fontId="22" fillId="0" borderId="0" xfId="0" applyFont="1"/>
    <xf numFmtId="14" fontId="23" fillId="34" borderId="0" xfId="0" applyNumberFormat="1" applyFont="1" applyFill="1" applyAlignment="1">
      <alignment horizontal="center"/>
    </xf>
    <xf numFmtId="0" fontId="8" fillId="42" borderId="47" xfId="0" applyFont="1" applyFill="1" applyBorder="1" applyAlignment="1">
      <alignment horizontal="center"/>
    </xf>
    <xf numFmtId="0" fontId="8" fillId="42" borderId="48" xfId="0" applyFont="1" applyFill="1" applyBorder="1" applyAlignment="1"/>
    <xf numFmtId="0" fontId="0" fillId="33" borderId="47" xfId="0" applyFont="1" applyFill="1" applyBorder="1" applyAlignment="1">
      <alignment horizontal="center"/>
    </xf>
    <xf numFmtId="0" fontId="0" fillId="43" borderId="48" xfId="0" applyFont="1" applyFill="1" applyBorder="1" applyAlignment="1"/>
    <xf numFmtId="0" fontId="0" fillId="34" borderId="47" xfId="0" applyFont="1" applyFill="1" applyBorder="1" applyAlignment="1">
      <alignment horizontal="center"/>
    </xf>
    <xf numFmtId="0" fontId="0" fillId="34" borderId="48" xfId="0" applyFont="1" applyFill="1" applyBorder="1" applyAlignment="1"/>
    <xf numFmtId="0" fontId="0" fillId="33" borderId="48" xfId="0" applyFont="1" applyFill="1" applyBorder="1" applyAlignment="1"/>
    <xf numFmtId="0" fontId="8" fillId="38" borderId="37" xfId="0" applyFont="1" applyFill="1" applyBorder="1" applyAlignment="1">
      <alignment horizontal="center"/>
    </xf>
    <xf numFmtId="0" fontId="0" fillId="37" borderId="39" xfId="0" applyFont="1" applyFill="1" applyBorder="1" applyAlignment="1">
      <alignment horizontal="center"/>
    </xf>
    <xf numFmtId="0" fontId="0" fillId="34" borderId="39" xfId="0" applyFont="1" applyFill="1" applyBorder="1" applyAlignment="1">
      <alignment horizontal="center"/>
    </xf>
    <xf numFmtId="0" fontId="0" fillId="34" borderId="40" xfId="0" applyFont="1" applyFill="1" applyBorder="1" applyAlignment="1">
      <alignment horizontal="center"/>
    </xf>
    <xf numFmtId="0" fontId="8" fillId="40" borderId="45" xfId="0" applyFont="1" applyFill="1" applyBorder="1" applyAlignment="1">
      <alignment horizontal="center"/>
    </xf>
    <xf numFmtId="0" fontId="8" fillId="40" borderId="46" xfId="0" applyFont="1" applyFill="1" applyBorder="1"/>
    <xf numFmtId="0" fontId="0" fillId="41" borderId="45" xfId="0" applyNumberFormat="1" applyFont="1" applyFill="1" applyBorder="1" applyAlignment="1">
      <alignment horizontal="center"/>
    </xf>
    <xf numFmtId="0" fontId="0" fillId="41" borderId="46" xfId="0" applyNumberFormat="1" applyFont="1" applyFill="1" applyBorder="1"/>
    <xf numFmtId="0" fontId="0" fillId="34" borderId="45" xfId="0" applyNumberFormat="1" applyFont="1" applyFill="1" applyBorder="1" applyAlignment="1">
      <alignment horizontal="center"/>
    </xf>
    <xf numFmtId="0" fontId="0" fillId="34" borderId="46" xfId="0" applyNumberFormat="1" applyFont="1" applyFill="1" applyBorder="1"/>
    <xf numFmtId="0" fontId="22" fillId="0" borderId="9" xfId="0" applyFont="1" applyBorder="1" applyAlignment="1"/>
    <xf numFmtId="0" fontId="0" fillId="0" borderId="0" xfId="0"/>
    <xf numFmtId="0" fontId="22" fillId="0" borderId="0" xfId="0" applyFont="1"/>
    <xf numFmtId="0" fontId="23" fillId="0" borderId="29" xfId="0" applyFont="1" applyBorder="1"/>
    <xf numFmtId="170" fontId="1" fillId="34" borderId="15" xfId="0" applyNumberFormat="1" applyFont="1" applyFill="1" applyBorder="1" applyAlignment="1">
      <alignment horizontal="center"/>
    </xf>
    <xf numFmtId="174" fontId="0" fillId="34" borderId="15" xfId="0" applyNumberFormat="1" applyFont="1" applyFill="1" applyBorder="1" applyAlignment="1">
      <alignment horizontal="center"/>
    </xf>
    <xf numFmtId="9" fontId="0" fillId="34" borderId="15" xfId="0" applyNumberFormat="1" applyFont="1" applyFill="1" applyBorder="1" applyAlignment="1">
      <alignment horizontal="center"/>
    </xf>
    <xf numFmtId="0" fontId="22" fillId="0" borderId="9" xfId="0" applyFont="1" applyBorder="1"/>
    <xf numFmtId="0" fontId="0" fillId="0" borderId="0" xfId="0"/>
    <xf numFmtId="0" fontId="22" fillId="0" borderId="0" xfId="0" applyFont="1" applyAlignment="1"/>
    <xf numFmtId="49" fontId="0" fillId="0" borderId="0" xfId="0" applyNumberFormat="1" applyFont="1" applyAlignment="1">
      <alignment horizontal="center"/>
    </xf>
    <xf numFmtId="3" fontId="0" fillId="0" borderId="0" xfId="0" applyNumberFormat="1" applyBorder="1" applyAlignment="1">
      <alignment horizontal="center"/>
    </xf>
    <xf numFmtId="0" fontId="22" fillId="0" borderId="0" xfId="0" applyFont="1"/>
    <xf numFmtId="0" fontId="22" fillId="0" borderId="0" xfId="0" applyFont="1"/>
    <xf numFmtId="175" fontId="0" fillId="0" borderId="0" xfId="0" applyNumberFormat="1" applyAlignment="1">
      <alignment horizontal="center"/>
    </xf>
    <xf numFmtId="0" fontId="8" fillId="44" borderId="15" xfId="0" applyFont="1" applyFill="1" applyBorder="1" applyAlignment="1">
      <alignment horizontal="right"/>
    </xf>
    <xf numFmtId="0" fontId="14" fillId="44" borderId="15" xfId="0" applyFont="1" applyFill="1" applyBorder="1" applyAlignment="1">
      <alignment horizontal="right"/>
    </xf>
    <xf numFmtId="174" fontId="1" fillId="34" borderId="15" xfId="0" applyNumberFormat="1" applyFont="1" applyFill="1" applyBorder="1" applyAlignment="1">
      <alignment horizontal="right"/>
    </xf>
    <xf numFmtId="172" fontId="0" fillId="0" borderId="0" xfId="0" applyNumberFormat="1" applyAlignment="1">
      <alignment horizontal="center"/>
    </xf>
    <xf numFmtId="3" fontId="0" fillId="34" borderId="10" xfId="0" applyNumberFormat="1" applyFill="1" applyBorder="1" applyAlignment="1">
      <alignment horizontal="center"/>
    </xf>
    <xf numFmtId="0" fontId="0" fillId="34" borderId="12" xfId="0" applyFill="1" applyBorder="1" applyAlignment="1">
      <alignment horizontal="center"/>
    </xf>
    <xf numFmtId="0" fontId="22" fillId="0" borderId="0" xfId="0" applyFont="1"/>
    <xf numFmtId="174" fontId="0" fillId="34" borderId="15" xfId="0" applyNumberFormat="1" applyFont="1" applyFill="1" applyBorder="1" applyAlignment="1">
      <alignment horizontal="right"/>
    </xf>
    <xf numFmtId="0" fontId="22" fillId="0" borderId="0" xfId="0" applyFont="1"/>
    <xf numFmtId="0" fontId="23" fillId="0" borderId="0" xfId="0" applyFont="1"/>
    <xf numFmtId="0" fontId="22" fillId="0" borderId="0" xfId="0" applyFont="1"/>
    <xf numFmtId="0" fontId="0" fillId="0" borderId="0" xfId="0"/>
    <xf numFmtId="0" fontId="22" fillId="0" borderId="0" xfId="0" applyFont="1"/>
    <xf numFmtId="0" fontId="8" fillId="36" borderId="13" xfId="0" applyFont="1" applyFill="1" applyBorder="1" applyAlignment="1">
      <alignment horizontal="center"/>
    </xf>
    <xf numFmtId="173" fontId="0" fillId="34" borderId="13" xfId="0" applyNumberFormat="1" applyFont="1" applyFill="1" applyBorder="1" applyAlignment="1"/>
    <xf numFmtId="173" fontId="0" fillId="34" borderId="14" xfId="0" applyNumberFormat="1" applyFont="1" applyFill="1" applyBorder="1" applyAlignment="1"/>
    <xf numFmtId="173" fontId="0" fillId="34" borderId="16" xfId="0" applyNumberFormat="1" applyFont="1" applyFill="1" applyBorder="1" applyAlignment="1"/>
    <xf numFmtId="10" fontId="0" fillId="34" borderId="13" xfId="0" applyNumberFormat="1" applyFont="1" applyFill="1" applyBorder="1" applyAlignment="1"/>
    <xf numFmtId="0" fontId="0" fillId="0" borderId="0" xfId="0" applyBorder="1"/>
    <xf numFmtId="0" fontId="22" fillId="0" borderId="0" xfId="0" applyFont="1"/>
    <xf numFmtId="0" fontId="0" fillId="0" borderId="0" xfId="0"/>
    <xf numFmtId="3" fontId="1" fillId="0" borderId="0" xfId="0" applyNumberFormat="1" applyFont="1" applyBorder="1" applyAlignment="1">
      <alignment horizontal="left"/>
    </xf>
    <xf numFmtId="171" fontId="1" fillId="0" borderId="0" xfId="0" applyNumberFormat="1" applyFont="1" applyBorder="1" applyAlignment="1">
      <alignment horizontal="left"/>
    </xf>
    <xf numFmtId="170" fontId="1" fillId="0" borderId="0" xfId="0" applyNumberFormat="1" applyFont="1" applyBorder="1" applyAlignment="1">
      <alignment horizontal="left"/>
    </xf>
    <xf numFmtId="1" fontId="1" fillId="0" borderId="0" xfId="0" applyNumberFormat="1" applyFont="1" applyBorder="1" applyAlignment="1">
      <alignment horizontal="left"/>
    </xf>
    <xf numFmtId="49" fontId="1" fillId="0" borderId="0" xfId="0" applyNumberFormat="1" applyFont="1" applyBorder="1" applyAlignment="1">
      <alignment horizontal="left"/>
    </xf>
    <xf numFmtId="3" fontId="27" fillId="0" borderId="0" xfId="0" applyNumberFormat="1" applyFont="1" applyBorder="1" applyAlignment="1">
      <alignment horizontal="left"/>
    </xf>
    <xf numFmtId="49" fontId="0" fillId="0" borderId="0" xfId="0" applyNumberFormat="1" applyAlignment="1">
      <alignment horizontal="left"/>
    </xf>
    <xf numFmtId="170" fontId="0" fillId="0" borderId="0" xfId="0" applyNumberFormat="1" applyAlignment="1">
      <alignment horizontal="center"/>
    </xf>
    <xf numFmtId="0" fontId="0" fillId="0" borderId="0" xfId="0" applyNumberFormat="1" applyAlignment="1">
      <alignment horizontal="right"/>
    </xf>
    <xf numFmtId="0" fontId="0" fillId="0" borderId="0" xfId="0" applyNumberFormat="1" applyFont="1" applyAlignment="1">
      <alignment horizontal="right"/>
    </xf>
    <xf numFmtId="14" fontId="0" fillId="0" borderId="0" xfId="0" applyNumberFormat="1" applyAlignment="1">
      <alignment horizontal="left"/>
    </xf>
    <xf numFmtId="0" fontId="0" fillId="0" borderId="0" xfId="0"/>
    <xf numFmtId="0" fontId="22" fillId="0" borderId="0" xfId="0" applyFont="1" applyAlignment="1">
      <alignment horizontal="center"/>
    </xf>
    <xf numFmtId="0" fontId="0" fillId="0" borderId="0" xfId="0"/>
    <xf numFmtId="0" fontId="1" fillId="0" borderId="0" xfId="0" applyFont="1"/>
    <xf numFmtId="0" fontId="0" fillId="0" borderId="0" xfId="0"/>
    <xf numFmtId="49" fontId="0" fillId="0" borderId="0" xfId="0" applyNumberFormat="1" applyFont="1" applyAlignment="1"/>
    <xf numFmtId="1" fontId="23" fillId="34" borderId="0" xfId="0" applyNumberFormat="1" applyFont="1" applyFill="1" applyAlignment="1">
      <alignment horizontal="center"/>
    </xf>
    <xf numFmtId="0" fontId="1" fillId="46" borderId="22" xfId="0" applyFont="1" applyFill="1" applyBorder="1" applyAlignment="1">
      <alignment horizontal="left"/>
    </xf>
    <xf numFmtId="0" fontId="1" fillId="46" borderId="23" xfId="0" applyFont="1" applyFill="1" applyBorder="1" applyAlignment="1">
      <alignment horizontal="left"/>
    </xf>
    <xf numFmtId="0" fontId="1" fillId="46" borderId="23" xfId="0" applyFont="1" applyFill="1" applyBorder="1" applyAlignment="1">
      <alignment horizontal="center"/>
    </xf>
    <xf numFmtId="0" fontId="1" fillId="46" borderId="8" xfId="0" applyFont="1" applyFill="1" applyBorder="1" applyAlignment="1">
      <alignment horizontal="right"/>
    </xf>
    <xf numFmtId="0" fontId="0" fillId="0" borderId="0" xfId="0" applyBorder="1" applyAlignment="1">
      <alignment horizontal="right"/>
    </xf>
    <xf numFmtId="0" fontId="26" fillId="0" borderId="0" xfId="0" applyFont="1" applyBorder="1" applyAlignment="1">
      <alignment horizontal="right"/>
    </xf>
    <xf numFmtId="22" fontId="0" fillId="0" borderId="0" xfId="0" applyNumberFormat="1" applyAlignment="1">
      <alignment horizontal="center"/>
    </xf>
    <xf numFmtId="3" fontId="0" fillId="33" borderId="0" xfId="0" applyNumberFormat="1" applyFill="1" applyAlignment="1">
      <alignment horizontal="center"/>
    </xf>
    <xf numFmtId="3" fontId="0" fillId="0" borderId="0" xfId="0" applyNumberFormat="1" applyFill="1" applyAlignment="1">
      <alignment horizontal="center"/>
    </xf>
    <xf numFmtId="49" fontId="1" fillId="0" borderId="0" xfId="0" applyNumberFormat="1" applyFont="1" applyFill="1"/>
    <xf numFmtId="49" fontId="0" fillId="0" borderId="0" xfId="0" applyNumberFormat="1" applyFill="1"/>
    <xf numFmtId="49" fontId="0" fillId="0" borderId="0" xfId="0" applyNumberFormat="1" applyFill="1" applyAlignment="1">
      <alignment horizontal="center"/>
    </xf>
    <xf numFmtId="175" fontId="0" fillId="0" borderId="0" xfId="0" applyNumberFormat="1" applyFill="1" applyAlignment="1">
      <alignment horizontal="center"/>
    </xf>
    <xf numFmtId="49" fontId="0" fillId="0" borderId="0" xfId="0" applyNumberFormat="1" applyFont="1" applyFill="1" applyAlignment="1"/>
    <xf numFmtId="49" fontId="0" fillId="0" borderId="0" xfId="0" applyNumberFormat="1" applyFont="1" applyFill="1" applyAlignment="1">
      <alignment horizontal="center"/>
    </xf>
    <xf numFmtId="49" fontId="0" fillId="0" borderId="0" xfId="0" applyNumberFormat="1" applyFill="1" applyAlignment="1"/>
    <xf numFmtId="1" fontId="0" fillId="0" borderId="0" xfId="0" applyNumberFormat="1" applyFill="1" applyAlignment="1">
      <alignment horizontal="center"/>
    </xf>
    <xf numFmtId="49" fontId="1" fillId="0" borderId="0" xfId="0" applyNumberFormat="1" applyFont="1" applyFill="1" applyAlignment="1"/>
    <xf numFmtId="3" fontId="0" fillId="37" borderId="0" xfId="0" applyNumberFormat="1" applyFill="1" applyAlignment="1">
      <alignment horizontal="center"/>
    </xf>
    <xf numFmtId="172" fontId="0" fillId="0" borderId="0" xfId="0" applyNumberFormat="1" applyFill="1" applyAlignment="1">
      <alignment horizontal="center"/>
    </xf>
    <xf numFmtId="49" fontId="1" fillId="35" borderId="5" xfId="0" applyNumberFormat="1" applyFont="1" applyFill="1" applyBorder="1"/>
    <xf numFmtId="49" fontId="1" fillId="35" borderId="8" xfId="0" applyNumberFormat="1" applyFont="1" applyFill="1" applyBorder="1" applyAlignment="1">
      <alignment horizontal="center"/>
    </xf>
    <xf numFmtId="49" fontId="0" fillId="34" borderId="9" xfId="0" applyNumberFormat="1" applyFill="1" applyBorder="1"/>
    <xf numFmtId="49" fontId="0" fillId="34" borderId="11" xfId="0" applyNumberFormat="1" applyFill="1" applyBorder="1"/>
    <xf numFmtId="0" fontId="1" fillId="0" borderId="0" xfId="0" applyNumberFormat="1" applyFont="1" applyFill="1" applyAlignment="1"/>
    <xf numFmtId="0" fontId="1" fillId="33" borderId="0" xfId="0" applyNumberFormat="1" applyFont="1" applyFill="1" applyAlignment="1"/>
    <xf numFmtId="177" fontId="0" fillId="34" borderId="15" xfId="0" applyNumberFormat="1" applyFont="1" applyFill="1" applyBorder="1" applyAlignment="1">
      <alignment horizontal="center"/>
    </xf>
    <xf numFmtId="174" fontId="1" fillId="34" borderId="16" xfId="0" applyNumberFormat="1" applyFont="1" applyFill="1" applyBorder="1" applyAlignment="1">
      <alignment horizontal="right"/>
    </xf>
    <xf numFmtId="174" fontId="1" fillId="34" borderId="14" xfId="0" applyNumberFormat="1" applyFont="1" applyFill="1" applyBorder="1" applyAlignment="1">
      <alignment horizontal="right"/>
    </xf>
    <xf numFmtId="174" fontId="0" fillId="34" borderId="16" xfId="0" applyNumberFormat="1" applyFont="1" applyFill="1" applyBorder="1" applyAlignment="1">
      <alignment horizontal="right"/>
    </xf>
    <xf numFmtId="174" fontId="0" fillId="34" borderId="14" xfId="0" applyNumberFormat="1" applyFont="1" applyFill="1" applyBorder="1" applyAlignment="1">
      <alignment horizontal="right"/>
    </xf>
    <xf numFmtId="0" fontId="0" fillId="0" borderId="0" xfId="0" applyBorder="1" applyAlignment="1">
      <alignment horizontal="center"/>
    </xf>
    <xf numFmtId="0" fontId="0" fillId="0" borderId="53" xfId="0" applyBorder="1" applyAlignment="1">
      <alignment horizontal="center"/>
    </xf>
    <xf numFmtId="0" fontId="0" fillId="0" borderId="54" xfId="0" applyBorder="1"/>
    <xf numFmtId="0" fontId="0" fillId="0" borderId="54" xfId="0" applyBorder="1" applyAlignment="1">
      <alignment horizontal="center"/>
    </xf>
    <xf numFmtId="0" fontId="0" fillId="0" borderId="55" xfId="0" applyBorder="1" applyAlignment="1">
      <alignment horizontal="right"/>
    </xf>
    <xf numFmtId="0" fontId="0" fillId="0" borderId="56" xfId="0" applyBorder="1" applyAlignment="1">
      <alignment horizontal="center"/>
    </xf>
    <xf numFmtId="0" fontId="0" fillId="0" borderId="57" xfId="0" applyBorder="1" applyAlignment="1">
      <alignment horizontal="right"/>
    </xf>
    <xf numFmtId="0" fontId="0" fillId="0" borderId="58" xfId="0" applyBorder="1"/>
    <xf numFmtId="0" fontId="0" fillId="0" borderId="58" xfId="0" applyBorder="1" applyAlignment="1">
      <alignment horizontal="center"/>
    </xf>
    <xf numFmtId="178" fontId="0" fillId="34" borderId="59" xfId="0" applyNumberFormat="1" applyFill="1" applyBorder="1" applyAlignment="1">
      <alignment horizontal="center"/>
    </xf>
    <xf numFmtId="0" fontId="0" fillId="0" borderId="0" xfId="0"/>
    <xf numFmtId="178" fontId="0" fillId="34" borderId="60" xfId="0" applyNumberFormat="1" applyFill="1" applyBorder="1" applyAlignment="1">
      <alignment horizontal="center"/>
    </xf>
    <xf numFmtId="0" fontId="0" fillId="0" borderId="0" xfId="0" applyAlignment="1"/>
    <xf numFmtId="0" fontId="0" fillId="0" borderId="0" xfId="0"/>
    <xf numFmtId="0" fontId="0" fillId="0" borderId="0" xfId="0"/>
    <xf numFmtId="170" fontId="0" fillId="0" borderId="0" xfId="0" applyNumberFormat="1"/>
    <xf numFmtId="0" fontId="22" fillId="0" borderId="0" xfId="0" applyFont="1" applyAlignment="1">
      <alignment horizontal="center"/>
    </xf>
    <xf numFmtId="14" fontId="1" fillId="34" borderId="0" xfId="0" applyNumberFormat="1" applyFont="1" applyFill="1" applyAlignment="1">
      <alignment horizontal="center"/>
    </xf>
    <xf numFmtId="0" fontId="0" fillId="0" borderId="0" xfId="0" applyAlignment="1"/>
    <xf numFmtId="0" fontId="0" fillId="0" borderId="0" xfId="0"/>
    <xf numFmtId="0" fontId="0" fillId="0" borderId="0" xfId="0" applyAlignment="1"/>
    <xf numFmtId="0" fontId="1" fillId="0" borderId="0" xfId="0" applyFont="1" applyAlignment="1"/>
    <xf numFmtId="0" fontId="19" fillId="0" borderId="0" xfId="55" applyAlignment="1">
      <alignment horizontal="center"/>
    </xf>
    <xf numFmtId="0" fontId="1" fillId="0" borderId="0" xfId="0" applyFont="1"/>
    <xf numFmtId="0" fontId="0" fillId="0" borderId="0" xfId="0"/>
    <xf numFmtId="0" fontId="22" fillId="0" borderId="0" xfId="0" applyFont="1" applyAlignment="1"/>
    <xf numFmtId="0" fontId="14" fillId="44" borderId="14" xfId="0" applyFont="1" applyFill="1" applyBorder="1" applyAlignment="1"/>
    <xf numFmtId="0" fontId="8" fillId="44" borderId="15" xfId="0" applyFont="1" applyFill="1" applyBorder="1" applyAlignment="1"/>
    <xf numFmtId="0" fontId="23" fillId="0" borderId="0" xfId="0" applyFont="1" applyAlignment="1"/>
    <xf numFmtId="0" fontId="8" fillId="36" borderId="16" xfId="0" applyFont="1" applyFill="1" applyBorder="1" applyAlignment="1">
      <alignment horizontal="center" vertical="center"/>
    </xf>
    <xf numFmtId="0" fontId="8" fillId="36" borderId="13" xfId="0" applyFont="1" applyFill="1" applyBorder="1" applyAlignment="1">
      <alignment horizontal="center" vertical="center"/>
    </xf>
    <xf numFmtId="0" fontId="8" fillId="36" borderId="14" xfId="0" applyFont="1" applyFill="1" applyBorder="1" applyAlignment="1">
      <alignment horizontal="center" vertical="center"/>
    </xf>
    <xf numFmtId="0" fontId="8" fillId="36" borderId="15" xfId="0" applyFont="1" applyFill="1" applyBorder="1" applyAlignment="1"/>
    <xf numFmtId="0" fontId="3" fillId="0" borderId="0" xfId="49"/>
    <xf numFmtId="0" fontId="1" fillId="34" borderId="15" xfId="0" applyNumberFormat="1" applyFont="1" applyFill="1" applyBorder="1" applyAlignment="1"/>
    <xf numFmtId="0" fontId="14" fillId="36" borderId="18" xfId="0" applyFont="1" applyFill="1" applyBorder="1" applyAlignment="1">
      <alignment horizontal="center"/>
    </xf>
    <xf numFmtId="0" fontId="14" fillId="36" borderId="17" xfId="0" applyFont="1" applyFill="1" applyBorder="1" applyAlignment="1">
      <alignment horizontal="center"/>
    </xf>
    <xf numFmtId="0" fontId="3" fillId="0" borderId="20" xfId="49" applyBorder="1"/>
    <xf numFmtId="0" fontId="0" fillId="0" borderId="0" xfId="0" applyBorder="1" applyAlignment="1"/>
    <xf numFmtId="0" fontId="8" fillId="36" borderId="15" xfId="0" applyFont="1" applyFill="1" applyBorder="1" applyAlignment="1">
      <alignment horizontal="center"/>
    </xf>
    <xf numFmtId="0" fontId="0" fillId="0" borderId="0" xfId="0" applyFont="1" applyAlignment="1"/>
    <xf numFmtId="0" fontId="8" fillId="36" borderId="18" xfId="0" applyFont="1" applyFill="1" applyBorder="1" applyAlignment="1"/>
    <xf numFmtId="0" fontId="8" fillId="36" borderId="32" xfId="0" applyFont="1" applyFill="1" applyBorder="1" applyAlignment="1"/>
    <xf numFmtId="0" fontId="8" fillId="36" borderId="17" xfId="0" applyFont="1" applyFill="1" applyBorder="1" applyAlignment="1"/>
    <xf numFmtId="0" fontId="14" fillId="36" borderId="15" xfId="0" applyFont="1" applyFill="1" applyBorder="1" applyAlignment="1">
      <alignment horizontal="left"/>
    </xf>
    <xf numFmtId="0" fontId="3" fillId="0" borderId="49" xfId="49" applyBorder="1"/>
    <xf numFmtId="0" fontId="14" fillId="36" borderId="18" xfId="0" applyFont="1" applyFill="1" applyBorder="1" applyAlignment="1">
      <alignment vertical="center"/>
    </xf>
    <xf numFmtId="0" fontId="14" fillId="36" borderId="32" xfId="0" applyFont="1" applyFill="1" applyBorder="1" applyAlignment="1">
      <alignment vertical="center"/>
    </xf>
    <xf numFmtId="0" fontId="14" fillId="36" borderId="17" xfId="0" applyFont="1" applyFill="1" applyBorder="1" applyAlignment="1">
      <alignment vertical="center"/>
    </xf>
    <xf numFmtId="0" fontId="1" fillId="34" borderId="18" xfId="0" applyNumberFormat="1" applyFont="1" applyFill="1" applyBorder="1" applyAlignment="1"/>
    <xf numFmtId="0" fontId="1" fillId="34" borderId="32" xfId="0" applyNumberFormat="1" applyFont="1" applyFill="1" applyBorder="1" applyAlignment="1"/>
    <xf numFmtId="0" fontId="1" fillId="34" borderId="17" xfId="0" applyNumberFormat="1" applyFont="1" applyFill="1" applyBorder="1" applyAlignment="1"/>
    <xf numFmtId="0" fontId="3" fillId="0" borderId="28" xfId="49" applyBorder="1"/>
    <xf numFmtId="0" fontId="3" fillId="0" borderId="9" xfId="49" applyBorder="1"/>
    <xf numFmtId="0" fontId="19" fillId="0" borderId="0" xfId="55">
      <alignment horizontal="center"/>
    </xf>
    <xf numFmtId="0" fontId="3" fillId="0" borderId="0" xfId="49" applyAlignment="1"/>
    <xf numFmtId="0" fontId="22" fillId="0" borderId="0" xfId="0" applyFont="1" applyAlignment="1">
      <alignment horizontal="center"/>
    </xf>
    <xf numFmtId="0" fontId="1" fillId="0" borderId="31" xfId="0" applyFont="1" applyBorder="1" applyAlignment="1"/>
    <xf numFmtId="0" fontId="14" fillId="44" borderId="15" xfId="0" applyFont="1" applyFill="1" applyBorder="1" applyAlignment="1">
      <alignment horizontal="left"/>
    </xf>
    <xf numFmtId="0" fontId="3" fillId="0" borderId="0" xfId="49" applyBorder="1" applyAlignment="1"/>
    <xf numFmtId="176" fontId="0" fillId="34" borderId="50" xfId="0" applyNumberFormat="1" applyFont="1" applyFill="1" applyBorder="1" applyAlignment="1">
      <alignment horizontal="center"/>
    </xf>
    <xf numFmtId="176" fontId="0" fillId="34" borderId="31" xfId="0" applyNumberFormat="1" applyFont="1" applyFill="1" applyBorder="1" applyAlignment="1">
      <alignment horizontal="center"/>
    </xf>
    <xf numFmtId="176" fontId="0" fillId="34" borderId="51" xfId="0" applyNumberFormat="1" applyFont="1" applyFill="1" applyBorder="1" applyAlignment="1">
      <alignment horizontal="center"/>
    </xf>
    <xf numFmtId="176" fontId="0" fillId="34" borderId="16" xfId="0" applyNumberFormat="1" applyFont="1" applyFill="1" applyBorder="1" applyAlignment="1">
      <alignment horizontal="center"/>
    </xf>
    <xf numFmtId="176" fontId="0" fillId="34" borderId="14" xfId="0" applyNumberFormat="1" applyFont="1" applyFill="1" applyBorder="1" applyAlignment="1">
      <alignment horizontal="center"/>
    </xf>
    <xf numFmtId="176" fontId="0" fillId="34" borderId="15" xfId="0" applyNumberFormat="1" applyFont="1" applyFill="1" applyBorder="1" applyAlignment="1">
      <alignment horizontal="center"/>
    </xf>
    <xf numFmtId="0" fontId="14" fillId="44" borderId="15" xfId="0" applyFont="1" applyFill="1" applyBorder="1" applyAlignment="1"/>
    <xf numFmtId="0" fontId="14" fillId="44" borderId="16" xfId="0" applyFont="1" applyFill="1" applyBorder="1" applyAlignment="1"/>
    <xf numFmtId="176" fontId="1" fillId="34" borderId="15" xfId="0" applyNumberFormat="1" applyFont="1" applyFill="1" applyBorder="1" applyAlignment="1">
      <alignment horizontal="center"/>
    </xf>
    <xf numFmtId="176" fontId="0" fillId="34" borderId="34" xfId="0" applyNumberFormat="1" applyFont="1" applyFill="1" applyBorder="1" applyAlignment="1">
      <alignment horizontal="center"/>
    </xf>
    <xf numFmtId="176" fontId="0" fillId="34" borderId="30" xfId="0" applyNumberFormat="1" applyFont="1" applyFill="1" applyBorder="1" applyAlignment="1">
      <alignment horizontal="center"/>
    </xf>
    <xf numFmtId="176" fontId="0" fillId="34" borderId="52" xfId="0" applyNumberFormat="1" applyFont="1" applyFill="1" applyBorder="1" applyAlignment="1">
      <alignment horizontal="center"/>
    </xf>
    <xf numFmtId="0" fontId="0" fillId="0" borderId="31" xfId="0" applyBorder="1" applyAlignment="1"/>
    <xf numFmtId="0" fontId="22" fillId="0" borderId="0" xfId="0" applyFont="1"/>
    <xf numFmtId="0" fontId="14" fillId="45" borderId="18" xfId="0" applyFont="1" applyFill="1" applyBorder="1" applyAlignment="1"/>
    <xf numFmtId="0" fontId="14" fillId="45" borderId="32" xfId="0" applyFont="1" applyFill="1" applyBorder="1" applyAlignment="1"/>
    <xf numFmtId="0" fontId="14" fillId="45" borderId="17" xfId="0" applyFont="1" applyFill="1" applyBorder="1" applyAlignment="1"/>
    <xf numFmtId="0" fontId="14" fillId="45" borderId="33" xfId="0" applyFont="1" applyFill="1" applyBorder="1" applyAlignment="1"/>
    <xf numFmtId="0" fontId="14" fillId="45" borderId="0" xfId="0" applyFont="1" applyFill="1" applyBorder="1" applyAlignment="1"/>
    <xf numFmtId="0" fontId="14" fillId="45" borderId="35" xfId="0" applyFont="1" applyFill="1" applyBorder="1" applyAlignment="1"/>
    <xf numFmtId="0" fontId="14" fillId="45" borderId="50" xfId="0" applyFont="1" applyFill="1" applyBorder="1" applyAlignment="1"/>
    <xf numFmtId="0" fontId="14" fillId="45" borderId="31" xfId="0" applyFont="1" applyFill="1" applyBorder="1" applyAlignment="1"/>
    <xf numFmtId="0" fontId="14" fillId="45" borderId="51" xfId="0" applyFont="1" applyFill="1" applyBorder="1" applyAlignment="1"/>
    <xf numFmtId="0" fontId="8" fillId="45" borderId="50" xfId="0" applyFont="1" applyFill="1" applyBorder="1" applyAlignment="1"/>
    <xf numFmtId="0" fontId="8" fillId="45" borderId="31" xfId="0" applyFont="1" applyFill="1" applyBorder="1" applyAlignment="1"/>
    <xf numFmtId="0" fontId="8" fillId="45" borderId="51" xfId="0" applyFont="1" applyFill="1" applyBorder="1" applyAlignment="1"/>
    <xf numFmtId="0" fontId="8" fillId="45" borderId="15" xfId="0" applyFont="1" applyFill="1" applyBorder="1" applyAlignment="1">
      <alignment horizontal="center"/>
    </xf>
    <xf numFmtId="0" fontId="3" fillId="0" borderId="0" xfId="49" applyAlignment="1">
      <alignment horizontal="center"/>
    </xf>
    <xf numFmtId="0" fontId="8" fillId="36" borderId="22" xfId="56" applyFont="1" applyFill="1" applyBorder="1" applyAlignment="1">
      <alignment horizontal="center"/>
    </xf>
    <xf numFmtId="0" fontId="8" fillId="36" borderId="23" xfId="56" applyFont="1" applyFill="1" applyBorder="1" applyAlignment="1">
      <alignment horizontal="center"/>
    </xf>
    <xf numFmtId="0" fontId="8" fillId="36" borderId="8" xfId="56" applyFont="1" applyFill="1" applyBorder="1" applyAlignment="1">
      <alignment horizontal="center"/>
    </xf>
    <xf numFmtId="0" fontId="1" fillId="0" borderId="0" xfId="0" applyFont="1" applyAlignment="1">
      <alignment horizontal="center"/>
    </xf>
    <xf numFmtId="0" fontId="0" fillId="34" borderId="34" xfId="0" applyFill="1" applyBorder="1" applyAlignment="1"/>
    <xf numFmtId="0" fontId="0" fillId="34" borderId="33" xfId="0" applyFill="1" applyBorder="1" applyAlignment="1"/>
    <xf numFmtId="0" fontId="0" fillId="34" borderId="50" xfId="0" applyFill="1" applyBorder="1" applyAlignment="1"/>
    <xf numFmtId="0" fontId="0" fillId="34" borderId="0" xfId="0" applyFill="1" applyBorder="1" applyAlignment="1"/>
    <xf numFmtId="0" fontId="0" fillId="34" borderId="30" xfId="0" applyFill="1" applyBorder="1" applyAlignment="1"/>
    <xf numFmtId="0" fontId="0" fillId="34" borderId="0" xfId="0" applyFill="1" applyBorder="1" applyAlignment="1">
      <alignment horizontal="right"/>
    </xf>
    <xf numFmtId="0" fontId="0" fillId="34" borderId="31" xfId="0" applyFill="1" applyBorder="1" applyAlignment="1"/>
  </cellXfs>
  <cellStyles count="58">
    <cellStyle name="20 % - Farve1" xfId="19" builtinId="30" hidden="1"/>
    <cellStyle name="20 % - Farve2" xfId="23" builtinId="34" hidden="1"/>
    <cellStyle name="20 % - Farve3" xfId="27" builtinId="38" hidden="1"/>
    <cellStyle name="20 % - Farve4" xfId="31" builtinId="42" hidden="1"/>
    <cellStyle name="20 % - Farve5" xfId="35" builtinId="46" hidden="1"/>
    <cellStyle name="20 % - Farve6" xfId="39" builtinId="50" hidden="1"/>
    <cellStyle name="40 % - Farve1" xfId="20" builtinId="31" hidden="1"/>
    <cellStyle name="40 % - Farve2" xfId="24" builtinId="35" hidden="1"/>
    <cellStyle name="40 % - Farve3" xfId="28" builtinId="39" hidden="1"/>
    <cellStyle name="40 % - Farve3" xfId="56" builtinId="39"/>
    <cellStyle name="40 % - Farve4" xfId="32" builtinId="43" hidden="1"/>
    <cellStyle name="40 % - Farve5" xfId="36" builtinId="47" hidden="1"/>
    <cellStyle name="40 % - Farve6" xfId="40" builtinId="51" hidden="1"/>
    <cellStyle name="60 % - Farve1" xfId="21" builtinId="32" hidden="1"/>
    <cellStyle name="60 % - Farve2" xfId="25" builtinId="36" hidden="1"/>
    <cellStyle name="60 % - Farve3" xfId="29" builtinId="40" hidden="1"/>
    <cellStyle name="60 % - Farve4" xfId="33" builtinId="44" hidden="1"/>
    <cellStyle name="60 % - Farve5" xfId="37" builtinId="48" hidden="1"/>
    <cellStyle name="60 % - Farve6" xfId="41" builtinId="52" hidden="1"/>
    <cellStyle name="Advarselstekst" xfId="15" builtinId="11" hidden="1"/>
    <cellStyle name="Bemærk!" xfId="16" builtinId="10" hidden="1"/>
    <cellStyle name="Beregning" xfId="4" builtinId="22" hidden="1" customBuiltin="1"/>
    <cellStyle name="Besøgt link" xfId="50" builtinId="9" hidden="1"/>
    <cellStyle name="Besøgt link" xfId="53" builtinId="9" hidden="1"/>
    <cellStyle name="Farve1" xfId="18" builtinId="29" hidden="1"/>
    <cellStyle name="Farve2" xfId="22" builtinId="33" hidden="1"/>
    <cellStyle name="Farve3" xfId="26" builtinId="37" hidden="1"/>
    <cellStyle name="Farve4" xfId="30" builtinId="41" hidden="1"/>
    <cellStyle name="Farve5" xfId="34" builtinId="45" hidden="1"/>
    <cellStyle name="Farve6" xfId="38" builtinId="49" hidden="1"/>
    <cellStyle name="Forklarende tekst" xfId="17" builtinId="53" hidden="1"/>
    <cellStyle name="God" xfId="11" builtinId="26" hidden="1" customBuiltin="1"/>
    <cellStyle name="God" xfId="11" builtinId="26" hidden="1" customBuiltin="1"/>
    <cellStyle name="Input" xfId="1" builtinId="20" hidden="1" customBuiltin="1"/>
    <cellStyle name="Komma" xfId="45" builtinId="3" hidden="1"/>
    <cellStyle name="Komma [0]" xfId="46" builtinId="6" hidden="1"/>
    <cellStyle name="Kontrollér celle" xfId="10" builtinId="23" hidden="1" customBuiltin="1"/>
    <cellStyle name="Link" xfId="52" builtinId="8" hidden="1"/>
    <cellStyle name="Neutral" xfId="13" builtinId="28" hidden="1" customBuiltin="1"/>
    <cellStyle name="Normal" xfId="0" builtinId="0" customBuiltin="1"/>
    <cellStyle name="Output" xfId="2" builtinId="21" hidden="1" customBuiltin="1"/>
    <cellStyle name="Output" xfId="43" builtinId="21" hidden="1"/>
    <cellStyle name="Overskrift" xfId="49" xr:uid="{32080343-B5E3-4837-84B5-DEC82796A2E9}"/>
    <cellStyle name="Overskrift 1" xfId="6" builtinId="16" hidden="1" customBuiltin="1"/>
    <cellStyle name="Overskrift 2" xfId="7" builtinId="17" hidden="1" customBuiltin="1"/>
    <cellStyle name="Overskrift 3" xfId="8" builtinId="18" hidden="1" customBuiltin="1"/>
    <cellStyle name="Overskrift 4" xfId="9" builtinId="19" hidden="1" customBuiltin="1"/>
    <cellStyle name="Overskrift 4" xfId="44" builtinId="19" hidden="1" customBuiltin="1"/>
    <cellStyle name="Procent" xfId="42" builtinId="5" hidden="1"/>
    <cellStyle name="Sammenkædet celle" xfId="14" builtinId="24" hidden="1"/>
    <cellStyle name="Titel" xfId="5" hidden="1" xr:uid="{7505016B-9FD9-47B6-923E-DC4222230BA1}"/>
    <cellStyle name="Titel" xfId="54" builtinId="15" hidden="1"/>
    <cellStyle name="Titel" xfId="55" xr:uid="{8826129C-91EA-48B3-82F4-233C8D2D53DD}"/>
    <cellStyle name="Total" xfId="3" builtinId="25" hidden="1" customBuiltin="1"/>
    <cellStyle name="Total" xfId="51" xr:uid="{355AC1BB-A5B7-4C80-A248-FC1CFF171C80}"/>
    <cellStyle name="Ugyldig" xfId="12" builtinId="27" hidden="1" customBuiltin="1"/>
    <cellStyle name="Valuta" xfId="47" builtinId="4" hidden="1"/>
    <cellStyle name="Valuta [0]" xfId="48" builtinId="7" hidden="1"/>
  </cellStyles>
  <dxfs count="272">
    <dxf>
      <alignment horizontal="center"/>
    </dxf>
    <dxf>
      <alignment horizontal="center"/>
    </dxf>
    <dxf>
      <numFmt numFmtId="170" formatCode="[Color10]&quot;kr.&quot;\ #,##0;[Color9]&quot;kr.&quot;\ \-#,##0"/>
    </dxf>
    <dxf>
      <numFmt numFmtId="30" formatCode="@"/>
    </dxf>
    <dxf>
      <numFmt numFmtId="30" formatCode="@"/>
    </dxf>
    <dxf>
      <alignment horizontal="center"/>
    </dxf>
    <dxf>
      <alignment horizontal="center"/>
    </dxf>
    <dxf>
      <alignment horizontal="left"/>
    </dxf>
    <dxf>
      <alignment horizontal="left"/>
    </dxf>
    <dxf>
      <alignment horizontal="left"/>
    </dxf>
    <dxf>
      <alignment horizontal="left"/>
    </dxf>
    <dxf>
      <alignment horizontal="general"/>
    </dxf>
    <dxf>
      <alignment horizontal="center"/>
    </dxf>
    <dxf>
      <numFmt numFmtId="30" formatCode="@"/>
    </dxf>
    <dxf>
      <numFmt numFmtId="30" formatCode="@"/>
    </dxf>
    <dxf>
      <numFmt numFmtId="30" formatCode="@"/>
    </dxf>
    <dxf>
      <numFmt numFmtId="30" formatCode="@"/>
    </dxf>
    <dxf>
      <numFmt numFmtId="1" formatCode="0"/>
    </dxf>
    <dxf>
      <numFmt numFmtId="170" formatCode="[Color10]&quot;kr.&quot;\ #,##0;[Color9]&quot;kr.&quot;\ \-#,##0"/>
    </dxf>
    <dxf>
      <numFmt numFmtId="30" formatCode="@"/>
    </dxf>
    <dxf>
      <numFmt numFmtId="30" formatCode="@"/>
    </dxf>
    <dxf>
      <alignment horizontal="center"/>
    </dxf>
    <dxf>
      <alignment horizontal="center"/>
    </dxf>
    <dxf>
      <alignment horizontal="general"/>
    </dxf>
    <dxf>
      <alignment horizontal="center"/>
    </dxf>
    <dxf>
      <alignment horizontal="center"/>
    </dxf>
    <dxf>
      <alignment horizontal="center"/>
    </dxf>
    <dxf>
      <numFmt numFmtId="19" formatCode="dd/mm/yyyy"/>
    </dxf>
    <dxf>
      <numFmt numFmtId="0" formatCode="General"/>
    </dxf>
    <dxf>
      <numFmt numFmtId="19" formatCode="dd/mm/yyyy"/>
    </dxf>
    <dxf>
      <alignment horizontal="center"/>
    </dxf>
    <dxf>
      <alignment horizontal="general"/>
    </dxf>
    <dxf>
      <alignment horizontal="general"/>
    </dxf>
    <dxf>
      <alignment horizontal="right"/>
    </dxf>
    <dxf>
      <numFmt numFmtId="168" formatCode="[Color10]#,##0;[Color9]\-#,##0"/>
    </dxf>
    <dxf>
      <border>
        <left/>
        <right/>
        <top/>
        <bottom/>
      </border>
    </dxf>
    <dxf>
      <border>
        <left/>
        <right/>
        <top/>
        <bottom/>
      </border>
    </dxf>
    <dxf>
      <border>
        <left/>
        <right/>
        <top/>
        <bottom/>
      </border>
    </dxf>
    <dxf>
      <border>
        <left/>
        <right/>
        <top/>
        <bottom/>
      </border>
    </dxf>
    <dxf>
      <font>
        <b/>
      </font>
    </dxf>
    <dxf>
      <font>
        <b/>
      </font>
    </dxf>
    <dxf>
      <font>
        <b/>
      </font>
    </dxf>
    <dxf>
      <font>
        <i val="0"/>
      </font>
    </dxf>
    <dxf>
      <font>
        <i val="0"/>
      </font>
    </dxf>
    <dxf>
      <font>
        <i val="0"/>
      </font>
    </dxf>
    <dxf>
      <font>
        <i val="0"/>
      </font>
    </dxf>
    <dxf>
      <font>
        <i val="0"/>
      </font>
    </dxf>
    <dxf>
      <border>
        <left style="thin">
          <color theme="0" tint="-0.14999847407452621"/>
        </left>
      </border>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font>
        <i/>
      </font>
    </dxf>
    <dxf>
      <font>
        <i/>
      </font>
    </dxf>
    <dxf>
      <font>
        <color theme="0" tint="-0.499984740745262"/>
      </font>
    </dxf>
    <dxf>
      <font>
        <color theme="0" tint="-0.499984740745262"/>
      </font>
    </dxf>
    <dxf>
      <font>
        <color theme="0" tint="-0.499984740745262"/>
      </font>
    </dxf>
    <dxf>
      <font>
        <b val="0"/>
      </font>
    </dxf>
    <dxf>
      <font>
        <b val="0"/>
      </font>
    </dxf>
    <dxf>
      <alignment horizontal="right"/>
    </dxf>
    <dxf>
      <numFmt numFmtId="30" formatCode="@"/>
    </dxf>
    <dxf>
      <numFmt numFmtId="30" formatCode="@"/>
    </dxf>
    <dxf>
      <border>
        <left/>
        <right/>
        <top/>
        <bottom/>
      </border>
    </dxf>
    <dxf>
      <border>
        <left/>
        <right/>
        <top/>
        <bottom/>
      </border>
    </dxf>
    <dxf>
      <border>
        <left/>
        <right/>
        <top/>
        <bottom/>
      </border>
    </dxf>
    <dxf>
      <numFmt numFmtId="3" formatCode="#,##0"/>
    </dxf>
    <dxf>
      <numFmt numFmtId="1" formatCode="0"/>
    </dxf>
    <dxf>
      <border>
        <left/>
        <right/>
        <top/>
        <bottom/>
      </border>
    </dxf>
    <dxf>
      <font>
        <b/>
      </font>
    </dxf>
    <dxf>
      <alignment horizontal="left"/>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border>
        <left/>
        <right/>
        <top/>
        <bottom/>
        <vertical/>
      </border>
    </dxf>
    <dxf>
      <numFmt numFmtId="171" formatCode="#,##0.0"/>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alignment horizontal="left"/>
    </dxf>
    <dxf>
      <alignment horizontal="left"/>
    </dxf>
    <dxf>
      <font>
        <b/>
      </font>
    </dxf>
    <dxf>
      <font>
        <b/>
      </font>
    </dxf>
    <dxf>
      <alignment horizontal="center"/>
    </dxf>
    <dxf>
      <alignment horizontal="center"/>
    </dxf>
    <dxf>
      <alignment horizontal="general"/>
    </dxf>
    <dxf>
      <alignment horizontal="center"/>
    </dxf>
    <dxf>
      <alignment horizontal="center"/>
    </dxf>
    <dxf>
      <numFmt numFmtId="3" formatCode="#,##0"/>
    </dxf>
    <dxf>
      <alignment horizontal="right"/>
    </dxf>
    <dxf>
      <alignment horizontal="right"/>
    </dxf>
    <dxf>
      <alignment horizontal="right"/>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0" formatCode="General"/>
      <alignment horizontal="right" vertical="bottom" textRotation="0" wrapText="0" 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19" formatCode="dd/mm/yyyy"/>
      <alignment horizontal="left" vertical="bottom" textRotation="0" wrapText="0" indent="0" justifyLastLine="0" shrinkToFit="0" readingOrder="0"/>
    </dxf>
    <dxf>
      <numFmt numFmtId="0" formatCode="General"/>
    </dxf>
    <dxf>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alignment horizontal="left" vertical="bottom" textRotation="0" wrapText="0" indent="0" justifyLastLine="0" shrinkToFit="0" readingOrder="0"/>
    </dxf>
    <dxf>
      <numFmt numFmtId="0" formatCode="General"/>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numFmt numFmtId="170" formatCode="[Color10]&quot;kr.&quot;\ #,##0;[Color9]&quot;kr.&quot;\ \-#,##0"/>
    </dxf>
    <dxf>
      <alignment horizontal="left" vertical="bottom" textRotation="0" wrapText="0" indent="0" justifyLastLine="0" shrinkToFit="0" readingOrder="0"/>
    </dxf>
    <dxf>
      <alignment horizontal="left" vertical="bottom" textRotation="0" wrapText="0" indent="0" justifyLastLine="0" shrinkToFit="0" readingOrder="0"/>
    </dxf>
    <dxf>
      <numFmt numFmtId="27" formatCode="dd/mm/yyyy\ hh: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0" formatCode="General"/>
      <fill>
        <patternFill patternType="solid">
          <fgColor indexed="64"/>
          <bgColor theme="9" tint="0.79998168889431442"/>
        </patternFill>
      </fill>
      <alignment horizontal="general" vertical="bottom" textRotation="0" wrapText="0" indent="0" justifyLastLine="0" shrinkToFit="0" readingOrder="0"/>
    </dxf>
    <dxf>
      <numFmt numFmtId="3"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dxf>
    <dxf>
      <numFmt numFmtId="30" formatCode="@"/>
    </dxf>
    <dxf>
      <numFmt numFmtId="30" formatCode="@"/>
    </dxf>
    <dxf>
      <numFmt numFmtId="175" formatCode="dd/mm/yyyy\ hh:mm:ss"/>
      <alignment horizontal="center" vertical="bottom" textRotation="0" wrapText="0" indent="0" justifyLastLine="0" shrinkToFit="0" readingOrder="0"/>
    </dxf>
    <dxf>
      <font>
        <b/>
      </font>
      <numFmt numFmtId="30" formatCode="@"/>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numFmt numFmtId="30" formatCode="@"/>
    </dxf>
    <dxf>
      <numFmt numFmtId="30" formatCode="@"/>
    </dxf>
    <dxf>
      <numFmt numFmtId="30" formatCode="@"/>
      <alignment horizontal="center" vertical="bottom" textRotation="0" wrapText="0" indent="0" justifyLastLine="0" shrinkToFit="0" readingOrder="0"/>
    </dxf>
    <dxf>
      <font>
        <b/>
      </font>
      <numFmt numFmtId="30" formatCode="@"/>
    </dxf>
    <dxf>
      <numFmt numFmtId="3"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numFmt numFmtId="172" formatCode="&quot;kr.&quot;\ #,##0"/>
      <alignment horizontal="center" vertical="bottom" textRotation="0" wrapText="0" indent="0" justifyLastLine="0" shrinkToFit="0" readingOrder="0"/>
    </dxf>
    <dxf>
      <font>
        <b/>
      </font>
      <numFmt numFmtId="30" formatCode="@"/>
    </dxf>
    <dxf>
      <font>
        <b/>
      </font>
      <numFmt numFmtId="30" formatCode="@"/>
    </dxf>
    <dxf>
      <numFmt numFmtId="3"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numFmt numFmtId="172" formatCode="&quot;kr.&quot;\ #,##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font>
      <numFmt numFmtId="30" formatCode="@"/>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i val="0"/>
      </font>
    </dxf>
    <dxf>
      <border diagonalUp="0" diagonalDown="0">
        <left style="thin">
          <color theme="7" tint="0.39994506668294322"/>
        </left>
        <right style="thin">
          <color theme="7" tint="0.39994506668294322"/>
        </right>
        <top style="thin">
          <color theme="7" tint="0.39994506668294322"/>
        </top>
        <bottom style="thin">
          <color theme="7" tint="0.39994506668294322"/>
        </bottom>
        <vertical/>
        <horizontal/>
      </border>
    </dxf>
    <dxf>
      <font>
        <b/>
        <i val="0"/>
      </font>
    </dxf>
    <dxf>
      <border diagonalUp="0" diagonalDown="0">
        <left style="thin">
          <color theme="9" tint="0.39994506668294322"/>
        </left>
        <right style="thin">
          <color theme="9" tint="0.39994506668294322"/>
        </right>
        <top style="thin">
          <color theme="9" tint="0.39994506668294322"/>
        </top>
        <bottom style="thin">
          <color theme="9" tint="0.39994506668294322"/>
        </bottom>
        <vertical/>
        <horizontal/>
      </border>
    </dxf>
    <dxf>
      <font>
        <b/>
        <i val="0"/>
      </font>
      <border>
        <top style="thin">
          <color theme="4"/>
        </top>
        <bottom style="thin">
          <color theme="4"/>
        </bottom>
      </border>
    </dxf>
    <dxf>
      <font>
        <b/>
        <i val="0"/>
        <strike val="0"/>
      </font>
    </dxf>
    <dxf>
      <font>
        <b/>
        <i val="0"/>
        <u val="none"/>
      </font>
      <border>
        <top style="thin">
          <color theme="4"/>
        </top>
        <bottom style="double">
          <color theme="4"/>
        </bottom>
      </border>
    </dxf>
    <dxf>
      <font>
        <b/>
        <i val="0"/>
        <color theme="0"/>
      </font>
      <fill>
        <patternFill>
          <bgColor theme="4"/>
        </patternFill>
      </fill>
    </dxf>
    <dxf>
      <fill>
        <patternFill patternType="solid">
          <bgColor theme="0"/>
        </patternFill>
      </fill>
      <border>
        <vertical/>
        <horizontal/>
      </border>
    </dxf>
    <dxf>
      <fill>
        <patternFill patternType="solid">
          <fgColor theme="5" tint="0.79998168889431442"/>
          <bgColor theme="5" tint="0.79998168889431442"/>
        </patternFill>
      </fill>
    </dxf>
    <dxf>
      <fill>
        <patternFill>
          <bgColor theme="0"/>
        </patternFill>
      </fill>
    </dxf>
    <dxf>
      <fill>
        <patternFill patternType="solid">
          <fgColor theme="5" tint="0.79998168889431442"/>
          <bgColor theme="5" tint="0.79998168889431442"/>
        </patternFill>
      </fill>
    </dxf>
    <dxf>
      <font>
        <b/>
        <color theme="1"/>
      </font>
    </dxf>
    <dxf>
      <font>
        <b/>
        <color theme="1"/>
      </font>
    </dxf>
    <dxf>
      <font>
        <b/>
        <color theme="1"/>
      </font>
      <border>
        <top style="double">
          <color theme="5"/>
        </top>
      </border>
    </dxf>
    <dxf>
      <font>
        <b/>
        <color theme="0"/>
      </font>
      <fill>
        <patternFill patternType="solid">
          <fgColor theme="5"/>
          <bgColor theme="5"/>
        </patternFill>
      </fill>
    </dxf>
    <dxf>
      <font>
        <color theme="1"/>
      </font>
      <border>
        <left style="thin">
          <color theme="5" tint="0.39997558519241921"/>
        </left>
        <right style="thin">
          <color theme="5" tint="0.39997558519241921"/>
        </right>
        <top style="thin">
          <color theme="5" tint="0.39997558519241921"/>
        </top>
        <bottom style="thin">
          <color theme="5" tint="0.39997558519241921"/>
        </bottom>
        <horizontal style="thin">
          <color theme="5" tint="0.39997558519241921"/>
        </horizontal>
      </border>
    </dxf>
    <dxf>
      <fill>
        <patternFill patternType="solid">
          <fgColor theme="7" tint="0.79998168889431442"/>
          <bgColor theme="7" tint="0.79998168889431442"/>
        </patternFill>
      </fill>
    </dxf>
    <dxf>
      <fill>
        <patternFill>
          <bgColor theme="0"/>
        </patternFill>
      </fill>
    </dxf>
    <dxf>
      <fill>
        <patternFill patternType="solid">
          <fgColor theme="7" tint="0.79998168889431442"/>
          <bgColor theme="7" tint="0.79998168889431442"/>
        </patternFill>
      </fill>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tint="0.39997558519241921"/>
        </left>
        <right style="thin">
          <color theme="7" tint="0.39997558519241921"/>
        </right>
        <top style="thin">
          <color theme="7" tint="0.39997558519241921"/>
        </top>
        <bottom style="thin">
          <color theme="7" tint="0.39997558519241921"/>
        </bottom>
        <horizontal style="thin">
          <color theme="7" tint="0.39997558519241921"/>
        </horizontal>
      </border>
    </dxf>
    <dxf>
      <fill>
        <patternFill patternType="solid">
          <fgColor theme="6" tint="0.79998168889431442"/>
          <bgColor theme="6" tint="0.79998168889431442"/>
        </patternFill>
      </fill>
    </dxf>
    <dxf>
      <fill>
        <patternFill>
          <bgColor theme="0"/>
        </patternFill>
      </fill>
    </dxf>
    <dxf>
      <fill>
        <patternFill patternType="solid">
          <fgColor theme="6" tint="0.79998168889431442"/>
          <bgColor theme="6" tint="0.79998168889431442"/>
        </patternFill>
      </fill>
    </dxf>
    <dxf>
      <font>
        <b/>
        <color theme="1"/>
      </font>
    </dxf>
    <dxf>
      <font>
        <b/>
        <color theme="1"/>
      </font>
    </dxf>
    <dxf>
      <font>
        <b/>
        <color theme="1"/>
      </font>
      <border>
        <top style="double">
          <color theme="6"/>
        </top>
      </border>
    </dxf>
    <dxf>
      <font>
        <b/>
        <color theme="0"/>
      </font>
      <fill>
        <patternFill patternType="solid">
          <fgColor theme="6"/>
          <bgColor theme="6"/>
        </patternFill>
      </fill>
    </dxf>
    <dxf>
      <font>
        <color theme="1"/>
      </font>
      <border>
        <left style="thin">
          <color theme="6" tint="0.39997558519241921"/>
        </left>
        <right style="thin">
          <color theme="6" tint="0.39997558519241921"/>
        </right>
        <top style="thin">
          <color theme="6" tint="0.39997558519241921"/>
        </top>
        <bottom style="thin">
          <color theme="6" tint="0.39997558519241921"/>
        </bottom>
        <horizontal style="thin">
          <color theme="6" tint="0.39997558519241921"/>
        </horizontal>
      </border>
    </dxf>
    <dxf>
      <fill>
        <patternFill patternType="solid">
          <fgColor theme="9" tint="0.79998168889431442"/>
          <bgColor theme="9" tint="0.79998168889431442"/>
        </patternFill>
      </fill>
    </dxf>
    <dxf>
      <fill>
        <patternFill>
          <bgColor theme="0"/>
        </patternFill>
      </fill>
    </dxf>
    <dxf>
      <fill>
        <patternFill patternType="solid">
          <fgColor theme="9" tint="0.79998168889431442"/>
          <bgColor theme="9" tint="0.79998168889431442"/>
        </patternFill>
      </fill>
    </dxf>
    <dxf>
      <font>
        <b/>
        <color theme="1"/>
      </font>
    </dxf>
    <dxf>
      <font>
        <b/>
        <color theme="1"/>
      </font>
    </dxf>
    <dxf>
      <font>
        <b/>
        <color theme="1"/>
      </font>
      <border>
        <top style="double">
          <color theme="9"/>
        </top>
      </border>
    </dxf>
    <dxf>
      <font>
        <b/>
        <color theme="0"/>
      </font>
      <fill>
        <patternFill patternType="solid">
          <fgColor theme="9"/>
          <bgColor theme="9"/>
        </patternFill>
      </fill>
    </dxf>
    <dxf>
      <font>
        <color theme="1"/>
      </font>
      <border>
        <left style="thin">
          <color theme="9" tint="0.39997558519241921"/>
        </left>
        <right style="thin">
          <color theme="9" tint="0.39997558519241921"/>
        </right>
        <top style="thin">
          <color theme="9" tint="0.39997558519241921"/>
        </top>
        <bottom style="thin">
          <color theme="9" tint="0.39997558519241921"/>
        </bottom>
        <horizontal style="thin">
          <color theme="9" tint="0.39997558519241921"/>
        </horizontal>
      </border>
    </dxf>
    <dxf>
      <fill>
        <patternFill patternType="solid">
          <fgColor theme="4" tint="0.79998168889431442"/>
          <bgColor theme="4" tint="0.79998168889431442"/>
        </patternFill>
      </fill>
    </dxf>
    <dxf>
      <fill>
        <patternFill>
          <bgColor theme="0"/>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8" defaultTableStyle="Blå" defaultPivotStyle="Standard">
    <tableStyle name="Blå" pivot="0" count="8" xr9:uid="{92B3E63A-0F2E-46B7-98CA-FDBC313FBCCF}">
      <tableStyleElement type="wholeTable" dxfId="271"/>
      <tableStyleElement type="headerRow" dxfId="270"/>
      <tableStyleElement type="totalRow" dxfId="269"/>
      <tableStyleElement type="firstColumn" dxfId="268"/>
      <tableStyleElement type="lastColumn" dxfId="267"/>
      <tableStyleElement type="firstRowStripe" dxfId="266"/>
      <tableStyleElement type="secondRowStripe" dxfId="265"/>
      <tableStyleElement type="firstColumnStripe" dxfId="264"/>
    </tableStyle>
    <tableStyle name="Grøn" pivot="0" count="8" xr9:uid="{F4140A0C-86E2-4503-8112-C4B580794A03}">
      <tableStyleElement type="wholeTable" dxfId="263"/>
      <tableStyleElement type="headerRow" dxfId="262"/>
      <tableStyleElement type="totalRow" dxfId="261"/>
      <tableStyleElement type="firstColumn" dxfId="260"/>
      <tableStyleElement type="lastColumn" dxfId="259"/>
      <tableStyleElement type="firstRowStripe" dxfId="258"/>
      <tableStyleElement type="secondRowStripe" dxfId="257"/>
      <tableStyleElement type="firstColumnStripe" dxfId="256"/>
    </tableStyle>
    <tableStyle name="Grå" pivot="0" count="8" xr9:uid="{E410E5EA-37D7-458F-8755-19B74A2CA99C}">
      <tableStyleElement type="wholeTable" dxfId="255"/>
      <tableStyleElement type="headerRow" dxfId="254"/>
      <tableStyleElement type="totalRow" dxfId="253"/>
      <tableStyleElement type="firstColumn" dxfId="252"/>
      <tableStyleElement type="lastColumn" dxfId="251"/>
      <tableStyleElement type="firstRowStripe" dxfId="250"/>
      <tableStyleElement type="secondRowStripe" dxfId="249"/>
      <tableStyleElement type="firstColumnStripe" dxfId="248"/>
    </tableStyle>
    <tableStyle name="Gul" pivot="0" count="8" xr9:uid="{72C5482E-DDBB-4638-8BB6-1E39B90B7333}">
      <tableStyleElement type="wholeTable" dxfId="247"/>
      <tableStyleElement type="headerRow" dxfId="246"/>
      <tableStyleElement type="totalRow" dxfId="245"/>
      <tableStyleElement type="firstColumn" dxfId="244"/>
      <tableStyleElement type="lastColumn" dxfId="243"/>
      <tableStyleElement type="firstRowStripe" dxfId="242"/>
      <tableStyleElement type="secondRowStripe" dxfId="241"/>
      <tableStyleElement type="firstColumnStripe" dxfId="240"/>
    </tableStyle>
    <tableStyle name="Orange" pivot="0" count="8" xr9:uid="{E1E4676C-147E-4FE9-8B94-F7FA597F47F0}">
      <tableStyleElement type="wholeTable" dxfId="239"/>
      <tableStyleElement type="headerRow" dxfId="238"/>
      <tableStyleElement type="totalRow" dxfId="237"/>
      <tableStyleElement type="firstColumn" dxfId="236"/>
      <tableStyleElement type="lastColumn" dxfId="235"/>
      <tableStyleElement type="firstRowStripe" dxfId="234"/>
      <tableStyleElement type="secondRowStripe" dxfId="233"/>
      <tableStyleElement type="firstColumnStripe" dxfId="232"/>
    </tableStyle>
    <tableStyle name="Standard" table="0" count="5" xr9:uid="{5C543DF5-2A19-4FE4-BD58-90EE4B579F12}">
      <tableStyleElement type="wholeTable" dxfId="231"/>
      <tableStyleElement type="headerRow" dxfId="230"/>
      <tableStyleElement type="totalRow" dxfId="229"/>
      <tableStyleElement type="lastColumn" dxfId="228"/>
      <tableStyleElement type="firstRowSubheading" dxfId="227"/>
    </tableStyle>
    <tableStyle name="Udsnitstypografi 2" pivot="0" table="0" count="10" xr9:uid="{397B50CD-B739-4D02-9B84-A8CD8AAAF756}">
      <tableStyleElement type="wholeTable" dxfId="226"/>
      <tableStyleElement type="headerRow" dxfId="225"/>
    </tableStyle>
    <tableStyle name="Udsnitstypografi 3" pivot="0" table="0" count="10" xr9:uid="{037C1494-BC0C-4B01-B068-820466F2E9A5}">
      <tableStyleElement type="wholeTable" dxfId="224"/>
      <tableStyleElement type="headerRow" dxfId="223"/>
    </tableStyle>
  </tableStyles>
  <colors>
    <mruColors>
      <color rgb="FFF92F60"/>
      <color rgb="FFF70A8D"/>
      <color rgb="FF635994"/>
      <color rgb="FFFF6723"/>
      <color rgb="FF00D26A"/>
      <color rgb="FF00A6ED"/>
      <color rgb="FF6B438B"/>
      <color rgb="FFE5336D"/>
      <color rgb="FFF9C23C"/>
      <color rgb="FF3F5FFF"/>
    </mruColors>
  </colors>
  <extLst>
    <ext xmlns:x14="http://schemas.microsoft.com/office/spreadsheetml/2009/9/main" uri="{46F421CA-312F-682f-3DD2-61675219B42D}">
      <x14:dxfs count="16">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ont>
            <strike val="0"/>
          </font>
          <fill>
            <patternFill>
              <bgColor theme="7" tint="0.79998168889431442"/>
            </patternFill>
          </fill>
          <border diagonalUp="0" diagonalDown="0">
            <left/>
            <right/>
            <top/>
            <bottom/>
            <vertical/>
            <horizontal/>
          </border>
        </dxf>
        <dxf>
          <font>
            <color auto="1"/>
          </font>
          <fill>
            <patternFill>
              <bgColor theme="7" tint="0.39994506668294322"/>
            </patternFill>
          </fill>
          <border diagonalUp="0" diagonalDown="0">
            <left/>
            <right/>
            <top/>
            <bottom/>
            <vertical/>
            <horizontal/>
          </border>
        </dxf>
        <dxf>
          <font>
            <strike/>
          </font>
          <fill>
            <patternFill>
              <bgColor theme="5" tint="0.79998168889431442"/>
            </patternFill>
          </fill>
          <border diagonalUp="0" diagonalDown="0">
            <left/>
            <right/>
            <top/>
            <bottom/>
            <vertical/>
            <horizontal/>
          </border>
        </dxf>
        <dxf>
          <font>
            <strike/>
          </font>
          <fill>
            <patternFill>
              <bgColor theme="5" tint="0.3999450666829432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ont>
            <strike val="0"/>
          </font>
          <fill>
            <patternFill>
              <bgColor theme="9" tint="0.79998168889431442"/>
            </patternFill>
          </fill>
          <border diagonalUp="0" diagonalDown="0">
            <left/>
            <right/>
            <top/>
            <bottom/>
            <vertical/>
            <horizontal/>
          </border>
        </dxf>
        <dxf>
          <font>
            <color auto="1"/>
          </font>
          <fill>
            <patternFill>
              <bgColor theme="9" tint="0.39994506668294322"/>
            </patternFill>
          </fill>
          <border diagonalUp="0" diagonalDown="0">
            <left/>
            <right/>
            <top/>
            <bottom/>
            <vertical/>
            <horizontal/>
          </border>
        </dxf>
        <dxf>
          <font>
            <strike/>
          </font>
          <fill>
            <patternFill>
              <bgColor theme="5" tint="0.79998168889431442"/>
            </patternFill>
          </fill>
          <border diagonalUp="0" diagonalDown="0">
            <left/>
            <right/>
            <top/>
            <bottom/>
            <vertical/>
            <horizontal/>
          </border>
        </dxf>
        <dxf>
          <font>
            <strike/>
          </font>
          <fill>
            <patternFill>
              <bgColor theme="5" tint="0.39994506668294322"/>
            </patternFill>
          </fill>
          <border diagonalUp="0" diagonalDown="0">
            <left/>
            <right/>
            <top/>
            <bottom/>
            <vertical/>
            <horizontal/>
          </border>
        </dxf>
      </x14:dxfs>
    </ext>
    <ext xmlns:x14="http://schemas.microsoft.com/office/spreadsheetml/2009/9/main" uri="{EB79DEF2-80B8-43e5-95BD-54CBDDF9020C}">
      <x14:slicerStyles defaultSlicerStyle="Udsnitstypografi 2">
        <x14:slicerStyle name="Udsnitstypografi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Udsnitstypografi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D53" s="46"/>
        <tr r="D53" s="46"/>
        <tr r="D53" s="46"/>
        <tr r="D53" s="46"/>
        <tr r="D53" s="46"/>
        <tr r="D53" s="46"/>
        <tr r="D53" s="46"/>
        <tr r="D53" s="46"/>
        <tr r="D53" s="46"/>
        <tr r="D53" s="46"/>
        <tr r="D53" s="46"/>
        <tr r="D53" s="46"/>
        <tr r="D53" s="46"/>
        <tr r="D53" s="46"/>
        <tr r="D53" s="46"/>
        <tr r="D53" s="46"/>
        <tr r="D53" s="46"/>
        <tr r="D53" s="46"/>
        <tr r="D53" s="46"/>
        <tr r="D53" s="46"/>
        <tr r="D53" s="46"/>
        <tr r="D53" s="46"/>
        <tr r="D53" s="46"/>
        <tr r="D53" s="46"/>
        <tr r="J104" s="46"/>
        <tr r="J104" s="46"/>
        <tr r="J104" s="46"/>
        <tr r="J104" s="46"/>
        <tr r="J104" s="46"/>
        <tr r="J104" s="46"/>
        <tr r="J104" s="46"/>
        <tr r="J104" s="46"/>
        <tr r="J104" s="46"/>
        <tr r="J104" s="46"/>
        <tr r="J104" s="46"/>
        <tr r="J104" s="46"/>
        <tr r="J104" s="46"/>
        <tr r="J104" s="46"/>
        <tr r="J104" s="46"/>
        <tr r="J104" s="46"/>
        <tr r="J104" s="46"/>
        <tr r="J104" s="46"/>
        <tr r="J104" s="46"/>
        <tr r="J104" s="46"/>
        <tr r="J41" s="46"/>
        <tr r="J41" s="46"/>
        <tr r="J41" s="46"/>
        <tr r="J41" s="46"/>
        <tr r="J41" s="46"/>
        <tr r="J41" s="46"/>
        <tr r="J41" s="46"/>
        <tr r="J41" s="46"/>
        <tr r="J41" s="46"/>
        <tr r="J41" s="46"/>
        <tr r="J41" s="46"/>
        <tr r="J41" s="46"/>
        <tr r="J41" s="46"/>
        <tr r="J41" s="46"/>
        <tr r="J41" s="46"/>
        <tr r="K102" s="46"/>
        <tr r="K102" s="46"/>
        <tr r="K102" s="46"/>
        <tr r="K102" s="46"/>
        <tr r="K102" s="46"/>
        <tr r="K102" s="46"/>
        <tr r="K102" s="46"/>
        <tr r="K102" s="46"/>
        <tr r="K102" s="46"/>
        <tr r="K102" s="46"/>
        <tr r="K102" s="46"/>
        <tr r="K102" s="46"/>
        <tr r="K102" s="46"/>
        <tr r="K102" s="46"/>
        <tr r="K102" s="46"/>
        <tr r="S7" s="46"/>
        <tr r="S7" s="46"/>
        <tr r="S7" s="46"/>
        <tr r="L43" s="46"/>
        <tr r="L43" s="46"/>
        <tr r="L43" s="46"/>
        <tr r="L43" s="46"/>
        <tr r="L43" s="46"/>
        <tr r="L43" s="46"/>
        <tr r="L43" s="46"/>
        <tr r="L43" s="46"/>
        <tr r="L43" s="46"/>
        <tr r="L43" s="46"/>
        <tr r="L43" s="46"/>
        <tr r="L43" s="46"/>
        <tr r="L43" s="46"/>
        <tr r="L43" s="46"/>
        <tr r="L43" s="46"/>
        <tr r="L43" s="46"/>
        <tr r="L43" s="46"/>
        <tr r="L43" s="46"/>
        <tr r="L43" s="46"/>
        <tr r="L43" s="46"/>
        <tr r="I30" s="46"/>
        <tr r="L41" s="46"/>
        <tr r="L41" s="46"/>
        <tr r="L41" s="46"/>
        <tr r="L41" s="46"/>
        <tr r="L41" s="46"/>
        <tr r="L41" s="46"/>
        <tr r="L41" s="46"/>
        <tr r="L41" s="46"/>
        <tr r="L41" s="46"/>
        <tr r="L41" s="46"/>
        <tr r="L41" s="46"/>
        <tr r="L41" s="46"/>
        <tr r="L41" s="46"/>
        <tr r="L41" s="46"/>
        <tr r="L41" s="46"/>
        <tr r="K43" s="46"/>
        <tr r="K43" s="46"/>
        <tr r="K43" s="46"/>
        <tr r="K43" s="46"/>
        <tr r="K43" s="46"/>
        <tr r="K43" s="46"/>
        <tr r="K43" s="46"/>
        <tr r="K43" s="46"/>
        <tr r="K43" s="46"/>
        <tr r="K43" s="46"/>
        <tr r="K43" s="46"/>
        <tr r="K43" s="46"/>
        <tr r="K43" s="46"/>
        <tr r="K43" s="46"/>
        <tr r="K43" s="46"/>
        <tr r="K43" s="46"/>
        <tr r="K43" s="46"/>
        <tr r="K43" s="46"/>
        <tr r="K43" s="46"/>
        <tr r="K43" s="46"/>
        <tr r="I42" s="46"/>
        <tr r="I42" s="46"/>
        <tr r="I42" s="46"/>
        <tr r="I42" s="46"/>
        <tr r="I42" s="46"/>
        <tr r="I42" s="46"/>
        <tr r="I42" s="46"/>
        <tr r="I42" s="46"/>
        <tr r="I42" s="46"/>
        <tr r="O27" s="46"/>
        <tr r="O27" s="46"/>
        <tr r="O27" s="46"/>
        <tr r="O27" s="46"/>
        <tr r="O27" s="46"/>
        <tr r="O27" s="46"/>
        <tr r="O27" s="46"/>
        <tr r="O27" s="46"/>
        <tr r="O27" s="46"/>
        <tr r="D52" s="46"/>
        <tr r="D52" s="46"/>
        <tr r="D52" s="46"/>
        <tr r="D52" s="46"/>
        <tr r="D52" s="46"/>
        <tr r="D52" s="46"/>
        <tr r="D52" s="46"/>
        <tr r="D52" s="46"/>
        <tr r="D52" s="46"/>
        <tr r="D52" s="46"/>
        <tr r="D52" s="46"/>
        <tr r="D52" s="46"/>
        <tr r="D52" s="46"/>
        <tr r="D52" s="46"/>
        <tr r="D52" s="46"/>
        <tr r="D52" s="46"/>
        <tr r="D54" s="46"/>
        <tr r="D54" s="46"/>
        <tr r="D54" s="46"/>
        <tr r="D54" s="46"/>
        <tr r="D54" s="46"/>
        <tr r="D54" s="46"/>
        <tr r="A2" s="47"/>
        <tr r="A2" s="47"/>
        <tr r="J102" s="46"/>
        <tr r="J102" s="46"/>
        <tr r="J102" s="46"/>
        <tr r="J102" s="46"/>
        <tr r="J102" s="46"/>
        <tr r="J102" s="46"/>
        <tr r="J102" s="46"/>
        <tr r="J102" s="46"/>
        <tr r="J102" s="46"/>
        <tr r="J102" s="46"/>
        <tr r="J102" s="46"/>
        <tr r="J102" s="46"/>
        <tr r="J102" s="46"/>
        <tr r="J102" s="46"/>
        <tr r="J102" s="46"/>
        <tr r="M7" s="46"/>
        <tr r="M7" s="46"/>
        <tr r="M7" s="46"/>
        <tr r="M8" s="46"/>
        <tr r="M8" s="46"/>
        <tr r="M8" s="46"/>
        <tr r="I31" s="46"/>
        <tr r="S6" s="46"/>
        <tr r="S6" s="46"/>
        <tr r="S6" s="46"/>
        <tr r="O30" s="46"/>
        <tr r="O30" s="46"/>
        <tr r="O30" s="46"/>
        <tr r="O30" s="46"/>
        <tr r="O30" s="46"/>
        <tr r="O30" s="46"/>
        <tr r="O30" s="46"/>
        <tr r="O30" s="46"/>
        <tr r="O30" s="46"/>
        <tr r="I45" s="46"/>
        <tr r="I45" s="46"/>
        <tr r="I45" s="46"/>
        <tr r="I45" s="46"/>
        <tr r="I45" s="46"/>
        <tr r="I45" s="46"/>
        <tr r="I45" s="46"/>
        <tr r="I45" s="46"/>
        <tr r="I45" s="46"/>
        <tr r="K104" s="46"/>
        <tr r="K104" s="46"/>
        <tr r="K104" s="46"/>
        <tr r="K104" s="46"/>
        <tr r="K104" s="46"/>
        <tr r="K104" s="46"/>
        <tr r="K104" s="46"/>
        <tr r="K104" s="46"/>
        <tr r="K104" s="46"/>
        <tr r="K104" s="46"/>
        <tr r="K104" s="46"/>
        <tr r="K104" s="46"/>
        <tr r="K104" s="46"/>
        <tr r="K104" s="46"/>
        <tr r="K104" s="46"/>
        <tr r="K104" s="46"/>
        <tr r="K104" s="46"/>
        <tr r="K104" s="46"/>
        <tr r="K104" s="46"/>
        <tr r="K104"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6" s="46"/>
        <tr r="I46" s="46"/>
        <tr r="I46" s="46"/>
        <tr r="S8" s="46"/>
        <tr r="S8" s="46"/>
        <tr r="S8" s="46"/>
        <tr r="J43" s="46"/>
        <tr r="J43" s="46"/>
        <tr r="J43" s="46"/>
        <tr r="J43" s="46"/>
        <tr r="J43" s="46"/>
        <tr r="J43" s="46"/>
        <tr r="J43" s="46"/>
        <tr r="J43" s="46"/>
        <tr r="J43" s="46"/>
        <tr r="J43" s="46"/>
        <tr r="J43" s="46"/>
        <tr r="J43" s="46"/>
        <tr r="J43" s="46"/>
        <tr r="J43" s="46"/>
        <tr r="J43" s="46"/>
        <tr r="J43" s="46"/>
        <tr r="J43" s="46"/>
        <tr r="J43" s="46"/>
        <tr r="J43" s="46"/>
        <tr r="J43"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D56" s="46"/>
        <tr r="D56" s="46"/>
        <tr r="K41" s="46"/>
        <tr r="K41" s="46"/>
        <tr r="K41" s="46"/>
        <tr r="K41" s="46"/>
        <tr r="K41" s="46"/>
        <tr r="K41" s="46"/>
        <tr r="K41" s="46"/>
        <tr r="K41" s="46"/>
        <tr r="K41" s="46"/>
        <tr r="K41" s="46"/>
        <tr r="K41" s="46"/>
        <tr r="K41" s="46"/>
        <tr r="K41" s="46"/>
        <tr r="K41" s="46"/>
        <tr r="K41" s="46"/>
        <tr r="M6" s="46"/>
        <tr r="M6" s="46"/>
        <tr r="M6" s="46"/>
        <tr r="L104" s="46"/>
        <tr r="L104" s="46"/>
        <tr r="L104" s="46"/>
        <tr r="L104" s="46"/>
        <tr r="L104" s="46"/>
        <tr r="L104" s="46"/>
        <tr r="L104" s="46"/>
        <tr r="L104" s="46"/>
        <tr r="L104" s="46"/>
        <tr r="L104" s="46"/>
        <tr r="L104" s="46"/>
        <tr r="L104" s="46"/>
        <tr r="L104" s="46"/>
        <tr r="L104" s="46"/>
        <tr r="L104" s="46"/>
        <tr r="L104" s="46"/>
        <tr r="L104" s="46"/>
        <tr r="L104" s="46"/>
        <tr r="L104" s="46"/>
        <tr r="L104" s="46"/>
        <tr r="L102" s="46"/>
        <tr r="L102" s="46"/>
        <tr r="L102" s="46"/>
        <tr r="L102" s="46"/>
        <tr r="L102" s="46"/>
        <tr r="L102" s="46"/>
        <tr r="L102" s="46"/>
        <tr r="L102" s="46"/>
        <tr r="L102" s="46"/>
        <tr r="L102" s="46"/>
        <tr r="L102" s="46"/>
        <tr r="L102" s="46"/>
        <tr r="L102" s="46"/>
        <tr r="L102" s="46"/>
        <tr r="L102" s="46"/>
        <tr r="O25" s="46"/>
        <tr r="O25" s="46"/>
        <tr r="O25" s="46"/>
        <tr r="O25" s="46"/>
        <tr r="O25" s="46"/>
        <tr r="O25" s="46"/>
        <tr r="O25" s="46"/>
        <tr r="O25" s="46"/>
        <tr r="O25" s="46"/>
        <tr r="O25" s="46"/>
        <tr r="O25" s="46"/>
        <tr r="O25" s="46"/>
        <tr r="O31" s="46"/>
        <tr r="O31" s="46"/>
        <tr r="O31" s="46"/>
        <tr r="D55" s="46"/>
        <tr r="D55" s="46"/>
        <tr r="D55" s="46"/>
        <tr r="D55" s="46"/>
        <tr r="D55" s="46"/>
        <tr r="D55" s="46"/>
        <tr r="D55" s="46"/>
        <tr r="D55" s="46"/>
        <tr r="D55" s="46"/>
        <tr r="D55" s="46"/>
        <tr r="D55" s="46"/>
        <tr r="D55" s="46"/>
        <tr r="D55" s="46"/>
        <tr r="D55" s="46"/>
        <tr r="D55" s="46"/>
        <tr r="D55" s="46"/>
        <tr r="D55" s="46"/>
        <tr r="D55" s="46"/>
        <tr r="D55" s="46"/>
        <tr r="D55" s="46"/>
        <tr r="I40" s="46"/>
        <tr r="I40" s="46"/>
        <tr r="I40" s="46"/>
        <tr r="I40" s="46"/>
        <tr r="I40" s="46"/>
        <tr r="I40" s="46"/>
        <tr r="I40" s="46"/>
        <tr r="I40" s="46"/>
        <tr r="I40" s="46"/>
        <tr r="I40" s="46"/>
        <tr r="I40" s="46"/>
        <tr r="I40" s="46"/>
        <tr r="O26" s="46"/>
        <tr r="O26" s="46"/>
        <tr r="O26" s="46"/>
        <tr r="O26" s="46"/>
        <tr r="O26" s="46"/>
        <tr r="O26" s="46"/>
        <tr r="O26" s="46"/>
        <tr r="O26" s="46"/>
        <tr r="O26" s="46"/>
        <tr r="O26" s="46"/>
        <tr r="O26" s="46"/>
        <tr r="O26" s="46"/>
        <tr r="O26" s="46"/>
        <tr r="O26" s="46"/>
        <tr r="O26" s="46"/>
        <tr r="O26" s="46"/>
        <tr r="O26" s="46"/>
        <tr r="O26" s="46"/>
        <tr r="I41" s="46"/>
        <tr r="I41" s="46"/>
        <tr r="I41" s="46"/>
        <tr r="I41" s="46"/>
        <tr r="I41" s="46"/>
        <tr r="I41" s="46"/>
        <tr r="I41" s="46"/>
        <tr r="I41" s="46"/>
        <tr r="I41" s="46"/>
        <tr r="I41" s="46"/>
        <tr r="I41" s="46"/>
        <tr r="I41" s="46"/>
        <tr r="I41" s="46"/>
        <tr r="I41" s="46"/>
        <tr r="I41" s="46"/>
        <tr r="I41" s="46"/>
        <tr r="I41" s="46"/>
        <tr r="I41" s="46"/>
        <tr r="I29" s="46"/>
        <tr r="O29" s="46"/>
        <tr r="O29" s="46"/>
        <tr r="O29" s="46"/>
        <tr r="O29" s="46"/>
        <tr r="O29" s="46"/>
        <tr r="O29" s="46"/>
        <tr r="O29" s="46"/>
        <tr r="O29" s="46"/>
        <tr r="O29" s="46"/>
        <tr r="O29" s="46"/>
        <tr r="O29" s="46"/>
        <tr r="O29" s="46"/>
        <tr r="K31" s="46"/>
        <tr r="I44" s="46"/>
        <tr r="I44" s="46"/>
        <tr r="I44" s="46"/>
        <tr r="I44" s="46"/>
        <tr r="I44" s="46"/>
        <tr r="I44" s="46"/>
        <tr r="I44" s="46"/>
        <tr r="I44" s="46"/>
        <tr r="I44" s="46"/>
        <tr r="I44" s="46"/>
        <tr r="I44" s="46"/>
        <tr r="I44" s="46"/>
        <tr r="K30" s="46"/>
        <tr r="I28" s="46"/>
        <tr r="K28" s="46"/>
        <tr r="K29" s="46"/>
      </tp>
    </main>
  </volType>
</volTypes>
</file>

<file path=xl/_rels/workbook.xml.rels><?xml version="1.0" encoding="UTF-8" standalone="yes"?>
<Relationships xmlns="http://schemas.openxmlformats.org/package/2006/relationships"><Relationship Id="rId117" Type="http://schemas.openxmlformats.org/officeDocument/2006/relationships/customXml" Target="../customXml/item56.xml"/><Relationship Id="rId299" Type="http://schemas.openxmlformats.org/officeDocument/2006/relationships/customXml" Target="../customXml/item238.xml"/><Relationship Id="rId21" Type="http://schemas.microsoft.com/office/2007/relationships/slicerCache" Target="slicerCaches/slicerCache12.xml"/><Relationship Id="rId63" Type="http://schemas.openxmlformats.org/officeDocument/2006/relationships/customXml" Target="../customXml/item2.xml"/><Relationship Id="rId159" Type="http://schemas.openxmlformats.org/officeDocument/2006/relationships/customXml" Target="../customXml/item98.xml"/><Relationship Id="rId324" Type="http://schemas.openxmlformats.org/officeDocument/2006/relationships/customXml" Target="../customXml/item263.xml"/><Relationship Id="rId366" Type="http://schemas.openxmlformats.org/officeDocument/2006/relationships/customXml" Target="../customXml/item305.xml"/><Relationship Id="rId170" Type="http://schemas.openxmlformats.org/officeDocument/2006/relationships/customXml" Target="../customXml/item109.xml"/><Relationship Id="rId226" Type="http://schemas.openxmlformats.org/officeDocument/2006/relationships/customXml" Target="../customXml/item165.xml"/><Relationship Id="rId268" Type="http://schemas.openxmlformats.org/officeDocument/2006/relationships/customXml" Target="../customXml/item207.xml"/><Relationship Id="rId32" Type="http://schemas.openxmlformats.org/officeDocument/2006/relationships/pivotCacheDefinition" Target="pivotCache/pivotCacheDefinition10.xml"/><Relationship Id="rId74" Type="http://schemas.openxmlformats.org/officeDocument/2006/relationships/customXml" Target="../customXml/item13.xml"/><Relationship Id="rId128" Type="http://schemas.openxmlformats.org/officeDocument/2006/relationships/customXml" Target="../customXml/item67.xml"/><Relationship Id="rId335" Type="http://schemas.openxmlformats.org/officeDocument/2006/relationships/customXml" Target="../customXml/item274.xml"/><Relationship Id="rId377" Type="http://schemas.openxmlformats.org/officeDocument/2006/relationships/customXml" Target="../customXml/item316.xml"/><Relationship Id="rId5" Type="http://schemas.openxmlformats.org/officeDocument/2006/relationships/worksheet" Target="worksheets/sheet5.xml"/><Relationship Id="rId181" Type="http://schemas.openxmlformats.org/officeDocument/2006/relationships/customXml" Target="../customXml/item120.xml"/><Relationship Id="rId237" Type="http://schemas.openxmlformats.org/officeDocument/2006/relationships/customXml" Target="../customXml/item176.xml"/><Relationship Id="rId279" Type="http://schemas.openxmlformats.org/officeDocument/2006/relationships/customXml" Target="../customXml/item218.xml"/><Relationship Id="rId43" Type="http://schemas.openxmlformats.org/officeDocument/2006/relationships/pivotTable" Target="pivotTables/pivotTable3.xml"/><Relationship Id="rId139" Type="http://schemas.openxmlformats.org/officeDocument/2006/relationships/customXml" Target="../customXml/item78.xml"/><Relationship Id="rId290" Type="http://schemas.openxmlformats.org/officeDocument/2006/relationships/customXml" Target="../customXml/item229.xml"/><Relationship Id="rId304" Type="http://schemas.openxmlformats.org/officeDocument/2006/relationships/customXml" Target="../customXml/item243.xml"/><Relationship Id="rId346" Type="http://schemas.openxmlformats.org/officeDocument/2006/relationships/customXml" Target="../customXml/item285.xml"/><Relationship Id="rId388" Type="http://schemas.openxmlformats.org/officeDocument/2006/relationships/customXml" Target="../customXml/item327.xml"/><Relationship Id="rId85" Type="http://schemas.openxmlformats.org/officeDocument/2006/relationships/customXml" Target="../customXml/item24.xml"/><Relationship Id="rId150" Type="http://schemas.openxmlformats.org/officeDocument/2006/relationships/customXml" Target="../customXml/item89.xml"/><Relationship Id="rId192" Type="http://schemas.openxmlformats.org/officeDocument/2006/relationships/customXml" Target="../customXml/item131.xml"/><Relationship Id="rId206" Type="http://schemas.openxmlformats.org/officeDocument/2006/relationships/customXml" Target="../customXml/item145.xml"/><Relationship Id="rId248" Type="http://schemas.openxmlformats.org/officeDocument/2006/relationships/customXml" Target="../customXml/item187.xml"/><Relationship Id="rId12" Type="http://schemas.microsoft.com/office/2007/relationships/slicerCache" Target="slicerCaches/slicerCache3.xml"/><Relationship Id="rId108" Type="http://schemas.openxmlformats.org/officeDocument/2006/relationships/customXml" Target="../customXml/item47.xml"/><Relationship Id="rId315" Type="http://schemas.openxmlformats.org/officeDocument/2006/relationships/customXml" Target="../customXml/item254.xml"/><Relationship Id="rId357" Type="http://schemas.openxmlformats.org/officeDocument/2006/relationships/customXml" Target="../customXml/item296.xml"/><Relationship Id="rId54" Type="http://schemas.openxmlformats.org/officeDocument/2006/relationships/pivotTable" Target="pivotTables/pivotTable14.xml"/><Relationship Id="rId96" Type="http://schemas.openxmlformats.org/officeDocument/2006/relationships/customXml" Target="../customXml/item35.xml"/><Relationship Id="rId161" Type="http://schemas.openxmlformats.org/officeDocument/2006/relationships/customXml" Target="../customXml/item100.xml"/><Relationship Id="rId217" Type="http://schemas.openxmlformats.org/officeDocument/2006/relationships/customXml" Target="../customXml/item156.xml"/><Relationship Id="rId399" Type="http://schemas.openxmlformats.org/officeDocument/2006/relationships/customXml" Target="../customXml/item338.xml"/><Relationship Id="rId259" Type="http://schemas.openxmlformats.org/officeDocument/2006/relationships/customXml" Target="../customXml/item198.xml"/><Relationship Id="rId23" Type="http://schemas.microsoft.com/office/2007/relationships/slicerCache" Target="slicerCaches/slicerCache14.xml"/><Relationship Id="rId119" Type="http://schemas.openxmlformats.org/officeDocument/2006/relationships/customXml" Target="../customXml/item58.xml"/><Relationship Id="rId270" Type="http://schemas.openxmlformats.org/officeDocument/2006/relationships/customXml" Target="../customXml/item209.xml"/><Relationship Id="rId326" Type="http://schemas.openxmlformats.org/officeDocument/2006/relationships/customXml" Target="../customXml/item265.xml"/><Relationship Id="rId65" Type="http://schemas.openxmlformats.org/officeDocument/2006/relationships/customXml" Target="../customXml/item4.xml"/><Relationship Id="rId130" Type="http://schemas.openxmlformats.org/officeDocument/2006/relationships/customXml" Target="../customXml/item69.xml"/><Relationship Id="rId368" Type="http://schemas.openxmlformats.org/officeDocument/2006/relationships/customXml" Target="../customXml/item307.xml"/><Relationship Id="rId172" Type="http://schemas.openxmlformats.org/officeDocument/2006/relationships/customXml" Target="../customXml/item111.xml"/><Relationship Id="rId228" Type="http://schemas.openxmlformats.org/officeDocument/2006/relationships/customXml" Target="../customXml/item167.xml"/><Relationship Id="rId281" Type="http://schemas.openxmlformats.org/officeDocument/2006/relationships/customXml" Target="../customXml/item220.xml"/><Relationship Id="rId337" Type="http://schemas.openxmlformats.org/officeDocument/2006/relationships/customXml" Target="../customXml/item276.xml"/><Relationship Id="rId34" Type="http://schemas.openxmlformats.org/officeDocument/2006/relationships/pivotCacheDefinition" Target="pivotCache/pivotCacheDefinition12.xml"/><Relationship Id="rId76" Type="http://schemas.openxmlformats.org/officeDocument/2006/relationships/customXml" Target="../customXml/item15.xml"/><Relationship Id="rId141" Type="http://schemas.openxmlformats.org/officeDocument/2006/relationships/customXml" Target="../customXml/item80.xml"/><Relationship Id="rId379" Type="http://schemas.openxmlformats.org/officeDocument/2006/relationships/customXml" Target="../customXml/item318.xml"/><Relationship Id="rId7" Type="http://schemas.openxmlformats.org/officeDocument/2006/relationships/pivotCacheDefinition" Target="pivotCache/pivotCacheDefinition2.xml"/><Relationship Id="rId183" Type="http://schemas.openxmlformats.org/officeDocument/2006/relationships/customXml" Target="../customXml/item122.xml"/><Relationship Id="rId239" Type="http://schemas.openxmlformats.org/officeDocument/2006/relationships/customXml" Target="../customXml/item178.xml"/><Relationship Id="rId390" Type="http://schemas.openxmlformats.org/officeDocument/2006/relationships/customXml" Target="../customXml/item329.xml"/><Relationship Id="rId250" Type="http://schemas.openxmlformats.org/officeDocument/2006/relationships/customXml" Target="../customXml/item189.xml"/><Relationship Id="rId292" Type="http://schemas.openxmlformats.org/officeDocument/2006/relationships/customXml" Target="../customXml/item231.xml"/><Relationship Id="rId306" Type="http://schemas.openxmlformats.org/officeDocument/2006/relationships/customXml" Target="../customXml/item245.xml"/><Relationship Id="rId45" Type="http://schemas.openxmlformats.org/officeDocument/2006/relationships/pivotTable" Target="pivotTables/pivotTable5.xml"/><Relationship Id="rId87" Type="http://schemas.openxmlformats.org/officeDocument/2006/relationships/customXml" Target="../customXml/item26.xml"/><Relationship Id="rId110" Type="http://schemas.openxmlformats.org/officeDocument/2006/relationships/customXml" Target="../customXml/item49.xml"/><Relationship Id="rId348" Type="http://schemas.openxmlformats.org/officeDocument/2006/relationships/customXml" Target="../customXml/item287.xml"/><Relationship Id="rId152" Type="http://schemas.openxmlformats.org/officeDocument/2006/relationships/customXml" Target="../customXml/item91.xml"/><Relationship Id="rId194" Type="http://schemas.openxmlformats.org/officeDocument/2006/relationships/customXml" Target="../customXml/item133.xml"/><Relationship Id="rId208" Type="http://schemas.openxmlformats.org/officeDocument/2006/relationships/customXml" Target="../customXml/item147.xml"/><Relationship Id="rId261" Type="http://schemas.openxmlformats.org/officeDocument/2006/relationships/customXml" Target="../customXml/item200.xml"/><Relationship Id="rId14" Type="http://schemas.microsoft.com/office/2007/relationships/slicerCache" Target="slicerCaches/slicerCache5.xml"/><Relationship Id="rId56" Type="http://schemas.openxmlformats.org/officeDocument/2006/relationships/connections" Target="connections.xml"/><Relationship Id="rId317" Type="http://schemas.openxmlformats.org/officeDocument/2006/relationships/customXml" Target="../customXml/item256.xml"/><Relationship Id="rId359" Type="http://schemas.openxmlformats.org/officeDocument/2006/relationships/customXml" Target="../customXml/item298.xml"/><Relationship Id="rId98" Type="http://schemas.openxmlformats.org/officeDocument/2006/relationships/customXml" Target="../customXml/item37.xml"/><Relationship Id="rId121" Type="http://schemas.openxmlformats.org/officeDocument/2006/relationships/customXml" Target="../customXml/item60.xml"/><Relationship Id="rId163" Type="http://schemas.openxmlformats.org/officeDocument/2006/relationships/customXml" Target="../customXml/item102.xml"/><Relationship Id="rId219" Type="http://schemas.openxmlformats.org/officeDocument/2006/relationships/customXml" Target="../customXml/item158.xml"/><Relationship Id="rId370" Type="http://schemas.openxmlformats.org/officeDocument/2006/relationships/customXml" Target="../customXml/item309.xml"/><Relationship Id="rId230" Type="http://schemas.openxmlformats.org/officeDocument/2006/relationships/customXml" Target="../customXml/item169.xml"/><Relationship Id="rId25" Type="http://schemas.microsoft.com/office/2007/relationships/slicerCache" Target="slicerCaches/slicerCache16.xml"/><Relationship Id="rId67" Type="http://schemas.openxmlformats.org/officeDocument/2006/relationships/customXml" Target="../customXml/item6.xml"/><Relationship Id="rId272" Type="http://schemas.openxmlformats.org/officeDocument/2006/relationships/customXml" Target="../customXml/item211.xml"/><Relationship Id="rId328" Type="http://schemas.openxmlformats.org/officeDocument/2006/relationships/customXml" Target="../customXml/item267.xml"/><Relationship Id="rId132" Type="http://schemas.openxmlformats.org/officeDocument/2006/relationships/customXml" Target="../customXml/item71.xml"/><Relationship Id="rId174" Type="http://schemas.openxmlformats.org/officeDocument/2006/relationships/customXml" Target="../customXml/item113.xml"/><Relationship Id="rId381" Type="http://schemas.openxmlformats.org/officeDocument/2006/relationships/customXml" Target="../customXml/item320.xml"/><Relationship Id="rId241" Type="http://schemas.openxmlformats.org/officeDocument/2006/relationships/customXml" Target="../customXml/item180.xml"/><Relationship Id="rId36" Type="http://schemas.openxmlformats.org/officeDocument/2006/relationships/pivotCacheDefinition" Target="pivotCache/pivotCacheDefinition14.xml"/><Relationship Id="rId283" Type="http://schemas.openxmlformats.org/officeDocument/2006/relationships/customXml" Target="../customXml/item222.xml"/><Relationship Id="rId339" Type="http://schemas.openxmlformats.org/officeDocument/2006/relationships/customXml" Target="../customXml/item278.xml"/><Relationship Id="rId78" Type="http://schemas.openxmlformats.org/officeDocument/2006/relationships/customXml" Target="../customXml/item17.xml"/><Relationship Id="rId101" Type="http://schemas.openxmlformats.org/officeDocument/2006/relationships/customXml" Target="../customXml/item40.xml"/><Relationship Id="rId143" Type="http://schemas.openxmlformats.org/officeDocument/2006/relationships/customXml" Target="../customXml/item82.xml"/><Relationship Id="rId185" Type="http://schemas.openxmlformats.org/officeDocument/2006/relationships/customXml" Target="../customXml/item124.xml"/><Relationship Id="rId350" Type="http://schemas.openxmlformats.org/officeDocument/2006/relationships/customXml" Target="../customXml/item289.xml"/><Relationship Id="rId9" Type="http://schemas.openxmlformats.org/officeDocument/2006/relationships/pivotCacheDefinition" Target="pivotCache/pivotCacheDefinition4.xml"/><Relationship Id="rId210" Type="http://schemas.openxmlformats.org/officeDocument/2006/relationships/customXml" Target="../customXml/item149.xml"/><Relationship Id="rId392" Type="http://schemas.openxmlformats.org/officeDocument/2006/relationships/customXml" Target="../customXml/item331.xml"/><Relationship Id="rId252" Type="http://schemas.openxmlformats.org/officeDocument/2006/relationships/customXml" Target="../customXml/item191.xml"/><Relationship Id="rId294" Type="http://schemas.openxmlformats.org/officeDocument/2006/relationships/customXml" Target="../customXml/item233.xml"/><Relationship Id="rId308" Type="http://schemas.openxmlformats.org/officeDocument/2006/relationships/customXml" Target="../customXml/item247.xml"/><Relationship Id="rId47" Type="http://schemas.openxmlformats.org/officeDocument/2006/relationships/pivotTable" Target="pivotTables/pivotTable7.xml"/><Relationship Id="rId89" Type="http://schemas.openxmlformats.org/officeDocument/2006/relationships/customXml" Target="../customXml/item28.xml"/><Relationship Id="rId112" Type="http://schemas.openxmlformats.org/officeDocument/2006/relationships/customXml" Target="../customXml/item51.xml"/><Relationship Id="rId154" Type="http://schemas.openxmlformats.org/officeDocument/2006/relationships/customXml" Target="../customXml/item93.xml"/><Relationship Id="rId361" Type="http://schemas.openxmlformats.org/officeDocument/2006/relationships/customXml" Target="../customXml/item300.xml"/><Relationship Id="rId196" Type="http://schemas.openxmlformats.org/officeDocument/2006/relationships/customXml" Target="../customXml/item135.xml"/><Relationship Id="rId16" Type="http://schemas.microsoft.com/office/2007/relationships/slicerCache" Target="slicerCaches/slicerCache7.xml"/><Relationship Id="rId221" Type="http://schemas.openxmlformats.org/officeDocument/2006/relationships/customXml" Target="../customXml/item160.xml"/><Relationship Id="rId263" Type="http://schemas.openxmlformats.org/officeDocument/2006/relationships/customXml" Target="../customXml/item202.xml"/><Relationship Id="rId319" Type="http://schemas.openxmlformats.org/officeDocument/2006/relationships/customXml" Target="../customXml/item258.xml"/><Relationship Id="rId58" Type="http://schemas.openxmlformats.org/officeDocument/2006/relationships/sharedStrings" Target="sharedStrings.xml"/><Relationship Id="rId123" Type="http://schemas.openxmlformats.org/officeDocument/2006/relationships/customXml" Target="../customXml/item62.xml"/><Relationship Id="rId330" Type="http://schemas.openxmlformats.org/officeDocument/2006/relationships/customXml" Target="../customXml/item269.xml"/><Relationship Id="rId90" Type="http://schemas.openxmlformats.org/officeDocument/2006/relationships/customXml" Target="../customXml/item29.xml"/><Relationship Id="rId165" Type="http://schemas.openxmlformats.org/officeDocument/2006/relationships/customXml" Target="../customXml/item104.xml"/><Relationship Id="rId186" Type="http://schemas.openxmlformats.org/officeDocument/2006/relationships/customXml" Target="../customXml/item125.xml"/><Relationship Id="rId351" Type="http://schemas.openxmlformats.org/officeDocument/2006/relationships/customXml" Target="../customXml/item290.xml"/><Relationship Id="rId372" Type="http://schemas.openxmlformats.org/officeDocument/2006/relationships/customXml" Target="../customXml/item311.xml"/><Relationship Id="rId393" Type="http://schemas.openxmlformats.org/officeDocument/2006/relationships/customXml" Target="../customXml/item332.xml"/><Relationship Id="rId211" Type="http://schemas.openxmlformats.org/officeDocument/2006/relationships/customXml" Target="../customXml/item150.xml"/><Relationship Id="rId232" Type="http://schemas.openxmlformats.org/officeDocument/2006/relationships/customXml" Target="../customXml/item171.xml"/><Relationship Id="rId253" Type="http://schemas.openxmlformats.org/officeDocument/2006/relationships/customXml" Target="../customXml/item192.xml"/><Relationship Id="rId274" Type="http://schemas.openxmlformats.org/officeDocument/2006/relationships/customXml" Target="../customXml/item213.xml"/><Relationship Id="rId295" Type="http://schemas.openxmlformats.org/officeDocument/2006/relationships/customXml" Target="../customXml/item234.xml"/><Relationship Id="rId309" Type="http://schemas.openxmlformats.org/officeDocument/2006/relationships/customXml" Target="../customXml/item248.xml"/><Relationship Id="rId27" Type="http://schemas.openxmlformats.org/officeDocument/2006/relationships/pivotCacheDefinition" Target="pivotCache/pivotCacheDefinition5.xml"/><Relationship Id="rId48" Type="http://schemas.openxmlformats.org/officeDocument/2006/relationships/pivotTable" Target="pivotTables/pivotTable8.xml"/><Relationship Id="rId69" Type="http://schemas.openxmlformats.org/officeDocument/2006/relationships/customXml" Target="../customXml/item8.xml"/><Relationship Id="rId113" Type="http://schemas.openxmlformats.org/officeDocument/2006/relationships/customXml" Target="../customXml/item52.xml"/><Relationship Id="rId134" Type="http://schemas.openxmlformats.org/officeDocument/2006/relationships/customXml" Target="../customXml/item73.xml"/><Relationship Id="rId320" Type="http://schemas.openxmlformats.org/officeDocument/2006/relationships/customXml" Target="../customXml/item259.xml"/><Relationship Id="rId80" Type="http://schemas.openxmlformats.org/officeDocument/2006/relationships/customXml" Target="../customXml/item19.xml"/><Relationship Id="rId155" Type="http://schemas.openxmlformats.org/officeDocument/2006/relationships/customXml" Target="../customXml/item94.xml"/><Relationship Id="rId176" Type="http://schemas.openxmlformats.org/officeDocument/2006/relationships/customXml" Target="../customXml/item115.xml"/><Relationship Id="rId197" Type="http://schemas.openxmlformats.org/officeDocument/2006/relationships/customXml" Target="../customXml/item136.xml"/><Relationship Id="rId341" Type="http://schemas.openxmlformats.org/officeDocument/2006/relationships/customXml" Target="../customXml/item280.xml"/><Relationship Id="rId362" Type="http://schemas.openxmlformats.org/officeDocument/2006/relationships/customXml" Target="../customXml/item301.xml"/><Relationship Id="rId383" Type="http://schemas.openxmlformats.org/officeDocument/2006/relationships/customXml" Target="../customXml/item322.xml"/><Relationship Id="rId201" Type="http://schemas.openxmlformats.org/officeDocument/2006/relationships/customXml" Target="../customXml/item140.xml"/><Relationship Id="rId222" Type="http://schemas.openxmlformats.org/officeDocument/2006/relationships/customXml" Target="../customXml/item161.xml"/><Relationship Id="rId243" Type="http://schemas.openxmlformats.org/officeDocument/2006/relationships/customXml" Target="../customXml/item182.xml"/><Relationship Id="rId264" Type="http://schemas.openxmlformats.org/officeDocument/2006/relationships/customXml" Target="../customXml/item203.xml"/><Relationship Id="rId285" Type="http://schemas.openxmlformats.org/officeDocument/2006/relationships/customXml" Target="../customXml/item224.xml"/><Relationship Id="rId17" Type="http://schemas.microsoft.com/office/2007/relationships/slicerCache" Target="slicerCaches/slicerCache8.xml"/><Relationship Id="rId38" Type="http://schemas.openxmlformats.org/officeDocument/2006/relationships/pivotCacheDefinition" Target="pivotCache/pivotCacheDefinition16.xml"/><Relationship Id="rId59" Type="http://schemas.openxmlformats.org/officeDocument/2006/relationships/sheetMetadata" Target="metadata.xml"/><Relationship Id="rId103" Type="http://schemas.openxmlformats.org/officeDocument/2006/relationships/customXml" Target="../customXml/item42.xml"/><Relationship Id="rId124" Type="http://schemas.openxmlformats.org/officeDocument/2006/relationships/customXml" Target="../customXml/item63.xml"/><Relationship Id="rId310" Type="http://schemas.openxmlformats.org/officeDocument/2006/relationships/customXml" Target="../customXml/item249.xml"/><Relationship Id="rId70" Type="http://schemas.openxmlformats.org/officeDocument/2006/relationships/customXml" Target="../customXml/item9.xml"/><Relationship Id="rId91" Type="http://schemas.openxmlformats.org/officeDocument/2006/relationships/customXml" Target="../customXml/item30.xml"/><Relationship Id="rId145" Type="http://schemas.openxmlformats.org/officeDocument/2006/relationships/customXml" Target="../customXml/item84.xml"/><Relationship Id="rId166" Type="http://schemas.openxmlformats.org/officeDocument/2006/relationships/customXml" Target="../customXml/item105.xml"/><Relationship Id="rId187" Type="http://schemas.openxmlformats.org/officeDocument/2006/relationships/customXml" Target="../customXml/item126.xml"/><Relationship Id="rId331" Type="http://schemas.openxmlformats.org/officeDocument/2006/relationships/customXml" Target="../customXml/item270.xml"/><Relationship Id="rId352" Type="http://schemas.openxmlformats.org/officeDocument/2006/relationships/customXml" Target="../customXml/item291.xml"/><Relationship Id="rId373" Type="http://schemas.openxmlformats.org/officeDocument/2006/relationships/customXml" Target="../customXml/item312.xml"/><Relationship Id="rId394" Type="http://schemas.openxmlformats.org/officeDocument/2006/relationships/customXml" Target="../customXml/item333.xml"/><Relationship Id="rId1" Type="http://schemas.openxmlformats.org/officeDocument/2006/relationships/worksheet" Target="worksheets/sheet1.xml"/><Relationship Id="rId212" Type="http://schemas.openxmlformats.org/officeDocument/2006/relationships/customXml" Target="../customXml/item151.xml"/><Relationship Id="rId233" Type="http://schemas.openxmlformats.org/officeDocument/2006/relationships/customXml" Target="../customXml/item172.xml"/><Relationship Id="rId254" Type="http://schemas.openxmlformats.org/officeDocument/2006/relationships/customXml" Target="../customXml/item193.xml"/><Relationship Id="rId28" Type="http://schemas.openxmlformats.org/officeDocument/2006/relationships/pivotCacheDefinition" Target="pivotCache/pivotCacheDefinition6.xml"/><Relationship Id="rId49" Type="http://schemas.openxmlformats.org/officeDocument/2006/relationships/pivotTable" Target="pivotTables/pivotTable9.xml"/><Relationship Id="rId114" Type="http://schemas.openxmlformats.org/officeDocument/2006/relationships/customXml" Target="../customXml/item53.xml"/><Relationship Id="rId275" Type="http://schemas.openxmlformats.org/officeDocument/2006/relationships/customXml" Target="../customXml/item214.xml"/><Relationship Id="rId296" Type="http://schemas.openxmlformats.org/officeDocument/2006/relationships/customXml" Target="../customXml/item235.xml"/><Relationship Id="rId300" Type="http://schemas.openxmlformats.org/officeDocument/2006/relationships/customXml" Target="../customXml/item239.xml"/><Relationship Id="rId60" Type="http://schemas.openxmlformats.org/officeDocument/2006/relationships/powerPivotData" Target="model/item.data"/><Relationship Id="rId81" Type="http://schemas.openxmlformats.org/officeDocument/2006/relationships/customXml" Target="../customXml/item20.xml"/><Relationship Id="rId135" Type="http://schemas.openxmlformats.org/officeDocument/2006/relationships/customXml" Target="../customXml/item74.xml"/><Relationship Id="rId156" Type="http://schemas.openxmlformats.org/officeDocument/2006/relationships/customXml" Target="../customXml/item95.xml"/><Relationship Id="rId177" Type="http://schemas.openxmlformats.org/officeDocument/2006/relationships/customXml" Target="../customXml/item116.xml"/><Relationship Id="rId198" Type="http://schemas.openxmlformats.org/officeDocument/2006/relationships/customXml" Target="../customXml/item137.xml"/><Relationship Id="rId321" Type="http://schemas.openxmlformats.org/officeDocument/2006/relationships/customXml" Target="../customXml/item260.xml"/><Relationship Id="rId342" Type="http://schemas.openxmlformats.org/officeDocument/2006/relationships/customXml" Target="../customXml/item281.xml"/><Relationship Id="rId363" Type="http://schemas.openxmlformats.org/officeDocument/2006/relationships/customXml" Target="../customXml/item302.xml"/><Relationship Id="rId384" Type="http://schemas.openxmlformats.org/officeDocument/2006/relationships/customXml" Target="../customXml/item323.xml"/><Relationship Id="rId202" Type="http://schemas.openxmlformats.org/officeDocument/2006/relationships/customXml" Target="../customXml/item141.xml"/><Relationship Id="rId223" Type="http://schemas.openxmlformats.org/officeDocument/2006/relationships/customXml" Target="../customXml/item162.xml"/><Relationship Id="rId244" Type="http://schemas.openxmlformats.org/officeDocument/2006/relationships/customXml" Target="../customXml/item183.xml"/><Relationship Id="rId18" Type="http://schemas.microsoft.com/office/2007/relationships/slicerCache" Target="slicerCaches/slicerCache9.xml"/><Relationship Id="rId39" Type="http://schemas.openxmlformats.org/officeDocument/2006/relationships/pivotCacheDefinition" Target="pivotCache/pivotCacheDefinition17.xml"/><Relationship Id="rId265" Type="http://schemas.openxmlformats.org/officeDocument/2006/relationships/customXml" Target="../customXml/item204.xml"/><Relationship Id="rId286" Type="http://schemas.openxmlformats.org/officeDocument/2006/relationships/customXml" Target="../customXml/item225.xml"/><Relationship Id="rId50" Type="http://schemas.openxmlformats.org/officeDocument/2006/relationships/pivotTable" Target="pivotTables/pivotTable10.xml"/><Relationship Id="rId104" Type="http://schemas.openxmlformats.org/officeDocument/2006/relationships/customXml" Target="../customXml/item43.xml"/><Relationship Id="rId125" Type="http://schemas.openxmlformats.org/officeDocument/2006/relationships/customXml" Target="../customXml/item64.xml"/><Relationship Id="rId146" Type="http://schemas.openxmlformats.org/officeDocument/2006/relationships/customXml" Target="../customXml/item85.xml"/><Relationship Id="rId167" Type="http://schemas.openxmlformats.org/officeDocument/2006/relationships/customXml" Target="../customXml/item106.xml"/><Relationship Id="rId188" Type="http://schemas.openxmlformats.org/officeDocument/2006/relationships/customXml" Target="../customXml/item127.xml"/><Relationship Id="rId311" Type="http://schemas.openxmlformats.org/officeDocument/2006/relationships/customXml" Target="../customXml/item250.xml"/><Relationship Id="rId332" Type="http://schemas.openxmlformats.org/officeDocument/2006/relationships/customXml" Target="../customXml/item271.xml"/><Relationship Id="rId353" Type="http://schemas.openxmlformats.org/officeDocument/2006/relationships/customXml" Target="../customXml/item292.xml"/><Relationship Id="rId374" Type="http://schemas.openxmlformats.org/officeDocument/2006/relationships/customXml" Target="../customXml/item313.xml"/><Relationship Id="rId395" Type="http://schemas.openxmlformats.org/officeDocument/2006/relationships/customXml" Target="../customXml/item334.xml"/><Relationship Id="rId71" Type="http://schemas.openxmlformats.org/officeDocument/2006/relationships/customXml" Target="../customXml/item10.xml"/><Relationship Id="rId92" Type="http://schemas.openxmlformats.org/officeDocument/2006/relationships/customXml" Target="../customXml/item31.xml"/><Relationship Id="rId213" Type="http://schemas.openxmlformats.org/officeDocument/2006/relationships/customXml" Target="../customXml/item152.xml"/><Relationship Id="rId234" Type="http://schemas.openxmlformats.org/officeDocument/2006/relationships/customXml" Target="../customXml/item173.xml"/><Relationship Id="rId2" Type="http://schemas.openxmlformats.org/officeDocument/2006/relationships/worksheet" Target="worksheets/sheet2.xml"/><Relationship Id="rId29" Type="http://schemas.openxmlformats.org/officeDocument/2006/relationships/pivotCacheDefinition" Target="pivotCache/pivotCacheDefinition7.xml"/><Relationship Id="rId255" Type="http://schemas.openxmlformats.org/officeDocument/2006/relationships/customXml" Target="../customXml/item194.xml"/><Relationship Id="rId276" Type="http://schemas.openxmlformats.org/officeDocument/2006/relationships/customXml" Target="../customXml/item215.xml"/><Relationship Id="rId297" Type="http://schemas.openxmlformats.org/officeDocument/2006/relationships/customXml" Target="../customXml/item236.xml"/><Relationship Id="rId40" Type="http://schemas.openxmlformats.org/officeDocument/2006/relationships/pivotCacheDefinition" Target="pivotCache/pivotCacheDefinition18.xml"/><Relationship Id="rId115" Type="http://schemas.openxmlformats.org/officeDocument/2006/relationships/customXml" Target="../customXml/item54.xml"/><Relationship Id="rId136" Type="http://schemas.openxmlformats.org/officeDocument/2006/relationships/customXml" Target="../customXml/item75.xml"/><Relationship Id="rId157" Type="http://schemas.openxmlformats.org/officeDocument/2006/relationships/customXml" Target="../customXml/item96.xml"/><Relationship Id="rId178" Type="http://schemas.openxmlformats.org/officeDocument/2006/relationships/customXml" Target="../customXml/item117.xml"/><Relationship Id="rId301" Type="http://schemas.openxmlformats.org/officeDocument/2006/relationships/customXml" Target="../customXml/item240.xml"/><Relationship Id="rId322" Type="http://schemas.openxmlformats.org/officeDocument/2006/relationships/customXml" Target="../customXml/item261.xml"/><Relationship Id="rId343" Type="http://schemas.openxmlformats.org/officeDocument/2006/relationships/customXml" Target="../customXml/item282.xml"/><Relationship Id="rId364" Type="http://schemas.openxmlformats.org/officeDocument/2006/relationships/customXml" Target="../customXml/item303.xml"/><Relationship Id="rId61" Type="http://schemas.openxmlformats.org/officeDocument/2006/relationships/calcChain" Target="calcChain.xml"/><Relationship Id="rId82" Type="http://schemas.openxmlformats.org/officeDocument/2006/relationships/customXml" Target="../customXml/item21.xml"/><Relationship Id="rId199" Type="http://schemas.openxmlformats.org/officeDocument/2006/relationships/customXml" Target="../customXml/item138.xml"/><Relationship Id="rId203" Type="http://schemas.openxmlformats.org/officeDocument/2006/relationships/customXml" Target="../customXml/item142.xml"/><Relationship Id="rId385" Type="http://schemas.openxmlformats.org/officeDocument/2006/relationships/customXml" Target="../customXml/item324.xml"/><Relationship Id="rId19" Type="http://schemas.microsoft.com/office/2007/relationships/slicerCache" Target="slicerCaches/slicerCache10.xml"/><Relationship Id="rId224" Type="http://schemas.openxmlformats.org/officeDocument/2006/relationships/customXml" Target="../customXml/item163.xml"/><Relationship Id="rId245" Type="http://schemas.openxmlformats.org/officeDocument/2006/relationships/customXml" Target="../customXml/item184.xml"/><Relationship Id="rId266" Type="http://schemas.openxmlformats.org/officeDocument/2006/relationships/customXml" Target="../customXml/item205.xml"/><Relationship Id="rId287" Type="http://schemas.openxmlformats.org/officeDocument/2006/relationships/customXml" Target="../customXml/item226.xml"/><Relationship Id="rId30" Type="http://schemas.openxmlformats.org/officeDocument/2006/relationships/pivotCacheDefinition" Target="pivotCache/pivotCacheDefinition8.xml"/><Relationship Id="rId105" Type="http://schemas.openxmlformats.org/officeDocument/2006/relationships/customXml" Target="../customXml/item44.xml"/><Relationship Id="rId126" Type="http://schemas.openxmlformats.org/officeDocument/2006/relationships/customXml" Target="../customXml/item65.xml"/><Relationship Id="rId147" Type="http://schemas.openxmlformats.org/officeDocument/2006/relationships/customXml" Target="../customXml/item86.xml"/><Relationship Id="rId168" Type="http://schemas.openxmlformats.org/officeDocument/2006/relationships/customXml" Target="../customXml/item107.xml"/><Relationship Id="rId312" Type="http://schemas.openxmlformats.org/officeDocument/2006/relationships/customXml" Target="../customXml/item251.xml"/><Relationship Id="rId333" Type="http://schemas.openxmlformats.org/officeDocument/2006/relationships/customXml" Target="../customXml/item272.xml"/><Relationship Id="rId354" Type="http://schemas.openxmlformats.org/officeDocument/2006/relationships/customXml" Target="../customXml/item293.xml"/><Relationship Id="rId51" Type="http://schemas.openxmlformats.org/officeDocument/2006/relationships/pivotTable" Target="pivotTables/pivotTable11.xml"/><Relationship Id="rId72" Type="http://schemas.openxmlformats.org/officeDocument/2006/relationships/customXml" Target="../customXml/item11.xml"/><Relationship Id="rId93" Type="http://schemas.openxmlformats.org/officeDocument/2006/relationships/customXml" Target="../customXml/item32.xml"/><Relationship Id="rId189" Type="http://schemas.openxmlformats.org/officeDocument/2006/relationships/customXml" Target="../customXml/item128.xml"/><Relationship Id="rId375" Type="http://schemas.openxmlformats.org/officeDocument/2006/relationships/customXml" Target="../customXml/item314.xml"/><Relationship Id="rId396" Type="http://schemas.openxmlformats.org/officeDocument/2006/relationships/customXml" Target="../customXml/item335.xml"/><Relationship Id="rId3" Type="http://schemas.openxmlformats.org/officeDocument/2006/relationships/worksheet" Target="worksheets/sheet3.xml"/><Relationship Id="rId214" Type="http://schemas.openxmlformats.org/officeDocument/2006/relationships/customXml" Target="../customXml/item153.xml"/><Relationship Id="rId235" Type="http://schemas.openxmlformats.org/officeDocument/2006/relationships/customXml" Target="../customXml/item174.xml"/><Relationship Id="rId256" Type="http://schemas.openxmlformats.org/officeDocument/2006/relationships/customXml" Target="../customXml/item195.xml"/><Relationship Id="rId277" Type="http://schemas.openxmlformats.org/officeDocument/2006/relationships/customXml" Target="../customXml/item216.xml"/><Relationship Id="rId298" Type="http://schemas.openxmlformats.org/officeDocument/2006/relationships/customXml" Target="../customXml/item237.xml"/><Relationship Id="rId400" Type="http://schemas.openxmlformats.org/officeDocument/2006/relationships/customXml" Target="../customXml/item339.xml"/><Relationship Id="rId116" Type="http://schemas.openxmlformats.org/officeDocument/2006/relationships/customXml" Target="../customXml/item55.xml"/><Relationship Id="rId137" Type="http://schemas.openxmlformats.org/officeDocument/2006/relationships/customXml" Target="../customXml/item76.xml"/><Relationship Id="rId158" Type="http://schemas.openxmlformats.org/officeDocument/2006/relationships/customXml" Target="../customXml/item97.xml"/><Relationship Id="rId302" Type="http://schemas.openxmlformats.org/officeDocument/2006/relationships/customXml" Target="../customXml/item241.xml"/><Relationship Id="rId323" Type="http://schemas.openxmlformats.org/officeDocument/2006/relationships/customXml" Target="../customXml/item262.xml"/><Relationship Id="rId344" Type="http://schemas.openxmlformats.org/officeDocument/2006/relationships/customXml" Target="../customXml/item283.xml"/><Relationship Id="rId20" Type="http://schemas.microsoft.com/office/2007/relationships/slicerCache" Target="slicerCaches/slicerCache11.xml"/><Relationship Id="rId41" Type="http://schemas.openxmlformats.org/officeDocument/2006/relationships/pivotTable" Target="pivotTables/pivotTable1.xml"/><Relationship Id="rId62" Type="http://schemas.openxmlformats.org/officeDocument/2006/relationships/customXml" Target="../customXml/item1.xml"/><Relationship Id="rId83" Type="http://schemas.openxmlformats.org/officeDocument/2006/relationships/customXml" Target="../customXml/item22.xml"/><Relationship Id="rId179" Type="http://schemas.openxmlformats.org/officeDocument/2006/relationships/customXml" Target="../customXml/item118.xml"/><Relationship Id="rId365" Type="http://schemas.openxmlformats.org/officeDocument/2006/relationships/customXml" Target="../customXml/item304.xml"/><Relationship Id="rId386" Type="http://schemas.openxmlformats.org/officeDocument/2006/relationships/customXml" Target="../customXml/item325.xml"/><Relationship Id="rId190" Type="http://schemas.openxmlformats.org/officeDocument/2006/relationships/customXml" Target="../customXml/item129.xml"/><Relationship Id="rId204" Type="http://schemas.openxmlformats.org/officeDocument/2006/relationships/customXml" Target="../customXml/item143.xml"/><Relationship Id="rId225" Type="http://schemas.openxmlformats.org/officeDocument/2006/relationships/customXml" Target="../customXml/item164.xml"/><Relationship Id="rId246" Type="http://schemas.openxmlformats.org/officeDocument/2006/relationships/customXml" Target="../customXml/item185.xml"/><Relationship Id="rId267" Type="http://schemas.openxmlformats.org/officeDocument/2006/relationships/customXml" Target="../customXml/item206.xml"/><Relationship Id="rId288" Type="http://schemas.openxmlformats.org/officeDocument/2006/relationships/customXml" Target="../customXml/item227.xml"/><Relationship Id="rId106" Type="http://schemas.openxmlformats.org/officeDocument/2006/relationships/customXml" Target="../customXml/item45.xml"/><Relationship Id="rId127" Type="http://schemas.openxmlformats.org/officeDocument/2006/relationships/customXml" Target="../customXml/item66.xml"/><Relationship Id="rId313" Type="http://schemas.openxmlformats.org/officeDocument/2006/relationships/customXml" Target="../customXml/item252.xml"/><Relationship Id="rId10" Type="http://schemas.microsoft.com/office/2007/relationships/slicerCache" Target="slicerCaches/slicerCache1.xml"/><Relationship Id="rId31" Type="http://schemas.openxmlformats.org/officeDocument/2006/relationships/pivotCacheDefinition" Target="pivotCache/pivotCacheDefinition9.xml"/><Relationship Id="rId52" Type="http://schemas.openxmlformats.org/officeDocument/2006/relationships/pivotTable" Target="pivotTables/pivotTable12.xml"/><Relationship Id="rId73" Type="http://schemas.openxmlformats.org/officeDocument/2006/relationships/customXml" Target="../customXml/item12.xml"/><Relationship Id="rId94" Type="http://schemas.openxmlformats.org/officeDocument/2006/relationships/customXml" Target="../customXml/item33.xml"/><Relationship Id="rId148" Type="http://schemas.openxmlformats.org/officeDocument/2006/relationships/customXml" Target="../customXml/item87.xml"/><Relationship Id="rId169" Type="http://schemas.openxmlformats.org/officeDocument/2006/relationships/customXml" Target="../customXml/item108.xml"/><Relationship Id="rId334" Type="http://schemas.openxmlformats.org/officeDocument/2006/relationships/customXml" Target="../customXml/item273.xml"/><Relationship Id="rId355" Type="http://schemas.openxmlformats.org/officeDocument/2006/relationships/customXml" Target="../customXml/item294.xml"/><Relationship Id="rId376" Type="http://schemas.openxmlformats.org/officeDocument/2006/relationships/customXml" Target="../customXml/item315.xml"/><Relationship Id="rId397" Type="http://schemas.openxmlformats.org/officeDocument/2006/relationships/customXml" Target="../customXml/item336.xml"/><Relationship Id="rId4" Type="http://schemas.openxmlformats.org/officeDocument/2006/relationships/worksheet" Target="worksheets/sheet4.xml"/><Relationship Id="rId180" Type="http://schemas.openxmlformats.org/officeDocument/2006/relationships/customXml" Target="../customXml/item119.xml"/><Relationship Id="rId215" Type="http://schemas.openxmlformats.org/officeDocument/2006/relationships/customXml" Target="../customXml/item154.xml"/><Relationship Id="rId236" Type="http://schemas.openxmlformats.org/officeDocument/2006/relationships/customXml" Target="../customXml/item175.xml"/><Relationship Id="rId257" Type="http://schemas.openxmlformats.org/officeDocument/2006/relationships/customXml" Target="../customXml/item196.xml"/><Relationship Id="rId278" Type="http://schemas.openxmlformats.org/officeDocument/2006/relationships/customXml" Target="../customXml/item217.xml"/><Relationship Id="rId401" Type="http://schemas.openxmlformats.org/officeDocument/2006/relationships/volatileDependencies" Target="volatileDependencies.xml"/><Relationship Id="rId303" Type="http://schemas.openxmlformats.org/officeDocument/2006/relationships/customXml" Target="../customXml/item242.xml"/><Relationship Id="rId42" Type="http://schemas.openxmlformats.org/officeDocument/2006/relationships/pivotTable" Target="pivotTables/pivotTable2.xml"/><Relationship Id="rId84" Type="http://schemas.openxmlformats.org/officeDocument/2006/relationships/customXml" Target="../customXml/item23.xml"/><Relationship Id="rId138" Type="http://schemas.openxmlformats.org/officeDocument/2006/relationships/customXml" Target="../customXml/item77.xml"/><Relationship Id="rId345" Type="http://schemas.openxmlformats.org/officeDocument/2006/relationships/customXml" Target="../customXml/item284.xml"/><Relationship Id="rId387" Type="http://schemas.openxmlformats.org/officeDocument/2006/relationships/customXml" Target="../customXml/item326.xml"/><Relationship Id="rId191" Type="http://schemas.openxmlformats.org/officeDocument/2006/relationships/customXml" Target="../customXml/item130.xml"/><Relationship Id="rId205" Type="http://schemas.openxmlformats.org/officeDocument/2006/relationships/customXml" Target="../customXml/item144.xml"/><Relationship Id="rId247" Type="http://schemas.openxmlformats.org/officeDocument/2006/relationships/customXml" Target="../customXml/item186.xml"/><Relationship Id="rId107" Type="http://schemas.openxmlformats.org/officeDocument/2006/relationships/customXml" Target="../customXml/item46.xml"/><Relationship Id="rId289" Type="http://schemas.openxmlformats.org/officeDocument/2006/relationships/customXml" Target="../customXml/item228.xml"/><Relationship Id="rId11" Type="http://schemas.microsoft.com/office/2007/relationships/slicerCache" Target="slicerCaches/slicerCache2.xml"/><Relationship Id="rId53" Type="http://schemas.openxmlformats.org/officeDocument/2006/relationships/pivotTable" Target="pivotTables/pivotTable13.xml"/><Relationship Id="rId149" Type="http://schemas.openxmlformats.org/officeDocument/2006/relationships/customXml" Target="../customXml/item88.xml"/><Relationship Id="rId314" Type="http://schemas.openxmlformats.org/officeDocument/2006/relationships/customXml" Target="../customXml/item253.xml"/><Relationship Id="rId356" Type="http://schemas.openxmlformats.org/officeDocument/2006/relationships/customXml" Target="../customXml/item295.xml"/><Relationship Id="rId398" Type="http://schemas.openxmlformats.org/officeDocument/2006/relationships/customXml" Target="../customXml/item337.xml"/><Relationship Id="rId95" Type="http://schemas.openxmlformats.org/officeDocument/2006/relationships/customXml" Target="../customXml/item34.xml"/><Relationship Id="rId160" Type="http://schemas.openxmlformats.org/officeDocument/2006/relationships/customXml" Target="../customXml/item99.xml"/><Relationship Id="rId216" Type="http://schemas.openxmlformats.org/officeDocument/2006/relationships/customXml" Target="../customXml/item155.xml"/><Relationship Id="rId258" Type="http://schemas.openxmlformats.org/officeDocument/2006/relationships/customXml" Target="../customXml/item197.xml"/><Relationship Id="rId22" Type="http://schemas.microsoft.com/office/2007/relationships/slicerCache" Target="slicerCaches/slicerCache13.xml"/><Relationship Id="rId64" Type="http://schemas.openxmlformats.org/officeDocument/2006/relationships/customXml" Target="../customXml/item3.xml"/><Relationship Id="rId118" Type="http://schemas.openxmlformats.org/officeDocument/2006/relationships/customXml" Target="../customXml/item57.xml"/><Relationship Id="rId325" Type="http://schemas.openxmlformats.org/officeDocument/2006/relationships/customXml" Target="../customXml/item264.xml"/><Relationship Id="rId367" Type="http://schemas.openxmlformats.org/officeDocument/2006/relationships/customXml" Target="../customXml/item306.xml"/><Relationship Id="rId171" Type="http://schemas.openxmlformats.org/officeDocument/2006/relationships/customXml" Target="../customXml/item110.xml"/><Relationship Id="rId227" Type="http://schemas.openxmlformats.org/officeDocument/2006/relationships/customXml" Target="../customXml/item166.xml"/><Relationship Id="rId269" Type="http://schemas.openxmlformats.org/officeDocument/2006/relationships/customXml" Target="../customXml/item208.xml"/><Relationship Id="rId33" Type="http://schemas.openxmlformats.org/officeDocument/2006/relationships/pivotCacheDefinition" Target="pivotCache/pivotCacheDefinition11.xml"/><Relationship Id="rId129" Type="http://schemas.openxmlformats.org/officeDocument/2006/relationships/customXml" Target="../customXml/item68.xml"/><Relationship Id="rId280" Type="http://schemas.openxmlformats.org/officeDocument/2006/relationships/customXml" Target="../customXml/item219.xml"/><Relationship Id="rId336" Type="http://schemas.openxmlformats.org/officeDocument/2006/relationships/customXml" Target="../customXml/item275.xml"/><Relationship Id="rId75" Type="http://schemas.openxmlformats.org/officeDocument/2006/relationships/customXml" Target="../customXml/item14.xml"/><Relationship Id="rId140" Type="http://schemas.openxmlformats.org/officeDocument/2006/relationships/customXml" Target="../customXml/item79.xml"/><Relationship Id="rId182" Type="http://schemas.openxmlformats.org/officeDocument/2006/relationships/customXml" Target="../customXml/item121.xml"/><Relationship Id="rId378" Type="http://schemas.openxmlformats.org/officeDocument/2006/relationships/customXml" Target="../customXml/item317.xml"/><Relationship Id="rId6" Type="http://schemas.openxmlformats.org/officeDocument/2006/relationships/pivotCacheDefinition" Target="pivotCache/pivotCacheDefinition1.xml"/><Relationship Id="rId238" Type="http://schemas.openxmlformats.org/officeDocument/2006/relationships/customXml" Target="../customXml/item177.xml"/><Relationship Id="rId291" Type="http://schemas.openxmlformats.org/officeDocument/2006/relationships/customXml" Target="../customXml/item230.xml"/><Relationship Id="rId305" Type="http://schemas.openxmlformats.org/officeDocument/2006/relationships/customXml" Target="../customXml/item244.xml"/><Relationship Id="rId347" Type="http://schemas.openxmlformats.org/officeDocument/2006/relationships/customXml" Target="../customXml/item286.xml"/><Relationship Id="rId44" Type="http://schemas.openxmlformats.org/officeDocument/2006/relationships/pivotTable" Target="pivotTables/pivotTable4.xml"/><Relationship Id="rId86" Type="http://schemas.openxmlformats.org/officeDocument/2006/relationships/customXml" Target="../customXml/item25.xml"/><Relationship Id="rId151" Type="http://schemas.openxmlformats.org/officeDocument/2006/relationships/customXml" Target="../customXml/item90.xml"/><Relationship Id="rId389" Type="http://schemas.openxmlformats.org/officeDocument/2006/relationships/customXml" Target="../customXml/item328.xml"/><Relationship Id="rId193" Type="http://schemas.openxmlformats.org/officeDocument/2006/relationships/customXml" Target="../customXml/item132.xml"/><Relationship Id="rId207" Type="http://schemas.openxmlformats.org/officeDocument/2006/relationships/customXml" Target="../customXml/item146.xml"/><Relationship Id="rId249" Type="http://schemas.openxmlformats.org/officeDocument/2006/relationships/customXml" Target="../customXml/item188.xml"/><Relationship Id="rId13" Type="http://schemas.microsoft.com/office/2007/relationships/slicerCache" Target="slicerCaches/slicerCache4.xml"/><Relationship Id="rId109" Type="http://schemas.openxmlformats.org/officeDocument/2006/relationships/customXml" Target="../customXml/item48.xml"/><Relationship Id="rId260" Type="http://schemas.openxmlformats.org/officeDocument/2006/relationships/customXml" Target="../customXml/item199.xml"/><Relationship Id="rId316" Type="http://schemas.openxmlformats.org/officeDocument/2006/relationships/customXml" Target="../customXml/item255.xml"/><Relationship Id="rId55" Type="http://schemas.openxmlformats.org/officeDocument/2006/relationships/theme" Target="theme/theme1.xml"/><Relationship Id="rId97" Type="http://schemas.openxmlformats.org/officeDocument/2006/relationships/customXml" Target="../customXml/item36.xml"/><Relationship Id="rId120" Type="http://schemas.openxmlformats.org/officeDocument/2006/relationships/customXml" Target="../customXml/item59.xml"/><Relationship Id="rId358" Type="http://schemas.openxmlformats.org/officeDocument/2006/relationships/customXml" Target="../customXml/item297.xml"/><Relationship Id="rId162" Type="http://schemas.openxmlformats.org/officeDocument/2006/relationships/customXml" Target="../customXml/item101.xml"/><Relationship Id="rId218" Type="http://schemas.openxmlformats.org/officeDocument/2006/relationships/customXml" Target="../customXml/item157.xml"/><Relationship Id="rId271" Type="http://schemas.openxmlformats.org/officeDocument/2006/relationships/customXml" Target="../customXml/item210.xml"/><Relationship Id="rId24" Type="http://schemas.microsoft.com/office/2007/relationships/slicerCache" Target="slicerCaches/slicerCache15.xml"/><Relationship Id="rId66" Type="http://schemas.openxmlformats.org/officeDocument/2006/relationships/customXml" Target="../customXml/item5.xml"/><Relationship Id="rId131" Type="http://schemas.openxmlformats.org/officeDocument/2006/relationships/customXml" Target="../customXml/item70.xml"/><Relationship Id="rId327" Type="http://schemas.openxmlformats.org/officeDocument/2006/relationships/customXml" Target="../customXml/item266.xml"/><Relationship Id="rId369" Type="http://schemas.openxmlformats.org/officeDocument/2006/relationships/customXml" Target="../customXml/item308.xml"/><Relationship Id="rId173" Type="http://schemas.openxmlformats.org/officeDocument/2006/relationships/customXml" Target="../customXml/item112.xml"/><Relationship Id="rId229" Type="http://schemas.openxmlformats.org/officeDocument/2006/relationships/customXml" Target="../customXml/item168.xml"/><Relationship Id="rId380" Type="http://schemas.openxmlformats.org/officeDocument/2006/relationships/customXml" Target="../customXml/item319.xml"/><Relationship Id="rId240" Type="http://schemas.openxmlformats.org/officeDocument/2006/relationships/customXml" Target="../customXml/item179.xml"/><Relationship Id="rId35" Type="http://schemas.openxmlformats.org/officeDocument/2006/relationships/pivotCacheDefinition" Target="pivotCache/pivotCacheDefinition13.xml"/><Relationship Id="rId77" Type="http://schemas.openxmlformats.org/officeDocument/2006/relationships/customXml" Target="../customXml/item16.xml"/><Relationship Id="rId100" Type="http://schemas.openxmlformats.org/officeDocument/2006/relationships/customXml" Target="../customXml/item39.xml"/><Relationship Id="rId282" Type="http://schemas.openxmlformats.org/officeDocument/2006/relationships/customXml" Target="../customXml/item221.xml"/><Relationship Id="rId338" Type="http://schemas.openxmlformats.org/officeDocument/2006/relationships/customXml" Target="../customXml/item277.xml"/><Relationship Id="rId8" Type="http://schemas.openxmlformats.org/officeDocument/2006/relationships/pivotCacheDefinition" Target="pivotCache/pivotCacheDefinition3.xml"/><Relationship Id="rId142" Type="http://schemas.openxmlformats.org/officeDocument/2006/relationships/customXml" Target="../customXml/item81.xml"/><Relationship Id="rId184" Type="http://schemas.openxmlformats.org/officeDocument/2006/relationships/customXml" Target="../customXml/item123.xml"/><Relationship Id="rId391" Type="http://schemas.openxmlformats.org/officeDocument/2006/relationships/customXml" Target="../customXml/item330.xml"/><Relationship Id="rId251" Type="http://schemas.openxmlformats.org/officeDocument/2006/relationships/customXml" Target="../customXml/item190.xml"/><Relationship Id="rId46" Type="http://schemas.openxmlformats.org/officeDocument/2006/relationships/pivotTable" Target="pivotTables/pivotTable6.xml"/><Relationship Id="rId293" Type="http://schemas.openxmlformats.org/officeDocument/2006/relationships/customXml" Target="../customXml/item232.xml"/><Relationship Id="rId307" Type="http://schemas.openxmlformats.org/officeDocument/2006/relationships/customXml" Target="../customXml/item246.xml"/><Relationship Id="rId349" Type="http://schemas.openxmlformats.org/officeDocument/2006/relationships/customXml" Target="../customXml/item288.xml"/><Relationship Id="rId88" Type="http://schemas.openxmlformats.org/officeDocument/2006/relationships/customXml" Target="../customXml/item27.xml"/><Relationship Id="rId111" Type="http://schemas.openxmlformats.org/officeDocument/2006/relationships/customXml" Target="../customXml/item50.xml"/><Relationship Id="rId153" Type="http://schemas.openxmlformats.org/officeDocument/2006/relationships/customXml" Target="../customXml/item92.xml"/><Relationship Id="rId195" Type="http://schemas.openxmlformats.org/officeDocument/2006/relationships/customXml" Target="../customXml/item134.xml"/><Relationship Id="rId209" Type="http://schemas.openxmlformats.org/officeDocument/2006/relationships/customXml" Target="../customXml/item148.xml"/><Relationship Id="rId360" Type="http://schemas.openxmlformats.org/officeDocument/2006/relationships/customXml" Target="../customXml/item299.xml"/><Relationship Id="rId220" Type="http://schemas.openxmlformats.org/officeDocument/2006/relationships/customXml" Target="../customXml/item159.xml"/><Relationship Id="rId15" Type="http://schemas.microsoft.com/office/2007/relationships/slicerCache" Target="slicerCaches/slicerCache6.xml"/><Relationship Id="rId57" Type="http://schemas.openxmlformats.org/officeDocument/2006/relationships/styles" Target="styles.xml"/><Relationship Id="rId262" Type="http://schemas.openxmlformats.org/officeDocument/2006/relationships/customXml" Target="../customXml/item201.xml"/><Relationship Id="rId318" Type="http://schemas.openxmlformats.org/officeDocument/2006/relationships/customXml" Target="../customXml/item257.xml"/><Relationship Id="rId99" Type="http://schemas.openxmlformats.org/officeDocument/2006/relationships/customXml" Target="../customXml/item38.xml"/><Relationship Id="rId122" Type="http://schemas.openxmlformats.org/officeDocument/2006/relationships/customXml" Target="../customXml/item61.xml"/><Relationship Id="rId164" Type="http://schemas.openxmlformats.org/officeDocument/2006/relationships/customXml" Target="../customXml/item103.xml"/><Relationship Id="rId371" Type="http://schemas.openxmlformats.org/officeDocument/2006/relationships/customXml" Target="../customXml/item310.xml"/><Relationship Id="rId26" Type="http://schemas.microsoft.com/office/2007/relationships/slicerCache" Target="slicerCaches/slicerCache17.xml"/><Relationship Id="rId231" Type="http://schemas.openxmlformats.org/officeDocument/2006/relationships/customXml" Target="../customXml/item170.xml"/><Relationship Id="rId273" Type="http://schemas.openxmlformats.org/officeDocument/2006/relationships/customXml" Target="../customXml/item212.xml"/><Relationship Id="rId329" Type="http://schemas.openxmlformats.org/officeDocument/2006/relationships/customXml" Target="../customXml/item268.xml"/><Relationship Id="rId68" Type="http://schemas.openxmlformats.org/officeDocument/2006/relationships/customXml" Target="../customXml/item7.xml"/><Relationship Id="rId133" Type="http://schemas.openxmlformats.org/officeDocument/2006/relationships/customXml" Target="../customXml/item72.xml"/><Relationship Id="rId175" Type="http://schemas.openxmlformats.org/officeDocument/2006/relationships/customXml" Target="../customXml/item114.xml"/><Relationship Id="rId340" Type="http://schemas.openxmlformats.org/officeDocument/2006/relationships/customXml" Target="../customXml/item279.xml"/><Relationship Id="rId200" Type="http://schemas.openxmlformats.org/officeDocument/2006/relationships/customXml" Target="../customXml/item139.xml"/><Relationship Id="rId382" Type="http://schemas.openxmlformats.org/officeDocument/2006/relationships/customXml" Target="../customXml/item321.xml"/><Relationship Id="rId242" Type="http://schemas.openxmlformats.org/officeDocument/2006/relationships/customXml" Target="../customXml/item181.xml"/><Relationship Id="rId284" Type="http://schemas.openxmlformats.org/officeDocument/2006/relationships/customXml" Target="../customXml/item223.xml"/><Relationship Id="rId37" Type="http://schemas.openxmlformats.org/officeDocument/2006/relationships/pivotCacheDefinition" Target="pivotCache/pivotCacheDefinition15.xml"/><Relationship Id="rId79" Type="http://schemas.openxmlformats.org/officeDocument/2006/relationships/customXml" Target="../customXml/item18.xml"/><Relationship Id="rId102" Type="http://schemas.openxmlformats.org/officeDocument/2006/relationships/customXml" Target="../customXml/item41.xml"/><Relationship Id="rId144" Type="http://schemas.openxmlformats.org/officeDocument/2006/relationships/customXml" Target="../customXml/item8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Bordennisklub</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pivotFmt>
      <c:pivotFmt>
        <c:idx val="69"/>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7"/>
              <c:pt idx="0">
                <c:v>Sisu/MBK</c:v>
              </c:pt>
              <c:pt idx="1">
                <c:v>BTK Viby</c:v>
              </c:pt>
              <c:pt idx="2">
                <c:v>Silkeborg BTK</c:v>
              </c:pt>
              <c:pt idx="3">
                <c:v>(Ingen klub)</c:v>
              </c:pt>
              <c:pt idx="4">
                <c:v>Hørning BTK</c:v>
              </c:pt>
              <c:pt idx="5">
                <c:v>Team Nørreå</c:v>
              </c:pt>
              <c:pt idx="6">
                <c:v>Rønde BTK</c:v>
              </c:pt>
              <c:pt idx="7">
                <c:v>Hvidovre BTK</c:v>
              </c:pt>
              <c:pt idx="8">
                <c:v>Vejle BTK</c:v>
              </c:pt>
              <c:pt idx="9">
                <c:v>Sjørring BTK</c:v>
              </c:pt>
              <c:pt idx="10">
                <c:v>Amager BTK</c:v>
              </c:pt>
              <c:pt idx="11">
                <c:v>BTK Midtjylland</c:v>
              </c:pt>
              <c:pt idx="12">
                <c:v>Hillerød GI</c:v>
              </c:pt>
              <c:pt idx="13">
                <c:v>BTK Tateni</c:v>
              </c:pt>
              <c:pt idx="14">
                <c:v>Holbæk BTK</c:v>
              </c:pt>
              <c:pt idx="15">
                <c:v>Brønderslev</c:v>
              </c:pt>
              <c:pt idx="16">
                <c:v>Esbjerg BTK</c:v>
              </c:pt>
            </c:strLit>
          </c:cat>
          <c:val>
            <c:numLit>
              <c:formatCode>#,##0</c:formatCode>
              <c:ptCount val="17"/>
              <c:pt idx="0">
                <c:v>19</c:v>
              </c:pt>
              <c:pt idx="1">
                <c:v>7</c:v>
              </c:pt>
              <c:pt idx="2">
                <c:v>6</c:v>
              </c:pt>
              <c:pt idx="3">
                <c:v>6</c:v>
              </c:pt>
              <c:pt idx="4">
                <c:v>6</c:v>
              </c:pt>
              <c:pt idx="5">
                <c:v>3</c:v>
              </c:pt>
              <c:pt idx="6">
                <c:v>2</c:v>
              </c:pt>
              <c:pt idx="7">
                <c:v>2</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01-3F76-4132-8466-1D2BD5C5240E}"/>
            </c:ext>
          </c:extLst>
        </c:ser>
        <c:dLbls>
          <c:showLegendKey val="0"/>
          <c:showVal val="1"/>
          <c:showCatName val="0"/>
          <c:showSerName val="0"/>
          <c:showPercent val="0"/>
          <c:showBubbleSize val="0"/>
        </c:dLbls>
        <c:gapWidth val="150"/>
        <c:overlap val="-25"/>
        <c:axId val="1588164688"/>
        <c:axId val="1588172176"/>
      </c:barChart>
      <c:catAx>
        <c:axId val="1588164688"/>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ysClr val="windowText" lastClr="000000"/>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t"/>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Pong.xlsx]PivotChartTable10</c15:name>
        <c15:fmtId val="2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Billetsalg</a:t>
            </a:r>
            <a:endParaRPr lang="da-DK" sz="1000" b="1">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9"/>
        <c:spPr>
          <a:solidFill>
            <a:schemeClr val="accent4"/>
          </a:solidFill>
          <a:ln>
            <a:noFill/>
          </a:ln>
          <a:effectLst/>
        </c:spPr>
      </c:pivotFmt>
      <c:pivotFmt>
        <c:idx val="60"/>
        <c:spPr>
          <a:solidFill>
            <a:schemeClr val="accent4"/>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rgbClr val="F92F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 Billetsalg</c:v>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0-6A96-4A42-9F98-CBE5B1C1B956}"/>
              </c:ext>
            </c:extLst>
          </c:dPt>
          <c:dPt>
            <c:idx val="1"/>
            <c:invertIfNegative val="0"/>
            <c:bubble3D val="0"/>
            <c:extLst>
              <c:ext xmlns:c16="http://schemas.microsoft.com/office/drawing/2014/chart" uri="{C3380CC4-5D6E-409C-BE32-E72D297353CC}">
                <c16:uniqueId val="{00000001-6A96-4A42-9F98-CBE5B1C1B956}"/>
              </c:ext>
            </c:extLst>
          </c:dPt>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2"/>
              <c:pt idx="0">
                <c:v>🏓</c:v>
              </c:pt>
              <c:pt idx="1">
                <c:v>🥳</c:v>
              </c:pt>
            </c:strLit>
          </c:cat>
          <c:val>
            <c:numLit>
              <c:formatCode>#,##0</c:formatCode>
              <c:ptCount val="2"/>
              <c:pt idx="0">
                <c:v>48</c:v>
              </c:pt>
              <c:pt idx="1">
                <c:v>42</c:v>
              </c:pt>
            </c:numLit>
          </c:val>
          <c:extLst>
            <c:ext xmlns:c16="http://schemas.microsoft.com/office/drawing/2014/chart" uri="{C3380CC4-5D6E-409C-BE32-E72D297353CC}">
              <c16:uniqueId val="{00000001-525C-4EBF-94E3-0EE11792DD19}"/>
            </c:ext>
          </c:extLst>
        </c:ser>
        <c:ser>
          <c:idx val="1"/>
          <c:order val="1"/>
          <c:tx>
            <c:v>🎫 Tilgængelige billetter</c:v>
          </c:tx>
          <c:spPr>
            <a:solidFill>
              <a:schemeClr val="accent3"/>
            </a:solidFill>
            <a:ln>
              <a:noFill/>
            </a:ln>
            <a:effectLst/>
          </c:spPr>
          <c:invertIfNegative val="0"/>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2"/>
              <c:pt idx="0">
                <c:v>🏓</c:v>
              </c:pt>
              <c:pt idx="1">
                <c:v>🥳</c:v>
              </c:pt>
            </c:strLit>
          </c:cat>
          <c:val>
            <c:numLit>
              <c:formatCode>0</c:formatCode>
              <c:ptCount val="2"/>
              <c:pt idx="0">
                <c:v>24</c:v>
              </c:pt>
              <c:pt idx="1">
                <c:v>78.000000000000014</c:v>
              </c:pt>
            </c:numLit>
          </c:val>
          <c:extLst>
            <c:ext xmlns:c16="http://schemas.microsoft.com/office/drawing/2014/chart" uri="{C3380CC4-5D6E-409C-BE32-E72D297353CC}">
              <c16:uniqueId val="{00000004-65AB-4FE0-90EF-2543CF6E6C66}"/>
            </c:ext>
          </c:extLst>
        </c:ser>
        <c:ser>
          <c:idx val="2"/>
          <c:order val="2"/>
          <c:tx>
            <c:v>🎫 Billetsalg afbud</c:v>
          </c:tx>
          <c:spPr>
            <a:solidFill>
              <a:srgbClr val="F92F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c:v>
              </c:pt>
              <c:pt idx="1">
                <c:v>🥳</c:v>
              </c:pt>
            </c:strLit>
          </c:cat>
          <c:val>
            <c:numLit>
              <c:formatCode>General</c:formatCode>
              <c:ptCount val="2"/>
              <c:pt idx="0">
                <c:v>8</c:v>
              </c:pt>
              <c:pt idx="1">
                <c:v>3</c:v>
              </c:pt>
            </c:numLit>
          </c:val>
          <c:extLst>
            <c:ext xmlns:c16="http://schemas.microsoft.com/office/drawing/2014/chart" uri="{C3380CC4-5D6E-409C-BE32-E72D297353CC}">
              <c16:uniqueId val="{00000004-D0BD-4402-B614-D2D071EA5BAE}"/>
            </c:ext>
          </c:extLst>
        </c:ser>
        <c:dLbls>
          <c:dLblPos val="outEnd"/>
          <c:showLegendKey val="0"/>
          <c:showVal val="1"/>
          <c:showCatName val="0"/>
          <c:showSerName val="0"/>
          <c:showPercent val="0"/>
          <c:showBubbleSize val="0"/>
        </c:dLbls>
        <c:gapWidth val="150"/>
        <c:axId val="1588164688"/>
        <c:axId val="1588172176"/>
      </c:barChart>
      <c:catAx>
        <c:axId val="1588164688"/>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t"/>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Pong.xlsx]PivotChartTable11</c15:name>
        <c15:fmtId val="2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a:solidFill>
                  <a:schemeClr val="tx1"/>
                </a:solidFill>
              </a:rPr>
              <a:t>🏛️ Landsdel</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marker>
          <c:symbol val="none"/>
        </c:marker>
        <c:dLbl>
          <c:idx val="0"/>
          <c:spPr>
            <a:solidFill>
              <a:schemeClr val="bg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dLbl>
          <c:idx val="0"/>
          <c:spPr>
            <a:solidFill>
              <a:schemeClr val="lt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overflow" horzOverflow="overflow"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9"/>
      </c:pivotFmt>
      <c:pivotFmt>
        <c:idx val="110"/>
        <c:spPr>
          <a:solidFill>
            <a:schemeClr val="accent1"/>
          </a:solidFill>
          <a:ln>
            <a:noFill/>
          </a:ln>
          <a:effectLst/>
        </c:spPr>
      </c:pivotFmt>
      <c:pivotFmt>
        <c:idx val="111"/>
      </c:pivotFmt>
      <c:pivotFmt>
        <c:idx val="112"/>
        <c:spPr>
          <a:solidFill>
            <a:schemeClr val="accent1"/>
          </a:solidFill>
          <a:ln>
            <a:noFill/>
          </a:ln>
          <a:effectLst/>
        </c:spPr>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BBA1-4DDD-9AE6-3F5D1A885524}"/>
              </c:ext>
            </c:extLst>
          </c:dPt>
          <c:dPt>
            <c:idx val="1"/>
            <c:invertIfNegative val="0"/>
            <c:bubble3D val="0"/>
            <c:extLst>
              <c:ext xmlns:c16="http://schemas.microsoft.com/office/drawing/2014/chart" uri="{C3380CC4-5D6E-409C-BE32-E72D297353CC}">
                <c16:uniqueId val="{00000003-D774-426D-8AF6-68A767A63846}"/>
              </c:ext>
            </c:extLst>
          </c:dPt>
          <c:dPt>
            <c:idx val="2"/>
            <c:invertIfNegative val="0"/>
            <c:bubble3D val="0"/>
            <c:extLst>
              <c:ext xmlns:c16="http://schemas.microsoft.com/office/drawing/2014/chart" uri="{C3380CC4-5D6E-409C-BE32-E72D297353CC}">
                <c16:uniqueId val="{00000005-A95C-4165-9668-34125DBA8C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Jylland</c:v>
              </c:pt>
              <c:pt idx="1">
                <c:v>Sjælland</c:v>
              </c:pt>
              <c:pt idx="2">
                <c:v>(Ukendt landsdel)</c:v>
              </c:pt>
            </c:strLit>
          </c:cat>
          <c:val>
            <c:numLit>
              <c:formatCode>#,##0</c:formatCode>
              <c:ptCount val="3"/>
              <c:pt idx="0">
                <c:v>49</c:v>
              </c:pt>
              <c:pt idx="1">
                <c:v>5</c:v>
              </c:pt>
              <c:pt idx="2">
                <c:v>6</c:v>
              </c:pt>
            </c:numLit>
          </c:val>
          <c:extLst>
            <c:ext xmlns:c16="http://schemas.microsoft.com/office/drawing/2014/chart" uri="{C3380CC4-5D6E-409C-BE32-E72D297353CC}">
              <c16:uniqueId val="{00000003-B3F9-4010-AE6F-746B026CCB50}"/>
            </c:ext>
          </c:extLst>
        </c:ser>
        <c:dLbls>
          <c:showLegendKey val="0"/>
          <c:showVal val="1"/>
          <c:showCatName val="0"/>
          <c:showSerName val="0"/>
          <c:showPercent val="0"/>
          <c:showBubbleSize val="0"/>
        </c:dLbls>
        <c:gapWidth val="150"/>
        <c:overlap val="-25"/>
        <c:axId val="470718352"/>
        <c:axId val="470707536"/>
      </c:barChart>
      <c:valAx>
        <c:axId val="470707536"/>
        <c:scaling>
          <c:orientation val="minMax"/>
        </c:scaling>
        <c:delete val="1"/>
        <c:axPos val="t"/>
        <c:numFmt formatCode="#,##0" sourceLinked="0"/>
        <c:majorTickMark val="none"/>
        <c:minorTickMark val="none"/>
        <c:tickLblPos val="nextTo"/>
        <c:crossAx val="470718352"/>
        <c:crosses val="autoZero"/>
        <c:crossBetween val="between"/>
        <c:extLst>
          <c:ext xmlns:c15="http://schemas.microsoft.com/office/drawing/2012/chart" uri="{F40574EE-89B7-4290-83BB-5DA773EAF853}">
            <c15:numFmt c:formatCode="#,##0" c:sourceLinked="1"/>
          </c:ext>
        </c:extLst>
      </c:valAx>
      <c:catAx>
        <c:axId val="470718352"/>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470707536"/>
        <c:crosses val="autoZero"/>
        <c:auto val="1"/>
        <c:lblAlgn val="ctr"/>
        <c:lblOffset val="100"/>
        <c:noMultiLvlLbl val="0"/>
        <c:extLst>
          <c:ext xmlns:c15="http://schemas.microsoft.com/office/drawing/2012/chart" uri="{F40574EE-89B7-4290-83BB-5DA773EAF853}">
            <c15:numFmt c:formatCode="General" c:sourceLinked="1"/>
          </c:ext>
        </c:extLst>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Pong.xlsx]PivotChartTable12</c15:name>
        <c15:fmtId val="31"/>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U</a:t>
            </a:r>
            <a:r>
              <a:rPr lang="da-DK" sz="1000" b="1" baseline="0">
                <a:solidFill>
                  <a:schemeClr val="tx1"/>
                </a:solidFill>
              </a:rPr>
              <a:t>gentlig</a:t>
            </a:r>
            <a:endParaRPr lang="da-DK" sz="1000" b="1">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pivotFmt>
      <c:pivotFmt>
        <c:idx val="29"/>
        <c:spPr>
          <a:solidFill>
            <a:schemeClr val="accent4"/>
          </a:solidFill>
          <a:ln>
            <a:noFill/>
          </a:ln>
          <a:effectLst/>
        </c:spPr>
        <c:marker>
          <c:symbol val="none"/>
        </c:marker>
      </c:pivotFmt>
      <c:pivotFmt>
        <c:idx val="3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a:noFill/>
          </a:ln>
          <a:effectLst/>
        </c:spPr>
        <c:marker>
          <c:symbol val="none"/>
        </c:marker>
      </c:pivotFmt>
      <c:pivotFmt>
        <c:idx val="61"/>
        <c:spPr>
          <a:solidFill>
            <a:schemeClr val="accent4"/>
          </a:solidFill>
          <a:ln>
            <a:noFill/>
          </a:ln>
          <a:effectLst/>
        </c:spPr>
        <c:marker>
          <c:symbol val="none"/>
        </c:marker>
      </c:pivotFmt>
      <c:pivotFmt>
        <c:idx val="62"/>
        <c:spPr>
          <a:solidFill>
            <a:schemeClr val="accent4"/>
          </a:solidFill>
          <a:ln>
            <a:noFill/>
          </a:ln>
          <a:effectLst/>
        </c:spPr>
        <c:marker>
          <c:symbol val="none"/>
        </c:marker>
      </c:pivotFmt>
      <c:pivotFmt>
        <c:idx val="63"/>
        <c:spPr>
          <a:solidFill>
            <a:schemeClr val="accent4"/>
          </a:solidFill>
          <a:ln>
            <a:noFill/>
          </a:ln>
          <a:effectLst/>
        </c:spPr>
        <c:marker>
          <c:symbol val="none"/>
        </c:marker>
      </c:pivotFmt>
      <c:pivotFmt>
        <c:idx val="64"/>
        <c:spPr>
          <a:solidFill>
            <a:schemeClr val="accent4"/>
          </a:solidFill>
          <a:ln>
            <a:noFill/>
          </a:ln>
          <a:effectLst/>
        </c:spPr>
        <c:marker>
          <c:symbol val="none"/>
        </c:marker>
      </c:pivotFmt>
      <c:pivotFmt>
        <c:idx val="6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3"/>
        <c:spPr>
          <a:ln w="28575" cap="rnd">
            <a:solidFill>
              <a:schemeClr val="accent4"/>
            </a:solidFill>
            <a:round/>
          </a:ln>
          <a:effectLst/>
        </c:spPr>
        <c:marker>
          <c:symbol val="circle"/>
          <c:size val="5"/>
          <c:spPr>
            <a:solidFill>
              <a:schemeClr val="accent4">
                <a:shade val="76000"/>
              </a:schemeClr>
            </a:solid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4"/>
        <c:spPr>
          <a:solidFill>
            <a:schemeClr val="accent4"/>
          </a:solidFill>
          <a:ln>
            <a:noFill/>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436507936507937E-2"/>
          <c:y val="0.22033935185185186"/>
          <c:w val="0.87755000000000005"/>
          <c:h val="0.46349212962962966"/>
        </c:manualLayout>
      </c:layout>
      <c:areaChart>
        <c:grouping val="standard"/>
        <c:varyColors val="0"/>
        <c:ser>
          <c:idx val="1"/>
          <c:order val="1"/>
          <c:tx>
            <c:v>👥 Tilmeldingsantal2</c:v>
          </c:tx>
          <c:spPr>
            <a:solidFill>
              <a:schemeClr val="accent4">
                <a:tint val="77000"/>
              </a:schemeClr>
            </a:solidFill>
            <a:ln>
              <a:noFill/>
            </a:ln>
            <a:effectLst/>
          </c:spPr>
          <c:cat>
            <c:strLit>
              <c:ptCount val="10"/>
              <c:pt idx="0">
                <c:v>Uge 16</c:v>
              </c:pt>
              <c:pt idx="1">
                <c:v>Uge 17</c:v>
              </c:pt>
              <c:pt idx="2">
                <c:v>Uge 18</c:v>
              </c:pt>
              <c:pt idx="3">
                <c:v>Uge 19</c:v>
              </c:pt>
              <c:pt idx="4">
                <c:v>Uge 20</c:v>
              </c:pt>
              <c:pt idx="5">
                <c:v>Uge 21</c:v>
              </c:pt>
              <c:pt idx="6">
                <c:v>Uge 22</c:v>
              </c:pt>
              <c:pt idx="7">
                <c:v>Uge 23</c:v>
              </c:pt>
              <c:pt idx="8">
                <c:v>Uge 24</c:v>
              </c:pt>
              <c:pt idx="9">
                <c:v>Uge 25</c:v>
              </c:pt>
            </c:strLit>
          </c:cat>
          <c:val>
            <c:numLit>
              <c:formatCode>#,##0</c:formatCode>
              <c:ptCount val="10"/>
              <c:pt idx="0">
                <c:v>3</c:v>
              </c:pt>
              <c:pt idx="1">
                <c:v>5</c:v>
              </c:pt>
              <c:pt idx="2">
                <c:v>3</c:v>
              </c:pt>
              <c:pt idx="3">
                <c:v>1</c:v>
              </c:pt>
              <c:pt idx="4">
                <c:v>3</c:v>
              </c:pt>
              <c:pt idx="5">
                <c:v>4</c:v>
              </c:pt>
              <c:pt idx="6">
                <c:v>7</c:v>
              </c:pt>
              <c:pt idx="7">
                <c:v>23</c:v>
              </c:pt>
              <c:pt idx="8">
                <c:v>3</c:v>
              </c:pt>
              <c:pt idx="9">
                <c:v>8</c:v>
              </c:pt>
            </c:numLit>
          </c:val>
          <c:extLst>
            <c:ext xmlns:c16="http://schemas.microsoft.com/office/drawing/2014/chart" uri="{C3380CC4-5D6E-409C-BE32-E72D297353CC}">
              <c16:uniqueId val="{00000003-D18C-47CF-86F7-3663867DDD96}"/>
            </c:ext>
          </c:extLst>
        </c:ser>
        <c:dLbls>
          <c:showLegendKey val="0"/>
          <c:showVal val="0"/>
          <c:showCatName val="0"/>
          <c:showSerName val="0"/>
          <c:showPercent val="0"/>
          <c:showBubbleSize val="0"/>
        </c:dLbls>
        <c:axId val="1588164688"/>
        <c:axId val="1588172176"/>
      </c:areaChart>
      <c:lineChart>
        <c:grouping val="standard"/>
        <c:varyColors val="0"/>
        <c:ser>
          <c:idx val="0"/>
          <c:order val="0"/>
          <c:tx>
            <c:v>👥 Tilmeldingsantal</c:v>
          </c:tx>
          <c:spPr>
            <a:ln w="28575" cap="rnd">
              <a:solidFill>
                <a:schemeClr val="accent4">
                  <a:shade val="76000"/>
                </a:schemeClr>
              </a:solidFill>
              <a:round/>
            </a:ln>
            <a:effectLst/>
          </c:spPr>
          <c:marker>
            <c:symbol val="circle"/>
            <c:size val="5"/>
            <c:spPr>
              <a:solidFill>
                <a:schemeClr val="accent4">
                  <a:shade val="76000"/>
                </a:schemeClr>
              </a:solidFill>
              <a:ln w="9525">
                <a:solidFill>
                  <a:schemeClr val="accent4">
                    <a:shade val="7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Uge 16</c:v>
              </c:pt>
              <c:pt idx="1">
                <c:v>Uge 17</c:v>
              </c:pt>
              <c:pt idx="2">
                <c:v>Uge 18</c:v>
              </c:pt>
              <c:pt idx="3">
                <c:v>Uge 19</c:v>
              </c:pt>
              <c:pt idx="4">
                <c:v>Uge 20</c:v>
              </c:pt>
              <c:pt idx="5">
                <c:v>Uge 21</c:v>
              </c:pt>
              <c:pt idx="6">
                <c:v>Uge 22</c:v>
              </c:pt>
              <c:pt idx="7">
                <c:v>Uge 23</c:v>
              </c:pt>
              <c:pt idx="8">
                <c:v>Uge 24</c:v>
              </c:pt>
              <c:pt idx="9">
                <c:v>Uge 25</c:v>
              </c:pt>
            </c:strLit>
          </c:cat>
          <c:val>
            <c:numLit>
              <c:formatCode>#,##0</c:formatCode>
              <c:ptCount val="10"/>
              <c:pt idx="0">
                <c:v>3</c:v>
              </c:pt>
              <c:pt idx="1">
                <c:v>5</c:v>
              </c:pt>
              <c:pt idx="2">
                <c:v>3</c:v>
              </c:pt>
              <c:pt idx="3">
                <c:v>1</c:v>
              </c:pt>
              <c:pt idx="4">
                <c:v>3</c:v>
              </c:pt>
              <c:pt idx="5">
                <c:v>4</c:v>
              </c:pt>
              <c:pt idx="6">
                <c:v>7</c:v>
              </c:pt>
              <c:pt idx="7">
                <c:v>23</c:v>
              </c:pt>
              <c:pt idx="8">
                <c:v>3</c:v>
              </c:pt>
              <c:pt idx="9">
                <c:v>8</c:v>
              </c:pt>
            </c:numLit>
          </c:val>
          <c:smooth val="0"/>
          <c:extLst>
            <c:ext xmlns:c16="http://schemas.microsoft.com/office/drawing/2014/chart" uri="{C3380CC4-5D6E-409C-BE32-E72D297353CC}">
              <c16:uniqueId val="{00000001-D238-4AE8-833C-50ACD2F3F144}"/>
            </c:ext>
          </c:extLst>
        </c:ser>
        <c:dLbls>
          <c:showLegendKey val="0"/>
          <c:showVal val="0"/>
          <c:showCatName val="0"/>
          <c:showSerName val="0"/>
          <c:showPercent val="0"/>
          <c:showBubbleSize val="0"/>
        </c:dLbls>
        <c:marker val="1"/>
        <c:smooth val="0"/>
        <c:axId val="1588164688"/>
        <c:axId val="1588172176"/>
      </c:lineChart>
      <c:catAx>
        <c:axId val="1588164688"/>
        <c:scaling>
          <c:orientation val="minMax"/>
        </c:scaling>
        <c:delete val="0"/>
        <c:axPos val="b"/>
        <c:numFmt formatCode="General" sourceLinked="0"/>
        <c:majorTickMark val="none"/>
        <c:minorTickMark val="none"/>
        <c:tickLblPos val="nextTo"/>
        <c:spPr>
          <a:noFill/>
          <a:ln w="9525" cap="flat" cmpd="sng" algn="ctr">
            <a:solidFill>
              <a:schemeClr val="bg1">
                <a:lumMod val="85000"/>
              </a:schemeClr>
            </a:solidFill>
            <a:round/>
          </a:ln>
          <a:effectLst/>
        </c:spPr>
        <c:txPr>
          <a:bodyPr rot="30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l"/>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Pong.xlsx]PivotChartTable15</c15:name>
        <c15:fmtId val="2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a:solidFill>
                  <a:schemeClr val="tx1"/>
                </a:solidFill>
              </a:rPr>
              <a:t>🏛️ Region</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marker>
          <c:symbol val="none"/>
        </c:marker>
        <c:dLbl>
          <c:idx val="0"/>
          <c:spPr>
            <a:solidFill>
              <a:schemeClr val="bg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dLbl>
          <c:idx val="0"/>
          <c:spPr>
            <a:solidFill>
              <a:schemeClr val="lt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overflow" horzOverflow="overflow"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8"/>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marker>
          <c:symbol val="none"/>
        </c:marker>
        <c:dLbl>
          <c:idx val="0"/>
          <c:spPr>
            <a:noFill/>
            <a:ln>
              <a:noFill/>
            </a:ln>
            <a:effectLst/>
          </c:spPr>
          <c:txPr>
            <a:bodyPr rot="0" spcFirstLastPara="1" vertOverflow="clip" horzOverflow="clip" vert="horz" wrap="non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6"/>
      </c:pivotFmt>
      <c:pivotFmt>
        <c:idx val="137"/>
      </c:pivotFmt>
      <c:pivotFmt>
        <c:idx val="138"/>
      </c:pivotFmt>
      <c:pivotFmt>
        <c:idx val="139"/>
      </c:pivotFmt>
      <c:pivotFmt>
        <c:idx val="140"/>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0461-4B43-9D2E-D691F7067BB1}"/>
              </c:ext>
            </c:extLst>
          </c:dPt>
          <c:dPt>
            <c:idx val="1"/>
            <c:invertIfNegative val="0"/>
            <c:bubble3D val="0"/>
            <c:extLst>
              <c:ext xmlns:c16="http://schemas.microsoft.com/office/drawing/2014/chart" uri="{C3380CC4-5D6E-409C-BE32-E72D297353CC}">
                <c16:uniqueId val="{00000003-0461-4B43-9D2E-D691F7067BB1}"/>
              </c:ext>
            </c:extLst>
          </c:dPt>
          <c:dPt>
            <c:idx val="2"/>
            <c:invertIfNegative val="0"/>
            <c:bubble3D val="0"/>
            <c:extLst>
              <c:ext xmlns:c16="http://schemas.microsoft.com/office/drawing/2014/chart" uri="{C3380CC4-5D6E-409C-BE32-E72D297353CC}">
                <c16:uniqueId val="{00000005-4DFA-4013-BFE9-192DEE76DF97}"/>
              </c:ext>
            </c:extLst>
          </c:dPt>
          <c:dPt>
            <c:idx val="3"/>
            <c:invertIfNegative val="0"/>
            <c:bubble3D val="0"/>
            <c:extLst>
              <c:ext xmlns:c16="http://schemas.microsoft.com/office/drawing/2014/chart" uri="{C3380CC4-5D6E-409C-BE32-E72D297353CC}">
                <c16:uniqueId val="{00000007-7FDB-407F-B8C1-55B813CFBB18}"/>
              </c:ext>
            </c:extLst>
          </c:dPt>
          <c:dPt>
            <c:idx val="4"/>
            <c:invertIfNegative val="0"/>
            <c:bubble3D val="0"/>
            <c:extLst>
              <c:ext xmlns:c16="http://schemas.microsoft.com/office/drawing/2014/chart" uri="{C3380CC4-5D6E-409C-BE32-E72D297353CC}">
                <c16:uniqueId val="{00000004-C29F-49C5-8BAF-E6F698AFBA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Region Midtjylland</c:v>
              </c:pt>
              <c:pt idx="1">
                <c:v>(Ukendt region)</c:v>
              </c:pt>
              <c:pt idx="2">
                <c:v>Region Hovedstaden</c:v>
              </c:pt>
              <c:pt idx="3">
                <c:v>Region Nordjylland</c:v>
              </c:pt>
              <c:pt idx="4">
                <c:v>Region Syddanmark</c:v>
              </c:pt>
              <c:pt idx="5">
                <c:v>Region Sjælland</c:v>
              </c:pt>
            </c:strLit>
          </c:cat>
          <c:val>
            <c:numLit>
              <c:formatCode>#,##0</c:formatCode>
              <c:ptCount val="6"/>
              <c:pt idx="0">
                <c:v>44</c:v>
              </c:pt>
              <c:pt idx="1">
                <c:v>6</c:v>
              </c:pt>
              <c:pt idx="2">
                <c:v>4</c:v>
              </c:pt>
              <c:pt idx="3">
                <c:v>3</c:v>
              </c:pt>
              <c:pt idx="4">
                <c:v>2</c:v>
              </c:pt>
              <c:pt idx="5">
                <c:v>1</c:v>
              </c:pt>
            </c:numLit>
          </c:val>
          <c:extLst>
            <c:ext xmlns:c16="http://schemas.microsoft.com/office/drawing/2014/chart" uri="{C3380CC4-5D6E-409C-BE32-E72D297353CC}">
              <c16:uniqueId val="{00000005-882E-450D-9775-AE6DB671166C}"/>
            </c:ext>
          </c:extLst>
        </c:ser>
        <c:dLbls>
          <c:showLegendKey val="0"/>
          <c:showVal val="1"/>
          <c:showCatName val="0"/>
          <c:showSerName val="0"/>
          <c:showPercent val="0"/>
          <c:showBubbleSize val="0"/>
        </c:dLbls>
        <c:gapWidth val="150"/>
        <c:overlap val="-25"/>
        <c:axId val="627959136"/>
        <c:axId val="627954976"/>
      </c:barChart>
      <c:valAx>
        <c:axId val="627954976"/>
        <c:scaling>
          <c:orientation val="minMax"/>
        </c:scaling>
        <c:delete val="1"/>
        <c:axPos val="t"/>
        <c:numFmt formatCode="#,##0" sourceLinked="0"/>
        <c:majorTickMark val="out"/>
        <c:minorTickMark val="none"/>
        <c:tickLblPos val="nextTo"/>
        <c:crossAx val="627959136"/>
        <c:crosses val="autoZero"/>
        <c:crossBetween val="between"/>
        <c:extLst>
          <c:ext xmlns:c15="http://schemas.microsoft.com/office/drawing/2012/chart" uri="{F40574EE-89B7-4290-83BB-5DA773EAF853}">
            <c15:numFmt c:formatCode="#,##0" c:sourceLinked="1"/>
          </c:ext>
        </c:extLst>
      </c:valAx>
      <c:catAx>
        <c:axId val="627959136"/>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7954976"/>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Pong.xlsx]PivotChartTable4</c15:name>
        <c15:fmtId val="38"/>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a:t>
            </a:r>
            <a:r>
              <a:rPr lang="en-US" sz="1000" b="1">
                <a:solidFill>
                  <a:schemeClr val="tx1"/>
                </a:solidFill>
              </a:rPr>
              <a:t>Aldersgruppe</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[&lt;=17] Ungdom</c:v>
              </c:pt>
              <c:pt idx="1">
                <c:v>[&lt;=39] Senior</c:v>
              </c:pt>
              <c:pt idx="2">
                <c:v>[&gt;=40] Veteran</c:v>
              </c:pt>
            </c:strLit>
          </c:cat>
          <c:val>
            <c:numLit>
              <c:formatCode>#,##0</c:formatCode>
              <c:ptCount val="3"/>
              <c:pt idx="0">
                <c:v>8</c:v>
              </c:pt>
              <c:pt idx="1">
                <c:v>38</c:v>
              </c:pt>
              <c:pt idx="2">
                <c:v>14</c:v>
              </c:pt>
            </c:numLit>
          </c:val>
          <c:extLst>
            <c:ext xmlns:c16="http://schemas.microsoft.com/office/drawing/2014/chart" uri="{C3380CC4-5D6E-409C-BE32-E72D297353CC}">
              <c16:uniqueId val="{00000001-D24D-4316-A0A4-A9873E135FA0}"/>
            </c:ext>
          </c:extLst>
        </c:ser>
        <c:dLbls>
          <c:showLegendKey val="0"/>
          <c:showVal val="1"/>
          <c:showCatName val="0"/>
          <c:showSerName val="0"/>
          <c:showPercent val="0"/>
          <c:showBubbleSize val="0"/>
        </c:dLbls>
        <c:gapWidth val="150"/>
        <c:overlap val="-25"/>
        <c:axId val="1588164688"/>
        <c:axId val="1588172176"/>
      </c:barChart>
      <c:catAx>
        <c:axId val="1588164688"/>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t"/>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Pong.xlsx]PivotChartTable6</c15:name>
        <c15:fmtId val="3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a:t>
            </a:r>
            <a:r>
              <a:rPr lang="en-US" sz="1000" b="1">
                <a:solidFill>
                  <a:schemeClr val="tx1"/>
                </a:solidFill>
              </a:rPr>
              <a:t>Ratinggruppe</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35"/>
        <c:spPr>
          <a:solidFill>
            <a:schemeClr val="accent6">
              <a:shade val="76000"/>
            </a:schemeClr>
          </a:solidFill>
          <a:ln>
            <a:noFill/>
          </a:ln>
          <a:effectLst/>
        </c:spPr>
      </c:pivotFmt>
      <c:pivotFmt>
        <c:idx val="236"/>
        <c:spPr>
          <a:solidFill>
            <a:schemeClr val="accent6">
              <a:tint val="77000"/>
            </a:schemeClr>
          </a:solidFill>
          <a:ln>
            <a:noFill/>
          </a:ln>
          <a:effectLst/>
        </c:spPr>
      </c:pivotFmt>
    </c:pivotFmts>
    <c:plotArea>
      <c:layout/>
      <c:pieChart>
        <c:varyColors val="1"/>
        <c:ser>
          <c:idx val="0"/>
          <c:order val="0"/>
          <c:tx>
            <c:v>Total</c:v>
          </c:tx>
          <c:spPr>
            <a:effectLst/>
          </c:spPr>
          <c:dPt>
            <c:idx val="0"/>
            <c:bubble3D val="0"/>
            <c:spPr>
              <a:solidFill>
                <a:schemeClr val="accent6">
                  <a:shade val="76000"/>
                </a:schemeClr>
              </a:solidFill>
              <a:ln>
                <a:noFill/>
              </a:ln>
              <a:effectLst/>
            </c:spPr>
            <c:extLst>
              <c:ext xmlns:c16="http://schemas.microsoft.com/office/drawing/2014/chart" uri="{C3380CC4-5D6E-409C-BE32-E72D297353CC}">
                <c16:uniqueId val="{00000001-DF2E-4117-BD60-415BEACEDADF}"/>
              </c:ext>
            </c:extLst>
          </c:dPt>
          <c:dPt>
            <c:idx val="1"/>
            <c:bubble3D val="0"/>
            <c:spPr>
              <a:solidFill>
                <a:schemeClr val="accent6">
                  <a:tint val="77000"/>
                </a:schemeClr>
              </a:solidFill>
              <a:ln>
                <a:noFill/>
              </a:ln>
              <a:effectLst/>
            </c:spPr>
            <c:extLst>
              <c:ext xmlns:c16="http://schemas.microsoft.com/office/drawing/2014/chart" uri="{C3380CC4-5D6E-409C-BE32-E72D297353CC}">
                <c16:uniqueId val="{00000003-DF2E-4117-BD60-415BEACEDADF}"/>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[&gt;=2000] Elite</c:v>
              </c:pt>
              <c:pt idx="1">
                <c:v>[&lt;=1999] Ikke-elite</c:v>
              </c:pt>
            </c:strLit>
          </c:cat>
          <c:val>
            <c:numLit>
              <c:formatCode>#,##0</c:formatCode>
              <c:ptCount val="2"/>
              <c:pt idx="0">
                <c:v>33</c:v>
              </c:pt>
              <c:pt idx="1">
                <c:v>27</c:v>
              </c:pt>
            </c:numLit>
          </c:val>
          <c:extLst>
            <c:ext xmlns:c16="http://schemas.microsoft.com/office/drawing/2014/chart" uri="{C3380CC4-5D6E-409C-BE32-E72D297353CC}">
              <c16:uniqueId val="{00000001-B69E-4075-9925-746751F15A78}"/>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Pong.xlsx]PivotChartTable7</c15:name>
        <c15:fmtId val="29"/>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lang="da-DK"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a:t>
            </a:r>
            <a:r>
              <a:rPr lang="da-DK" sz="1000" b="1" i="0" u="none" strike="noStrike" kern="1200" baseline="0">
                <a:solidFill>
                  <a:schemeClr val="tx1"/>
                </a:solidFill>
                <a:latin typeface="+mn-lt"/>
                <a:ea typeface="+mn-ea"/>
                <a:cs typeface="+mn-cs"/>
              </a:rPr>
              <a:t>Spillertype</a:t>
            </a:r>
          </a:p>
        </c:rich>
      </c:tx>
      <c:overlay val="0"/>
      <c:spPr>
        <a:noFill/>
        <a:ln>
          <a:noFill/>
        </a:ln>
        <a:effectLst/>
      </c:spPr>
      <c:txPr>
        <a:bodyPr rot="0" spcFirstLastPara="1" vertOverflow="ellipsis" vert="horz" wrap="square" anchor="ctr" anchorCtr="1"/>
        <a:lstStyle/>
        <a:p>
          <a:pPr>
            <a:defRPr lang="da-DK"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0"/>
        <c:spPr>
          <a:solidFill>
            <a:schemeClr val="accent2"/>
          </a:solidFill>
          <a:ln>
            <a:noFill/>
          </a:ln>
          <a:effectLst/>
        </c:spPr>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2"/>
        <c:spPr>
          <a:solidFill>
            <a:schemeClr val="accent2"/>
          </a:solidFill>
          <a:ln>
            <a:noFill/>
          </a:ln>
          <a:effectLst/>
        </c:spPr>
      </c:pivotFmt>
      <c:pivotFmt>
        <c:idx val="53"/>
        <c:spPr>
          <a:solidFill>
            <a:schemeClr val="accent2"/>
          </a:solidFill>
          <a:ln>
            <a:noFill/>
          </a:ln>
          <a:effectLst/>
        </c:spPr>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5"/>
        <c:spPr>
          <a:solidFill>
            <a:schemeClr val="accent2"/>
          </a:solidFill>
          <a:ln>
            <a:noFill/>
          </a:ln>
          <a:effectLst/>
        </c:spPr>
      </c:pivotFmt>
      <c:pivotFmt>
        <c:idx val="56"/>
        <c:spPr>
          <a:solidFill>
            <a:schemeClr val="accent2"/>
          </a:solidFill>
          <a:ln>
            <a:noFill/>
          </a:ln>
          <a:effectLst/>
        </c:spPr>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8"/>
        <c:spPr>
          <a:solidFill>
            <a:schemeClr val="accent2"/>
          </a:solidFill>
          <a:ln>
            <a:noFill/>
          </a:ln>
          <a:effectLst/>
        </c:spPr>
      </c:pivotFmt>
      <c:pivotFmt>
        <c:idx val="59"/>
        <c:spPr>
          <a:solidFill>
            <a:schemeClr val="accent2"/>
          </a:solidFill>
          <a:ln>
            <a:noFill/>
          </a:ln>
          <a:effectLst/>
        </c:spPr>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1"/>
        <c:spPr>
          <a:solidFill>
            <a:schemeClr val="accent2"/>
          </a:solidFill>
          <a:ln>
            <a:noFill/>
          </a:ln>
          <a:effectLst/>
        </c:spPr>
      </c:pivotFmt>
      <c:pivotFmt>
        <c:idx val="62"/>
        <c:spPr>
          <a:solidFill>
            <a:schemeClr val="accent2"/>
          </a:solidFill>
          <a:ln>
            <a:noFill/>
          </a:ln>
          <a:effectLst/>
        </c:spPr>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4"/>
        <c:spPr>
          <a:solidFill>
            <a:schemeClr val="accent2"/>
          </a:solidFill>
          <a:ln>
            <a:noFill/>
          </a:ln>
          <a:effectLst/>
        </c:spPr>
      </c:pivotFmt>
      <c:pivotFmt>
        <c:idx val="65"/>
        <c:spPr>
          <a:solidFill>
            <a:schemeClr val="accent2"/>
          </a:solidFill>
          <a:ln>
            <a:noFill/>
          </a:ln>
          <a:effectLst/>
        </c:spPr>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7"/>
        <c:spPr>
          <a:solidFill>
            <a:schemeClr val="accent2"/>
          </a:solidFill>
          <a:ln>
            <a:noFill/>
          </a:ln>
          <a:effectLst/>
        </c:spPr>
      </c:pivotFmt>
      <c:pivotFmt>
        <c:idx val="68"/>
        <c:spPr>
          <a:solidFill>
            <a:schemeClr val="accent2"/>
          </a:solidFill>
          <a:ln>
            <a:noFill/>
          </a:ln>
          <a:effectLst/>
        </c:spPr>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0"/>
        <c:spPr>
          <a:solidFill>
            <a:schemeClr val="accent2"/>
          </a:solidFill>
          <a:ln>
            <a:noFill/>
          </a:ln>
          <a:effectLst/>
        </c:spPr>
      </c:pivotFmt>
      <c:pivotFmt>
        <c:idx val="71"/>
        <c:spPr>
          <a:solidFill>
            <a:schemeClr val="accent2"/>
          </a:solidFill>
          <a:ln>
            <a:noFill/>
          </a:ln>
          <a:effectLst/>
        </c:spPr>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3"/>
        <c:spPr>
          <a:solidFill>
            <a:schemeClr val="accent2"/>
          </a:solidFill>
          <a:ln>
            <a:noFill/>
          </a:ln>
          <a:effectLst/>
        </c:spPr>
      </c:pivotFmt>
      <c:pivotFmt>
        <c:idx val="74"/>
        <c:spPr>
          <a:solidFill>
            <a:schemeClr val="accent2"/>
          </a:solidFill>
          <a:ln>
            <a:noFill/>
          </a:ln>
          <a:effectLst/>
        </c:spPr>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solidFill>
            <a:schemeClr val="accent2"/>
          </a:solidFill>
          <a:ln>
            <a:noFill/>
          </a:ln>
          <a:effectLst/>
        </c:spPr>
      </c:pivotFmt>
      <c:pivotFmt>
        <c:idx val="77"/>
        <c:spPr>
          <a:solidFill>
            <a:schemeClr val="accent2"/>
          </a:solidFill>
          <a:ln>
            <a:noFill/>
          </a:ln>
          <a:effectLst/>
        </c:spPr>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solidFill>
            <a:schemeClr val="accent2"/>
          </a:solidFill>
          <a:ln>
            <a:noFill/>
          </a:ln>
          <a:effectLst/>
        </c:spPr>
      </c:pivotFmt>
      <c:pivotFmt>
        <c:idx val="80"/>
        <c:spPr>
          <a:solidFill>
            <a:schemeClr val="accent2"/>
          </a:solidFill>
          <a:ln>
            <a:noFill/>
          </a:ln>
          <a:effectLst/>
        </c:spPr>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solidFill>
            <a:schemeClr val="accent2"/>
          </a:solidFill>
          <a:ln>
            <a:noFill/>
          </a:ln>
          <a:effectLst/>
        </c:spPr>
      </c:pivotFmt>
      <c:pivotFmt>
        <c:idx val="83"/>
        <c:spPr>
          <a:solidFill>
            <a:schemeClr val="accent2"/>
          </a:solidFill>
          <a:ln>
            <a:noFill/>
          </a:ln>
          <a:effectLst/>
        </c:spPr>
      </c:pivotFmt>
      <c:pivotFmt>
        <c:idx val="84"/>
        <c:spPr>
          <a:solidFill>
            <a:schemeClr val="accent2"/>
          </a:solidFill>
          <a:ln>
            <a:noFill/>
          </a:ln>
          <a:effectLst/>
        </c:spPr>
        <c:marker>
          <c:symbol val="none"/>
        </c:marker>
        <c:dLbl>
          <c:idx val="0"/>
          <c:spPr>
            <a:solidFill>
              <a:schemeClr val="bg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5"/>
        <c:spPr>
          <a:solidFill>
            <a:schemeClr val="accent2"/>
          </a:solidFill>
          <a:ln>
            <a:noFill/>
          </a:ln>
          <a:effectLst/>
        </c:spPr>
      </c:pivotFmt>
      <c:pivotFmt>
        <c:idx val="86"/>
        <c:spPr>
          <a:solidFill>
            <a:schemeClr val="accent2"/>
          </a:solidFill>
          <a:ln>
            <a:noFill/>
          </a:ln>
          <a:effectLst/>
        </c:spPr>
      </c:pivotFmt>
      <c:pivotFmt>
        <c:idx val="87"/>
        <c:spPr>
          <a:solidFill>
            <a:schemeClr val="accent2"/>
          </a:solidFill>
          <a:ln>
            <a:noFill/>
          </a:ln>
          <a:effectLst/>
        </c:spPr>
        <c:dLbl>
          <c:idx val="0"/>
          <c:spPr>
            <a:solidFill>
              <a:schemeClr val="lt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8"/>
        <c:spPr>
          <a:solidFill>
            <a:schemeClr val="accent2"/>
          </a:solidFill>
          <a:ln>
            <a:noFill/>
          </a:ln>
          <a:effectLst/>
        </c:spPr>
      </c:pivotFmt>
      <c:pivotFmt>
        <c:idx val="89"/>
        <c:spPr>
          <a:solidFill>
            <a:schemeClr val="accent2"/>
          </a:solidFill>
          <a:ln>
            <a:noFill/>
          </a:ln>
          <a:effectLst/>
        </c:spPr>
      </c:pivotFmt>
      <c:pivotFmt>
        <c:idx val="90"/>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overflow" horzOverflow="overflow"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1"/>
        <c:spPr>
          <a:solidFill>
            <a:schemeClr val="accent2"/>
          </a:solidFill>
          <a:ln>
            <a:noFill/>
          </a:ln>
          <a:effectLst/>
        </c:spPr>
      </c:pivotFmt>
      <c:pivotFmt>
        <c:idx val="92"/>
        <c:spPr>
          <a:solidFill>
            <a:schemeClr val="accent2"/>
          </a:solidFill>
          <a:ln>
            <a:noFill/>
          </a:ln>
          <a:effectLst/>
        </c:spPr>
      </c:pivotFmt>
      <c:pivotFmt>
        <c:idx val="93"/>
        <c:spPr>
          <a:solidFill>
            <a:schemeClr val="accent2"/>
          </a:solidFill>
          <a:ln>
            <a:noFill/>
          </a:ln>
          <a:effectLst/>
        </c:spPr>
      </c:pivotFmt>
      <c:pivotFmt>
        <c:idx val="94"/>
        <c:spPr>
          <a:solidFill>
            <a:schemeClr val="accent2"/>
          </a:solidFill>
          <a:ln>
            <a:noFill/>
          </a:ln>
          <a:effectLst/>
        </c:spPr>
      </c:pivotFmt>
      <c:pivotFmt>
        <c:idx val="95"/>
        <c:spPr>
          <a:solidFill>
            <a:schemeClr val="accent2"/>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6"/>
        <c:spPr>
          <a:solidFill>
            <a:schemeClr val="accent2"/>
          </a:solidFill>
          <a:ln>
            <a:noFill/>
          </a:ln>
          <a:effectLst/>
        </c:spPr>
      </c:pivotFmt>
      <c:pivotFmt>
        <c:idx val="97"/>
        <c:spPr>
          <a:solidFill>
            <a:schemeClr val="accent2"/>
          </a:solidFill>
          <a:ln>
            <a:noFill/>
          </a:ln>
          <a:effectLst/>
        </c:spPr>
      </c:pivotFmt>
      <c:pivotFmt>
        <c:idx val="98"/>
        <c:spPr>
          <a:solidFill>
            <a:schemeClr val="accent2"/>
          </a:solidFill>
          <a:ln>
            <a:noFill/>
          </a:ln>
          <a:effectLst/>
        </c:spPr>
      </c:pivotFmt>
      <c:pivotFmt>
        <c:idx val="99"/>
        <c:spPr>
          <a:solidFill>
            <a:schemeClr val="accent2"/>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0"/>
        <c:spPr>
          <a:solidFill>
            <a:schemeClr val="accent2"/>
          </a:solidFill>
          <a:ln>
            <a:noFill/>
          </a:ln>
          <a:effectLst/>
        </c:spPr>
      </c:pivotFmt>
      <c:pivotFmt>
        <c:idx val="101"/>
        <c:spPr>
          <a:solidFill>
            <a:schemeClr val="accent2"/>
          </a:solidFill>
          <a:ln>
            <a:noFill/>
          </a:ln>
          <a:effectLst/>
        </c:spPr>
      </c:pivotFmt>
      <c:pivotFmt>
        <c:idx val="102"/>
        <c:spPr>
          <a:solidFill>
            <a:schemeClr val="accent2"/>
          </a:solidFill>
          <a:ln>
            <a:noFill/>
          </a:ln>
          <a:effectLst/>
        </c:spPr>
      </c:pivotFmt>
      <c:pivotFmt>
        <c:idx val="103"/>
        <c:spPr>
          <a:solidFill>
            <a:schemeClr val="accent2"/>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4"/>
        <c:spPr>
          <a:solidFill>
            <a:schemeClr val="accent2"/>
          </a:solidFill>
          <a:ln>
            <a:noFill/>
          </a:ln>
          <a:effectLst/>
        </c:spPr>
      </c:pivotFmt>
      <c:pivotFmt>
        <c:idx val="105"/>
        <c:spPr>
          <a:solidFill>
            <a:schemeClr val="accent2"/>
          </a:solidFill>
          <a:ln>
            <a:noFill/>
          </a:ln>
          <a:effectLst/>
        </c:spPr>
      </c:pivotFmt>
      <c:pivotFmt>
        <c:idx val="106"/>
        <c:spPr>
          <a:solidFill>
            <a:schemeClr val="accent2"/>
          </a:solidFill>
          <a:ln>
            <a:noFill/>
          </a:ln>
          <a:effectLst/>
        </c:spPr>
      </c:pivotFmt>
      <c:pivotFmt>
        <c:idx val="107"/>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8"/>
        <c:spPr>
          <a:solidFill>
            <a:schemeClr val="accent2"/>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9"/>
        <c:spPr>
          <a:solidFill>
            <a:schemeClr val="accent2"/>
          </a:solidFill>
          <a:ln>
            <a:noFill/>
          </a:ln>
          <a:effectLst/>
        </c:spPr>
      </c:pivotFmt>
      <c:pivotFmt>
        <c:idx val="110"/>
        <c:spPr>
          <a:solidFill>
            <a:schemeClr val="accent2"/>
          </a:solidFill>
          <a:ln>
            <a:noFill/>
          </a:ln>
          <a:effectLst/>
        </c:spPr>
      </c:pivotFmt>
      <c:pivotFmt>
        <c:idx val="111"/>
        <c:spPr>
          <a:solidFill>
            <a:schemeClr val="accent2"/>
          </a:solidFill>
          <a:ln>
            <a:noFill/>
          </a:ln>
          <a:effectLst/>
        </c:spPr>
      </c:pivotFmt>
      <c:pivotFmt>
        <c:idx val="112"/>
        <c:spPr>
          <a:solidFill>
            <a:schemeClr val="accent2"/>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3"/>
        <c:spPr>
          <a:solidFill>
            <a:schemeClr val="accent2"/>
          </a:solidFill>
          <a:ln>
            <a:noFill/>
          </a:ln>
          <a:effectLst/>
        </c:spPr>
      </c:pivotFmt>
      <c:pivotFmt>
        <c:idx val="114"/>
        <c:spPr>
          <a:solidFill>
            <a:schemeClr val="accent2"/>
          </a:solidFill>
          <a:ln>
            <a:noFill/>
          </a:ln>
          <a:effectLst/>
        </c:spPr>
      </c:pivotFmt>
      <c:pivotFmt>
        <c:idx val="115"/>
        <c:spPr>
          <a:solidFill>
            <a:schemeClr val="accent2"/>
          </a:solidFill>
          <a:ln>
            <a:noFill/>
          </a:ln>
          <a:effectLst/>
        </c:spPr>
      </c:pivotFmt>
      <c:pivotFmt>
        <c:idx val="116"/>
        <c:spPr>
          <a:solidFill>
            <a:schemeClr val="accent2"/>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7"/>
        <c:spPr>
          <a:solidFill>
            <a:schemeClr val="accent2"/>
          </a:solidFill>
          <a:ln>
            <a:noFill/>
          </a:ln>
          <a:effectLst/>
        </c:spPr>
      </c:pivotFmt>
      <c:pivotFmt>
        <c:idx val="118"/>
        <c:spPr>
          <a:solidFill>
            <a:schemeClr val="accent2"/>
          </a:solidFill>
          <a:ln>
            <a:noFill/>
          </a:ln>
          <a:effectLst/>
        </c:spPr>
      </c:pivotFmt>
      <c:pivotFmt>
        <c:idx val="119"/>
        <c:spPr>
          <a:solidFill>
            <a:schemeClr val="accent2"/>
          </a:solidFill>
          <a:ln>
            <a:noFill/>
          </a:ln>
          <a:effectLst/>
        </c:spPr>
      </c:pivotFmt>
      <c:pivotFmt>
        <c:idx val="120"/>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1"/>
        <c:spPr>
          <a:solidFill>
            <a:schemeClr val="accent2"/>
          </a:solidFill>
          <a:ln>
            <a:noFill/>
          </a:ln>
          <a:effectLst/>
        </c:spPr>
      </c:pivotFmt>
      <c:pivotFmt>
        <c:idx val="122"/>
        <c:spPr>
          <a:solidFill>
            <a:schemeClr val="accent2"/>
          </a:solidFill>
          <a:ln>
            <a:noFill/>
          </a:ln>
          <a:effectLst/>
        </c:spPr>
      </c:pivotFmt>
      <c:pivotFmt>
        <c:idx val="123"/>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4"/>
        <c:spPr>
          <a:solidFill>
            <a:schemeClr val="accent2"/>
          </a:solidFill>
          <a:ln>
            <a:noFill/>
          </a:ln>
          <a:effectLst/>
        </c:spPr>
      </c:pivotFmt>
      <c:pivotFmt>
        <c:idx val="125"/>
        <c:spPr>
          <a:solidFill>
            <a:schemeClr val="accent2"/>
          </a:solidFill>
          <a:ln>
            <a:noFill/>
          </a:ln>
          <a:effectLst/>
        </c:spPr>
        <c:marker>
          <c:symbol val="none"/>
        </c:marker>
        <c:dLbl>
          <c:idx val="0"/>
          <c:spPr>
            <a:solidFill>
              <a:schemeClr val="lt1"/>
            </a:solidFill>
            <a:ln>
              <a:solidFill>
                <a:sysClr val="windowText" lastClr="000000"/>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6"/>
        <c:spPr>
          <a:solidFill>
            <a:schemeClr val="accent2">
              <a:shade val="76000"/>
            </a:schemeClr>
          </a:solidFill>
          <a:ln>
            <a:noFill/>
          </a:ln>
          <a:effectLst/>
        </c:spPr>
      </c:pivotFmt>
      <c:pivotFmt>
        <c:idx val="127"/>
        <c:spPr>
          <a:solidFill>
            <a:schemeClr val="accent2">
              <a:tint val="77000"/>
            </a:schemeClr>
          </a:solidFill>
          <a:ln>
            <a:noFill/>
          </a:ln>
          <a:effectLst/>
        </c:spPr>
      </c:pivotFmt>
      <c:pivotFmt>
        <c:idx val="128"/>
        <c:spPr>
          <a:solidFill>
            <a:srgbClr val="E5336D"/>
          </a:solidFill>
          <a:ln>
            <a:noFill/>
          </a:ln>
          <a:effectLst/>
        </c:spPr>
      </c:pivotFmt>
      <c:pivotFmt>
        <c:idx val="129"/>
        <c:spPr>
          <a:solidFill>
            <a:srgbClr val="6B438B"/>
          </a:solidFill>
          <a:ln>
            <a:noFill/>
          </a:ln>
          <a:effectLst/>
        </c:spPr>
      </c:pivotFmt>
    </c:pivotFmts>
    <c:plotArea>
      <c:layout/>
      <c:pieChart>
        <c:varyColors val="1"/>
        <c:ser>
          <c:idx val="0"/>
          <c:order val="0"/>
          <c:tx>
            <c:v>Total</c:v>
          </c:tx>
          <c:dPt>
            <c:idx val="0"/>
            <c:bubble3D val="0"/>
            <c:spPr>
              <a:solidFill>
                <a:srgbClr val="E5336D"/>
              </a:solidFill>
              <a:ln>
                <a:noFill/>
              </a:ln>
              <a:effectLst/>
            </c:spPr>
            <c:extLst>
              <c:ext xmlns:c16="http://schemas.microsoft.com/office/drawing/2014/chart" uri="{C3380CC4-5D6E-409C-BE32-E72D297353CC}">
                <c16:uniqueId val="{00000001-5000-4499-AFCC-6CE1AD6CB24C}"/>
              </c:ext>
            </c:extLst>
          </c:dPt>
          <c:dPt>
            <c:idx val="1"/>
            <c:bubble3D val="0"/>
            <c:spPr>
              <a:solidFill>
                <a:srgbClr val="6B438B"/>
              </a:solidFill>
              <a:ln>
                <a:noFill/>
              </a:ln>
              <a:effectLst/>
            </c:spPr>
            <c:extLst>
              <c:ext xmlns:c16="http://schemas.microsoft.com/office/drawing/2014/chart" uri="{C3380CC4-5D6E-409C-BE32-E72D297353CC}">
                <c16:uniqueId val="{00000003-D97E-4E35-9724-AF4E54B3B3C9}"/>
              </c:ext>
            </c:extLst>
          </c:dPt>
          <c:dLbls>
            <c:spPr>
              <a:solidFill>
                <a:schemeClr val="lt1"/>
              </a:solidFill>
              <a:ln>
                <a:solidFill>
                  <a:sysClr val="windowText" lastClr="000000"/>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Bordtennisspiller</c:v>
              </c:pt>
              <c:pt idx="1">
                <c:v>👤 Ikke-bordtennisspiller</c:v>
              </c:pt>
            </c:strLit>
          </c:cat>
          <c:val>
            <c:numLit>
              <c:formatCode>#,##0</c:formatCode>
              <c:ptCount val="2"/>
              <c:pt idx="0">
                <c:v>54</c:v>
              </c:pt>
              <c:pt idx="1">
                <c:v>6</c:v>
              </c:pt>
            </c:numLit>
          </c:val>
          <c:extLst>
            <c:ext xmlns:c16="http://schemas.microsoft.com/office/drawing/2014/chart" uri="{C3380CC4-5D6E-409C-BE32-E72D297353CC}">
              <c16:uniqueId val="{00000003-9BEF-4A6C-B2DE-E5C2E550540A}"/>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Pong.xlsx]PivotChartTable8</c15:name>
        <c15:fmtId val="3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Billetsalg pr. tilmelding</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2">
              <a:shade val="76000"/>
            </a:schemeClr>
          </a:solidFill>
          <a:ln>
            <a:noFill/>
          </a:ln>
          <a:effectLst/>
        </c:spPr>
      </c:pivotFmt>
      <c:pivotFmt>
        <c:idx val="2"/>
        <c:spPr>
          <a:solidFill>
            <a:schemeClr val="accent2">
              <a:tint val="77000"/>
            </a:schemeClr>
          </a:solidFill>
          <a:ln>
            <a:noFill/>
          </a:ln>
          <a:effectLst/>
        </c:spPr>
      </c:pivotFmt>
    </c:pivotFmts>
    <c:plotArea>
      <c:layout/>
      <c:pieChart>
        <c:varyColors val="1"/>
        <c:ser>
          <c:idx val="0"/>
          <c:order val="0"/>
          <c:tx>
            <c:v>Total</c:v>
          </c:tx>
          <c:spPr>
            <a:effectLst/>
          </c:spPr>
          <c:dPt>
            <c:idx val="0"/>
            <c:bubble3D val="0"/>
            <c:spPr>
              <a:solidFill>
                <a:schemeClr val="accent2">
                  <a:shade val="76000"/>
                </a:schemeClr>
              </a:solidFill>
              <a:ln>
                <a:noFill/>
              </a:ln>
              <a:effectLst/>
            </c:spPr>
            <c:extLst>
              <c:ext xmlns:c16="http://schemas.microsoft.com/office/drawing/2014/chart" uri="{C3380CC4-5D6E-409C-BE32-E72D297353CC}">
                <c16:uniqueId val="{00000000-FCAF-4A0B-9AEE-C0B602CD1DCF}"/>
              </c:ext>
            </c:extLst>
          </c:dPt>
          <c:dPt>
            <c:idx val="1"/>
            <c:bubble3D val="0"/>
            <c:spPr>
              <a:solidFill>
                <a:schemeClr val="accent2">
                  <a:tint val="77000"/>
                </a:schemeClr>
              </a:solidFill>
              <a:ln>
                <a:noFill/>
              </a:ln>
              <a:effectLst/>
            </c:spPr>
            <c:extLst>
              <c:ext xmlns:c16="http://schemas.microsoft.com/office/drawing/2014/chart" uri="{C3380CC4-5D6E-409C-BE32-E72D297353CC}">
                <c16:uniqueId val="{00000001-FCAF-4A0B-9AEE-C0B602CD1DCF}"/>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Billetsalg 1 stk.</c:v>
              </c:pt>
              <c:pt idx="1">
                <c:v>Billetsalg 2 stk.</c:v>
              </c:pt>
            </c:strLit>
          </c:cat>
          <c:val>
            <c:numLit>
              <c:formatCode>#,##0</c:formatCode>
              <c:ptCount val="2"/>
              <c:pt idx="0">
                <c:v>30</c:v>
              </c:pt>
              <c:pt idx="1">
                <c:v>30</c:v>
              </c:pt>
            </c:numLit>
          </c:val>
          <c:extLst>
            <c:ext xmlns:c16="http://schemas.microsoft.com/office/drawing/2014/chart" uri="{C3380CC4-5D6E-409C-BE32-E72D297353CC}">
              <c16:uniqueId val="{00000000-20AF-423B-9864-EC69A3AC4647}"/>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 Tilmeldingstype</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2"/>
          </a:solidFill>
          <a:ln>
            <a:noFill/>
          </a:ln>
          <a:effectLst/>
        </c:spPr>
      </c:pivotFmt>
      <c:pivotFmt>
        <c:idx val="3"/>
        <c:spPr>
          <a:solidFill>
            <a:srgbClr val="00D26A"/>
          </a:solidFill>
          <a:ln>
            <a:noFill/>
          </a:ln>
          <a:effectLst/>
        </c:spPr>
      </c:pivotFmt>
      <c:pivotFmt>
        <c:idx val="4"/>
        <c:spPr>
          <a:solidFill>
            <a:srgbClr val="FF6723"/>
          </a:solidFill>
          <a:ln>
            <a:noFill/>
          </a:ln>
          <a:effectLst/>
        </c:spPr>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hade val="65000"/>
            </a:schemeClr>
          </a:solidFill>
          <a:ln>
            <a:noFill/>
          </a:ln>
          <a:effectLst/>
        </c:spPr>
      </c:pivotFmt>
      <c:pivotFmt>
        <c:idx val="7"/>
        <c:spPr>
          <a:solidFill>
            <a:schemeClr val="accent2"/>
          </a:solidFill>
          <a:ln>
            <a:noFill/>
          </a:ln>
          <a:effectLst/>
        </c:spPr>
      </c:pivotFmt>
      <c:pivotFmt>
        <c:idx val="8"/>
        <c:spPr>
          <a:solidFill>
            <a:schemeClr val="accent2">
              <a:tint val="65000"/>
            </a:schemeClr>
          </a:solidFill>
          <a:ln>
            <a:noFill/>
          </a:ln>
          <a:effectLst/>
        </c:spPr>
      </c:pivotFmt>
      <c:pivotFmt>
        <c:idx val="9"/>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rgbClr val="635994"/>
          </a:solidFill>
          <a:ln>
            <a:noFill/>
          </a:ln>
          <a:effectLst/>
        </c:spPr>
      </c:pivotFmt>
      <c:pivotFmt>
        <c:idx val="11"/>
        <c:spPr>
          <a:solidFill>
            <a:srgbClr val="FF6723"/>
          </a:solidFill>
          <a:ln>
            <a:noFill/>
          </a:ln>
          <a:effectLst/>
        </c:spPr>
      </c:pivotFmt>
    </c:pivotFmts>
    <c:plotArea>
      <c:layout/>
      <c:pieChart>
        <c:varyColors val="1"/>
        <c:ser>
          <c:idx val="0"/>
          <c:order val="0"/>
          <c:tx>
            <c:v>Total</c:v>
          </c:tx>
          <c:dPt>
            <c:idx val="0"/>
            <c:bubble3D val="0"/>
            <c:spPr>
              <a:solidFill>
                <a:srgbClr val="635994"/>
              </a:solidFill>
              <a:ln>
                <a:noFill/>
              </a:ln>
              <a:effectLst/>
            </c:spPr>
            <c:extLst>
              <c:ext xmlns:c16="http://schemas.microsoft.com/office/drawing/2014/chart" uri="{C3380CC4-5D6E-409C-BE32-E72D297353CC}">
                <c16:uniqueId val="{00000001-0F90-4456-BC78-93008642FB49}"/>
              </c:ext>
            </c:extLst>
          </c:dPt>
          <c:dPt>
            <c:idx val="1"/>
            <c:bubble3D val="0"/>
            <c:spPr>
              <a:solidFill>
                <a:srgbClr val="FF6723"/>
              </a:solidFill>
              <a:ln>
                <a:noFill/>
              </a:ln>
              <a:effectLst/>
            </c:spPr>
            <c:extLst>
              <c:ext xmlns:c16="http://schemas.microsoft.com/office/drawing/2014/chart" uri="{C3380CC4-5D6E-409C-BE32-E72D297353CC}">
                <c16:uniqueId val="{00000003-74C0-4E16-8C98-BB14A14EE9B3}"/>
              </c:ext>
            </c:extLst>
          </c:dPt>
          <c:dPt>
            <c:idx val="2"/>
            <c:bubble3D val="0"/>
            <c:spPr>
              <a:solidFill>
                <a:schemeClr val="accent2">
                  <a:tint val="30000"/>
                </a:schemeClr>
              </a:solidFill>
              <a:ln>
                <a:noFill/>
              </a:ln>
              <a:effectLst/>
            </c:spPr>
            <c:extLst>
              <c:ext xmlns:c16="http://schemas.microsoft.com/office/drawing/2014/chart" uri="{C3380CC4-5D6E-409C-BE32-E72D297353CC}">
                <c16:uniqueId val="{00000005-DB5F-4EDA-B0D2-011089D4A0A7}"/>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Ordinær</c:v>
              </c:pt>
              <c:pt idx="1">
                <c:v>🏃 Drive-in</c:v>
              </c:pt>
            </c:strLit>
          </c:cat>
          <c:val>
            <c:numLit>
              <c:formatCode>#,##0</c:formatCode>
              <c:ptCount val="2"/>
              <c:pt idx="0">
                <c:v>49</c:v>
              </c:pt>
              <c:pt idx="1">
                <c:v>11</c:v>
              </c:pt>
            </c:numLit>
          </c:val>
          <c:extLst>
            <c:ext xmlns:c16="http://schemas.microsoft.com/office/drawing/2014/chart" uri="{C3380CC4-5D6E-409C-BE32-E72D297353CC}">
              <c16:uniqueId val="{00000000-1D34-49FC-99B3-F4A7BAB8C0DC}"/>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Køn</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rgbClr val="00A6ED"/>
          </a:solidFill>
          <a:ln>
            <a:noFill/>
          </a:ln>
          <a:effectLst/>
        </c:spPr>
      </c:pivotFmt>
      <c:pivotFmt>
        <c:idx val="2"/>
        <c:spPr>
          <a:solidFill>
            <a:srgbClr val="F70A8D"/>
          </a:solidFill>
          <a:ln>
            <a:noFill/>
          </a:ln>
          <a:effectLst/>
        </c:spPr>
      </c:pivotFmt>
    </c:pivotFmts>
    <c:plotArea>
      <c:layout/>
      <c:pieChart>
        <c:varyColors val="1"/>
        <c:ser>
          <c:idx val="0"/>
          <c:order val="0"/>
          <c:tx>
            <c:v>Total</c:v>
          </c:tx>
          <c:dPt>
            <c:idx val="0"/>
            <c:bubble3D val="0"/>
            <c:spPr>
              <a:solidFill>
                <a:srgbClr val="00A6ED"/>
              </a:solidFill>
              <a:ln>
                <a:noFill/>
              </a:ln>
              <a:effectLst/>
            </c:spPr>
            <c:extLst>
              <c:ext xmlns:c16="http://schemas.microsoft.com/office/drawing/2014/chart" uri="{C3380CC4-5D6E-409C-BE32-E72D297353CC}">
                <c16:uniqueId val="{00000001-F16B-4E4C-9368-A9E89A8E1C19}"/>
              </c:ext>
            </c:extLst>
          </c:dPt>
          <c:dPt>
            <c:idx val="1"/>
            <c:bubble3D val="0"/>
            <c:spPr>
              <a:solidFill>
                <a:srgbClr val="F70A8D"/>
              </a:solidFill>
              <a:ln>
                <a:noFill/>
              </a:ln>
              <a:effectLst/>
            </c:spPr>
            <c:extLst>
              <c:ext xmlns:c16="http://schemas.microsoft.com/office/drawing/2014/chart" uri="{C3380CC4-5D6E-409C-BE32-E72D297353CC}">
                <c16:uniqueId val="{00000003-F16B-4E4C-9368-A9E89A8E1C19}"/>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Herre</c:v>
              </c:pt>
              <c:pt idx="1">
                <c:v>♀️ Dame</c:v>
              </c:pt>
            </c:strLit>
          </c:cat>
          <c:val>
            <c:numLit>
              <c:formatCode>#,##0</c:formatCode>
              <c:ptCount val="2"/>
              <c:pt idx="0">
                <c:v>54</c:v>
              </c:pt>
              <c:pt idx="1">
                <c:v>6</c:v>
              </c:pt>
            </c:numLit>
          </c:val>
          <c:extLst>
            <c:ext xmlns:c16="http://schemas.microsoft.com/office/drawing/2014/chart" uri="{C3380CC4-5D6E-409C-BE32-E72D297353CC}">
              <c16:uniqueId val="{00000000-893D-4081-96E8-BDA685CDEC02}"/>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effectLst/>
              </a:rPr>
              <a:t>⌚ </a:t>
            </a:r>
            <a:r>
              <a:rPr lang="en-US" sz="1000" b="1" i="0" u="none" strike="noStrike" baseline="0">
                <a:solidFill>
                  <a:schemeClr val="tx1"/>
                </a:solidFill>
                <a:effectLst/>
              </a:rPr>
              <a:t>K</a:t>
            </a:r>
            <a:r>
              <a:rPr lang="en-US" sz="1000" b="1">
                <a:solidFill>
                  <a:schemeClr val="tx1"/>
                </a:solidFill>
              </a:rPr>
              <a:t>lokkeslætsinterval</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hade val="76000"/>
            </a:schemeClr>
          </a:solidFill>
          <a:ln>
            <a:noFill/>
          </a:ln>
          <a:effectLst/>
        </c:spPr>
      </c:pivotFmt>
      <c:pivotFmt>
        <c:idx val="2"/>
        <c:spPr>
          <a:solidFill>
            <a:schemeClr val="accent4">
              <a:tint val="77000"/>
            </a:schemeClr>
          </a:solidFill>
          <a:ln>
            <a:noFill/>
          </a:ln>
          <a:effectLst/>
        </c:spPr>
      </c:pivotFmt>
    </c:pivotFmts>
    <c:plotArea>
      <c:layout/>
      <c:pieChart>
        <c:varyColors val="1"/>
        <c:ser>
          <c:idx val="0"/>
          <c:order val="0"/>
          <c:tx>
            <c:v>Total</c:v>
          </c:tx>
          <c:spPr>
            <a:effectLst/>
          </c:spPr>
          <c:dPt>
            <c:idx val="0"/>
            <c:bubble3D val="0"/>
            <c:spPr>
              <a:solidFill>
                <a:schemeClr val="accent4">
                  <a:shade val="76000"/>
                </a:schemeClr>
              </a:solidFill>
              <a:ln>
                <a:noFill/>
              </a:ln>
              <a:effectLst/>
            </c:spPr>
            <c:extLst>
              <c:ext xmlns:c16="http://schemas.microsoft.com/office/drawing/2014/chart" uri="{C3380CC4-5D6E-409C-BE32-E72D297353CC}">
                <c16:uniqueId val="{00000000-2570-4057-8D06-2982BFADCFC2}"/>
              </c:ext>
            </c:extLst>
          </c:dPt>
          <c:dPt>
            <c:idx val="1"/>
            <c:bubble3D val="0"/>
            <c:spPr>
              <a:solidFill>
                <a:schemeClr val="accent4">
                  <a:tint val="77000"/>
                </a:schemeClr>
              </a:solidFill>
              <a:ln>
                <a:noFill/>
              </a:ln>
              <a:effectLst/>
            </c:spPr>
            <c:extLst>
              <c:ext xmlns:c16="http://schemas.microsoft.com/office/drawing/2014/chart" uri="{C3380CC4-5D6E-409C-BE32-E72D297353CC}">
                <c16:uniqueId val="{00000001-2570-4057-8D06-2982BFADCFC2}"/>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[&gt;=18] Aften</c:v>
              </c:pt>
              <c:pt idx="1">
                <c:v>[&gt;=00] Øvrig</c:v>
              </c:pt>
            </c:strLit>
          </c:cat>
          <c:val>
            <c:numLit>
              <c:formatCode>#,##0</c:formatCode>
              <c:ptCount val="2"/>
              <c:pt idx="0">
                <c:v>30</c:v>
              </c:pt>
              <c:pt idx="1">
                <c:v>30</c:v>
              </c:pt>
            </c:numLit>
          </c:val>
          <c:extLst>
            <c:ext xmlns:c16="http://schemas.microsoft.com/office/drawing/2014/chart" uri="{C3380CC4-5D6E-409C-BE32-E72D297353CC}">
              <c16:uniqueId val="{00000000-90FD-49D0-8EA2-23840D86ECCD}"/>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Pong.xlsx]PivotChartTable13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Gentilmeldinger</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2">
              <a:shade val="76000"/>
            </a:schemeClr>
          </a:solidFill>
          <a:ln>
            <a:noFill/>
          </a:ln>
          <a:effectLst/>
        </c:spPr>
      </c:pivotFmt>
      <c:pivotFmt>
        <c:idx val="4"/>
        <c:spPr>
          <a:solidFill>
            <a:schemeClr val="accent2">
              <a:tint val="77000"/>
            </a:schemeClr>
          </a:solidFill>
          <a:ln>
            <a:noFill/>
          </a:ln>
          <a:effectLst/>
        </c:spPr>
      </c:pivotFmt>
    </c:pivotFmts>
    <c:plotArea>
      <c:layout/>
      <c:pieChart>
        <c:varyColors val="1"/>
        <c:ser>
          <c:idx val="0"/>
          <c:order val="0"/>
          <c:tx>
            <c:v>Total</c:v>
          </c:tx>
          <c:spPr>
            <a:effectLst/>
          </c:spPr>
          <c:dPt>
            <c:idx val="0"/>
            <c:bubble3D val="0"/>
            <c:spPr>
              <a:solidFill>
                <a:schemeClr val="accent2">
                  <a:shade val="76000"/>
                </a:schemeClr>
              </a:solidFill>
              <a:ln>
                <a:noFill/>
              </a:ln>
              <a:effectLst/>
            </c:spPr>
            <c:extLst>
              <c:ext xmlns:c16="http://schemas.microsoft.com/office/drawing/2014/chart" uri="{C3380CC4-5D6E-409C-BE32-E72D297353CC}">
                <c16:uniqueId val="{00000000-0401-4122-955A-F338B207C9C8}"/>
              </c:ext>
            </c:extLst>
          </c:dPt>
          <c:dPt>
            <c:idx val="1"/>
            <c:bubble3D val="0"/>
            <c:spPr>
              <a:solidFill>
                <a:schemeClr val="accent2">
                  <a:tint val="77000"/>
                </a:schemeClr>
              </a:solidFill>
              <a:ln>
                <a:noFill/>
              </a:ln>
              <a:effectLst/>
            </c:spPr>
            <c:extLst>
              <c:ext xmlns:c16="http://schemas.microsoft.com/office/drawing/2014/chart" uri="{C3380CC4-5D6E-409C-BE32-E72D297353CC}">
                <c16:uniqueId val="{00000001-0401-4122-955A-F338B207C9C8}"/>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Ny</c:v>
              </c:pt>
              <c:pt idx="1">
                <c:v>🔃 Tidligere</c:v>
              </c:pt>
            </c:strLit>
          </c:cat>
          <c:val>
            <c:numLit>
              <c:formatCode>#,##0</c:formatCode>
              <c:ptCount val="2"/>
              <c:pt idx="0">
                <c:v>54</c:v>
              </c:pt>
              <c:pt idx="1">
                <c:v>6</c:v>
              </c:pt>
            </c:numLit>
          </c:val>
          <c:extLst>
            <c:ext xmlns:c16="http://schemas.microsoft.com/office/drawing/2014/chart" uri="{C3380CC4-5D6E-409C-BE32-E72D297353CC}">
              <c16:uniqueId val="{00000000-63F9-4725-9AC2-C5AC1411FCC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Tilmeldingsantal</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chemeClr val="bg1"/>
            </a:solidFill>
            <a:ln>
              <a:solidFill>
                <a:schemeClr val="tx1"/>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hade val="76000"/>
            </a:schemeClr>
          </a:solidFill>
          <a:ln>
            <a:noFill/>
          </a:ln>
          <a:effectLst/>
        </c:spPr>
      </c:pivotFmt>
      <c:pivotFmt>
        <c:idx val="2"/>
        <c:spPr>
          <a:solidFill>
            <a:schemeClr val="accent4">
              <a:tint val="77000"/>
            </a:schemeClr>
          </a:solidFill>
          <a:ln>
            <a:noFill/>
          </a:ln>
          <a:effectLst/>
        </c:spPr>
      </c:pivotFmt>
      <c:pivotFmt>
        <c:idx val="3"/>
        <c:spPr>
          <a:solidFill>
            <a:srgbClr val="635994"/>
          </a:solidFill>
          <a:ln>
            <a:noFill/>
          </a:ln>
          <a:effectLst/>
        </c:spPr>
      </c:pivotFmt>
      <c:pivotFmt>
        <c:idx val="4"/>
        <c:spPr>
          <a:solidFill>
            <a:srgbClr val="F92F60"/>
          </a:solidFill>
          <a:ln>
            <a:noFill/>
          </a:ln>
          <a:effectLst/>
        </c:spPr>
      </c:pivotFmt>
      <c:pivotFmt>
        <c:idx val="5"/>
        <c:spPr>
          <a:solidFill>
            <a:schemeClr val="accent4">
              <a:tint val="65000"/>
            </a:schemeClr>
          </a:solidFill>
          <a:ln>
            <a:noFill/>
          </a:ln>
          <a:effectLst/>
        </c:spPr>
      </c:pivotFmt>
      <c:pivotFmt>
        <c:idx val="6"/>
        <c:spPr>
          <a:solidFill>
            <a:srgbClr val="635994"/>
          </a:solidFill>
          <a:ln>
            <a:noFill/>
          </a:ln>
          <a:effectLst/>
        </c:spPr>
      </c:pivotFmt>
      <c:pivotFmt>
        <c:idx val="7"/>
        <c:spPr>
          <a:solidFill>
            <a:srgbClr val="F92F60"/>
          </a:solidFill>
          <a:ln>
            <a:noFill/>
          </a:ln>
          <a:effectLst/>
        </c:spPr>
      </c:pivotFmt>
      <c:pivotFmt>
        <c:idx val="8"/>
        <c:spPr>
          <a:solidFill>
            <a:schemeClr val="accent4"/>
          </a:solidFill>
          <a:ln>
            <a:noFill/>
          </a:ln>
          <a:effectLst/>
        </c:spPr>
      </c:pivotFmt>
      <c:pivotFmt>
        <c:idx val="9"/>
        <c:spPr>
          <a:solidFill>
            <a:srgbClr val="635994"/>
          </a:solidFill>
          <a:ln>
            <a:noFill/>
          </a:ln>
          <a:effectLst/>
        </c:spPr>
      </c:pivotFmt>
      <c:pivotFmt>
        <c:idx val="10"/>
        <c:spPr>
          <a:solidFill>
            <a:srgbClr val="F92F60"/>
          </a:solidFill>
          <a:ln>
            <a:noFill/>
          </a:ln>
          <a:effectLst/>
        </c:spPr>
      </c:pivotFmt>
    </c:pivotFmts>
    <c:plotArea>
      <c:layout/>
      <c:pieChart>
        <c:varyColors val="1"/>
        <c:ser>
          <c:idx val="0"/>
          <c:order val="0"/>
          <c:tx>
            <c:v>Total</c:v>
          </c:tx>
          <c:dPt>
            <c:idx val="0"/>
            <c:bubble3D val="0"/>
            <c:spPr>
              <a:solidFill>
                <a:srgbClr val="635994"/>
              </a:solidFill>
              <a:ln>
                <a:noFill/>
              </a:ln>
              <a:effectLst/>
            </c:spPr>
            <c:extLst>
              <c:ext xmlns:c16="http://schemas.microsoft.com/office/drawing/2014/chart" uri="{C3380CC4-5D6E-409C-BE32-E72D297353CC}">
                <c16:uniqueId val="{00000001-2069-4885-9EF5-B624E69BCC1E}"/>
              </c:ext>
            </c:extLst>
          </c:dPt>
          <c:dPt>
            <c:idx val="1"/>
            <c:bubble3D val="0"/>
            <c:spPr>
              <a:solidFill>
                <a:srgbClr val="F92F60"/>
              </a:solidFill>
              <a:ln>
                <a:noFill/>
              </a:ln>
              <a:effectLst/>
            </c:spPr>
            <c:extLst>
              <c:ext xmlns:c16="http://schemas.microsoft.com/office/drawing/2014/chart" uri="{C3380CC4-5D6E-409C-BE32-E72D297353CC}">
                <c16:uniqueId val="{00000003-2069-4885-9EF5-B624E69BCC1E}"/>
              </c:ext>
            </c:extLst>
          </c:dPt>
          <c:dPt>
            <c:idx val="2"/>
            <c:bubble3D val="0"/>
            <c:spPr>
              <a:solidFill>
                <a:schemeClr val="accent4">
                  <a:tint val="30000"/>
                </a:schemeClr>
              </a:solidFill>
              <a:ln>
                <a:noFill/>
              </a:ln>
              <a:effectLst/>
            </c:spPr>
            <c:extLst>
              <c:ext xmlns:c16="http://schemas.microsoft.com/office/drawing/2014/chart" uri="{C3380CC4-5D6E-409C-BE32-E72D297353CC}">
                <c16:uniqueId val="{00000005-387E-42A1-81AB-CB195F442A33}"/>
              </c:ext>
            </c:extLst>
          </c:dPt>
          <c:dLbls>
            <c:spPr>
              <a:solidFill>
                <a:schemeClr val="bg1"/>
              </a:solidFill>
              <a:ln>
                <a:solidFill>
                  <a:schemeClr val="tx1"/>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Tilmeldt</c:v>
              </c:pt>
              <c:pt idx="1">
                <c:v>❌ Afbud</c:v>
              </c:pt>
            </c:strLit>
          </c:cat>
          <c:val>
            <c:numLit>
              <c:formatCode>General</c:formatCode>
              <c:ptCount val="2"/>
              <c:pt idx="0">
                <c:v>60</c:v>
              </c:pt>
              <c:pt idx="1">
                <c:v>8</c:v>
              </c:pt>
            </c:numLit>
          </c:val>
          <c:extLst>
            <c:ext xmlns:c16="http://schemas.microsoft.com/office/drawing/2014/chart" uri="{C3380CC4-5D6E-409C-BE32-E72D297353CC}">
              <c16:uniqueId val="{00000000-4EFB-415E-BBC8-558482FE1C1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[Deltagere og tilmeldinger til DM i Ping Pong.xlsx]PivotChartTable9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182878</xdr:rowOff>
    </xdr:from>
    <xdr:to>
      <xdr:col>1</xdr:col>
      <xdr:colOff>7080</xdr:colOff>
      <xdr:row>271</xdr:row>
      <xdr:rowOff>125278</xdr:rowOff>
    </xdr:to>
    <xdr:sp macro="" textlink="">
      <xdr:nvSpPr>
        <xdr:cNvPr id="4" name="Tekstfelt 3">
          <a:extLst>
            <a:ext uri="{FF2B5EF4-FFF2-40B4-BE49-F238E27FC236}">
              <a16:creationId xmlns:a16="http://schemas.microsoft.com/office/drawing/2014/main" id="{D7C6F9F6-1109-4842-8D9E-E99E1E1140B3}"/>
            </a:ext>
          </a:extLst>
        </xdr:cNvPr>
        <xdr:cNvSpPr txBox="1"/>
      </xdr:nvSpPr>
      <xdr:spPr>
        <a:xfrm>
          <a:off x="0" y="579118"/>
          <a:ext cx="4320000" cy="4932000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da-DK" sz="1400" b="1" i="0" u="sng">
              <a:solidFill>
                <a:schemeClr val="dk1"/>
              </a:solidFill>
              <a:effectLst/>
              <a:latin typeface="+mn-lt"/>
              <a:ea typeface="+mn-ea"/>
              <a:cs typeface="+mn-cs"/>
            </a:rPr>
            <a:t>Sisu/MBK</a:t>
          </a:r>
          <a:r>
            <a:rPr lang="da-DK" sz="1100" b="0" i="0">
              <a:solidFill>
                <a:schemeClr val="dk1"/>
              </a:solidFill>
              <a:effectLst/>
              <a:latin typeface="+mn-lt"/>
              <a:ea typeface="+mn-ea"/>
              <a:cs typeface="+mn-cs"/>
            </a:rPr>
            <a:t>:</a:t>
          </a:r>
        </a:p>
        <a:p>
          <a:r>
            <a:rPr lang="da-DK" sz="1100" i="0">
              <a:solidFill>
                <a:schemeClr val="dk1"/>
              </a:solidFill>
              <a:effectLst/>
              <a:latin typeface="+mn-lt"/>
              <a:ea typeface="+mn-ea"/>
              <a:cs typeface="+mn-cs"/>
            </a:rPr>
            <a:t>✅</a:t>
          </a:r>
          <a:r>
            <a:rPr lang="da-DK" sz="1100" b="0" i="0">
              <a:solidFill>
                <a:schemeClr val="dk1"/>
              </a:solidFill>
              <a:effectLst/>
              <a:latin typeface="+mn-lt"/>
              <a:ea typeface="+mn-ea"/>
              <a:cs typeface="+mn-cs"/>
            </a:rPr>
            <a:t> </a:t>
          </a:r>
          <a:r>
            <a:rPr lang="da-DK" sz="1100" b="1" i="0" u="none" strike="noStrike">
              <a:solidFill>
                <a:schemeClr val="dk1"/>
              </a:solidFill>
              <a:effectLst/>
              <a:latin typeface="+mn-lt"/>
              <a:ea typeface="+mn-ea"/>
              <a:cs typeface="+mn-cs"/>
            </a:rPr>
            <a:t>Puljespil</a:t>
          </a:r>
          <a:r>
            <a:rPr lang="da-DK" sz="1100" b="0" i="0" u="none" strike="noStrike">
              <a:solidFill>
                <a:schemeClr val="dk1"/>
              </a:solidFill>
              <a:effectLst/>
              <a:latin typeface="+mn-lt"/>
              <a:ea typeface="+mn-ea"/>
              <a:cs typeface="+mn-cs"/>
            </a:rPr>
            <a:t>: 6-mandspuljer på maksimalt 18 borde. 2 puljer spilles på 3 borde. 30 kampe spilles på 3 borde = 10 kampe pr. bord (4 timer). Efterfølgende</a:t>
          </a:r>
          <a:r>
            <a:rPr lang="da-DK" sz="1100" b="0" i="0" u="none" strike="noStrike" baseline="0">
              <a:solidFill>
                <a:schemeClr val="dk1"/>
              </a:solidFill>
              <a:effectLst/>
              <a:latin typeface="+mn-lt"/>
              <a:ea typeface="+mn-ea"/>
              <a:cs typeface="+mn-cs"/>
            </a:rPr>
            <a:t> tages bordene gradvist ned.</a:t>
          </a:r>
          <a:endParaRPr lang="da-DK" sz="1100" b="0" i="0" u="none" strike="noStrike">
            <a:solidFill>
              <a:schemeClr val="dk1"/>
            </a:solidFill>
            <a:effectLst/>
            <a:latin typeface="+mn-lt"/>
            <a:ea typeface="+mn-ea"/>
            <a:cs typeface="+mn-cs"/>
          </a:endParaRPr>
        </a:p>
        <a:p>
          <a:r>
            <a:rPr lang="da-DK" sz="1100" i="0">
              <a:solidFill>
                <a:schemeClr val="dk1"/>
              </a:solidFill>
              <a:effectLst/>
              <a:latin typeface="+mn-lt"/>
              <a:ea typeface="+mn-ea"/>
              <a:cs typeface="+mn-cs"/>
            </a:rPr>
            <a:t>✅</a:t>
          </a:r>
          <a:r>
            <a:rPr lang="da-DK" sz="1100" b="0" i="0" u="none" strike="noStrike">
              <a:solidFill>
                <a:schemeClr val="dk1"/>
              </a:solidFill>
              <a:effectLst/>
              <a:latin typeface="+mn-lt"/>
              <a:ea typeface="+mn-ea"/>
              <a:cs typeface="+mn-cs"/>
            </a:rPr>
            <a:t> </a:t>
          </a:r>
          <a:r>
            <a:rPr lang="da-DK" sz="1100" b="1" i="0" u="none" strike="noStrike">
              <a:solidFill>
                <a:schemeClr val="dk1"/>
              </a:solidFill>
              <a:effectLst/>
              <a:latin typeface="+mn-lt"/>
              <a:ea typeface="+mn-ea"/>
              <a:cs typeface="+mn-cs"/>
            </a:rPr>
            <a:t>Fest</a:t>
          </a:r>
          <a:r>
            <a:rPr lang="da-DK" sz="1100" b="0" i="0" u="none" strike="noStrike">
              <a:solidFill>
                <a:schemeClr val="dk1"/>
              </a:solidFill>
              <a:effectLst/>
              <a:latin typeface="+mn-lt"/>
              <a:ea typeface="+mn-ea"/>
              <a:cs typeface="+mn-cs"/>
            </a:rPr>
            <a:t>: Pizza = 70 kr. og 16 øl*5 kr. = 80 kr. pr. mand</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(fri bar i 3 timer).</a:t>
          </a:r>
        </a:p>
        <a:p>
          <a:r>
            <a:rPr lang="da-DK" sz="1100" i="0">
              <a:solidFill>
                <a:schemeClr val="dk1"/>
              </a:solidFill>
              <a:effectLst/>
              <a:latin typeface="+mn-lt"/>
              <a:ea typeface="+mn-ea"/>
              <a:cs typeface="+mn-cs"/>
            </a:rPr>
            <a:t>✅</a:t>
          </a:r>
          <a:r>
            <a:rPr lang="da-DK" sz="1100" b="0" i="0" u="none" strike="noStrike">
              <a:solidFill>
                <a:schemeClr val="dk1"/>
              </a:solidFill>
              <a:effectLst/>
              <a:latin typeface="+mn-lt"/>
              <a:ea typeface="+mn-ea"/>
              <a:cs typeface="+mn-cs"/>
            </a:rPr>
            <a:t> </a:t>
          </a:r>
          <a:r>
            <a:rPr lang="da-DK" sz="1100" b="1" i="0" u="none" strike="noStrike">
              <a:solidFill>
                <a:schemeClr val="dk1"/>
              </a:solidFill>
              <a:effectLst/>
              <a:latin typeface="+mn-lt"/>
              <a:ea typeface="+mn-ea"/>
              <a:cs typeface="+mn-cs"/>
            </a:rPr>
            <a:t>BilletFix</a:t>
          </a:r>
          <a:r>
            <a:rPr lang="da-DK" sz="1100" b="0" i="0" u="none" strike="noStrike">
              <a:solidFill>
                <a:schemeClr val="dk1"/>
              </a:solidFill>
              <a:effectLst/>
              <a:latin typeface="+mn-lt"/>
              <a:ea typeface="+mn-ea"/>
              <a:cs typeface="+mn-cs"/>
            </a:rPr>
            <a:t>: Sisu/MBK's kontonr. indsættes på BilletFix.</a:t>
          </a:r>
        </a:p>
        <a:p>
          <a:endParaRPr lang="da-DK" sz="1100" b="0" i="0" u="none" strike="noStrike">
            <a:solidFill>
              <a:schemeClr val="dk1"/>
            </a:solidFill>
            <a:effectLst/>
            <a:latin typeface="+mn-lt"/>
            <a:ea typeface="+mn-ea"/>
            <a:cs typeface="+mn-cs"/>
          </a:endParaRPr>
        </a:p>
        <a:p>
          <a:r>
            <a:rPr lang="da-DK" sz="1400" b="1" i="0" u="sng" strike="noStrike">
              <a:solidFill>
                <a:schemeClr val="dk1"/>
              </a:solidFill>
              <a:effectLst/>
              <a:latin typeface="+mn-lt"/>
              <a:ea typeface="+mn-ea"/>
              <a:cs typeface="+mn-cs"/>
            </a:rPr>
            <a:t>Offentliggørelse</a:t>
          </a:r>
          <a:r>
            <a:rPr lang="da-DK" sz="1400" b="0" i="0" u="none" strike="noStrike">
              <a:solidFill>
                <a:schemeClr val="dk1"/>
              </a:solidFill>
              <a:effectLst/>
              <a:latin typeface="+mn-lt"/>
              <a:ea typeface="+mn-ea"/>
              <a:cs typeface="+mn-cs"/>
            </a:rPr>
            <a:t>:</a:t>
          </a:r>
        </a:p>
        <a:p>
          <a:r>
            <a:rPr lang="da-DK" sz="1100" b="0" i="0">
              <a:solidFill>
                <a:schemeClr val="dk1"/>
              </a:solidFill>
              <a:effectLst/>
              <a:latin typeface="+mn-lt"/>
              <a:ea typeface="+mn-ea"/>
              <a:cs typeface="+mn-cs"/>
            </a:rPr>
            <a:t>❎</a:t>
          </a:r>
          <a:r>
            <a:rPr lang="da-DK" sz="1100" i="0">
              <a:solidFill>
                <a:schemeClr val="dk1"/>
              </a:solidFill>
              <a:effectLst/>
              <a:latin typeface="+mn-lt"/>
              <a:ea typeface="+mn-ea"/>
              <a:cs typeface="+mn-cs"/>
            </a:rPr>
            <a:t>✅ </a:t>
          </a:r>
          <a:r>
            <a:rPr lang="da-DK" sz="1100" b="1" i="0">
              <a:solidFill>
                <a:schemeClr val="dk1"/>
              </a:solidFill>
              <a:effectLst/>
              <a:latin typeface="+mn-lt"/>
              <a:ea typeface="+mn-ea"/>
              <a:cs typeface="+mn-cs"/>
            </a:rPr>
            <a:t>BTDK</a:t>
          </a:r>
          <a:r>
            <a:rPr lang="da-DK" sz="1100" i="0">
              <a:solidFill>
                <a:schemeClr val="dk1"/>
              </a:solidFill>
              <a:effectLst/>
              <a:latin typeface="+mn-lt"/>
              <a:ea typeface="+mn-ea"/>
              <a:cs typeface="+mn-cs"/>
            </a:rPr>
            <a:t>: </a:t>
          </a:r>
          <a:r>
            <a:rPr lang="da-DK" sz="1100" i="0" baseline="0">
              <a:solidFill>
                <a:schemeClr val="dk1"/>
              </a:solidFill>
              <a:effectLst/>
              <a:latin typeface="+mn-lt"/>
              <a:ea typeface="+mn-ea"/>
              <a:cs typeface="+mn-cs"/>
            </a:rPr>
            <a:t>BTDK's hjemmeside med info under "Aktivitetskalender".</a:t>
          </a:r>
          <a:endParaRPr lang="da-DK" sz="1100" i="0"/>
        </a:p>
        <a:p>
          <a:r>
            <a:rPr lang="da-DK" sz="1100" i="0">
              <a:solidFill>
                <a:schemeClr val="dk1"/>
              </a:solidFill>
              <a:effectLst/>
              <a:latin typeface="+mn-lt"/>
              <a:ea typeface="+mn-ea"/>
              <a:cs typeface="+mn-cs"/>
            </a:rPr>
            <a:t>✅</a:t>
          </a:r>
          <a:r>
            <a:rPr lang="da-DK" sz="1100" i="0"/>
            <a:t> </a:t>
          </a:r>
          <a:r>
            <a:rPr lang="da-DK" sz="1100" b="1" i="0"/>
            <a:t>Facebook</a:t>
          </a:r>
          <a:r>
            <a:rPr lang="da-DK" sz="1100" i="0"/>
            <a:t>: Facebook-begivenhed med coverbillede, </a:t>
          </a:r>
          <a:r>
            <a:rPr lang="da-DK" sz="1100" i="0" baseline="0"/>
            <a:t>tekst, arrangører og </a:t>
          </a:r>
          <a:r>
            <a:rPr lang="da-DK" sz="1100" i="0" baseline="0">
              <a:solidFill>
                <a:schemeClr val="dk1"/>
              </a:solidFill>
              <a:effectLst/>
              <a:latin typeface="+mn-lt"/>
              <a:ea typeface="+mn-ea"/>
              <a:cs typeface="+mn-cs"/>
            </a:rPr>
            <a:t>tilmeldingslink</a:t>
          </a:r>
          <a:r>
            <a:rPr lang="da-DK" sz="1100" i="0"/>
            <a:t>. "Ping</a:t>
          </a:r>
          <a:r>
            <a:rPr lang="da-DK" sz="1100" i="0" baseline="0"/>
            <a:t> Pong DK" med coverbillede og tilmeldingslink.</a:t>
          </a:r>
          <a:endParaRPr lang="da-DK" sz="1100" i="0"/>
        </a:p>
        <a:p>
          <a:r>
            <a:rPr lang="da-DK" sz="1100" i="0">
              <a:solidFill>
                <a:schemeClr val="dk1"/>
              </a:solidFill>
              <a:effectLst/>
              <a:latin typeface="+mn-lt"/>
              <a:ea typeface="+mn-ea"/>
              <a:cs typeface="+mn-cs"/>
            </a:rPr>
            <a:t>✅</a:t>
          </a:r>
          <a:r>
            <a:rPr lang="da-DK" sz="1100" b="0" i="0">
              <a:solidFill>
                <a:schemeClr val="dk1"/>
              </a:solidFill>
              <a:effectLst/>
              <a:latin typeface="+mn-lt"/>
              <a:ea typeface="+mn-ea"/>
              <a:cs typeface="+mn-cs"/>
            </a:rPr>
            <a:t> </a:t>
          </a:r>
          <a:r>
            <a:rPr lang="da-DK" sz="1100" b="1" i="0">
              <a:solidFill>
                <a:schemeClr val="dk1"/>
              </a:solidFill>
              <a:effectLst/>
              <a:latin typeface="+mn-lt"/>
              <a:ea typeface="+mn-ea"/>
              <a:cs typeface="+mn-cs"/>
            </a:rPr>
            <a:t>BilletFix</a:t>
          </a:r>
          <a:r>
            <a:rPr lang="da-DK" sz="1100" b="0" i="0">
              <a:solidFill>
                <a:schemeClr val="dk1"/>
              </a:solidFill>
              <a:effectLst/>
              <a:latin typeface="+mn-lt"/>
              <a:ea typeface="+mn-ea"/>
              <a:cs typeface="+mn-cs"/>
            </a:rPr>
            <a:t>:</a:t>
          </a:r>
          <a:r>
            <a:rPr lang="da-DK" sz="1100" b="0" i="0" baseline="0">
              <a:solidFill>
                <a:schemeClr val="dk1"/>
              </a:solidFill>
              <a:effectLst/>
              <a:latin typeface="+mn-lt"/>
              <a:ea typeface="+mn-ea"/>
              <a:cs typeface="+mn-cs"/>
            </a:rPr>
            <a:t> BilletFix med coverbillede, al info, kontonr. og offentliggørelse.</a:t>
          </a: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Evt. tekst til BilletFix</a:t>
          </a:r>
          <a:r>
            <a:rPr lang="da-DK" sz="1100" b="0" i="0" baseline="0">
              <a:solidFill>
                <a:schemeClr val="dk1"/>
              </a:solidFill>
              <a:effectLst/>
              <a:latin typeface="+mn-lt"/>
              <a:ea typeface="+mn-ea"/>
              <a:cs typeface="+mn-cs"/>
            </a:rPr>
            <a:t>:</a:t>
          </a:r>
        </a:p>
        <a:p>
          <a:pPr marL="0" marR="0" lvl="0" indent="0" defTabSz="914400" rtl="0" eaLnBrk="1" fontAlgn="auto" latinLnBrk="0" hangingPunct="1">
            <a:lnSpc>
              <a:spcPct val="100000"/>
            </a:lnSpc>
            <a:spcBef>
              <a:spcPts val="0"/>
            </a:spcBef>
            <a:spcAft>
              <a:spcPts val="0"/>
            </a:spcAft>
            <a:buClrTx/>
            <a:buSzTx/>
            <a:buFontTx/>
            <a:buNone/>
            <a:tabLst/>
            <a:defRPr/>
          </a:pPr>
          <a:r>
            <a:rPr lang="da-DK" sz="1100" b="0" i="1">
              <a:solidFill>
                <a:schemeClr val="dk1"/>
              </a:solidFill>
              <a:effectLst/>
              <a:latin typeface="+mn-lt"/>
              <a:ea typeface="+mn-ea"/>
              <a:cs typeface="+mn-cs"/>
            </a:rPr>
            <a:t>📖 </a:t>
          </a:r>
          <a:r>
            <a:rPr lang="da-DK" sz="1100" b="1" i="1">
              <a:solidFill>
                <a:schemeClr val="dk1"/>
              </a:solidFill>
              <a:effectLst/>
              <a:latin typeface="+mn-lt"/>
              <a:ea typeface="+mn-ea"/>
              <a:cs typeface="+mn-cs"/>
            </a:rPr>
            <a:t>BTDK</a:t>
          </a:r>
          <a:r>
            <a:rPr lang="da-DK" sz="1100" b="0" i="1">
              <a:solidFill>
                <a:schemeClr val="dk1"/>
              </a:solidFill>
              <a:effectLst/>
              <a:latin typeface="+mn-lt"/>
              <a:ea typeface="+mn-ea"/>
              <a:cs typeface="+mn-cs"/>
            </a:rPr>
            <a:t>: Generel info om Ping Pong, herunder koncept, regler, DM, WCPP mv. kan ses på Bordtennis Danmarks hjemmeside (BTDK) </a:t>
          </a:r>
          <a:r>
            <a:rPr lang="da-DK" sz="1100" b="1" i="1">
              <a:solidFill>
                <a:schemeClr val="dk1"/>
              </a:solidFill>
              <a:effectLst/>
              <a:latin typeface="+mn-lt"/>
              <a:ea typeface="+mn-ea"/>
              <a:cs typeface="+mn-cs"/>
            </a:rPr>
            <a:t>HER</a:t>
          </a:r>
          <a:r>
            <a:rPr lang="da-DK" sz="1100" b="0" i="1">
              <a:solidFill>
                <a:schemeClr val="dk1"/>
              </a:solidFill>
              <a:effectLst/>
              <a:latin typeface="+mn-lt"/>
              <a:ea typeface="+mn-ea"/>
              <a:cs typeface="+mn-cs"/>
            </a:rPr>
            <a:t>.</a:t>
          </a:r>
          <a:endParaRPr lang="da-DK" sz="1100" b="0" i="0" baseline="0">
            <a:solidFill>
              <a:schemeClr val="dk1"/>
            </a:solidFill>
            <a:effectLst/>
            <a:latin typeface="+mn-lt"/>
            <a:ea typeface="+mn-ea"/>
            <a:cs typeface="+mn-cs"/>
          </a:endParaRP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Offentliggørelse af tid og sted</a:t>
          </a:r>
          <a:r>
            <a:rPr lang="da-DK" sz="1400" b="0" i="0" baseline="0">
              <a:solidFill>
                <a:schemeClr val="dk1"/>
              </a:solidFill>
              <a:effectLst/>
              <a:latin typeface="+mn-lt"/>
              <a:ea typeface="+mn-ea"/>
              <a:cs typeface="+mn-cs"/>
            </a:rPr>
            <a:t>:</a:t>
          </a:r>
        </a:p>
        <a:p>
          <a:r>
            <a:rPr lang="da-DK" sz="1200" b="1" i="1" baseline="0">
              <a:solidFill>
                <a:schemeClr val="dk1"/>
              </a:solidFill>
              <a:effectLst/>
              <a:latin typeface="+mn-lt"/>
              <a:ea typeface="+mn-ea"/>
              <a:cs typeface="+mn-cs"/>
            </a:rPr>
            <a:t>Søndag 09.01.2022 kl. 12:00: Facebook-begivenhed info/-opslag</a:t>
          </a:r>
          <a:endParaRPr lang="da-DK" sz="12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 DM I PING PONG 2022 bliver lørdag 18. juni i Sisu/MBK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Eventet er før sommerferien og som noget af det sidste af indeværende bordtennissæson, da det ligger i uge 24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I kan godt glæde jer, da der er lagt op til et brag af en turnering og fest!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 Del budskabet ved at trykke deltager/interesseret og inviter folk til denne begivenhed. Like og følg også gerne den officielle Facebook-side "Ping Pong DK" (medarrangør), hvis du ikke allerede gør det, hvor bl.a. finalen fra sidste års DM kan ses i kort form.</a:t>
          </a:r>
        </a:p>
        <a:p>
          <a:endParaRPr lang="da-DK" sz="1100" b="0" i="0" baseline="0">
            <a:solidFill>
              <a:schemeClr val="dk1"/>
            </a:solidFill>
            <a:effectLst/>
            <a:latin typeface="+mn-lt"/>
            <a:ea typeface="+mn-ea"/>
            <a:cs typeface="+mn-cs"/>
          </a:endParaRPr>
        </a:p>
        <a:p>
          <a:r>
            <a:rPr lang="da-DK" sz="1100" b="0" i="0">
              <a:solidFill>
                <a:schemeClr val="dk1"/>
              </a:solidFill>
              <a:effectLst/>
              <a:latin typeface="+mn-lt"/>
              <a:ea typeface="+mn-ea"/>
              <a:cs typeface="+mn-cs"/>
            </a:rPr>
            <a:t>Nærmere info følger 👀</a:t>
          </a:r>
        </a:p>
        <a:p>
          <a:endParaRPr lang="da-DK" sz="1100" b="0" i="0">
            <a:solidFill>
              <a:schemeClr val="dk1"/>
            </a:solidFill>
            <a:effectLst/>
            <a:latin typeface="+mn-lt"/>
            <a:ea typeface="+mn-ea"/>
            <a:cs typeface="+mn-cs"/>
          </a:endParaRPr>
        </a:p>
        <a:p>
          <a:r>
            <a:rPr lang="da-DK" sz="1400" b="1" i="0" u="sng">
              <a:solidFill>
                <a:schemeClr val="dk1"/>
              </a:solidFill>
              <a:effectLst/>
              <a:latin typeface="+mn-lt"/>
              <a:ea typeface="+mn-ea"/>
              <a:cs typeface="+mn-cs"/>
            </a:rPr>
            <a:t>Sandpapirsbat</a:t>
          </a:r>
          <a:r>
            <a:rPr lang="da-DK" sz="1400" b="1" i="0" u="sng" baseline="0">
              <a:solidFill>
                <a:schemeClr val="dk1"/>
              </a:solidFill>
              <a:effectLst/>
              <a:latin typeface="+mn-lt"/>
              <a:ea typeface="+mn-ea"/>
              <a:cs typeface="+mn-cs"/>
            </a:rPr>
            <a:t> af BTDK</a:t>
          </a:r>
          <a:r>
            <a:rPr lang="da-DK" sz="1400" b="0" i="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Søndag 03.04.2022 kl. 12:00: Facebook-opslag</a:t>
          </a:r>
          <a:endParaRPr lang="da-DK"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Et STORT TAK skal lyde til Bordtennis Danmark, da de støtter med 50 splinternye sandpapirsbat til DM i Ping Pong 2022 lørdag 18. juni i Sisu/MBK</a:t>
          </a:r>
          <a:r>
            <a:rPr lang="da-DK" sz="1100" b="0" i="0" baseline="0">
              <a:solidFill>
                <a:schemeClr val="dk1"/>
              </a:solidFill>
              <a:effectLst/>
              <a:latin typeface="+mn-lt"/>
              <a:ea typeface="+mn-ea"/>
              <a:cs typeface="+mn-cs"/>
            </a:rPr>
            <a:t>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Bordtennis Danmarks støtte er medvirkende til, at det igen kun kommer til at koste kr. 125 at stille op til DM i Ping Pong, hvilket faktisk er billigere end prisen på et sandpapirsbat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Det er formentligt ikke alment kendt, men Ping Pong entusiaster vil kunne nikke genkendende til, at der er stor forskel på et nyt- og brugt sandpapirsbat, da et nyt sandpapirsbat qua sin ruhed kan genere mere skrue, hvilket er gavnligt i specielt det offensive spil 🏓</a:t>
          </a:r>
        </a:p>
        <a:p>
          <a:endParaRPr lang="da-DK" sz="1100" b="0" i="0" baseline="0">
            <a:solidFill>
              <a:schemeClr val="dk1"/>
            </a:solidFill>
            <a:effectLst/>
            <a:latin typeface="+mn-lt"/>
            <a:ea typeface="+mn-ea"/>
            <a:cs typeface="+mn-cs"/>
          </a:endParaRPr>
        </a:p>
        <a:p>
          <a:r>
            <a:rPr lang="da-DK" sz="1100" b="0" i="0">
              <a:solidFill>
                <a:schemeClr val="dk1"/>
              </a:solidFill>
              <a:effectLst/>
              <a:latin typeface="+mn-lt"/>
              <a:ea typeface="+mn-ea"/>
              <a:cs typeface="+mn-cs"/>
            </a:rPr>
            <a:t>Der spilles med ”Sanwei WCPP Sandpapirsbat”, som også blev benyttet ved sidste World Championship of Ping Pong (WCPP). Alle får udleveret bat af stævnearrangøren</a:t>
          </a:r>
          <a:r>
            <a:rPr lang="da-DK" sz="1100" b="0" i="0" baseline="0">
              <a:solidFill>
                <a:schemeClr val="dk1"/>
              </a:solidFill>
              <a:effectLst/>
              <a:latin typeface="+mn-lt"/>
              <a:ea typeface="+mn-ea"/>
              <a:cs typeface="+mn-cs"/>
            </a:rPr>
            <a:t> til opvarmning og kampe, og battet </a:t>
          </a:r>
          <a:r>
            <a:rPr lang="da-DK" sz="1100" b="0" i="0">
              <a:solidFill>
                <a:schemeClr val="dk1"/>
              </a:solidFill>
              <a:effectLst/>
              <a:latin typeface="+mn-lt"/>
              <a:ea typeface="+mn-ea"/>
              <a:cs typeface="+mn-cs"/>
            </a:rPr>
            <a:t>kan også købes hos Bordtennisexperterne til eget brug</a:t>
          </a:r>
          <a:r>
            <a:rPr lang="da-DK" sz="1100" b="0" i="0" baseline="0">
              <a:solidFill>
                <a:schemeClr val="dk1"/>
              </a:solidFill>
              <a:effectLst/>
              <a:latin typeface="+mn-lt"/>
              <a:ea typeface="+mn-ea"/>
              <a:cs typeface="+mn-cs"/>
            </a:rPr>
            <a:t> her:</a:t>
          </a:r>
        </a:p>
        <a:p>
          <a:r>
            <a:rPr lang="da-DK" sz="1100" b="0" i="0">
              <a:solidFill>
                <a:schemeClr val="dk1"/>
              </a:solidFill>
              <a:effectLst/>
              <a:latin typeface="+mn-lt"/>
              <a:ea typeface="+mn-ea"/>
              <a:cs typeface="+mn-cs"/>
            </a:rPr>
            <a:t>https://www.btex.dk/sanwei-wcpp-sandpapirsbat.html</a:t>
          </a:r>
        </a:p>
        <a:p>
          <a:endParaRPr lang="da-DK"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a:t>
          </a:r>
          <a:r>
            <a:rPr lang="da-DK" sz="1100" b="0" i="0" baseline="0">
              <a:solidFill>
                <a:schemeClr val="dk1"/>
              </a:solidFill>
              <a:effectLst/>
              <a:latin typeface="+mn-lt"/>
              <a:ea typeface="+mn-ea"/>
              <a:cs typeface="+mn-cs"/>
            </a:rPr>
            <a:t> Nærmere info om DM i Ping Pong 2022 offentliggøres om en uge, og tilmelding åbnes op om 2 uger.</a:t>
          </a:r>
        </a:p>
        <a:p>
          <a:pPr marL="0" marR="0" lvl="0" indent="0" defTabSz="914400" eaLnBrk="1" fontAlgn="auto" latinLnBrk="0" hangingPunct="1">
            <a:lnSpc>
              <a:spcPct val="100000"/>
            </a:lnSpc>
            <a:spcBef>
              <a:spcPts val="0"/>
            </a:spcBef>
            <a:spcAft>
              <a:spcPts val="0"/>
            </a:spcAft>
            <a:buClrTx/>
            <a:buSzTx/>
            <a:buFontTx/>
            <a:buNone/>
            <a:tabLst/>
            <a:defRPr/>
          </a:pPr>
          <a:r>
            <a:rPr lang="da-DK" sz="1100" b="0" i="0" baseline="0">
              <a:solidFill>
                <a:schemeClr val="dk1"/>
              </a:solidFill>
              <a:effectLst/>
              <a:latin typeface="+mn-lt"/>
              <a:ea typeface="+mn-ea"/>
              <a:cs typeface="+mn-cs"/>
            </a:rPr>
            <a:t>🎉 I kan godt glæde jer, da der er lagt op til et brag af en turnering og fest!</a:t>
          </a:r>
        </a:p>
        <a:p>
          <a:r>
            <a:rPr lang="da-DK" sz="1100" b="0" i="0">
              <a:solidFill>
                <a:schemeClr val="dk1"/>
              </a:solidFill>
              <a:effectLst/>
              <a:latin typeface="+mn-lt"/>
              <a:ea typeface="+mn-ea"/>
              <a:cs typeface="+mn-cs"/>
            </a:rPr>
            <a:t>🗣️ Hvis du kunne tænke</a:t>
          </a:r>
          <a:r>
            <a:rPr lang="da-DK" sz="1100" b="0" i="0" baseline="0">
              <a:solidFill>
                <a:schemeClr val="dk1"/>
              </a:solidFill>
              <a:effectLst/>
              <a:latin typeface="+mn-lt"/>
              <a:ea typeface="+mn-ea"/>
              <a:cs typeface="+mn-cs"/>
            </a:rPr>
            <a:t> dig at være med eller blot overvejer at deltage, kan du dele budskabet via Facebook-begivenheden ved at trykke deltager/interesseret, ligesom 75 personer allerede har gjort, og invitere folk her:</a:t>
          </a:r>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https://www.facebook.com/events/452302656395308</a:t>
          </a: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Før åbning af tilmelding</a:t>
          </a:r>
          <a:r>
            <a:rPr lang="da-DK" sz="1400" b="0" i="0" baseline="0">
              <a:solidFill>
                <a:schemeClr val="dk1"/>
              </a:solidFill>
              <a:effectLst/>
              <a:latin typeface="+mn-lt"/>
              <a:ea typeface="+mn-ea"/>
              <a:cs typeface="+mn-cs"/>
            </a:rPr>
            <a:t>:</a:t>
          </a:r>
          <a:endParaRPr lang="da-DK" sz="1400" b="1" i="0" u="sng" baseline="0">
            <a:solidFill>
              <a:schemeClr val="dk1"/>
            </a:solidFill>
            <a:effectLst/>
            <a:latin typeface="+mn-lt"/>
            <a:ea typeface="+mn-ea"/>
            <a:cs typeface="+mn-cs"/>
          </a:endParaRPr>
        </a:p>
        <a:p>
          <a:r>
            <a:rPr lang="da-DK" sz="1200" b="1" i="1" u="none" baseline="0">
              <a:solidFill>
                <a:schemeClr val="dk1"/>
              </a:solidFill>
              <a:effectLst/>
              <a:latin typeface="+mn-lt"/>
              <a:ea typeface="+mn-ea"/>
              <a:cs typeface="+mn-cs"/>
            </a:rPr>
            <a:t>Søndag 10.04.2022 kl. 12:00: Facebook-opslag</a:t>
          </a:r>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 SØNDAG 17. APRIL 2022 KL. 12 åbnes op for tilmelding til DM i Ping Pong 2022, som arrangeres af Sisu/MBK lørdag 18. juni (før sommerferien i uge 24)🏓🎉</a:t>
          </a:r>
        </a:p>
        <a:p>
          <a:r>
            <a:rPr lang="da-DK" sz="1100" b="0" i="0" baseline="0">
              <a:solidFill>
                <a:schemeClr val="dk1"/>
              </a:solidFill>
              <a:effectLst/>
              <a:latin typeface="+mn-lt"/>
              <a:ea typeface="+mn-ea"/>
              <a:cs typeface="+mn-cs"/>
            </a:rPr>
            <a:t>🙌 Se i</a:t>
          </a:r>
          <a:r>
            <a:rPr lang="da-DK" sz="1100" b="0" i="0">
              <a:solidFill>
                <a:schemeClr val="dk1"/>
              </a:solidFill>
              <a:effectLst/>
              <a:latin typeface="+mn-lt"/>
              <a:ea typeface="+mn-ea"/>
              <a:cs typeface="+mn-cs"/>
            </a:rPr>
            <a:t>ndbydelsesplakat herunder opslaget 👇</a:t>
          </a:r>
          <a:endParaRPr lang="da-DK">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i="0">
              <a:solidFill>
                <a:schemeClr val="dk1"/>
              </a:solidFill>
              <a:effectLst/>
              <a:latin typeface="+mn-lt"/>
              <a:ea typeface="+mn-ea"/>
              <a:cs typeface="+mn-cs"/>
            </a:rPr>
            <a:t>🎯</a:t>
          </a:r>
          <a:r>
            <a:rPr lang="da-DK" sz="1100" b="0" i="0" baseline="0">
              <a:solidFill>
                <a:schemeClr val="dk1"/>
              </a:solidFill>
              <a:effectLst/>
              <a:latin typeface="+mn-lt"/>
              <a:ea typeface="+mn-ea"/>
              <a:cs typeface="+mn-cs"/>
            </a:rPr>
            <a:t> Derudover kan du blive klogere på hele eventet/konceptet på BilletFix, hvor tilmelding også kommer til at foregå, her:</a:t>
          </a:r>
        </a:p>
        <a:p>
          <a:r>
            <a:rPr lang="da-DK" sz="1100" b="0" i="0" baseline="0">
              <a:solidFill>
                <a:schemeClr val="dk1"/>
              </a:solidFill>
              <a:effectLst/>
              <a:latin typeface="+mn-lt"/>
              <a:ea typeface="+mn-ea"/>
              <a:cs typeface="+mn-cs"/>
            </a:rPr>
            <a:t>👉 https://billetfix.dk/da/e/dm-i-ping-pong-2022</a:t>
          </a:r>
        </a:p>
        <a:p>
          <a:endParaRPr lang="da-DK" sz="1100" b="0" i="0" baseline="0">
            <a:solidFill>
              <a:schemeClr val="dk1"/>
            </a:solidFill>
            <a:effectLst/>
            <a:latin typeface="+mn-lt"/>
            <a:ea typeface="+mn-ea"/>
            <a:cs typeface="+mn-cs"/>
          </a:endParaRPr>
        </a:p>
        <a:p>
          <a:r>
            <a:rPr lang="da-DK" sz="1200" b="1" i="1" baseline="0">
              <a:solidFill>
                <a:schemeClr val="dk1"/>
              </a:solidFill>
              <a:effectLst/>
              <a:latin typeface="+mn-lt"/>
              <a:ea typeface="+mn-ea"/>
              <a:cs typeface="+mn-cs"/>
            </a:rPr>
            <a:t>Søndag 10.04.2022 kl. 12:00: Facebook-begivenhed info</a:t>
          </a:r>
          <a:endParaRPr lang="da-DK" sz="1200">
            <a:effectLst/>
          </a:endParaRPr>
        </a:p>
        <a:p>
          <a:r>
            <a:rPr lang="da-DK" sz="1100" b="0" i="0" baseline="0">
              <a:solidFill>
                <a:schemeClr val="dk1"/>
              </a:solidFill>
              <a:effectLst/>
              <a:latin typeface="+mn-lt"/>
              <a:ea typeface="+mn-ea"/>
              <a:cs typeface="+mn-cs"/>
            </a:rPr>
            <a:t>🏓🎉 DM I PING PONG 2022 afholdes lørdag 18. juni i Sisu/MBK 🎉🏓</a:t>
          </a:r>
        </a:p>
        <a:p>
          <a:endParaRPr lang="da-DK">
            <a:effectLst/>
          </a:endParaRPr>
        </a:p>
        <a:p>
          <a:r>
            <a:rPr lang="da-DK" sz="1100" b="0" i="0" baseline="0">
              <a:solidFill>
                <a:schemeClr val="dk1"/>
              </a:solidFill>
              <a:effectLst/>
              <a:latin typeface="+mn-lt"/>
              <a:ea typeface="+mn-ea"/>
              <a:cs typeface="+mn-cs"/>
            </a:rPr>
            <a:t>Eventet er før sommerferien og som noget af det sidste af indeværende bordtennissæson, da det ligger i uge 24 🙌</a:t>
          </a:r>
        </a:p>
        <a:p>
          <a:endParaRPr lang="da-DK">
            <a:effectLst/>
          </a:endParaRPr>
        </a:p>
        <a:p>
          <a:pPr eaLnBrk="1" fontAlgn="auto" latinLnBrk="0" hangingPunct="1"/>
          <a:r>
            <a:rPr lang="da-DK" sz="1100">
              <a:solidFill>
                <a:schemeClr val="dk1"/>
              </a:solidFill>
              <a:effectLst/>
              <a:latin typeface="+mn-lt"/>
              <a:ea typeface="+mn-ea"/>
              <a:cs typeface="+mn-cs"/>
            </a:rPr>
            <a:t>Gå ikke glip af en masse kampe på lige vilkår i sandpapirsdisciplinen med stemningsmusik og/eller et brag af en fest om aftenen, som alt sammen fås til en overkommelig pris 🙌 </a:t>
          </a:r>
          <a:r>
            <a:rPr lang="da-DK" sz="1100" b="0" i="0">
              <a:solidFill>
                <a:schemeClr val="dk1"/>
              </a:solidFill>
              <a:effectLst/>
              <a:latin typeface="+mn-lt"/>
              <a:ea typeface="+mn-ea"/>
              <a:cs typeface="+mn-cs"/>
            </a:rPr>
            <a:t>Se indbydelsesplakat i coverbilledet</a:t>
          </a:r>
          <a:r>
            <a:rPr lang="da-DK" sz="1100" b="0" i="0" baseline="0">
              <a:solidFill>
                <a:schemeClr val="dk1"/>
              </a:solidFill>
              <a:effectLst/>
              <a:latin typeface="+mn-lt"/>
              <a:ea typeface="+mn-ea"/>
              <a:cs typeface="+mn-cs"/>
            </a:rPr>
            <a:t> 👀</a:t>
          </a:r>
          <a:endParaRPr lang="da-DK" sz="1100" b="0" i="0">
            <a:solidFill>
              <a:schemeClr val="dk1"/>
            </a:solidFill>
            <a:effectLst/>
            <a:latin typeface="+mn-lt"/>
            <a:ea typeface="+mn-ea"/>
            <a:cs typeface="+mn-cs"/>
          </a:endParaRPr>
        </a:p>
        <a:p>
          <a:pPr eaLnBrk="1" fontAlgn="auto" latinLnBrk="0" hangingPunct="1"/>
          <a:endParaRPr lang="da-DK">
            <a:effectLst/>
          </a:endParaRPr>
        </a:p>
        <a:p>
          <a:r>
            <a:rPr lang="da-DK" sz="1100" b="0" i="0" baseline="0">
              <a:solidFill>
                <a:schemeClr val="dk1"/>
              </a:solidFill>
              <a:effectLst/>
              <a:latin typeface="+mn-lt"/>
              <a:ea typeface="+mn-ea"/>
              <a:cs typeface="+mn-cs"/>
            </a:rPr>
            <a:t>🗣️ Del budskabet ved at trykke deltager/interesseret og inviter folk til denne begivenhed. Like og følg også gerne den officielle Facebook-side "Ping Pong DK" (medarrangør), hvis du ikke allerede gør det, hvor bl.a. finalen fra sidste års DM kan ses i kort form.</a:t>
          </a:r>
          <a:endParaRPr lang="da-DK">
            <a:effectLst/>
          </a:endParaRPr>
        </a:p>
        <a:p>
          <a:endParaRPr lang="da-DK">
            <a:effectLst/>
          </a:endParaRPr>
        </a:p>
        <a:p>
          <a:r>
            <a:rPr lang="da-DK" sz="1100" b="0" i="0">
              <a:solidFill>
                <a:schemeClr val="dk1"/>
              </a:solidFill>
              <a:effectLst/>
              <a:latin typeface="+mn-lt"/>
              <a:ea typeface="+mn-ea"/>
              <a:cs typeface="+mn-cs"/>
            </a:rPr>
            <a:t>❗ Da en del af Ping Pong konceptet er, at ALLE kan stille op (uanset alder, køn, niveau eller licens), foregår tilmelding og betaling på BilletFix (se link nederst) og derfor udenom BordtennisPortalen. Al relevant information vil også være samlet på</a:t>
          </a:r>
          <a:r>
            <a:rPr lang="da-DK" sz="1100" b="0" i="0" baseline="0">
              <a:solidFill>
                <a:schemeClr val="dk1"/>
              </a:solidFill>
              <a:effectLst/>
              <a:latin typeface="+mn-lt"/>
              <a:ea typeface="+mn-ea"/>
              <a:cs typeface="+mn-cs"/>
            </a:rPr>
            <a:t> BilletFix</a:t>
          </a:r>
          <a:r>
            <a:rPr lang="da-DK" sz="1100" b="0" i="0">
              <a:solidFill>
                <a:schemeClr val="dk1"/>
              </a:solidFill>
              <a:effectLst/>
              <a:latin typeface="+mn-lt"/>
              <a:ea typeface="+mn-ea"/>
              <a:cs typeface="+mn-cs"/>
            </a:rPr>
            <a:t>, hvor foreløbige præmier og -tilmeldinger løbende vil blive opdateret</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a:t>
          </a:r>
        </a:p>
        <a:p>
          <a:endParaRPr lang="da-DK">
            <a:effectLst/>
          </a:endParaRPr>
        </a:p>
        <a:p>
          <a:r>
            <a:rPr lang="da-DK" sz="1100" b="0" i="0" baseline="0">
              <a:solidFill>
                <a:schemeClr val="dk1"/>
              </a:solidFill>
              <a:effectLst/>
              <a:latin typeface="+mn-lt"/>
              <a:ea typeface="+mn-ea"/>
              <a:cs typeface="+mn-cs"/>
            </a:rPr>
            <a:t>🏃 Meld dig gerne til først som sidst så andre kan se, at DU skal med (først til mølle-princip) 🙌</a:t>
          </a:r>
          <a:endParaRPr lang="da-DK">
            <a:effectLst/>
          </a:endParaRPr>
        </a:p>
        <a:p>
          <a:r>
            <a:rPr lang="da-DK" sz="1100" b="0" i="0" baseline="0">
              <a:solidFill>
                <a:schemeClr val="dk1"/>
              </a:solidFill>
              <a:effectLst/>
              <a:latin typeface="+mn-lt"/>
              <a:ea typeface="+mn-ea"/>
              <a:cs typeface="+mn-cs"/>
            </a:rPr>
            <a:t>🎫ℹ️ </a:t>
          </a:r>
          <a:r>
            <a:rPr lang="da-DK" sz="1100" i="0">
              <a:solidFill>
                <a:schemeClr val="dk1"/>
              </a:solidFill>
              <a:effectLst/>
              <a:latin typeface="+mn-lt"/>
              <a:ea typeface="+mn-ea"/>
              <a:cs typeface="+mn-cs"/>
            </a:rPr>
            <a:t>Let tilmelding/betaling med MobilePay eller kort samt al info her:</a:t>
          </a:r>
          <a:endParaRPr lang="da-DK">
            <a:effectLst/>
          </a:endParaRPr>
        </a:p>
        <a:p>
          <a:r>
            <a:rPr lang="da-DK" sz="1100" i="0">
              <a:solidFill>
                <a:schemeClr val="dk1"/>
              </a:solidFill>
              <a:effectLst/>
              <a:latin typeface="+mn-lt"/>
              <a:ea typeface="+mn-ea"/>
              <a:cs typeface="+mn-cs"/>
            </a:rPr>
            <a:t>👉 https://billetfix.dk/da/e/dm-i-ping-pong-2022</a:t>
          </a: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Efter åbning af tilmelding</a:t>
          </a:r>
          <a:r>
            <a:rPr lang="da-DK" sz="1400" b="0" i="0" baseline="0">
              <a:solidFill>
                <a:schemeClr val="dk1"/>
              </a:solidFill>
              <a:effectLst/>
              <a:latin typeface="+mn-lt"/>
              <a:ea typeface="+mn-ea"/>
              <a:cs typeface="+mn-cs"/>
            </a:rPr>
            <a:t>:</a:t>
          </a:r>
        </a:p>
        <a:p>
          <a:r>
            <a:rPr lang="da-DK" sz="1200" b="1" i="1" u="none" baseline="0">
              <a:solidFill>
                <a:schemeClr val="dk1"/>
              </a:solidFill>
              <a:effectLst/>
              <a:latin typeface="+mn-lt"/>
              <a:ea typeface="+mn-ea"/>
              <a:cs typeface="+mn-cs"/>
            </a:rPr>
            <a:t>Søndag 17.04.2022 kl. 12:00: Facebook-opslag</a:t>
          </a:r>
          <a:endParaRPr lang="da-DK" sz="1100" b="0" i="0" baseline="0">
            <a:solidFill>
              <a:schemeClr val="dk1"/>
            </a:solidFill>
            <a:effectLst/>
            <a:latin typeface="+mn-lt"/>
            <a:ea typeface="+mn-ea"/>
            <a:cs typeface="+mn-cs"/>
          </a:endParaRPr>
        </a:p>
        <a:p>
          <a:pPr rtl="0"/>
          <a:r>
            <a:rPr lang="da-DK" sz="1100" b="0" i="0">
              <a:solidFill>
                <a:schemeClr val="dk1"/>
              </a:solidFill>
              <a:effectLst/>
              <a:latin typeface="+mn-lt"/>
              <a:ea typeface="+mn-ea"/>
              <a:cs typeface="+mn-cs"/>
            </a:rPr>
            <a:t>‼️ OPSLAGET MÅ GERNE DELES ‼️</a:t>
          </a:r>
        </a:p>
        <a:p>
          <a:pPr rtl="0"/>
          <a:endParaRPr lang="da-DK" sz="1100" b="0" i="0">
            <a:solidFill>
              <a:schemeClr val="dk1"/>
            </a:solidFill>
            <a:effectLst/>
            <a:latin typeface="+mn-lt"/>
            <a:ea typeface="+mn-ea"/>
            <a:cs typeface="+mn-cs"/>
          </a:endParaRPr>
        </a:p>
        <a:p>
          <a:pPr rtl="0"/>
          <a:r>
            <a:rPr lang="da-DK" sz="1100" b="0" i="0">
              <a:solidFill>
                <a:schemeClr val="dk1"/>
              </a:solidFill>
              <a:effectLst/>
              <a:latin typeface="+mn-lt"/>
              <a:ea typeface="+mn-ea"/>
              <a:cs typeface="+mn-cs"/>
            </a:rPr>
            <a:t>🎫 SÅ ER DER ÅBNET OP FOR TILMELDING TIL DM I PING PONG 2022, som arrangeres af Sisu/MBK lørdag 18. juni (før sommerferien i uge 24)🏓🎉</a:t>
          </a:r>
        </a:p>
        <a:p>
          <a:pPr rtl="0"/>
          <a:r>
            <a:rPr lang="da-DK" sz="1100" b="0" i="0">
              <a:solidFill>
                <a:schemeClr val="dk1"/>
              </a:solidFill>
              <a:effectLst/>
              <a:latin typeface="+mn-lt"/>
              <a:ea typeface="+mn-ea"/>
              <a:cs typeface="+mn-cs"/>
            </a:rPr>
            <a:t>Gå ikke glip af en masse kampe på lige vilkår i sandpapirsdisciplinen med stemningsmusik og/eller et brag af en fest om aftenen, som alt sammen fås til en overkommelig pris 🙌</a:t>
          </a:r>
          <a:br>
            <a:rPr lang="da-DK" sz="1100" b="0" i="0">
              <a:solidFill>
                <a:schemeClr val="dk1"/>
              </a:solidFill>
              <a:effectLst/>
              <a:latin typeface="+mn-lt"/>
              <a:ea typeface="+mn-ea"/>
              <a:cs typeface="+mn-cs"/>
            </a:rPr>
          </a:br>
          <a:endParaRPr lang="da-DK" sz="1100" b="0" i="0">
            <a:solidFill>
              <a:schemeClr val="dk1"/>
            </a:solidFill>
            <a:effectLst/>
            <a:latin typeface="+mn-lt"/>
            <a:ea typeface="+mn-ea"/>
            <a:cs typeface="+mn-cs"/>
          </a:endParaRPr>
        </a:p>
        <a:p>
          <a:pPr rtl="0"/>
          <a:r>
            <a:rPr lang="da-DK" sz="1100" b="0" i="0">
              <a:solidFill>
                <a:schemeClr val="dk1"/>
              </a:solidFill>
              <a:effectLst/>
              <a:latin typeface="+mn-lt"/>
              <a:ea typeface="+mn-ea"/>
              <a:cs typeface="+mn-cs"/>
            </a:rPr>
            <a:t>❗ Da en del af Ping Pong konceptet er, at ALLE kan stille op (uanset alder, køn, niveau eller licens), foregår tilmelding og betaling på BilletFix og derfor udenom BordtennisPortalen. Her vil foreløbige præmier og -tilmeldinger også løbende blive opdateret 🔃</a:t>
          </a:r>
          <a:br>
            <a:rPr lang="da-DK" sz="1100" b="0" i="0">
              <a:solidFill>
                <a:schemeClr val="dk1"/>
              </a:solidFill>
              <a:effectLst/>
              <a:latin typeface="+mn-lt"/>
              <a:ea typeface="+mn-ea"/>
              <a:cs typeface="+mn-cs"/>
            </a:rPr>
          </a:br>
          <a:endParaRPr lang="da-DK" sz="1100" b="0" i="0">
            <a:solidFill>
              <a:schemeClr val="dk1"/>
            </a:solidFill>
            <a:effectLst/>
            <a:latin typeface="+mn-lt"/>
            <a:ea typeface="+mn-ea"/>
            <a:cs typeface="+mn-cs"/>
          </a:endParaRPr>
        </a:p>
        <a:p>
          <a:pPr rtl="0"/>
          <a:r>
            <a:rPr lang="da-DK" sz="1100" b="0" i="0">
              <a:solidFill>
                <a:schemeClr val="dk1"/>
              </a:solidFill>
              <a:effectLst/>
              <a:latin typeface="+mn-lt"/>
              <a:ea typeface="+mn-ea"/>
              <a:cs typeface="+mn-cs"/>
            </a:rPr>
            <a:t>🏃 Meld dig gerne til først som sidst så andre kan se, at DU skal med (først til mølle-princip) 🙌</a:t>
          </a:r>
        </a:p>
        <a:p>
          <a:pPr rtl="0"/>
          <a:r>
            <a:rPr lang="da-DK" sz="1100" b="0" i="0">
              <a:solidFill>
                <a:schemeClr val="dk1"/>
              </a:solidFill>
              <a:effectLst/>
              <a:latin typeface="+mn-lt"/>
              <a:ea typeface="+mn-ea"/>
              <a:cs typeface="+mn-cs"/>
            </a:rPr>
            <a:t>🎫ℹ️ Let tilmelding/betaling med MobilePay eller kort samt al info her:</a:t>
          </a:r>
        </a:p>
        <a:p>
          <a:pPr rtl="0"/>
          <a:r>
            <a:rPr lang="da-DK" sz="1100" b="0" i="0">
              <a:solidFill>
                <a:schemeClr val="dk1"/>
              </a:solidFill>
              <a:effectLst/>
              <a:latin typeface="+mn-lt"/>
              <a:ea typeface="+mn-ea"/>
              <a:cs typeface="+mn-cs"/>
            </a:rPr>
            <a:t>👉 https://billetfix.dk/da/e/dm-i-ping-pong-2022</a:t>
          </a:r>
        </a:p>
        <a:p>
          <a:pPr rtl="0"/>
          <a:endParaRPr lang="da-DK" sz="1100" b="0" i="0">
            <a:solidFill>
              <a:schemeClr val="dk1"/>
            </a:solidFill>
            <a:effectLst/>
            <a:latin typeface="+mn-lt"/>
            <a:ea typeface="+mn-ea"/>
            <a:cs typeface="+mn-cs"/>
          </a:endParaRPr>
        </a:p>
        <a:p>
          <a:pPr rtl="0"/>
          <a:r>
            <a:rPr lang="da-DK" sz="1400" b="1" i="0" u="sng">
              <a:solidFill>
                <a:schemeClr val="dk1"/>
              </a:solidFill>
              <a:effectLst/>
              <a:latin typeface="+mn-lt"/>
              <a:ea typeface="+mn-ea"/>
              <a:cs typeface="+mn-cs"/>
            </a:rPr>
            <a:t>Yderligere promovering 1</a:t>
          </a:r>
          <a:r>
            <a:rPr lang="da-DK" sz="1100" b="0" i="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Fredag 20.05.2022 kl. 17:30: Facebook-opslag</a:t>
          </a:r>
          <a:endParaRPr kumimoji="0" lang="da-DK" sz="1100" b="0" i="0" u="none" strike="noStrike" kern="0" cap="none" spc="0" normalizeH="0" baseline="0" noProof="0">
            <a:ln>
              <a:noFill/>
            </a:ln>
            <a:solidFill>
              <a:prstClr val="black"/>
            </a:solidFill>
            <a:effectLst/>
            <a:uLnTx/>
            <a:uFillTx/>
            <a:latin typeface="+mn-lt"/>
            <a:ea typeface="+mn-ea"/>
            <a:cs typeface="+mn-cs"/>
          </a:endParaRPr>
        </a:p>
        <a:p>
          <a:r>
            <a:rPr lang="da" sz="1100">
              <a:solidFill>
                <a:schemeClr val="dk1"/>
              </a:solidFill>
              <a:latin typeface="+mn-lt"/>
              <a:ea typeface="+mn-ea"/>
              <a:cs typeface="+mn-cs"/>
            </a:rPr>
            <a:t>🏓🏓 </a:t>
          </a:r>
          <a:r>
            <a:rPr lang="da-DK" sz="1100">
              <a:solidFill>
                <a:schemeClr val="dk1"/>
              </a:solidFill>
              <a:latin typeface="+mn-lt"/>
              <a:ea typeface="+mn-ea"/>
              <a:cs typeface="+mn-cs"/>
            </a:rPr>
            <a:t>DM i Ping Pong 2022 for alle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(bordtennis med sandpapirsbat) samt fest om aftenen bliver afholdt i Sisu/MBK's lokaler lørdag d. 18. juni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Måske har du ikke prøvet Ping Pong før, men det gør heller ikke noget, da alle har mulighed for at deltage - Ung som gammel, dreng som pige, nybegynder som rutineret, uanset licens osv. - ALLE kan deltage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Det særlige ved Ping Pong er, at der er lige vilkår for alle, og at sandpapirsbattene giver nogle anderledes, sjove og typisk længere dueller end almindelig bordtennis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Prisen for deltagelse er overkommelig, dvs. kr. 125 for Ping Pong inkl. udleveret bat, og kr. 150 for fest om aftenen med bl.a. pizza og fri bar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Ungdomsspillere er også mere end velkomne til at stille op til DM. Der spilles i 6-mandspuljer, så alle er sikret en masse kampe, med stemningsmusik i baggrunden, og derudover er der en gave til både den yngste- og ældste deltager for at hylde mangfoldigheden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Vi håber på mange tilmeldinger, så tag endelig fat i jeres venner og  klubkammerater, så der kan blive skabt en god turnering og fest fra nær og fjern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Tilmeldingsfristen er d. 5. juni.</a:t>
          </a:r>
        </a:p>
        <a:p>
          <a:r>
            <a:rPr lang="da-DK" sz="1100">
              <a:solidFill>
                <a:schemeClr val="dk1"/>
              </a:solidFill>
              <a:latin typeface="+mn-lt"/>
              <a:ea typeface="+mn-ea"/>
              <a:cs typeface="+mn-cs"/>
            </a:rPr>
            <a:t>Der er let tilmelding/betaling med MobilePay eller kort på BilletFix, hvor også al info om eventet kan ses, ved at klikke herunder </a:t>
          </a:r>
          <a:r>
            <a:rPr lang="da" sz="1100">
              <a:solidFill>
                <a:schemeClr val="dk1"/>
              </a:solidFill>
              <a:latin typeface="+mn-lt"/>
              <a:ea typeface="+mn-ea"/>
              <a:cs typeface="+mn-cs"/>
            </a:rPr>
            <a:t>👇</a:t>
          </a:r>
        </a:p>
        <a:p>
          <a:r>
            <a:rPr lang="da-DK" sz="1100">
              <a:solidFill>
                <a:schemeClr val="dk1"/>
              </a:solidFill>
              <a:latin typeface="+mn-lt"/>
              <a:ea typeface="+mn-ea"/>
              <a:cs typeface="+mn-cs"/>
              <a:hlinkClick xmlns:r="http://schemas.openxmlformats.org/officeDocument/2006/relationships" r:id=""/>
            </a:rPr>
            <a:t>https://billetfix.dk/da/e/dm-i-ping-pong-2022</a:t>
          </a:r>
          <a:endParaRPr lang="da-DK" sz="1100" i="0"/>
        </a:p>
        <a:p>
          <a:pPr rtl="0"/>
          <a:endParaRPr lang="da-DK" sz="1100" i="0"/>
        </a:p>
        <a:p>
          <a:pPr marL="0" marR="0" lvl="0" indent="0" defTabSz="914400" rtl="0" eaLnBrk="1" fontAlgn="auto" latinLnBrk="0" hangingPunct="1">
            <a:lnSpc>
              <a:spcPct val="100000"/>
            </a:lnSpc>
            <a:spcBef>
              <a:spcPts val="0"/>
            </a:spcBef>
            <a:spcAft>
              <a:spcPts val="0"/>
            </a:spcAft>
            <a:buClrTx/>
            <a:buSzTx/>
            <a:buFontTx/>
            <a:buNone/>
            <a:tabLst/>
            <a:defRPr/>
          </a:pPr>
          <a:r>
            <a:rPr kumimoji="0" lang="da-DK" sz="1400" b="1" i="0" u="sng" strike="noStrike" kern="0" cap="none" spc="0" normalizeH="0" baseline="0" noProof="0">
              <a:ln>
                <a:noFill/>
              </a:ln>
              <a:solidFill>
                <a:prstClr val="black"/>
              </a:solidFill>
              <a:effectLst/>
              <a:uLnTx/>
              <a:uFillTx/>
              <a:latin typeface="+mn-lt"/>
              <a:ea typeface="+mn-ea"/>
              <a:cs typeface="+mn-cs"/>
            </a:rPr>
            <a:t>Yderligere promovering 2</a:t>
          </a:r>
          <a:r>
            <a:rPr kumimoji="0" lang="da-DK" sz="1100" b="0" i="0" u="none" strike="noStrike" kern="0" cap="none" spc="0" normalizeH="0" baseline="0" noProof="0">
              <a:ln>
                <a:noFill/>
              </a:ln>
              <a:solidFill>
                <a:prstClr val="black"/>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Søndag 22.05.2022 kl. 12:00: Facebook-opslag</a:t>
          </a:r>
          <a:endParaRPr kumimoji="0" lang="da-DK" sz="1100" b="0" i="0" u="none" strike="noStrike" kern="0" cap="none" spc="0" normalizeH="0" baseline="0" noProof="0">
            <a:ln>
              <a:noFill/>
            </a:ln>
            <a:solidFill>
              <a:prstClr val="black"/>
            </a:solidFill>
            <a:effectLst/>
            <a:uLnTx/>
            <a:uFillTx/>
            <a:latin typeface="+mn-lt"/>
            <a:ea typeface="+mn-ea"/>
            <a:cs typeface="+mn-cs"/>
          </a:endParaRPr>
        </a:p>
        <a:p>
          <a:r>
            <a:rPr lang="da-DK" i="1"/>
            <a:t>Emne: Invitation til DM i Ping Pong 2022 samt fest om aftenen, lørdag 18. juni i Sisu/MBK</a:t>
          </a:r>
        </a:p>
        <a:p>
          <a:endParaRPr lang="da-DK"/>
        </a:p>
        <a:p>
          <a:r>
            <a:rPr lang="da-DK"/>
            <a:t>Hej med</a:t>
          </a:r>
          <a:r>
            <a:rPr lang="da-DK" baseline="0"/>
            <a:t> jer 🏓</a:t>
          </a:r>
          <a:endParaRPr lang="da-DK"/>
        </a:p>
        <a:p>
          <a:endParaRPr lang="da-DK"/>
        </a:p>
        <a:p>
          <a:r>
            <a:rPr lang="da-DK"/>
            <a:t>Hermed invitation til DM i Ping Pong 2022 (bordtennis med sandpapirsbat) samt fest om aftenen, som afholdes lørdag d. 18. juni i Aarhus midtby i Sisu/MBK's lokaler.</a:t>
          </a:r>
          <a:endParaRPr lang="da-DK">
            <a:effectLst/>
          </a:endParaRPr>
        </a:p>
        <a:p>
          <a:r>
            <a:rPr lang="da-DK">
              <a:effectLst/>
            </a:rPr>
            <a:t>• Det særlige ved Ping Pong er, at der er lige vilkår for alle, og at sandpapirsbattene qua mindre skrue giver nogle anderledes, sjove og typisk længere dueller end almindelig bordtennis. Der tages det bedste fra fortidens- og nutidens bordtennis, hvor der bl.a. spilles til 15 point i hvert sæt (14-14 er afgørende bold), der byttes bat mellem hvert sæt, og der kan tages ”dobbeltpoint”.</a:t>
          </a:r>
        </a:p>
        <a:p>
          <a:r>
            <a:rPr lang="da-DK" sz="1100">
              <a:solidFill>
                <a:schemeClr val="dk1"/>
              </a:solidFill>
              <a:effectLst/>
              <a:latin typeface="+mn-lt"/>
              <a:ea typeface="+mn-ea"/>
              <a:cs typeface="+mn-cs"/>
            </a:rPr>
            <a:t>• </a:t>
          </a:r>
          <a:r>
            <a:rPr lang="da-DK">
              <a:effectLst/>
            </a:rPr>
            <a:t>Ping Pong appellerer til alle - Ung som gammel, dreng som pige, nybegynder som rutineret, uanset licens osv. - ALLE kan deltage. Stævnet afvikles som én åben singlerække og på fair vis efter snake-system uden klubhensyn.</a:t>
          </a:r>
        </a:p>
        <a:p>
          <a:r>
            <a:rPr lang="da-DK" sz="1100">
              <a:solidFill>
                <a:schemeClr val="dk1"/>
              </a:solidFill>
              <a:effectLst/>
              <a:latin typeface="+mn-lt"/>
              <a:ea typeface="+mn-ea"/>
              <a:cs typeface="+mn-cs"/>
            </a:rPr>
            <a:t>• </a:t>
          </a:r>
          <a:r>
            <a:rPr lang="da-DK">
              <a:effectLst/>
            </a:rPr>
            <a:t>Prisen for deltagelse er overkommelig, dvs. kr. 125 for Ping Pong inkl. udleveret sandpapirsbat, og kr. 150 for fest om aftenen, som indkluderer bl.a. pizza og fri bar samt mulighed for efterfølgende at tage ind til det aarhusianske byliv.</a:t>
          </a:r>
        </a:p>
        <a:p>
          <a:r>
            <a:rPr lang="da-DK" sz="1100">
              <a:solidFill>
                <a:schemeClr val="dk1"/>
              </a:solidFill>
              <a:effectLst/>
              <a:latin typeface="+mn-lt"/>
              <a:ea typeface="+mn-ea"/>
              <a:cs typeface="+mn-cs"/>
            </a:rPr>
            <a:t>• </a:t>
          </a:r>
          <a:r>
            <a:rPr lang="da-DK">
              <a:effectLst/>
            </a:rPr>
            <a:t>Ungdomsspillere er også mere end velkomne til at stille op til DM. Alle er sikret mange kampe, da der spilles i 6-mandspuljer. Derudover er der stemningsmusik under hele stævnet, A-/B-slutspil, samt gave til både den yngste- og ældste deltager for at hylde mangfoldigheden.</a:t>
          </a:r>
        </a:p>
        <a:p>
          <a:endParaRPr lang="da-DK"/>
        </a:p>
        <a:p>
          <a:r>
            <a:rPr lang="da-DK"/>
            <a:t>Jeg tror på, at langt de fleste vil finde Ping Pong konceptet underholdende, uanset om man kun har prøvet det i et begrænset omfang eller endnu ikke har prøvet det, da det er en sportsgren, hvor alle kan være med, og som har fællesskabet og mangfoldigheden for øje. Man kan selv vælge, hvad man ønsker at deltage i 😊</a:t>
          </a:r>
        </a:p>
        <a:p>
          <a:br>
            <a:rPr lang="da-DK"/>
          </a:br>
          <a:r>
            <a:rPr lang="da-DK" sz="1100" b="0" i="0">
              <a:solidFill>
                <a:schemeClr val="dk1"/>
              </a:solidFill>
              <a:effectLst/>
              <a:latin typeface="+mn-lt"/>
              <a:ea typeface="+mn-ea"/>
              <a:cs typeface="+mn-cs"/>
            </a:rPr>
            <a:t>Håber I vil være med til at videresende denne mail til jeres medlemmer, så der forhåbentlig kan blive skabt en god turnering og fest fra nær og fjern</a:t>
          </a:r>
          <a:r>
            <a:rPr lang="da-DK" sz="1100" b="0" i="0" baseline="0">
              <a:solidFill>
                <a:schemeClr val="dk1"/>
              </a:solidFill>
              <a:effectLst/>
              <a:latin typeface="+mn-lt"/>
              <a:ea typeface="+mn-ea"/>
              <a:cs typeface="+mn-cs"/>
            </a:rPr>
            <a:t> 🏓🎉</a:t>
          </a:r>
          <a:r>
            <a:rPr lang="da-DK"/>
            <a:t> </a:t>
          </a:r>
        </a:p>
        <a:p>
          <a:r>
            <a:rPr lang="da-DK"/>
            <a:t>Indbydelsesplakat kan ses både som billed/PDF.</a:t>
          </a:r>
          <a:br>
            <a:rPr lang="da-DK"/>
          </a:br>
          <a:endParaRPr lang="da-DK"/>
        </a:p>
        <a:p>
          <a:r>
            <a:rPr lang="da-DK" b="1"/>
            <a:t>Tilmeldingsfristen er d. 5. juni og er efter første til mølle-princip.</a:t>
          </a:r>
          <a:endParaRPr lang="da-DK"/>
        </a:p>
        <a:p>
          <a:r>
            <a:rPr lang="da-DK" b="1" baseline="0"/>
            <a:t>🎫ℹ️ </a:t>
          </a:r>
          <a:r>
            <a:rPr lang="da-DK" b="1"/>
            <a:t>Der er let tilmelding/betaling med MobilePay eller kort samt al info her:</a:t>
          </a:r>
          <a:br>
            <a:rPr lang="da-DK" b="1"/>
          </a:br>
          <a:r>
            <a:rPr lang="da-DK" b="1"/>
            <a:t>👉 </a:t>
          </a:r>
          <a:r>
            <a:rPr lang="da-DK" b="1">
              <a:hlinkClick xmlns:r="http://schemas.openxmlformats.org/officeDocument/2006/relationships" r:id=""/>
            </a:rPr>
            <a:t>https://billetfix.dk/da/e/dm-i-ping-pong-2022</a:t>
          </a:r>
          <a:endParaRPr lang="da-DK"/>
        </a:p>
        <a:p>
          <a:pPr rtl="0"/>
          <a:endParaRPr lang="da-DK" sz="1100" i="0"/>
        </a:p>
        <a:p>
          <a:pPr rtl="0"/>
          <a:r>
            <a:rPr lang="da-DK" sz="1100" i="0"/>
            <a:t>[BILLED AF INDBYDELSESPLAKAT]</a:t>
          </a:r>
        </a:p>
        <a:p>
          <a:pPr rtl="0"/>
          <a:endParaRPr lang="da-DK" sz="1100" i="0"/>
        </a:p>
        <a:p>
          <a:pPr rtl="0"/>
          <a:r>
            <a:rPr lang="da-DK" sz="1100" i="0"/>
            <a:t>Venlig hilsen</a:t>
          </a:r>
        </a:p>
        <a:p>
          <a:pPr rtl="0"/>
          <a:r>
            <a:rPr lang="da-DK" sz="1100" i="0"/>
            <a:t>Benjamin Sørensen</a:t>
          </a:r>
        </a:p>
        <a:p>
          <a:pPr rtl="0"/>
          <a:endParaRPr lang="da-DK" sz="1100" i="0"/>
        </a:p>
        <a:p>
          <a:pPr marL="0" marR="0" lvl="0" indent="0" defTabSz="914400" eaLnBrk="1" fontAlgn="auto" latinLnBrk="0" hangingPunct="1">
            <a:lnSpc>
              <a:spcPct val="100000"/>
            </a:lnSpc>
            <a:spcBef>
              <a:spcPts val="0"/>
            </a:spcBef>
            <a:spcAft>
              <a:spcPts val="0"/>
            </a:spcAft>
            <a:buClrTx/>
            <a:buSzTx/>
            <a:buFontTx/>
            <a:buNone/>
            <a:tabLst/>
            <a:defRPr/>
          </a:pPr>
          <a:r>
            <a:rPr lang="da-DK" sz="1400" b="1" i="0" u="sng">
              <a:solidFill>
                <a:schemeClr val="dk1"/>
              </a:solidFill>
              <a:effectLst/>
              <a:latin typeface="+mn-lt"/>
              <a:ea typeface="+mn-ea"/>
              <a:cs typeface="+mn-cs"/>
            </a:rPr>
            <a:t>Foreløbige præmier og -tilmeldinger</a:t>
          </a:r>
          <a:r>
            <a:rPr lang="da-DK" sz="1400" b="1" i="0" u="none">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da-DK" sz="1200" b="1" i="1" u="none">
              <a:solidFill>
                <a:schemeClr val="dk1"/>
              </a:solidFill>
              <a:effectLst/>
              <a:latin typeface="+mn-lt"/>
              <a:ea typeface="+mn-ea"/>
              <a:cs typeface="+mn-cs"/>
            </a:rPr>
            <a:t>Søndag 02.06.2022 kl. 12:00: Facebook-opslag</a:t>
          </a:r>
          <a:endParaRPr lang="da-DK" sz="1100" b="0" i="0" u="none"/>
        </a:p>
        <a:p>
          <a:pPr marL="0" marR="0" lvl="0" indent="0" defTabSz="914400" eaLnBrk="1" fontAlgn="auto" latinLnBrk="0" hangingPunct="1">
            <a:lnSpc>
              <a:spcPct val="100000"/>
            </a:lnSpc>
            <a:spcBef>
              <a:spcPts val="0"/>
            </a:spcBef>
            <a:spcAft>
              <a:spcPts val="0"/>
            </a:spcAft>
            <a:buClrTx/>
            <a:buSzTx/>
            <a:buFontTx/>
            <a:buNone/>
            <a:tabLst/>
            <a:defRPr/>
          </a:pPr>
          <a:r>
            <a:rPr lang="da-DK" sz="1100" i="0">
              <a:solidFill>
                <a:schemeClr val="dk1"/>
              </a:solidFill>
              <a:effectLst/>
              <a:latin typeface="+mn-lt"/>
              <a:ea typeface="+mn-ea"/>
              <a:cs typeface="+mn-cs"/>
            </a:rPr>
            <a:t>‼️ KUN</a:t>
          </a:r>
          <a:r>
            <a:rPr lang="da-DK" sz="1100" i="0" baseline="0">
              <a:solidFill>
                <a:schemeClr val="dk1"/>
              </a:solidFill>
              <a:effectLst/>
              <a:latin typeface="+mn-lt"/>
              <a:ea typeface="+mn-ea"/>
              <a:cs typeface="+mn-cs"/>
            </a:rPr>
            <a:t> 3 DAGE TIL TILMELDINGSFRIST TIL DM I PING PONG 2022 </a:t>
          </a:r>
          <a:r>
            <a:rPr lang="da-DK" sz="1100" i="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DM</a:t>
          </a:r>
          <a:r>
            <a:rPr lang="da-DK" sz="1100" b="0" i="0" baseline="0">
              <a:solidFill>
                <a:schemeClr val="dk1"/>
              </a:solidFill>
              <a:effectLst/>
              <a:latin typeface="+mn-lt"/>
              <a:ea typeface="+mn-ea"/>
              <a:cs typeface="+mn-cs"/>
            </a:rPr>
            <a:t> i Ping Pong afholdes l</a:t>
          </a:r>
          <a:r>
            <a:rPr lang="da-DK" sz="1100" b="0" i="0">
              <a:solidFill>
                <a:schemeClr val="dk1"/>
              </a:solidFill>
              <a:effectLst/>
              <a:latin typeface="+mn-lt"/>
              <a:ea typeface="+mn-ea"/>
              <a:cs typeface="+mn-cs"/>
            </a:rPr>
            <a:t>ørdag den 18. juni 2022</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i Sisu/MBK’s lokaler i Aarhus Midtby.</a:t>
          </a: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i="0">
              <a:solidFill>
                <a:schemeClr val="dk1"/>
              </a:solidFill>
              <a:effectLst/>
              <a:latin typeface="+mn-lt"/>
              <a:ea typeface="+mn-ea"/>
              <a:cs typeface="+mn-cs"/>
            </a:rPr>
            <a:t>Der begynder at tjekke en</a:t>
          </a:r>
          <a:r>
            <a:rPr lang="da-DK" sz="1100" i="0" baseline="0">
              <a:solidFill>
                <a:schemeClr val="dk1"/>
              </a:solidFill>
              <a:effectLst/>
              <a:latin typeface="+mn-lt"/>
              <a:ea typeface="+mn-ea"/>
              <a:cs typeface="+mn-cs"/>
            </a:rPr>
            <a:t> del tilmeldinger ind, men der er stadig ledige pladser. </a:t>
          </a:r>
          <a:r>
            <a:rPr lang="da-DK" sz="1100" i="0">
              <a:solidFill>
                <a:schemeClr val="dk1"/>
              </a:solidFill>
              <a:effectLst/>
              <a:latin typeface="+mn-lt"/>
              <a:ea typeface="+mn-ea"/>
              <a:cs typeface="+mn-cs"/>
            </a:rPr>
            <a:t>Indtil videre</a:t>
          </a:r>
          <a:r>
            <a:rPr lang="da-DK" sz="1100" i="0" baseline="0">
              <a:solidFill>
                <a:schemeClr val="dk1"/>
              </a:solidFill>
              <a:effectLst/>
              <a:latin typeface="+mn-lt"/>
              <a:ea typeface="+mn-ea"/>
              <a:cs typeface="+mn-cs"/>
            </a:rPr>
            <a:t> ser det ud som følger:</a:t>
          </a:r>
          <a:endParaRPr lang="da-DK" sz="1100" b="0" i="0" baseline="0">
            <a:solidFill>
              <a:schemeClr val="dk1"/>
            </a:solidFill>
            <a:effectLst/>
            <a:latin typeface="+mn-lt"/>
            <a:ea typeface="+mn-ea"/>
            <a:cs typeface="+mn-cs"/>
          </a:endParaRPr>
        </a:p>
        <a:p>
          <a:r>
            <a:rPr lang="da-DK" sz="1100" i="0"/>
            <a:t>🏓 DM i Ping pong: 29 deltagere</a:t>
          </a:r>
        </a:p>
        <a:p>
          <a:r>
            <a:rPr lang="da-DK" sz="1100" i="0"/>
            <a:t>🎉 Fest om aftenen: 19 deltagere</a:t>
          </a:r>
        </a:p>
        <a:p>
          <a:r>
            <a:rPr lang="da-DK" sz="1100" b="0" i="0">
              <a:solidFill>
                <a:schemeClr val="dk1"/>
              </a:solidFill>
              <a:effectLst/>
              <a:latin typeface="+mn-lt"/>
              <a:ea typeface="+mn-ea"/>
              <a:cs typeface="+mn-cs"/>
            </a:rPr>
            <a:t>👤 4 Ungdom (13%) ∙ 👤 20 Senior (63%) ∙ 👤 8 Veteran (25%)</a:t>
          </a:r>
        </a:p>
        <a:p>
          <a:endParaRPr lang="da-DK" sz="1100" i="0"/>
        </a:p>
        <a:p>
          <a:r>
            <a:rPr lang="da-DK" sz="1100" b="0" i="0" u="none" strike="noStrike">
              <a:solidFill>
                <a:schemeClr val="dk1"/>
              </a:solidFill>
              <a:effectLst/>
              <a:latin typeface="+mn-lt"/>
              <a:ea typeface="+mn-ea"/>
              <a:cs typeface="+mn-cs"/>
            </a:rPr>
            <a:t>📜 Diplomer uddeles til alle gave-/præmietagere.</a:t>
          </a:r>
        </a:p>
        <a:p>
          <a:r>
            <a:rPr lang="da-DK" sz="1100" b="0" i="0">
              <a:solidFill>
                <a:schemeClr val="dk1"/>
              </a:solidFill>
              <a:effectLst/>
              <a:latin typeface="+mn-lt"/>
              <a:ea typeface="+mn-ea"/>
              <a:cs typeface="+mn-cs"/>
            </a:rPr>
            <a:t>💸 Af spillergebyret på kr. 125 går kr. 100 til præmiepenge og kr. 25 til stævnearrangøren.</a:t>
          </a:r>
          <a:r>
            <a:rPr lang="da-DK" sz="1100" b="0" i="0"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Foreløbig præmiesum på kr. 2.900</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fordeles på seks placeringer som følger:</a:t>
          </a:r>
          <a:endParaRPr lang="da-DK" sz="1100" i="0"/>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1. plads: Kr. 1.087,50 (37,5%)</a:t>
          </a:r>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2. plads: Kr. 725,00 (25%)</a:t>
          </a:r>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3. plads: Kr. 435,00 (15%)</a:t>
          </a:r>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4. plads: Kr. 290,00 (10%)</a:t>
          </a:r>
        </a:p>
        <a:p>
          <a:r>
            <a:rPr lang="da-DK" sz="1100" b="0" i="0">
              <a:solidFill>
                <a:schemeClr val="dk1"/>
              </a:solidFill>
              <a:effectLst/>
              <a:latin typeface="+mn-lt"/>
              <a:ea typeface="+mn-ea"/>
              <a:cs typeface="+mn-cs"/>
            </a:rPr>
            <a:t>🥇 B-slutspil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1. plads: Kr. 217,50 (7,5%)</a:t>
          </a:r>
          <a:endParaRPr lang="da-DK" i="0">
            <a:effectLst/>
          </a:endParaRPr>
        </a:p>
        <a:p>
          <a:r>
            <a:rPr lang="da-DK" sz="1100" b="0" i="0">
              <a:solidFill>
                <a:schemeClr val="dk1"/>
              </a:solidFill>
              <a:effectLst/>
              <a:latin typeface="+mn-lt"/>
              <a:ea typeface="+mn-ea"/>
              <a:cs typeface="+mn-cs"/>
            </a:rPr>
            <a:t>🥈 B-slutspil -</a:t>
          </a:r>
          <a:r>
            <a:rPr lang="da-DK" sz="1100" b="0" i="0" baseline="0">
              <a:solidFill>
                <a:schemeClr val="dk1"/>
              </a:solidFill>
              <a:effectLst/>
              <a:latin typeface="+mn-lt"/>
              <a:ea typeface="+mn-ea"/>
              <a:cs typeface="+mn-cs"/>
            </a:rPr>
            <a:t> 2. plads</a:t>
          </a:r>
          <a:r>
            <a:rPr lang="da-DK" sz="1100" b="0" i="0">
              <a:solidFill>
                <a:schemeClr val="dk1"/>
              </a:solidFill>
              <a:effectLst/>
              <a:latin typeface="+mn-lt"/>
              <a:ea typeface="+mn-ea"/>
              <a:cs typeface="+mn-cs"/>
            </a:rPr>
            <a:t>: Kr. 145,00 (5%)</a:t>
          </a:r>
          <a:endParaRPr lang="da-DK" sz="1100" i="0"/>
        </a:p>
        <a:p>
          <a:endParaRPr lang="da-DK" sz="1100" i="0"/>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 Gave til den yngste- og ældste Ping Pong deltager.</a:t>
          </a:r>
          <a:endParaRPr lang="da-DK" sz="1100" i="0"/>
        </a:p>
        <a:p>
          <a:r>
            <a:rPr lang="da-DK" sz="1100" i="0"/>
            <a:t>👤 Yngst Ping Pong: </a:t>
          </a:r>
          <a:r>
            <a:rPr lang="da-DK" sz="1100" b="0" i="0">
              <a:solidFill>
                <a:schemeClr val="dk1"/>
              </a:solidFill>
              <a:effectLst/>
              <a:latin typeface="+mn-lt"/>
              <a:ea typeface="+mn-ea"/>
              <a:cs typeface="+mn-cs"/>
            </a:rPr>
            <a:t>Frederik Kjeldgaard, Hørning BTK [12 år, 10-05-2010] 🏓</a:t>
          </a:r>
          <a:endParaRPr lang="da-DK" sz="1100" i="0"/>
        </a:p>
        <a:p>
          <a:r>
            <a:rPr lang="da-DK" sz="1100" i="0"/>
            <a:t>👤 Ældst Ping Pong: </a:t>
          </a:r>
          <a:r>
            <a:rPr lang="da-DK" sz="1100" b="0" i="0">
              <a:solidFill>
                <a:schemeClr val="dk1"/>
              </a:solidFill>
              <a:effectLst/>
              <a:latin typeface="+mn-lt"/>
              <a:ea typeface="+mn-ea"/>
              <a:cs typeface="+mn-cs"/>
            </a:rPr>
            <a:t>Bent O. Jakobsen, Sisu/MBK [71 år, 08-09-1950] 🏓</a:t>
          </a:r>
          <a:endParaRPr lang="da-DK" sz="1100" i="0"/>
        </a:p>
        <a:p>
          <a:endParaRPr lang="da-DK" sz="1100" i="0"/>
        </a:p>
        <a:p>
          <a:r>
            <a:rPr lang="da-DK" sz="1100" i="0">
              <a:solidFill>
                <a:schemeClr val="dk1"/>
              </a:solidFill>
              <a:effectLst/>
              <a:latin typeface="+mn-lt"/>
              <a:ea typeface="+mn-ea"/>
              <a:cs typeface="+mn-cs"/>
            </a:rPr>
            <a:t>👀 Se hvem der har tilmeldt sig på BilletFix (opdateres løbende), hvor du også selv kan tilmelde dig </a:t>
          </a:r>
          <a:r>
            <a:rPr lang="da-DK" sz="1100" b="0" i="0" baseline="0">
              <a:solidFill>
                <a:schemeClr val="dk1"/>
              </a:solidFill>
              <a:effectLst/>
              <a:latin typeface="+mn-lt"/>
              <a:ea typeface="+mn-ea"/>
              <a:cs typeface="+mn-cs"/>
            </a:rPr>
            <a:t>(først til mølle-princip)</a:t>
          </a:r>
          <a:r>
            <a:rPr lang="da-DK" sz="1100" i="0">
              <a:solidFill>
                <a:schemeClr val="dk1"/>
              </a:solidFill>
              <a:effectLst/>
              <a:latin typeface="+mn-lt"/>
              <a:ea typeface="+mn-ea"/>
              <a:cs typeface="+mn-cs"/>
            </a:rPr>
            <a:t>, her</a:t>
          </a:r>
          <a:r>
            <a:rPr lang="da-DK" sz="1100" i="0" baseline="0">
              <a:solidFill>
                <a:schemeClr val="dk1"/>
              </a:solidFill>
              <a:effectLst/>
              <a:latin typeface="+mn-lt"/>
              <a:ea typeface="+mn-ea"/>
              <a:cs typeface="+mn-cs"/>
            </a:rPr>
            <a:t> 👇</a:t>
          </a:r>
          <a:endParaRPr lang="da-DK">
            <a:effectLst/>
          </a:endParaRPr>
        </a:p>
        <a:p>
          <a:r>
            <a:rPr lang="da-DK" sz="1100" i="0">
              <a:solidFill>
                <a:schemeClr val="dk1"/>
              </a:solidFill>
              <a:effectLst/>
              <a:latin typeface="+mn-lt"/>
              <a:ea typeface="+mn-ea"/>
              <a:cs typeface="+mn-cs"/>
            </a:rPr>
            <a:t>https://billetfix.dk/da/e/dm-i-ping-pong-2022</a:t>
          </a:r>
        </a:p>
        <a:p>
          <a:pPr marL="0" marR="0" lvl="0" indent="0" defTabSz="914400" eaLnBrk="1" fontAlgn="auto" latinLnBrk="0" hangingPunct="1">
            <a:lnSpc>
              <a:spcPct val="100000"/>
            </a:lnSpc>
            <a:spcBef>
              <a:spcPts val="0"/>
            </a:spcBef>
            <a:spcAft>
              <a:spcPts val="0"/>
            </a:spcAft>
            <a:buClrTx/>
            <a:buSzTx/>
            <a:buFontTx/>
            <a:buNone/>
            <a:tabLst/>
            <a:defRPr/>
          </a:pP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a-DK" sz="1400" b="1" i="0" u="sng" strike="noStrike" kern="0" cap="none" spc="0" normalizeH="0" baseline="0" noProof="0">
              <a:ln>
                <a:noFill/>
              </a:ln>
              <a:solidFill>
                <a:prstClr val="black"/>
              </a:solidFill>
              <a:effectLst/>
              <a:uLnTx/>
              <a:uFillTx/>
              <a:latin typeface="+mn-lt"/>
              <a:ea typeface="+mn-ea"/>
              <a:cs typeface="+mn-cs"/>
            </a:rPr>
            <a:t>Foreløbige præmier og -tilmeldinger</a:t>
          </a:r>
          <a:r>
            <a:rPr kumimoji="0" lang="da-DK" sz="1400" b="1" i="0" u="none" strike="noStrike" kern="0" cap="none" spc="0" normalizeH="0" baseline="0" noProof="0">
              <a:ln>
                <a:noFill/>
              </a:ln>
              <a:solidFill>
                <a:prstClr val="black"/>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Søndag 05.06.2022 kl. 12:00: Facebook-opslag</a:t>
          </a:r>
          <a:endParaRPr kumimoji="0" lang="da-DK" sz="1100" b="0" i="0" u="none" strike="noStrike" kern="0" cap="none" spc="0" normalizeH="0" baseline="0" noProof="0">
            <a:ln>
              <a:noFill/>
            </a:ln>
            <a:solidFill>
              <a:prstClr val="black"/>
            </a:solidFill>
            <a:effectLst/>
            <a:uLnTx/>
            <a:uFillTx/>
            <a:latin typeface="+mn-lt"/>
            <a:ea typeface="+mn-ea"/>
            <a:cs typeface="+mn-cs"/>
          </a:endParaRPr>
        </a:p>
        <a:p>
          <a:r>
            <a:rPr lang="da-DK" sz="1100">
              <a:solidFill>
                <a:schemeClr val="dk1"/>
              </a:solidFill>
              <a:latin typeface="+mn-lt"/>
              <a:ea typeface="+mn-ea"/>
              <a:cs typeface="+mn-cs"/>
            </a:rPr>
            <a:t>‼️ TILMELDINGSFRISTEN ER I DAG TIL DM I PING PONG 2022 (bordtennis med sandpapirsbat) ‼️</a:t>
          </a:r>
        </a:p>
        <a:p>
          <a:r>
            <a:rPr lang="da-DK" sz="1100">
              <a:solidFill>
                <a:schemeClr val="dk1"/>
              </a:solidFill>
              <a:latin typeface="+mn-lt"/>
              <a:ea typeface="+mn-ea"/>
              <a:cs typeface="+mn-cs"/>
            </a:rPr>
            <a:t>DM i Ping Pong afholdes om kun 13 dage i Sisu/MBK’s lokaler i Aarhus Midtby lørdag den 18. juni.</a:t>
          </a:r>
        </a:p>
        <a:p>
          <a:endParaRPr lang="da" sz="1100">
            <a:solidFill>
              <a:schemeClr val="dk1"/>
            </a:solidFill>
            <a:latin typeface="+mn-lt"/>
            <a:ea typeface="+mn-ea"/>
            <a:cs typeface="+mn-cs"/>
          </a:endParaRPr>
        </a:p>
        <a:p>
          <a:r>
            <a:rPr lang="da-DK" sz="1100">
              <a:solidFill>
                <a:schemeClr val="dk1"/>
              </a:solidFill>
              <a:latin typeface="+mn-lt"/>
              <a:ea typeface="+mn-ea"/>
              <a:cs typeface="+mn-cs"/>
            </a:rPr>
            <a:t>Der tangerer snart rekordmange deltagere med pt. 41 i alt, hvor 34 er med til Ping Pong og 27 er med til fest om aftenen. Nogen deltager kun til Ping Pong og andre kun til festen, men der er også mange, der deltager i det hele.</a:t>
          </a:r>
        </a:p>
        <a:p>
          <a:endParaRPr lang="da" sz="1100">
            <a:solidFill>
              <a:schemeClr val="dk1"/>
            </a:solidFill>
            <a:latin typeface="+mn-lt"/>
            <a:ea typeface="+mn-ea"/>
            <a:cs typeface="+mn-cs"/>
          </a:endParaRPr>
        </a:p>
        <a:p>
          <a:r>
            <a:rPr lang="da-DK" sz="1100">
              <a:solidFill>
                <a:schemeClr val="dk1"/>
              </a:solidFill>
              <a:latin typeface="+mn-lt"/>
              <a:ea typeface="+mn-ea"/>
              <a:cs typeface="+mn-cs"/>
            </a:rPr>
            <a:t>Gå ikke glip af en masse kampe på lige vilkår i sandpapirsdisciplinen med stemningsmusik under hele stævnet og/eller fest om aftenen, som alt sammen fås til en overkommelig pris. Alle kan deltage uanset alder, køn, niveau eller licens, og til Ping Pong får alle udleveret et sandpapirsbat til opvarmning og kampe, som er med i prisen.</a:t>
          </a:r>
        </a:p>
        <a:p>
          <a:endParaRPr lang="da" sz="1100">
            <a:solidFill>
              <a:schemeClr val="dk1"/>
            </a:solidFill>
            <a:latin typeface="+mn-lt"/>
            <a:ea typeface="+mn-ea"/>
            <a:cs typeface="+mn-cs"/>
          </a:endParaRPr>
        </a:p>
        <a:p>
          <a:r>
            <a:rPr lang="da" sz="1100">
              <a:solidFill>
                <a:schemeClr val="dk1"/>
              </a:solidFill>
              <a:latin typeface="+mn-lt"/>
              <a:ea typeface="+mn-ea"/>
              <a:cs typeface="+mn-cs"/>
            </a:rPr>
            <a:t>👀 </a:t>
          </a:r>
          <a:r>
            <a:rPr lang="da-DK" sz="1100">
              <a:solidFill>
                <a:schemeClr val="dk1"/>
              </a:solidFill>
              <a:latin typeface="+mn-lt"/>
              <a:ea typeface="+mn-ea"/>
              <a:cs typeface="+mn-cs"/>
            </a:rPr>
            <a:t>Se hvem der har tilmeldt sig på BilletFix (opdateres løbende), hvor du også selv kan tilmelde dig, her </a:t>
          </a:r>
          <a:r>
            <a:rPr lang="da" sz="1100">
              <a:solidFill>
                <a:schemeClr val="dk1"/>
              </a:solidFill>
              <a:latin typeface="+mn-lt"/>
              <a:ea typeface="+mn-ea"/>
              <a:cs typeface="+mn-cs"/>
            </a:rPr>
            <a:t>👇</a:t>
          </a:r>
        </a:p>
        <a:p>
          <a:r>
            <a:rPr lang="da-DK" sz="1100" i="0">
              <a:solidFill>
                <a:schemeClr val="dk1"/>
              </a:solidFill>
              <a:effectLst/>
              <a:latin typeface="+mn-lt"/>
              <a:ea typeface="+mn-ea"/>
              <a:cs typeface="+mn-cs"/>
            </a:rPr>
            <a:t>https://billetfix.dk/da/e/dm-i-ping-pong-2022</a:t>
          </a:r>
          <a:r>
            <a:rPr lang="da-DK" sz="1100" b="0" i="0" baseline="0">
              <a:solidFill>
                <a:schemeClr val="dk1"/>
              </a:solidFill>
              <a:effectLst/>
              <a:latin typeface="+mn-lt"/>
              <a:ea typeface="+mn-ea"/>
              <a:cs typeface="+mn-cs"/>
            </a:rPr>
            <a:t> </a:t>
          </a: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400" b="1" i="0" u="sng" baseline="0">
              <a:solidFill>
                <a:schemeClr val="dk1"/>
              </a:solidFill>
              <a:effectLst/>
              <a:latin typeface="+mn-lt"/>
              <a:ea typeface="+mn-ea"/>
              <a:cs typeface="+mn-cs"/>
            </a:rPr>
            <a:t>E</a:t>
          </a:r>
          <a:r>
            <a:rPr lang="da-DK" sz="1400" b="1" i="0" u="sng">
              <a:solidFill>
                <a:schemeClr val="dk1"/>
              </a:solidFill>
              <a:effectLst/>
              <a:latin typeface="+mn-lt"/>
              <a:ea typeface="+mn-ea"/>
              <a:cs typeface="+mn-cs"/>
            </a:rPr>
            <a:t>ndeligt program</a:t>
          </a:r>
          <a:r>
            <a:rPr lang="da-DK" sz="1400" i="0">
              <a:solidFill>
                <a:schemeClr val="dk1"/>
              </a:solidFill>
              <a:effectLst/>
              <a:latin typeface="+mn-lt"/>
              <a:ea typeface="+mn-ea"/>
              <a:cs typeface="+mn-cs"/>
            </a:rPr>
            <a:t>:</a:t>
          </a:r>
          <a:endParaRPr lang="da-DK" sz="1400" i="0"/>
        </a:p>
        <a:p>
          <a:r>
            <a:rPr lang="da-DK" sz="1200" b="1" i="1" u="none"/>
            <a:t>Søndag 12.06.2022 kl. 12:00: Facebook-opslag</a:t>
          </a:r>
        </a:p>
        <a:p>
          <a:r>
            <a:rPr lang="da-DK" sz="1100" i="0"/>
            <a:t>Så er det endelige program klar til DM I</a:t>
          </a:r>
          <a:r>
            <a:rPr lang="da-DK" sz="1100" i="0" baseline="0"/>
            <a:t> PING PONG 2022 på lørdag 18. juni i Sisu/MBK </a:t>
          </a:r>
          <a:r>
            <a:rPr lang="da-DK" sz="1100" b="0" i="0" baseline="0">
              <a:solidFill>
                <a:schemeClr val="dk1"/>
              </a:solidFill>
              <a:effectLst/>
              <a:latin typeface="+mn-lt"/>
              <a:ea typeface="+mn-ea"/>
              <a:cs typeface="+mn-cs"/>
            </a:rPr>
            <a:t>🏓🎉</a:t>
          </a:r>
        </a:p>
        <a:p>
          <a:r>
            <a:rPr lang="da-DK" sz="1100" b="0" i="0" baseline="0">
              <a:solidFill>
                <a:schemeClr val="dk1"/>
              </a:solidFill>
              <a:effectLst/>
              <a:latin typeface="+mn-lt"/>
              <a:ea typeface="+mn-ea"/>
              <a:cs typeface="+mn-cs"/>
            </a:rPr>
            <a:t>Der er i år rekordmange tilmeldinger med 57 i alt, </a:t>
          </a:r>
          <a:r>
            <a:rPr lang="da-DK" sz="1100">
              <a:solidFill>
                <a:schemeClr val="dk1"/>
              </a:solidFill>
              <a:effectLst/>
              <a:latin typeface="+mn-lt"/>
              <a:ea typeface="+mn-ea"/>
              <a:cs typeface="+mn-cs"/>
            </a:rPr>
            <a:t>hvor 47 er med til Ping Pong og 40 er med til fest om aftenen</a:t>
          </a:r>
          <a:r>
            <a:rPr lang="da-DK" sz="1100" baseline="0">
              <a:solidFill>
                <a:schemeClr val="dk1"/>
              </a:solidFill>
              <a:effectLst/>
              <a:latin typeface="+mn-lt"/>
              <a:ea typeface="+mn-ea"/>
              <a:cs typeface="+mn-cs"/>
            </a:rPr>
            <a:t> fordelt på 17 forskellige klubber.</a:t>
          </a: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Se tidsplan, præmier, tilmeldinger/seedninger, Ping Pong regler og al eventinfo på BilletFix, her </a:t>
          </a:r>
          <a:r>
            <a:rPr lang="da-DK" sz="1100">
              <a:solidFill>
                <a:schemeClr val="dk1"/>
              </a:solidFill>
              <a:effectLst/>
              <a:latin typeface="+mn-lt"/>
              <a:ea typeface="+mn-ea"/>
              <a:cs typeface="+mn-cs"/>
            </a:rPr>
            <a:t>👇</a:t>
          </a:r>
          <a:endParaRPr lang="da-DK" sz="1100" baseline="0">
            <a:solidFill>
              <a:schemeClr val="dk1"/>
            </a:solidFill>
            <a:effectLst/>
            <a:latin typeface="+mn-lt"/>
            <a:ea typeface="+mn-ea"/>
            <a:cs typeface="+mn-cs"/>
          </a:endParaRPr>
        </a:p>
        <a:p>
          <a:r>
            <a:rPr lang="da-DK" sz="1100" baseline="0">
              <a:solidFill>
                <a:schemeClr val="dk1"/>
              </a:solidFill>
              <a:effectLst/>
              <a:latin typeface="+mn-lt"/>
              <a:ea typeface="+mn-ea"/>
              <a:cs typeface="+mn-cs"/>
            </a:rPr>
            <a:t>https://billetfix.dk/da/e/dm-i-ping-pong-2022</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Deltagerliste og præmier vil blive opdateret løbende i tilfælde af drive-in/afbud. Der er mulighed for at tage</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drive-in helt frem til check-in-tidspunktet på stævnedagen, som er kl. 10:00, op til max 72 deltagere, via BilletFix 🕙</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Bemærk der</a:t>
          </a:r>
          <a:r>
            <a:rPr lang="da-DK" sz="1100" b="0" i="0" baseline="0">
              <a:solidFill>
                <a:schemeClr val="dk1"/>
              </a:solidFill>
              <a:effectLst/>
              <a:latin typeface="+mn-lt"/>
              <a:ea typeface="+mn-ea"/>
              <a:cs typeface="+mn-cs"/>
            </a:rPr>
            <a:t> er kommet et afbud fra Anders Lind grundet en skade, hvorfor Simon Nykjær-Fisher overtager Anders' 4. seedning.</a:t>
          </a:r>
          <a:endParaRPr lang="da-DK" sz="1100" b="0" i="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46</xdr:row>
      <xdr:rowOff>59053</xdr:rowOff>
    </xdr:from>
    <xdr:to>
      <xdr:col>3</xdr:col>
      <xdr:colOff>1680</xdr:colOff>
      <xdr:row>97</xdr:row>
      <xdr:rowOff>164173</xdr:rowOff>
    </xdr:to>
    <mc:AlternateContent xmlns:mc="http://schemas.openxmlformats.org/markup-compatibility/2006" xmlns:a14="http://schemas.microsoft.com/office/drawing/2010/main">
      <mc:Choice Requires="a14">
        <xdr:graphicFrame macro="">
          <xdr:nvGraphicFramePr>
            <xdr:cNvPr id="17" name="K: Bordtennisklub">
              <a:extLst>
                <a:ext uri="{FF2B5EF4-FFF2-40B4-BE49-F238E27FC236}">
                  <a16:creationId xmlns:a16="http://schemas.microsoft.com/office/drawing/2014/main" id="{03A0C4D0-5BF4-44E7-8FA5-F754C2AEFA5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K: Bordtennisklub"/>
            </a:graphicData>
          </a:graphic>
        </xdr:graphicFrame>
      </mc:Choice>
      <mc:Fallback xmlns="">
        <xdr:sp macro="" textlink="">
          <xdr:nvSpPr>
            <xdr:cNvPr id="0" name=""/>
            <xdr:cNvSpPr>
              <a:spLocks noTextEdit="1"/>
            </xdr:cNvSpPr>
          </xdr:nvSpPr>
          <xdr:spPr>
            <a:xfrm>
              <a:off x="5074920" y="8684893"/>
              <a:ext cx="1800000" cy="943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35</xdr:row>
      <xdr:rowOff>53340</xdr:rowOff>
    </xdr:from>
    <xdr:to>
      <xdr:col>3</xdr:col>
      <xdr:colOff>1680</xdr:colOff>
      <xdr:row>46</xdr:row>
      <xdr:rowOff>19755</xdr:rowOff>
    </xdr:to>
    <mc:AlternateContent xmlns:mc="http://schemas.openxmlformats.org/markup-compatibility/2006" xmlns:a14="http://schemas.microsoft.com/office/drawing/2010/main">
      <mc:Choice Requires="a14">
        <xdr:graphicFrame macro="">
          <xdr:nvGraphicFramePr>
            <xdr:cNvPr id="21" name="K: Region">
              <a:extLst>
                <a:ext uri="{FF2B5EF4-FFF2-40B4-BE49-F238E27FC236}">
                  <a16:creationId xmlns:a16="http://schemas.microsoft.com/office/drawing/2014/main" id="{545FFDFA-34AC-4A0C-A3B0-49A6262AB3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Region"/>
            </a:graphicData>
          </a:graphic>
        </xdr:graphicFrame>
      </mc:Choice>
      <mc:Fallback xmlns="">
        <xdr:sp macro="" textlink="">
          <xdr:nvSpPr>
            <xdr:cNvPr id="0" name=""/>
            <xdr:cNvSpPr>
              <a:spLocks noTextEdit="1"/>
            </xdr:cNvSpPr>
          </xdr:nvSpPr>
          <xdr:spPr>
            <a:xfrm>
              <a:off x="5440680" y="6667500"/>
              <a:ext cx="1800000" cy="1978095"/>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0</xdr:col>
      <xdr:colOff>0</xdr:colOff>
      <xdr:row>4</xdr:row>
      <xdr:rowOff>3808</xdr:rowOff>
    </xdr:from>
    <xdr:to>
      <xdr:col>1</xdr:col>
      <xdr:colOff>7080</xdr:colOff>
      <xdr:row>127</xdr:row>
      <xdr:rowOff>9568</xdr:rowOff>
    </xdr:to>
    <mc:AlternateContent xmlns:mc="http://schemas.openxmlformats.org/markup-compatibility/2006" xmlns:a14="http://schemas.microsoft.com/office/drawing/2010/main">
      <mc:Choice Requires="a14">
        <xdr:graphicFrame macro="">
          <xdr:nvGraphicFramePr>
            <xdr:cNvPr id="22" name="K: Deltager-ID">
              <a:extLst>
                <a:ext uri="{FF2B5EF4-FFF2-40B4-BE49-F238E27FC236}">
                  <a16:creationId xmlns:a16="http://schemas.microsoft.com/office/drawing/2014/main" id="{A748E4E8-9B81-4E6C-919D-0C38DE89758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Deltager-ID"/>
            </a:graphicData>
          </a:graphic>
        </xdr:graphicFrame>
      </mc:Choice>
      <mc:Fallback xmlns="">
        <xdr:sp macro="" textlink="">
          <xdr:nvSpPr>
            <xdr:cNvPr id="0" name=""/>
            <xdr:cNvSpPr>
              <a:spLocks noTextEdit="1"/>
            </xdr:cNvSpPr>
          </xdr:nvSpPr>
          <xdr:spPr>
            <a:xfrm>
              <a:off x="0" y="948688"/>
              <a:ext cx="4320000" cy="225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25</xdr:row>
      <xdr:rowOff>160020</xdr:rowOff>
    </xdr:from>
    <xdr:to>
      <xdr:col>3</xdr:col>
      <xdr:colOff>1680</xdr:colOff>
      <xdr:row>35</xdr:row>
      <xdr:rowOff>21315</xdr:rowOff>
    </xdr:to>
    <mc:AlternateContent xmlns:mc="http://schemas.openxmlformats.org/markup-compatibility/2006" xmlns:a14="http://schemas.microsoft.com/office/drawing/2010/main">
      <mc:Choice Requires="a14">
        <xdr:graphicFrame macro="">
          <xdr:nvGraphicFramePr>
            <xdr:cNvPr id="14" name="K: Landsdel">
              <a:extLst>
                <a:ext uri="{FF2B5EF4-FFF2-40B4-BE49-F238E27FC236}">
                  <a16:creationId xmlns:a16="http://schemas.microsoft.com/office/drawing/2014/main" id="{8A79AA5C-4BB9-4E5A-ACF2-5A9C4D97F02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Landsdel"/>
            </a:graphicData>
          </a:graphic>
        </xdr:graphicFrame>
      </mc:Choice>
      <mc:Fallback xmlns="">
        <xdr:sp macro="" textlink="">
          <xdr:nvSpPr>
            <xdr:cNvPr id="0" name=""/>
            <xdr:cNvSpPr>
              <a:spLocks noTextEdit="1"/>
            </xdr:cNvSpPr>
          </xdr:nvSpPr>
          <xdr:spPr>
            <a:xfrm>
              <a:off x="5440680" y="4945380"/>
              <a:ext cx="1800000" cy="1690095"/>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4</xdr:row>
      <xdr:rowOff>0</xdr:rowOff>
    </xdr:from>
    <xdr:to>
      <xdr:col>3</xdr:col>
      <xdr:colOff>1680</xdr:colOff>
      <xdr:row>8</xdr:row>
      <xdr:rowOff>168480</xdr:rowOff>
    </xdr:to>
    <mc:AlternateContent xmlns:mc="http://schemas.openxmlformats.org/markup-compatibility/2006" xmlns:a14="http://schemas.microsoft.com/office/drawing/2010/main">
      <mc:Choice Requires="a14">
        <xdr:graphicFrame macro="">
          <xdr:nvGraphicFramePr>
            <xdr:cNvPr id="27" name="K: Køn">
              <a:extLst>
                <a:ext uri="{FF2B5EF4-FFF2-40B4-BE49-F238E27FC236}">
                  <a16:creationId xmlns:a16="http://schemas.microsoft.com/office/drawing/2014/main" id="{7A1CB12C-28C3-45AC-BAB3-15271C5878B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Køn"/>
            </a:graphicData>
          </a:graphic>
        </xdr:graphicFrame>
      </mc:Choice>
      <mc:Fallback xmlns="">
        <xdr:sp macro="" textlink="">
          <xdr:nvSpPr>
            <xdr:cNvPr id="0" name=""/>
            <xdr:cNvSpPr>
              <a:spLocks noTextEdit="1"/>
            </xdr:cNvSpPr>
          </xdr:nvSpPr>
          <xdr:spPr>
            <a:xfrm>
              <a:off x="5440680" y="944880"/>
              <a:ext cx="1800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9</xdr:row>
      <xdr:rowOff>22860</xdr:rowOff>
    </xdr:from>
    <xdr:to>
      <xdr:col>3</xdr:col>
      <xdr:colOff>1680</xdr:colOff>
      <xdr:row>14</xdr:row>
      <xdr:rowOff>8460</xdr:rowOff>
    </xdr:to>
    <mc:AlternateContent xmlns:mc="http://schemas.openxmlformats.org/markup-compatibility/2006" xmlns:a14="http://schemas.microsoft.com/office/drawing/2010/main">
      <mc:Choice Requires="a14">
        <xdr:graphicFrame macro="">
          <xdr:nvGraphicFramePr>
            <xdr:cNvPr id="28" name="K: Spillertype">
              <a:extLst>
                <a:ext uri="{FF2B5EF4-FFF2-40B4-BE49-F238E27FC236}">
                  <a16:creationId xmlns:a16="http://schemas.microsoft.com/office/drawing/2014/main" id="{5FB66305-982C-47CF-B4F4-4A4401AC14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Spillertype"/>
            </a:graphicData>
          </a:graphic>
        </xdr:graphicFrame>
      </mc:Choice>
      <mc:Fallback xmlns="">
        <xdr:sp macro="" textlink="">
          <xdr:nvSpPr>
            <xdr:cNvPr id="0" name=""/>
            <xdr:cNvSpPr>
              <a:spLocks noTextEdit="1"/>
            </xdr:cNvSpPr>
          </xdr:nvSpPr>
          <xdr:spPr>
            <a:xfrm>
              <a:off x="5440680" y="1882140"/>
              <a:ext cx="1800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14</xdr:row>
      <xdr:rowOff>45720</xdr:rowOff>
    </xdr:from>
    <xdr:to>
      <xdr:col>3</xdr:col>
      <xdr:colOff>1680</xdr:colOff>
      <xdr:row>20</xdr:row>
      <xdr:rowOff>100440</xdr:rowOff>
    </xdr:to>
    <mc:AlternateContent xmlns:mc="http://schemas.openxmlformats.org/markup-compatibility/2006" xmlns:a14="http://schemas.microsoft.com/office/drawing/2010/main">
      <mc:Choice Requires="a14">
        <xdr:graphicFrame macro="">
          <xdr:nvGraphicFramePr>
            <xdr:cNvPr id="29" name="K: Aldersgruppe">
              <a:extLst>
                <a:ext uri="{FF2B5EF4-FFF2-40B4-BE49-F238E27FC236}">
                  <a16:creationId xmlns:a16="http://schemas.microsoft.com/office/drawing/2014/main" id="{B887AE93-4303-44FE-B2B1-171966921C8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Aldersgruppe"/>
            </a:graphicData>
          </a:graphic>
        </xdr:graphicFrame>
      </mc:Choice>
      <mc:Fallback xmlns="">
        <xdr:sp macro="" textlink="">
          <xdr:nvSpPr>
            <xdr:cNvPr id="0" name=""/>
            <xdr:cNvSpPr>
              <a:spLocks noTextEdit="1"/>
            </xdr:cNvSpPr>
          </xdr:nvSpPr>
          <xdr:spPr>
            <a:xfrm>
              <a:off x="5440680" y="2819400"/>
              <a:ext cx="1800000" cy="115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20</xdr:row>
      <xdr:rowOff>137160</xdr:rowOff>
    </xdr:from>
    <xdr:to>
      <xdr:col>3</xdr:col>
      <xdr:colOff>1680</xdr:colOff>
      <xdr:row>25</xdr:row>
      <xdr:rowOff>122760</xdr:rowOff>
    </xdr:to>
    <mc:AlternateContent xmlns:mc="http://schemas.openxmlformats.org/markup-compatibility/2006" xmlns:a14="http://schemas.microsoft.com/office/drawing/2010/main">
      <mc:Choice Requires="a14">
        <xdr:graphicFrame macro="">
          <xdr:nvGraphicFramePr>
            <xdr:cNvPr id="30" name="K: Ratinggruppe">
              <a:extLst>
                <a:ext uri="{FF2B5EF4-FFF2-40B4-BE49-F238E27FC236}">
                  <a16:creationId xmlns:a16="http://schemas.microsoft.com/office/drawing/2014/main" id="{25DBD689-FEE0-4590-ABE4-EB37B07901B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Ratinggruppe"/>
            </a:graphicData>
          </a:graphic>
        </xdr:graphicFrame>
      </mc:Choice>
      <mc:Fallback xmlns="">
        <xdr:sp macro="" textlink="">
          <xdr:nvSpPr>
            <xdr:cNvPr id="0" name=""/>
            <xdr:cNvSpPr>
              <a:spLocks noTextEdit="1"/>
            </xdr:cNvSpPr>
          </xdr:nvSpPr>
          <xdr:spPr>
            <a:xfrm>
              <a:off x="5440680" y="4008120"/>
              <a:ext cx="1800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15</xdr:row>
      <xdr:rowOff>114300</xdr:rowOff>
    </xdr:from>
    <xdr:to>
      <xdr:col>5</xdr:col>
      <xdr:colOff>1440</xdr:colOff>
      <xdr:row>20</xdr:row>
      <xdr:rowOff>99900</xdr:rowOff>
    </xdr:to>
    <mc:AlternateContent xmlns:mc="http://schemas.openxmlformats.org/markup-compatibility/2006" xmlns:a14="http://schemas.microsoft.com/office/drawing/2010/main">
      <mc:Choice Requires="a14">
        <xdr:graphicFrame macro="">
          <xdr:nvGraphicFramePr>
            <xdr:cNvPr id="18" name="K: Billettype">
              <a:extLst>
                <a:ext uri="{FF2B5EF4-FFF2-40B4-BE49-F238E27FC236}">
                  <a16:creationId xmlns:a16="http://schemas.microsoft.com/office/drawing/2014/main" id="{5C3EFB37-B53C-4D16-B2C8-99848B256E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Billettype"/>
            </a:graphicData>
          </a:graphic>
        </xdr:graphicFrame>
      </mc:Choice>
      <mc:Fallback xmlns="">
        <xdr:sp macro="" textlink="">
          <xdr:nvSpPr>
            <xdr:cNvPr id="0" name=""/>
            <xdr:cNvSpPr>
              <a:spLocks noTextEdit="1"/>
            </xdr:cNvSpPr>
          </xdr:nvSpPr>
          <xdr:spPr>
            <a:xfrm>
              <a:off x="7635240" y="307086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25</xdr:row>
      <xdr:rowOff>160020</xdr:rowOff>
    </xdr:from>
    <xdr:to>
      <xdr:col>5</xdr:col>
      <xdr:colOff>1440</xdr:colOff>
      <xdr:row>30</xdr:row>
      <xdr:rowOff>145620</xdr:rowOff>
    </xdr:to>
    <mc:AlternateContent xmlns:mc="http://schemas.openxmlformats.org/markup-compatibility/2006" xmlns:a14="http://schemas.microsoft.com/office/drawing/2010/main">
      <mc:Choice Requires="a14">
        <xdr:graphicFrame macro="">
          <xdr:nvGraphicFramePr>
            <xdr:cNvPr id="19" name="K: Tilmeldingstype">
              <a:extLst>
                <a:ext uri="{FF2B5EF4-FFF2-40B4-BE49-F238E27FC236}">
                  <a16:creationId xmlns:a16="http://schemas.microsoft.com/office/drawing/2014/main" id="{6D008373-95B8-42DC-8F92-2E958980DF4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Tilmeldingstype"/>
            </a:graphicData>
          </a:graphic>
        </xdr:graphicFrame>
      </mc:Choice>
      <mc:Fallback xmlns="">
        <xdr:sp macro="" textlink="">
          <xdr:nvSpPr>
            <xdr:cNvPr id="0" name=""/>
            <xdr:cNvSpPr>
              <a:spLocks noTextEdit="1"/>
            </xdr:cNvSpPr>
          </xdr:nvSpPr>
          <xdr:spPr>
            <a:xfrm>
              <a:off x="7635240" y="494538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20</xdr:row>
      <xdr:rowOff>137160</xdr:rowOff>
    </xdr:from>
    <xdr:to>
      <xdr:col>5</xdr:col>
      <xdr:colOff>1440</xdr:colOff>
      <xdr:row>25</xdr:row>
      <xdr:rowOff>122760</xdr:rowOff>
    </xdr:to>
    <mc:AlternateContent xmlns:mc="http://schemas.openxmlformats.org/markup-compatibility/2006" xmlns:a14="http://schemas.microsoft.com/office/drawing/2010/main">
      <mc:Choice Requires="a14">
        <xdr:graphicFrame macro="">
          <xdr:nvGraphicFramePr>
            <xdr:cNvPr id="20" name="K: Billetsalg pr. tilmelding">
              <a:extLst>
                <a:ext uri="{FF2B5EF4-FFF2-40B4-BE49-F238E27FC236}">
                  <a16:creationId xmlns:a16="http://schemas.microsoft.com/office/drawing/2014/main" id="{E688B0B4-1FDA-45E9-821C-7244152E945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Billetsalg pr. tilmelding"/>
            </a:graphicData>
          </a:graphic>
        </xdr:graphicFrame>
      </mc:Choice>
      <mc:Fallback xmlns="">
        <xdr:sp macro="" textlink="">
          <xdr:nvSpPr>
            <xdr:cNvPr id="0" name=""/>
            <xdr:cNvSpPr>
              <a:spLocks noTextEdit="1"/>
            </xdr:cNvSpPr>
          </xdr:nvSpPr>
          <xdr:spPr>
            <a:xfrm>
              <a:off x="7635240" y="400812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36</xdr:row>
      <xdr:rowOff>22860</xdr:rowOff>
    </xdr:from>
    <xdr:to>
      <xdr:col>5</xdr:col>
      <xdr:colOff>1440</xdr:colOff>
      <xdr:row>42</xdr:row>
      <xdr:rowOff>77580</xdr:rowOff>
    </xdr:to>
    <mc:AlternateContent xmlns:mc="http://schemas.openxmlformats.org/markup-compatibility/2006" xmlns:a14="http://schemas.microsoft.com/office/drawing/2010/main">
      <mc:Choice Requires="a14">
        <xdr:graphicFrame macro="">
          <xdr:nvGraphicFramePr>
            <xdr:cNvPr id="24" name="K: Måned og år">
              <a:extLst>
                <a:ext uri="{FF2B5EF4-FFF2-40B4-BE49-F238E27FC236}">
                  <a16:creationId xmlns:a16="http://schemas.microsoft.com/office/drawing/2014/main" id="{088B16D0-3369-42F6-8D3E-64793A928D3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Måned og år"/>
            </a:graphicData>
          </a:graphic>
        </xdr:graphicFrame>
      </mc:Choice>
      <mc:Fallback xmlns="">
        <xdr:sp macro="" textlink="">
          <xdr:nvSpPr>
            <xdr:cNvPr id="0" name=""/>
            <xdr:cNvSpPr>
              <a:spLocks noTextEdit="1"/>
            </xdr:cNvSpPr>
          </xdr:nvSpPr>
          <xdr:spPr>
            <a:xfrm>
              <a:off x="7635240" y="6819900"/>
              <a:ext cx="2196000" cy="115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42</xdr:row>
      <xdr:rowOff>114300</xdr:rowOff>
    </xdr:from>
    <xdr:to>
      <xdr:col>5</xdr:col>
      <xdr:colOff>1440</xdr:colOff>
      <xdr:row>59</xdr:row>
      <xdr:rowOff>29340</xdr:rowOff>
    </xdr:to>
    <mc:AlternateContent xmlns:mc="http://schemas.openxmlformats.org/markup-compatibility/2006" xmlns:a14="http://schemas.microsoft.com/office/drawing/2010/main">
      <mc:Choice Requires="a14">
        <xdr:graphicFrame macro="">
          <xdr:nvGraphicFramePr>
            <xdr:cNvPr id="26" name="K: Uge 1">
              <a:extLst>
                <a:ext uri="{FF2B5EF4-FFF2-40B4-BE49-F238E27FC236}">
                  <a16:creationId xmlns:a16="http://schemas.microsoft.com/office/drawing/2014/main" id="{EC9EBC9A-357E-473B-B42A-5F8472F674F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Uge 1"/>
            </a:graphicData>
          </a:graphic>
        </xdr:graphicFrame>
      </mc:Choice>
      <mc:Fallback xmlns="">
        <xdr:sp macro="" textlink="">
          <xdr:nvSpPr>
            <xdr:cNvPr id="0" name=""/>
            <xdr:cNvSpPr>
              <a:spLocks noTextEdit="1"/>
            </xdr:cNvSpPr>
          </xdr:nvSpPr>
          <xdr:spPr>
            <a:xfrm>
              <a:off x="7635240" y="8008620"/>
              <a:ext cx="2196000" cy="3024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59</xdr:row>
      <xdr:rowOff>60960</xdr:rowOff>
    </xdr:from>
    <xdr:to>
      <xdr:col>5</xdr:col>
      <xdr:colOff>1440</xdr:colOff>
      <xdr:row>64</xdr:row>
      <xdr:rowOff>46560</xdr:rowOff>
    </xdr:to>
    <mc:AlternateContent xmlns:mc="http://schemas.openxmlformats.org/markup-compatibility/2006" xmlns:a14="http://schemas.microsoft.com/office/drawing/2010/main">
      <mc:Choice Requires="a14">
        <xdr:graphicFrame macro="">
          <xdr:nvGraphicFramePr>
            <xdr:cNvPr id="16" name="K: Klokkeslætsinterval">
              <a:extLst>
                <a:ext uri="{FF2B5EF4-FFF2-40B4-BE49-F238E27FC236}">
                  <a16:creationId xmlns:a16="http://schemas.microsoft.com/office/drawing/2014/main" id="{07A710F8-397B-41C5-92D6-382C732C0DB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Klokkeslætsinterval"/>
            </a:graphicData>
          </a:graphic>
        </xdr:graphicFrame>
      </mc:Choice>
      <mc:Fallback xmlns="">
        <xdr:sp macro="" textlink="">
          <xdr:nvSpPr>
            <xdr:cNvPr id="0" name=""/>
            <xdr:cNvSpPr>
              <a:spLocks noTextEdit="1"/>
            </xdr:cNvSpPr>
          </xdr:nvSpPr>
          <xdr:spPr>
            <a:xfrm>
              <a:off x="7635240" y="1106424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4</xdr:row>
      <xdr:rowOff>0</xdr:rowOff>
    </xdr:from>
    <xdr:to>
      <xdr:col>5</xdr:col>
      <xdr:colOff>1440</xdr:colOff>
      <xdr:row>8</xdr:row>
      <xdr:rowOff>168480</xdr:rowOff>
    </xdr:to>
    <mc:AlternateContent xmlns:mc="http://schemas.openxmlformats.org/markup-compatibility/2006" xmlns:a14="http://schemas.microsoft.com/office/drawing/2010/main">
      <mc:Choice Requires="a14">
        <xdr:graphicFrame macro="">
          <xdr:nvGraphicFramePr>
            <xdr:cNvPr id="23" name="K: År">
              <a:extLst>
                <a:ext uri="{FF2B5EF4-FFF2-40B4-BE49-F238E27FC236}">
                  <a16:creationId xmlns:a16="http://schemas.microsoft.com/office/drawing/2014/main" id="{74421C5A-4D04-43FD-AC31-563657C988A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År"/>
            </a:graphicData>
          </a:graphic>
        </xdr:graphicFrame>
      </mc:Choice>
      <mc:Fallback xmlns="">
        <xdr:sp macro="" textlink="">
          <xdr:nvSpPr>
            <xdr:cNvPr id="0" name=""/>
            <xdr:cNvSpPr>
              <a:spLocks noTextEdit="1"/>
            </xdr:cNvSpPr>
          </xdr:nvSpPr>
          <xdr:spPr>
            <a:xfrm>
              <a:off x="7635240" y="94488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9</xdr:row>
      <xdr:rowOff>22860</xdr:rowOff>
    </xdr:from>
    <xdr:to>
      <xdr:col>5</xdr:col>
      <xdr:colOff>1440</xdr:colOff>
      <xdr:row>15</xdr:row>
      <xdr:rowOff>77580</xdr:rowOff>
    </xdr:to>
    <mc:AlternateContent xmlns:mc="http://schemas.openxmlformats.org/markup-compatibility/2006" xmlns:a14="http://schemas.microsoft.com/office/drawing/2010/main">
      <mc:Choice Requires="a14">
        <xdr:graphicFrame macro="">
          <xdr:nvGraphicFramePr>
            <xdr:cNvPr id="25" name="K: Tilmeldingsstatus">
              <a:extLst>
                <a:ext uri="{FF2B5EF4-FFF2-40B4-BE49-F238E27FC236}">
                  <a16:creationId xmlns:a16="http://schemas.microsoft.com/office/drawing/2014/main" id="{42A7E435-2974-49C0-8A16-4552B83C314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Tilmeldingsstatus"/>
            </a:graphicData>
          </a:graphic>
        </xdr:graphicFrame>
      </mc:Choice>
      <mc:Fallback xmlns="">
        <xdr:sp macro="" textlink="">
          <xdr:nvSpPr>
            <xdr:cNvPr id="0" name=""/>
            <xdr:cNvSpPr>
              <a:spLocks noTextEdit="1"/>
            </xdr:cNvSpPr>
          </xdr:nvSpPr>
          <xdr:spPr>
            <a:xfrm>
              <a:off x="7635240" y="1882140"/>
              <a:ext cx="2196000" cy="115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31</xdr:row>
      <xdr:rowOff>0</xdr:rowOff>
    </xdr:from>
    <xdr:to>
      <xdr:col>5</xdr:col>
      <xdr:colOff>1440</xdr:colOff>
      <xdr:row>35</xdr:row>
      <xdr:rowOff>168480</xdr:rowOff>
    </xdr:to>
    <mc:AlternateContent xmlns:mc="http://schemas.openxmlformats.org/markup-compatibility/2006" xmlns:a14="http://schemas.microsoft.com/office/drawing/2010/main">
      <mc:Choice Requires="a14">
        <xdr:graphicFrame macro="">
          <xdr:nvGraphicFramePr>
            <xdr:cNvPr id="31" name="K: Gentilmeldinger">
              <a:extLst>
                <a:ext uri="{FF2B5EF4-FFF2-40B4-BE49-F238E27FC236}">
                  <a16:creationId xmlns:a16="http://schemas.microsoft.com/office/drawing/2014/main" id="{47DEE082-0630-41A6-8472-56CFE35EC83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Gentilmeldinger"/>
            </a:graphicData>
          </a:graphic>
        </xdr:graphicFrame>
      </mc:Choice>
      <mc:Fallback xmlns="">
        <xdr:sp macro="" textlink="">
          <xdr:nvSpPr>
            <xdr:cNvPr id="0" name=""/>
            <xdr:cNvSpPr>
              <a:spLocks noTextEdit="1"/>
            </xdr:cNvSpPr>
          </xdr:nvSpPr>
          <xdr:spPr>
            <a:xfrm>
              <a:off x="7635240" y="588264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658900</xdr:colOff>
      <xdr:row>16</xdr:row>
      <xdr:rowOff>0</xdr:rowOff>
    </xdr:from>
    <xdr:to>
      <xdr:col>11</xdr:col>
      <xdr:colOff>983526</xdr:colOff>
      <xdr:row>27</xdr:row>
      <xdr:rowOff>148320</xdr:rowOff>
    </xdr:to>
    <xdr:graphicFrame macro="">
      <xdr:nvGraphicFramePr>
        <xdr:cNvPr id="21" name="PC - Bordennisklub">
          <a:extLst>
            <a:ext uri="{FF2B5EF4-FFF2-40B4-BE49-F238E27FC236}">
              <a16:creationId xmlns:a16="http://schemas.microsoft.com/office/drawing/2014/main" id="{8A376F8A-3968-4704-83B0-3B308B4FDF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3362640</xdr:colOff>
      <xdr:row>3</xdr:row>
      <xdr:rowOff>0</xdr:rowOff>
    </xdr:from>
    <xdr:to>
      <xdr:col>4</xdr:col>
      <xdr:colOff>312198</xdr:colOff>
      <xdr:row>14</xdr:row>
      <xdr:rowOff>148320</xdr:rowOff>
    </xdr:to>
    <xdr:graphicFrame macro="">
      <xdr:nvGraphicFramePr>
        <xdr:cNvPr id="22" name="PC - Billetsalg">
          <a:extLst>
            <a:ext uri="{FF2B5EF4-FFF2-40B4-BE49-F238E27FC236}">
              <a16:creationId xmlns:a16="http://schemas.microsoft.com/office/drawing/2014/main" id="{56B83A5C-CB9C-4D0C-880F-84843F5F7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1106533</xdr:colOff>
      <xdr:row>16</xdr:row>
      <xdr:rowOff>0</xdr:rowOff>
    </xdr:from>
    <xdr:to>
      <xdr:col>7</xdr:col>
      <xdr:colOff>419770</xdr:colOff>
      <xdr:row>27</xdr:row>
      <xdr:rowOff>148320</xdr:rowOff>
    </xdr:to>
    <xdr:graphicFrame macro="">
      <xdr:nvGraphicFramePr>
        <xdr:cNvPr id="23" name="PC - Landsdel">
          <a:extLst>
            <a:ext uri="{FF2B5EF4-FFF2-40B4-BE49-F238E27FC236}">
              <a16:creationId xmlns:a16="http://schemas.microsoft.com/office/drawing/2014/main" id="{175F64ED-B2F0-4106-942E-6A7AEF177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660928</xdr:colOff>
      <xdr:row>3</xdr:row>
      <xdr:rowOff>0</xdr:rowOff>
    </xdr:from>
    <xdr:to>
      <xdr:col>11</xdr:col>
      <xdr:colOff>986301</xdr:colOff>
      <xdr:row>14</xdr:row>
      <xdr:rowOff>148320</xdr:rowOff>
    </xdr:to>
    <xdr:graphicFrame macro="">
      <xdr:nvGraphicFramePr>
        <xdr:cNvPr id="26" name="PC - Ugentlig">
          <a:extLst>
            <a:ext uri="{FF2B5EF4-FFF2-40B4-BE49-F238E27FC236}">
              <a16:creationId xmlns:a16="http://schemas.microsoft.com/office/drawing/2014/main" id="{19428AC7-9D8F-49CE-96C1-5DBD7FFD6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517594</xdr:colOff>
      <xdr:row>16</xdr:row>
      <xdr:rowOff>0</xdr:rowOff>
    </xdr:from>
    <xdr:to>
      <xdr:col>9</xdr:col>
      <xdr:colOff>294394</xdr:colOff>
      <xdr:row>27</xdr:row>
      <xdr:rowOff>148320</xdr:rowOff>
    </xdr:to>
    <xdr:graphicFrame macro="">
      <xdr:nvGraphicFramePr>
        <xdr:cNvPr id="14" name="PC - Region">
          <a:extLst>
            <a:ext uri="{FF2B5EF4-FFF2-40B4-BE49-F238E27FC236}">
              <a16:creationId xmlns:a16="http://schemas.microsoft.com/office/drawing/2014/main" id="{2584F5A1-2326-4A35-A49C-D2B95EFD9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59031</xdr:colOff>
      <xdr:row>16</xdr:row>
      <xdr:rowOff>0</xdr:rowOff>
    </xdr:from>
    <xdr:to>
      <xdr:col>4</xdr:col>
      <xdr:colOff>367456</xdr:colOff>
      <xdr:row>27</xdr:row>
      <xdr:rowOff>148320</xdr:rowOff>
    </xdr:to>
    <xdr:graphicFrame macro="">
      <xdr:nvGraphicFramePr>
        <xdr:cNvPr id="16" name="PC - Aldersgruppe">
          <a:extLst>
            <a:ext uri="{FF2B5EF4-FFF2-40B4-BE49-F238E27FC236}">
              <a16:creationId xmlns:a16="http://schemas.microsoft.com/office/drawing/2014/main" id="{DB3C04CA-44FE-474B-A689-A0C76724D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459907</xdr:colOff>
      <xdr:row>16</xdr:row>
      <xdr:rowOff>0</xdr:rowOff>
    </xdr:from>
    <xdr:to>
      <xdr:col>5</xdr:col>
      <xdr:colOff>1373347</xdr:colOff>
      <xdr:row>27</xdr:row>
      <xdr:rowOff>148320</xdr:rowOff>
    </xdr:to>
    <xdr:graphicFrame macro="">
      <xdr:nvGraphicFramePr>
        <xdr:cNvPr id="17" name="PC - Ratinggruppe">
          <a:extLst>
            <a:ext uri="{FF2B5EF4-FFF2-40B4-BE49-F238E27FC236}">
              <a16:creationId xmlns:a16="http://schemas.microsoft.com/office/drawing/2014/main" id="{DF49C5F5-08C9-42D3-B944-531DE7E5C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201577</xdr:colOff>
      <xdr:row>16</xdr:row>
      <xdr:rowOff>0</xdr:rowOff>
    </xdr:from>
    <xdr:to>
      <xdr:col>13</xdr:col>
      <xdr:colOff>5917</xdr:colOff>
      <xdr:row>27</xdr:row>
      <xdr:rowOff>148320</xdr:rowOff>
    </xdr:to>
    <xdr:graphicFrame macro="">
      <xdr:nvGraphicFramePr>
        <xdr:cNvPr id="18" name="PC - Spillertype">
          <a:extLst>
            <a:ext uri="{FF2B5EF4-FFF2-40B4-BE49-F238E27FC236}">
              <a16:creationId xmlns:a16="http://schemas.microsoft.com/office/drawing/2014/main" id="{0E317B81-AA56-4104-9E9D-8ACC9E424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1574540</xdr:colOff>
      <xdr:row>3</xdr:row>
      <xdr:rowOff>0</xdr:rowOff>
    </xdr:from>
    <xdr:to>
      <xdr:col>6</xdr:col>
      <xdr:colOff>1358660</xdr:colOff>
      <xdr:row>14</xdr:row>
      <xdr:rowOff>148320</xdr:rowOff>
    </xdr:to>
    <xdr:graphicFrame macro="">
      <xdr:nvGraphicFramePr>
        <xdr:cNvPr id="2" name="PC - Billetsalg pr. tilmelding">
          <a:extLst>
            <a:ext uri="{FF2B5EF4-FFF2-40B4-BE49-F238E27FC236}">
              <a16:creationId xmlns:a16="http://schemas.microsoft.com/office/drawing/2014/main" id="{4634DCEF-C753-6402-4134-56B4599BA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1574294</xdr:colOff>
      <xdr:row>3</xdr:row>
      <xdr:rowOff>0</xdr:rowOff>
    </xdr:from>
    <xdr:to>
      <xdr:col>6</xdr:col>
      <xdr:colOff>3158442</xdr:colOff>
      <xdr:row>14</xdr:row>
      <xdr:rowOff>148320</xdr:rowOff>
    </xdr:to>
    <xdr:graphicFrame macro="">
      <xdr:nvGraphicFramePr>
        <xdr:cNvPr id="4" name="PC - Tilmeldingstype">
          <a:extLst>
            <a:ext uri="{FF2B5EF4-FFF2-40B4-BE49-F238E27FC236}">
              <a16:creationId xmlns:a16="http://schemas.microsoft.com/office/drawing/2014/main" id="{D40D0BA7-AACB-86B0-9F9F-7D95BBE19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1715708</xdr:colOff>
      <xdr:row>16</xdr:row>
      <xdr:rowOff>231</xdr:rowOff>
    </xdr:from>
    <xdr:to>
      <xdr:col>6</xdr:col>
      <xdr:colOff>1211828</xdr:colOff>
      <xdr:row>27</xdr:row>
      <xdr:rowOff>148551</xdr:rowOff>
    </xdr:to>
    <xdr:graphicFrame macro="">
      <xdr:nvGraphicFramePr>
        <xdr:cNvPr id="5" name="PC - Køn">
          <a:extLst>
            <a:ext uri="{FF2B5EF4-FFF2-40B4-BE49-F238E27FC236}">
              <a16:creationId xmlns:a16="http://schemas.microsoft.com/office/drawing/2014/main" id="{B5DCAC18-B53F-8BD2-8CEF-6FA3CEC94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196161</xdr:colOff>
      <xdr:row>3</xdr:row>
      <xdr:rowOff>230</xdr:rowOff>
    </xdr:from>
    <xdr:to>
      <xdr:col>13</xdr:col>
      <xdr:colOff>501</xdr:colOff>
      <xdr:row>14</xdr:row>
      <xdr:rowOff>148550</xdr:rowOff>
    </xdr:to>
    <xdr:graphicFrame macro="">
      <xdr:nvGraphicFramePr>
        <xdr:cNvPr id="8" name="PC - Klokkeslætsinterval">
          <a:extLst>
            <a:ext uri="{FF2B5EF4-FFF2-40B4-BE49-F238E27FC236}">
              <a16:creationId xmlns:a16="http://schemas.microsoft.com/office/drawing/2014/main" id="{4324F17C-3FF5-9C86-39E5-FC1922539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7</xdr:col>
      <xdr:colOff>980361</xdr:colOff>
      <xdr:row>3</xdr:row>
      <xdr:rowOff>0</xdr:rowOff>
    </xdr:from>
    <xdr:to>
      <xdr:col>8</xdr:col>
      <xdr:colOff>1040361</xdr:colOff>
      <xdr:row>14</xdr:row>
      <xdr:rowOff>148320</xdr:rowOff>
    </xdr:to>
    <xdr:graphicFrame macro="">
      <xdr:nvGraphicFramePr>
        <xdr:cNvPr id="3" name="PC - Gentilmeldinger">
          <a:extLst>
            <a:ext uri="{FF2B5EF4-FFF2-40B4-BE49-F238E27FC236}">
              <a16:creationId xmlns:a16="http://schemas.microsoft.com/office/drawing/2014/main" id="{31791A20-02AA-90ED-2879-AA362FF1B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233680</xdr:colOff>
      <xdr:row>3</xdr:row>
      <xdr:rowOff>0</xdr:rowOff>
    </xdr:from>
    <xdr:to>
      <xdr:col>5</xdr:col>
      <xdr:colOff>1615120</xdr:colOff>
      <xdr:row>14</xdr:row>
      <xdr:rowOff>148320</xdr:rowOff>
    </xdr:to>
    <xdr:graphicFrame macro="">
      <xdr:nvGraphicFramePr>
        <xdr:cNvPr id="6" name="APC - Tilmeldingsantal">
          <a:extLst>
            <a:ext uri="{FF2B5EF4-FFF2-40B4-BE49-F238E27FC236}">
              <a16:creationId xmlns:a16="http://schemas.microsoft.com/office/drawing/2014/main" id="{5F6A9348-18FC-6B61-CB08-F174497BA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Benjamin Sørensen" refreshedDate="44778.644902083332" createdVersion="3" refreshedVersion="8" minRefreshableVersion="3" recordCount="0" tupleCache="1" xr:uid="{6F49D7C4-C737-47CF-8F80-E32EBC95A028}">
  <cacheSource type="external" connectionId="15"/>
  <cacheFields count="6">
    <cacheField name="[Aldersgruppe_d2].[K: Aldersgruppe].[K: Aldersgruppe]" caption="K: Aldersgruppe" numFmtId="0" level="1">
      <sharedItems count="3">
        <s v="[Aldersgruppe_d2].[K: Aldersgruppe].&amp;[[&lt;=17]] Ungdom]" c="[&lt;=17] Ungdom"/>
        <s v="[Aldersgruppe_d2].[K: Aldersgruppe].&amp;[[&lt;=39]] Senior]" c="[&lt;=39] Senior"/>
        <s v="[Aldersgruppe_d2].[K: Aldersgruppe].&amp;[[&gt;=40]] Veteran]" c="[&gt;=40] Veteran"/>
      </sharedItems>
    </cacheField>
    <cacheField name="[Measures].[MeasuresLevel]" caption="MeasuresLevel" numFmtId="0" hierarchy="31">
      <sharedItems count="18">
        <s v="[Measures].[👥 Aktuel tilmeldingsantal]" c="👥 Aktuel tilmeldingsantal"/>
        <s v="[Measures].[👥 Tilmeldingsantal (kun med klub)]" c="👥 Tilmeldingsantal (kun med klub)"/>
        <s v="[Measures].[👤 Aktuel alder min.]" c="👤 Aktuel alder min."/>
        <s v="[Measures].[👥 Aktuel alder gns.]" c="👥 Aktuel alder gns."/>
        <s v="[Measures].[👤 Aktuel alder maks.]" c="👤 Aktuel alder maks."/>
        <s v="[Measures].[👥 Aktuel tilmeldingsantal (kun med klub)]" c="👥 Aktuel tilmeldingsantal (kun med klub)"/>
        <s v="[Measures].[🛖 Aktuel klubantal]" c="🛖 Aktuel klubantal"/>
        <s v="[Measures].[👥 Tilmeldingsantal]" c="👥 Tilmeldingsantal"/>
        <s v="[Measures].[🎫 Billetantal maks.]" c="🎫 Billetantal maks."/>
        <s v="[Measures].[🔃 Sidst opdateret]" c="🔃 Sidst opdateret"/>
        <s v="[Measures].[👤 Højeste rating Ping Pong]" c="👤 Højeste rating Ping Pong"/>
        <s v="[Measures].[💲 Billetpris]" c="💲 Billetpris"/>
        <s v="[Measures].[👤 Laveste rating Ping Pong]" c="👤 Laveste rating Ping Pong"/>
        <s v="[Measures].[👤 Rating min.]" c="👤 Rating min."/>
        <s v="[Measures].[👥 Aktuel rating gns.]" c="👥 Aktuel rating gns."/>
        <s v="[Measures].[👤 Aktuel rating maks.]" c="👤 Aktuel rating maks."/>
        <s v="[Measures].[🎁 Yngst Ping Pong]" c="🎁 Yngst Ping Pong"/>
        <s v="[Measures].[🎁 Ældst Ping Pong]" c="🎁 Ældst Ping Pong"/>
      </sharedItems>
    </cacheField>
    <cacheField name="[Landsdel_d3].[K: Landsdel].[K: Landsdel]" caption="K: Landsdel" numFmtId="0" hierarchy="30" level="1">
      <sharedItems count="4">
        <s v="[Landsdel_d3].[K: Landsdel].&amp;[Jylland]" c="Jylland"/>
        <s v="[Landsdel_d3].[K: Landsdel].&amp;[Fyn]" c="Fyn"/>
        <s v="[Landsdel_d3].[K: Landsdel].&amp;[Sjælland]" c="Sjælland"/>
        <s v="[Landsdel_d3].[K: Landsdel].&amp;[Bornholm]" c="Bornholm"/>
      </sharedItems>
    </cacheField>
    <cacheField name="[Billettype_d2].[K: Billettype emoji].[K: Billettype emoji]" caption="K: Billettype emoji" numFmtId="0" hierarchy="3" level="1">
      <sharedItems count="2">
        <s v="[Billettype_d2].[K: Billettype emoji].&amp;[🏓]" c="🏓"/>
        <s v="[Billettype_d2].[K: Billettype emoji].&amp;[🥳]" c="🥳"/>
      </sharedItems>
    </cacheField>
    <cacheField name="[Køn_d2].[K: Køn emoji].[K: Køn emoji]" caption="K: Køn emoji" numFmtId="0" hierarchy="29" level="1">
      <sharedItems count="2">
        <s v="[Køn_d2].[K: Køn emoji].&amp;[♂]" c="♂"/>
        <s v="[Køn_d2].[K: Køn emoji].&amp;[♀]" c="♀"/>
      </sharedItems>
    </cacheField>
    <cacheField name="[Ratinggruppe_d2].[K: Ratinggruppe].[K: Ratinggruppe]" caption="K: Ratinggruppe" numFmtId="0" hierarchy="32" level="1">
      <sharedItems count="2">
        <s v="[Ratinggruppe_d2].[K: Ratinggruppe].&amp;[[&gt;=2000]] Elite]" c="[&gt;=2000] Elite"/>
        <s v="[Ratinggruppe_d2].[K: Ratinggruppe].&amp;[[&lt;=1999]] Ikke-elite]" c="[&lt;=1999] Ikke-elite"/>
      </sharedItems>
    </cacheField>
  </cacheFields>
  <cacheHierarchies count="166">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0"/>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cacheHierarchy uniqueName="[Billettype_d2].[K: Billettype]" caption="K: Billettype" attribute="1" defaultMemberUniqueName="[Billettype_d2].[K: Billettype].[All]" allUniqueName="[Billettype_d2].[K: Billettype].[All]" dimensionUniqueName="[Billettype_d2]" displayFolder="" count="2" memberValueDatatype="130" unbalanced="0"/>
    <cacheHierarchy uniqueName="[Billettype_d2].[K: Billettype emoji]" caption="K: Billettype emoji" attribute="1" defaultMemberUniqueName="[Billettype_d2].[K: Billettype emoji].[All]" allUniqueName="[Billettype_d2].[K: Billettype emoji].[All]" dimensionUniqueName="[Billettype_d2]" displayFolder="" count="2" memberValueDatatype="130" unbalanced="0">
      <fieldsUsage count="2">
        <fieldUsage x="-1"/>
        <fieldUsage x="3"/>
      </fieldsUsage>
    </cacheHierarchy>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cacheHierarchy uniqueName="[Bordtennisklub_d2].[K: Postnr.]" caption="K: Postnr." attribute="1" defaultMemberUniqueName="[Bordtennisklub_d2].[K: Postnr.].[All]" allUniqueName="[Bordtennisklub_d2].[K: Postnr.].[All]" dimensionUniqueName="[Bordtennisklub_d2]" displayFolder="" count="2" memberValueDatatype="130" unbalanced="0"/>
    <cacheHierarchy uniqueName="[Bordtennisklub_d2].[K: By]" caption="K: By" attribute="1" defaultMemberUniqueName="[Bordtennisklub_d2].[K: By].[All]" allUniqueName="[Bordtennisklub_d2].[K: By].[All]" dimensionUniqueName="[Bordtennisklub_d2]" displayFolder="" count="2"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2" memberValueDatatype="130" unbalanced="0"/>
    <cacheHierarchy uniqueName="[Bordtennisklub_d2].[K: Mail]" caption="K: Mail" attribute="1" defaultMemberUniqueName="[Bordtennisklub_d2].[K: Mail].[All]" allUniqueName="[Bordtennisklub_d2].[K: Mail].[All]" dimensionUniqueName="[Bordtennisklub_d2]" displayFolder="" count="2"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cacheHierarchy uniqueName="[Deltagere_d1].[K: Navn og bordtennisklub]" caption="K: Navn og bordtennisklub" attribute="1" defaultMemberUniqueName="[Deltagere_d1].[K: Navn og bordtennisklub].[All]" allUniqueName="[Deltagere_d1].[K: Navn og bordtennisklub].[All]" dimensionUniqueName="[Deltagere_d1]" displayFolder="" count="2" memberValueDatatype="130" unbalanced="0"/>
    <cacheHierarchy uniqueName="[Deltagere_d1].[K: Fødselsdato]" caption="K: Fødselsdato" attribute="1" time="1" defaultMemberUniqueName="[Deltagere_d1].[K: Fødselsdato].[All]" allUniqueName="[Deltagere_d1].[K: Fødselsdato].[All]" dimensionUniqueName="[Deltagere_d1]" displayFolder="" count="2" memberValueDatatype="7" unbalanced="0"/>
    <cacheHierarchy uniqueName="[Deltagere_d1].[K: Alder]" caption="K: Alder" attribute="1" defaultMemberUniqueName="[Deltagere_d1].[K: Alder].[All]" allUniqueName="[Deltagere_d1].[K: Alder].[All]" dimensionUniqueName="[Deltagere_d1]" displayFolder="" count="2" memberValueDatatype="20" unbalanced="0"/>
    <cacheHierarchy uniqueName="[Deltagere_d1].[K: Rating]" caption="K: Rating" attribute="1" defaultMemberUniqueName="[Deltagere_d1].[K: Rating].[All]" allUniqueName="[Deltagere_d1].[K: Rating].[All]" dimensionUniqueName="[Deltagere_d1]" displayFolder="" count="2" memberValueDatatype="130" unbalanced="0"/>
    <cacheHierarchy uniqueName="[Deltagere_d1].[K: Evt. rating (2)]" caption="K: Evt. rating (2)" attribute="1" defaultMemberUniqueName="[Deltagere_d1].[K: Evt. rating (2)].[All]" allUniqueName="[Deltagere_d1].[K: Evt. rating (2)].[All]" dimensionUniqueName="[Deltagere_d1]" displayFolder="" count="2"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2" memberValueDatatype="130" unbalanced="0"/>
    <cacheHierarchy uniqueName="[Kalender].[K: Dato]" caption="K: Dato" attribute="1" time="1" keyAttribute="1" defaultMemberUniqueName="[Kalender].[K: Dato].[All]" allUniqueName="[Kalender].[K: Dato].[All]" dimensionUniqueName="[Kalender]" displayFolder="" count="2" memberValueDatatype="7" unbalanced="0"/>
    <cacheHierarchy uniqueName="[Kalender].[K: År]" caption="K: År" attribute="1" time="1" defaultMemberUniqueName="[Kalender].[K: År].[All]" allUniqueName="[Kalender].[K: År].[All]" dimensionUniqueName="[Kalender]" displayFolder="" count="2" memberValueDatatype="20" unbalanced="0"/>
    <cacheHierarchy uniqueName="[Kalender].[K: Måned fork.]" caption="K: Måned fork." attribute="1" time="1" defaultMemberUniqueName="[Kalender].[K: Måned fork.].[All]" allUniqueName="[Kalender].[K: Måned fork.].[All]" dimensionUniqueName="[Kalender]" displayFolder="" count="2" memberValueDatatype="130" unbalanced="0"/>
    <cacheHierarchy uniqueName="[Kalender].[K: Kvartal]" caption="K: Kvartal" attribute="1" time="1" defaultMemberUniqueName="[Kalender].[K: Kvartal].[All]" allUniqueName="[Kalender].[K: Kvartal].[All]" dimensionUniqueName="[Kalender]" displayFolder="" count="2" memberValueDatatype="130" unbalanced="0"/>
    <cacheHierarchy uniqueName="[Kalender].[K: Halvår]" caption="K: Halvår" attribute="1" time="1" defaultMemberUniqueName="[Kalender].[K: Halvår].[All]" allUniqueName="[Kalender].[K: Halvår].[All]" dimensionUniqueName="[Kalender]" displayFolder="" count="2" memberValueDatatype="130" unbalanced="0"/>
    <cacheHierarchy uniqueName="[Kalender].[K: Måned]" caption="K: Måned" attribute="1" time="1" defaultMemberUniqueName="[Kalender].[K: Måned].[All]" allUniqueName="[Kalender].[K: Måned].[All]" dimensionUniqueName="[Kalender]" displayFolder="" count="2" memberValueDatatype="130" unbalanced="0"/>
    <cacheHierarchy uniqueName="[Kalender].[K: Ugedag]" caption="K: Ugedag" attribute="1" time="1" defaultMemberUniqueName="[Kalender].[K: Ugedag].[All]" allUniqueName="[Kalender].[K: Ugedag].[All]" dimensionUniqueName="[Kalender]" displayFolder="" count="2"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cacheHierarchy uniqueName="[Kalender].[K: Uge og år]" caption="K: Uge og år" attribute="1" time="1" defaultMemberUniqueName="[Kalender].[K: Uge og år].[All]" allUniqueName="[Kalender].[K: Uge og år].[All]" dimensionUniqueName="[Kalender]" displayFolder="" count="2" memberValueDatatype="130" unbalanced="0"/>
    <cacheHierarchy uniqueName="[Kalender].[K: Uge]" caption="K: Uge" attribute="1" time="1" defaultMemberUniqueName="[Kalender].[K: Uge].[All]" allUniqueName="[Kalender].[K: Uge].[All]" dimensionUniqueName="[Kalender]" displayFolder="" count="2"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cacheHierarchy uniqueName="[Køn_d2].[K: Køn]" caption="K: Køn" attribute="1" defaultMemberUniqueName="[Køn_d2].[K: Køn].[All]" allUniqueName="[Køn_d2].[K: Køn].[All]" dimensionUniqueName="[Køn_d2]" displayFolder="" count="2" memberValueDatatype="130" unbalanced="0"/>
    <cacheHierarchy uniqueName="[Køn_d2].[K: Køn emoji]" caption="K: Køn emoji" attribute="1" defaultMemberUniqueName="[Køn_d2].[K: Køn emoji].[All]" allUniqueName="[Køn_d2].[K: Køn emoji].[All]" dimensionUniqueName="[Køn_d2]" displayFolder="" count="2" memberValueDatatype="130" unbalanced="0">
      <fieldsUsage count="2">
        <fieldUsage x="-1"/>
        <fieldUsage x="4"/>
      </fieldsUsage>
    </cacheHierarchy>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2"/>
      </fieldsUsage>
    </cacheHierarchy>
    <cacheHierarchy uniqueName="[Measures]" caption="Measures" attribute="1" keyAttribute="1" defaultMemberUniqueName="[Measures].[__Der er ikke defineret nogen målinger]" dimensionUniqueName="[Measures]" displayFolder="" measures="1" count="1" memberValueDatatype="130" unbalanced="0">
      <fieldsUsage count="1">
        <fieldUsage x="1"/>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5"/>
      </fieldsUsage>
    </cacheHierarchy>
    <cacheHierarchy uniqueName="[Region_d3].[K: Region]" caption="K: Region" attribute="1" defaultMemberUniqueName="[Region_d3].[K: Region].[All]" allUniqueName="[Region_d3].[K: Region].[All]" dimensionUniqueName="[Region_d3]" displayFolder="" count="2" memberValueDatatype="130" unbalanced="0"/>
    <cacheHierarchy uniqueName="[Spillertype_d2].[K: Spillertype]" caption="K: Spillertype" attribute="1" defaultMemberUniqueName="[Spillertype_d2].[K: Spillertype].[All]" allUniqueName="[Spillertype_d2].[K: Spillertype].[All]" dimensionUniqueName="[Spillertype_d2]" displayFolder="" count="2" memberValueDatatype="130" unbalanced="0"/>
    <cacheHierarchy uniqueName="[Spillertype_d2].[K: Spillertype emoji]" caption="K: Spillertype emoji" attribute="1" defaultMemberUniqueName="[Spillertype_d2].[K: Spillertype emoji].[All]" allUniqueName="[Spillertype_d2].[K: Spillertype emoji].[All]" dimensionUniqueName="[Spillertype_d2]" displayFolder="" count="2"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2"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2"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2"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2" memberValueDatatype="130" unbalanced="0"/>
    <cacheHierarchy uniqueName="[Tilvalg_d2].[K: Tilvalg]" caption="K: Tilvalg" attribute="1" defaultMemberUniqueName="[Tilvalg_d2].[K: Tilvalg].[All]" allUniqueName="[Tilvalg_d2].[K: Tilvalg].[All]" dimensionUniqueName="[Tilvalg_d2]" displayFolder="" count="2" memberValueDatatype="130" unbalanced="0"/>
    <cacheHierarchy uniqueName="[Aldersgruppe_d2].[Nr.]" caption="Nr." attribute="1" defaultMemberUniqueName="[Aldersgruppe_d2].[Nr.].[All]" allUniqueName="[Aldersgruppe_d2].[Nr.].[All]" dimensionUniqueName="[Aldersgruppe_d2]" displayFolder="" count="2"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2"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2" memberValueDatatype="20" unbalanced="0" hidden="1"/>
    <cacheHierarchy uniqueName="[Billettype_d2].[K: Billetpris]" caption="K: Billetpris" attribute="1" defaultMemberUniqueName="[Billettype_d2].[K: Billetpris].[All]" allUniqueName="[Billettype_d2].[K: Billetpris].[All]" dimensionUniqueName="[Billettype_d2]" displayFolder="" count="2" memberValueDatatype="20" unbalanced="0" hidden="1"/>
    <cacheHierarchy uniqueName="[Billettype_d2].[Nr.]" caption="Nr." attribute="1" defaultMemberUniqueName="[Billettype_d2].[Nr.].[All]" allUniqueName="[Billettype_d2].[Nr.].[All]" dimensionUniqueName="[Billettype_d2]" displayFolder="" count="2"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2"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2"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2"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2" memberValueDatatype="130" unbalanced="0" hidden="1"/>
    <cacheHierarchy uniqueName="[Billettype_og_tilvalg_d1].[Nr.]" caption="Nr." attribute="1" defaultMemberUniqueName="[Billettype_og_tilvalg_d1].[Nr.].[All]" allUniqueName="[Billettype_og_tilvalg_d1].[Nr.].[All]" dimensionUniqueName="[Billettype_og_tilvalg_d1]" displayFolder="" count="2" memberValueDatatype="20" unbalanced="0" hidden="1"/>
    <cacheHierarchy uniqueName="[Bordtennisklub_d2].[K: Landsdel]" caption="K: Landsdel" attribute="1" defaultMemberUniqueName="[Bordtennisklub_d2].[K: Landsdel].[All]" allUniqueName="[Bordtennisklub_d2].[K: Landsdel].[All]" dimensionUniqueName="[Bordtennisklub_d2]" displayFolder="" count="2" memberValueDatatype="130" unbalanced="0" hidden="1"/>
    <cacheHierarchy uniqueName="[Bordtennisklub_d2].[K: Region]" caption="K: Region" attribute="1" defaultMemberUniqueName="[Bordtennisklub_d2].[K: Region].[All]" allUniqueName="[Bordtennisklub_d2].[K: Region].[All]" dimensionUniqueName="[Bordtennisklub_d2]" displayFolder="" count="2" memberValueDatatype="130" unbalanced="0" hidden="1"/>
    <cacheHierarchy uniqueName="[Bordtennisklub_d2].[Nr.]" caption="Nr." attribute="1" defaultMemberUniqueName="[Bordtennisklub_d2].[Nr.].[All]" allUniqueName="[Bordtennisklub_d2].[Nr.].[All]" dimensionUniqueName="[Bordtennisklub_d2]" displayFolder="" count="2" memberValueDatatype="20" unbalanced="0" hidden="1"/>
    <cacheHierarchy uniqueName="[Deltagere_d1].[K: Aldersgruppe]" caption="K: Aldersgruppe" attribute="1" defaultMemberUniqueName="[Deltagere_d1].[K: Aldersgruppe].[All]" allUniqueName="[Deltagere_d1].[K: Aldersgruppe].[All]" dimensionUniqueName="[Deltagere_d1]" displayFolder="" count="2"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2" memberValueDatatype="130" unbalanced="0" hidden="1"/>
    <cacheHierarchy uniqueName="[Deltagere_d1].[K: Køn]" caption="K: Køn" attribute="1" defaultMemberUniqueName="[Deltagere_d1].[K: Køn].[All]" allUniqueName="[Deltagere_d1].[K: Køn].[All]" dimensionUniqueName="[Deltagere_d1]" displayFolder="" count="2" memberValueDatatype="130" unbalanced="0" hidden="1"/>
    <cacheHierarchy uniqueName="[Deltagere_d1].[K: Ratinggruppe]" caption="K: Ratinggruppe" attribute="1" defaultMemberUniqueName="[Deltagere_d1].[K: Ratinggruppe].[All]" allUniqueName="[Deltagere_d1].[K: Ratinggruppe].[All]" dimensionUniqueName="[Deltagere_d1]" displayFolder="" count="2" memberValueDatatype="130" unbalanced="0" hidden="1"/>
    <cacheHierarchy uniqueName="[Deltagere_d1].[K: Spillertype]" caption="K: Spillertype" attribute="1" defaultMemberUniqueName="[Deltagere_d1].[K: Spillertype].[All]" allUniqueName="[Deltagere_d1].[K: Spillertype].[All]" dimensionUniqueName="[Deltagere_d1]" displayFolder="" count="2" memberValueDatatype="130" unbalanced="0" hidden="1"/>
    <cacheHierarchy uniqueName="[Gentilmeldinger_d1].[Nr.]" caption="Nr." attribute="1" defaultMemberUniqueName="[Gentilmeldinger_d1].[Nr.].[All]" allUniqueName="[Gentilmeldinger_d1].[Nr.].[All]" dimensionUniqueName="[Gentilmeldinger_d1]" displayFolder="" count="2" memberValueDatatype="20" unbalanced="0" hidden="1"/>
    <cacheHierarchy uniqueName="[Kalender].[K: Dag nr.]" caption="K: Dag nr." attribute="1" time="1" defaultMemberUniqueName="[Kalender].[K: Dag nr.].[All]" allUniqueName="[Kalender].[K: Dag nr.].[All]" dimensionUniqueName="[Kalender]" displayFolder="" count="2" memberValueDatatype="20" unbalanced="0" hidden="1"/>
    <cacheHierarchy uniqueName="[Kalender].[K: Halvår nr.]" caption="K: Halvår nr." attribute="1" time="1" defaultMemberUniqueName="[Kalender].[K: Halvår nr.].[All]" allUniqueName="[Kalender].[K: Halvår nr.].[All]" dimensionUniqueName="[Kalender]" displayFolder="" count="2" memberValueDatatype="20" unbalanced="0" hidden="1"/>
    <cacheHierarchy uniqueName="[Kalender].[K: Kvartal nr.]" caption="K: Kvartal nr." attribute="1" time="1" defaultMemberUniqueName="[Kalender].[K: Kvartal nr.].[All]" allUniqueName="[Kalender].[K: Kvartal nr.].[All]" dimensionUniqueName="[Kalender]" displayFolder="" count="2" memberValueDatatype="20" unbalanced="0" hidden="1"/>
    <cacheHierarchy uniqueName="[Kalender].[K: Måned fortl.]" caption="K: Måned fortl." attribute="1" time="1" defaultMemberUniqueName="[Kalender].[K: Måned fortl.].[All]" allUniqueName="[Kalender].[K: Måned fortl.].[All]" dimensionUniqueName="[Kalender]" displayFolder="" count="2" memberValueDatatype="7" unbalanced="0" hidden="1"/>
    <cacheHierarchy uniqueName="[Kalender].[K: Måned nr.]" caption="K: Måned nr." attribute="1" time="1" defaultMemberUniqueName="[Kalender].[K: Måned nr.].[All]" allUniqueName="[Kalender].[K: Måned nr.].[All]" dimensionUniqueName="[Kalender]" displayFolder="" count="2" memberValueDatatype="20" unbalanced="0" hidden="1"/>
    <cacheHierarchy uniqueName="[Kalender].[K: Uge nr.]" caption="K: Uge nr." attribute="1" time="1" defaultMemberUniqueName="[Kalender].[K: Uge nr.].[All]" allUniqueName="[Kalender].[K: Uge nr.].[All]" dimensionUniqueName="[Kalender]" displayFolder="" count="2" memberValueDatatype="20" unbalanced="0" hidden="1"/>
    <cacheHierarchy uniqueName="[Kalender].[K: Ugedag nr.]" caption="K: Ugedag nr." attribute="1" time="1" defaultMemberUniqueName="[Kalender].[K: Ugedag nr.].[All]" allUniqueName="[Kalender].[K: Ugedag nr.].[All]" dimensionUniqueName="[Kalender]" displayFolder="" count="2" memberValueDatatype="20" unbalanced="0" hidden="1"/>
    <cacheHierarchy uniqueName="[Klokkeslætsinterval_d1].[Nr.]" caption="Nr." attribute="1" defaultMemberUniqueName="[Klokkeslætsinterval_d1].[Nr.].[All]" allUniqueName="[Klokkeslætsinterval_d1].[Nr.].[All]" dimensionUniqueName="[Klokkeslætsinterval_d1]" displayFolder="" count="2" memberValueDatatype="20" unbalanced="0" hidden="1"/>
    <cacheHierarchy uniqueName="[Køn_d2].[Nr.]" caption="Nr." attribute="1" defaultMemberUniqueName="[Køn_d2].[Nr.].[All]" allUniqueName="[Køn_d2].[Nr.].[All]" dimensionUniqueName="[Køn_d2]" displayFolder="" count="2" memberValueDatatype="20" unbalanced="0" hidden="1"/>
    <cacheHierarchy uniqueName="[Landsdel_d3].[Nr.]" caption="Nr." attribute="1" defaultMemberUniqueName="[Landsdel_d3].[Nr.].[All]" allUniqueName="[Landsdel_d3].[Nr.].[All]" dimensionUniqueName="[Landsdel_d3]" displayFolder="" count="2" memberValueDatatype="20" unbalanced="0" hidden="1"/>
    <cacheHierarchy uniqueName="[Ratinggruppe_d2].[Nr.]" caption="Nr." attribute="1" defaultMemberUniqueName="[Ratinggruppe_d2].[Nr.].[All]" allUniqueName="[Ratinggruppe_d2].[Nr.].[All]" dimensionUniqueName="[Ratinggruppe_d2]" displayFolder="" count="2" memberValueDatatype="20" unbalanced="0" hidden="1"/>
    <cacheHierarchy uniqueName="[Region_d3].[Nr.]" caption="Nr." attribute="1" defaultMemberUniqueName="[Region_d3].[Nr.].[All]" allUniqueName="[Region_d3].[Nr.].[All]" dimensionUniqueName="[Region_d3]" displayFolder="" count="2" memberValueDatatype="20" unbalanced="0" hidden="1"/>
    <cacheHierarchy uniqueName="[Spillertype_d2].[Nr.]" caption="Nr." attribute="1" defaultMemberUniqueName="[Spillertype_d2].[Nr.].[All]" allUniqueName="[Spillertype_d2].[Nr.].[All]" dimensionUniqueName="[Spillertype_d2]" displayFolder="" count="2"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2"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2"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2"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2"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2"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2"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2" memberValueDatatype="7" unbalanced="0" hidden="1"/>
    <cacheHierarchy uniqueName="[Tilmeldinger_1f].[K: Status]" caption="K: Status" attribute="1" defaultMemberUniqueName="[Tilmeldinger_1f].[K: Status].[All]" allUniqueName="[Tilmeldinger_1f].[K: Status].[All]" dimensionUniqueName="[Tilmeldinger_1f]" displayFolder="" count="2"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2"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2" memberValueDatatype="130" unbalanced="0" hidden="1"/>
    <cacheHierarchy uniqueName="[Tilmeldingsstatus_d1].[Nr.]" caption="Nr." attribute="1" defaultMemberUniqueName="[Tilmeldingsstatus_d1].[Nr.].[All]" allUniqueName="[Tilmeldingsstatus_d1].[Nr.].[All]" dimensionUniqueName="[Tilmeldingsstatus_d1]" displayFolder="" count="2" memberValueDatatype="20" unbalanced="0" hidden="1"/>
    <cacheHierarchy uniqueName="[Tilmeldingsstatus_d1].[Rank]" caption="Rank" attribute="1" defaultMemberUniqueName="[Tilmeldingsstatus_d1].[Rank].[All]" allUniqueName="[Tilmeldingsstatus_d1].[Rank].[All]" dimensionUniqueName="[Tilmeldingsstatus_d1]" displayFolder="" count="2" memberValueDatatype="20" unbalanced="0" hidden="1"/>
    <cacheHierarchy uniqueName="[Tilmeldingstype_d1].[Nr.]" caption="Nr." attribute="1" defaultMemberUniqueName="[Tilmeldingstype_d1].[Nr.].[All]" allUniqueName="[Tilmeldingstype_d1].[Nr.].[All]" dimensionUniqueName="[Tilmeldingstype_d1]" displayFolder="" count="2" memberValueDatatype="20" unbalanced="0" hidden="1"/>
    <cacheHierarchy uniqueName="[Tilvalg_d2].[Nr.]" caption="Nr." attribute="1" defaultMemberUniqueName="[Tilvalg_d2].[Nr.].[All]" allUniqueName="[Tilvalg_d2].[Nr.].[All]" dimensionUniqueName="[Tilvalg_d2]" displayFolder="" count="2"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tupleCache>
    <entries count="73">
      <n v="8" in="0">
        <tpls c="2">
          <tpl fld="0" item="0"/>
          <tpl fld="1" item="0"/>
        </tpls>
      </n>
      <n v="60" in="0">
        <tpls c="1">
          <tpl fld="1" item="0"/>
        </tpls>
      </n>
      <n v="38" in="0">
        <tpls c="2">
          <tpl fld="0" item="1"/>
          <tpl fld="1" item="0"/>
        </tpls>
      </n>
      <n v="14" in="0">
        <tpls c="2">
          <tpl fld="0" item="2"/>
          <tpl fld="1" item="0"/>
        </tpls>
      </n>
      <n v="56" in="1">
        <tpls c="2">
          <tpl fld="2" item="0"/>
          <tpl fld="1" item="1"/>
        </tpls>
      </n>
      <n v="69" in="1">
        <tpls c="1">
          <tpl fld="1" item="1"/>
        </tpls>
      </n>
      <n v="4" in="1">
        <tpls c="2">
          <tpl fld="2" item="1"/>
          <tpl fld="1" item="1"/>
        </tpls>
      </n>
      <n v="9" in="1">
        <tpls c="2">
          <tpl fld="2" item="2"/>
          <tpl fld="1" item="1"/>
        </tpls>
      </n>
      <m in="1">
        <tpls c="2">
          <tpl fld="2" item="3"/>
          <tpl fld="1" item="1"/>
        </tpls>
      </m>
      <n v="10" in="0">
        <tpls c="1">
          <tpl fld="1" item="2"/>
        </tpls>
      </n>
      <n v="31.655555555555555" in="0">
        <tpls c="1">
          <tpl fld="1" item="3"/>
        </tpls>
      </n>
      <n v="71" in="0">
        <tpls c="1">
          <tpl fld="1" item="4"/>
        </tpls>
      </n>
      <n v="41" in="0">
        <tpls c="3">
          <tpl fld="3" item="0"/>
          <tpl fld="2" item="0"/>
          <tpl fld="1" item="5"/>
        </tpls>
      </n>
      <n v="45" in="0">
        <tpls c="2">
          <tpl fld="3" item="0"/>
          <tpl fld="1" item="5"/>
        </tpls>
      </n>
      <m in="0">
        <tpls c="3">
          <tpl fld="3" item="0"/>
          <tpl fld="2" item="1"/>
          <tpl fld="1" item="5"/>
        </tpls>
      </m>
      <n v="4" in="0">
        <tpls c="3">
          <tpl fld="3" item="0"/>
          <tpl fld="2" item="2"/>
          <tpl fld="1" item="5"/>
        </tpls>
      </n>
      <m in="0">
        <tpls c="3">
          <tpl fld="3" item="0"/>
          <tpl fld="2" item="3"/>
          <tpl fld="1" item="5"/>
        </tpls>
      </m>
      <n v="16" in="0">
        <tpls c="2">
          <tpl fld="3" item="0"/>
          <tpl fld="1" item="6"/>
        </tpls>
      </n>
      <n v="14" in="1">
        <tpls c="2">
          <tpl fld="0" item="0"/>
          <tpl fld="1" item="7"/>
        </tpls>
      </n>
      <n v="75" in="1">
        <tpls c="1">
          <tpl fld="1" item="7"/>
        </tpls>
      </n>
      <n v="43" in="1">
        <tpls c="2">
          <tpl fld="0" item="1"/>
          <tpl fld="1" item="7"/>
        </tpls>
      </n>
      <n v="18" in="1">
        <tpls c="2">
          <tpl fld="0" item="2"/>
          <tpl fld="1" item="7"/>
        </tpls>
      </n>
      <n v="72" in="1">
        <tpls c="2">
          <tpl fld="3" item="0"/>
          <tpl fld="1" item="8"/>
        </tpls>
      </n>
      <n v="49" in="0">
        <tpls c="2">
          <tpl fld="2" item="0"/>
          <tpl fld="1" item="5"/>
        </tpls>
      </n>
      <n v="54" in="0">
        <tpls c="1">
          <tpl fld="1" item="5"/>
        </tpls>
      </n>
      <m in="0">
        <tpls c="2">
          <tpl fld="2" item="1"/>
          <tpl fld="1" item="5"/>
        </tpls>
      </m>
      <n v="5" in="0">
        <tpls c="2">
          <tpl fld="2" item="2"/>
          <tpl fld="1" item="5"/>
        </tpls>
      </n>
      <m in="0">
        <tpls c="2">
          <tpl fld="2" item="3"/>
          <tpl fld="1" item="5"/>
        </tpls>
      </m>
      <n v="44778.64502650463">
        <tpls c="1">
          <tpl fld="1" item="9"/>
        </tpls>
      </n>
      <n v="150" in="4">
        <tpls c="2">
          <tpl fld="3" item="1"/>
          <tpl fld="1" item="11"/>
        </tpls>
      </n>
      <n v="120" in="1">
        <tpls c="2">
          <tpl fld="3" item="1"/>
          <tpl fld="1" item="8"/>
        </tpls>
      </n>
      <n v="10" in="0">
        <tpls c="2">
          <tpl fld="3" item="0"/>
          <tpl fld="1" item="2"/>
        </tpls>
      </n>
      <n v="32.020833333333336" in="0">
        <tpls c="2">
          <tpl fld="3" item="0"/>
          <tpl fld="1" item="3"/>
        </tpls>
      </n>
      <n v="71" in="0">
        <tpls c="2">
          <tpl fld="3" item="0"/>
          <tpl fld="1" item="4"/>
        </tpls>
      </n>
      <n v="11" in="0">
        <tpls c="2">
          <tpl fld="3" item="1"/>
          <tpl fld="1" item="6"/>
        </tpls>
      </n>
      <n v="1139" in="0">
        <tpls c="2">
          <tpl fld="3" item="1"/>
          <tpl fld="1" item="13"/>
        </tpls>
      </n>
      <n v="2125.8235294117649" in="0">
        <tpls c="2">
          <tpl fld="3" item="1"/>
          <tpl fld="1" item="14"/>
        </tpls>
      </n>
      <n v="2587" in="0">
        <tpls c="2">
          <tpl fld="3" item="1"/>
          <tpl fld="1" item="15"/>
        </tpls>
      </n>
      <n v="914" in="0">
        <tpls c="2">
          <tpl fld="3" item="0"/>
          <tpl fld="1" item="13"/>
        </tpls>
      </n>
      <n v="1985.2954545454545" in="0">
        <tpls c="2">
          <tpl fld="3" item="0"/>
          <tpl fld="1" item="14"/>
        </tpls>
      </n>
      <n v="2587" in="0">
        <tpls c="2">
          <tpl fld="3" item="0"/>
          <tpl fld="1" item="15"/>
        </tpls>
      </n>
      <n v="16" in="0">
        <tpls c="1">
          <tpl fld="1" item="6"/>
        </tpls>
      </n>
      <n v="42" in="0">
        <tpls c="2">
          <tpl fld="3" item="1"/>
          <tpl fld="1" item="0"/>
        </tpls>
      </n>
      <n v="48" in="0">
        <tpls c="2">
          <tpl fld="3" item="0"/>
          <tpl fld="1" item="0"/>
        </tpls>
      </n>
      <n v="32" in="0">
        <tpls c="3">
          <tpl fld="3" item="1"/>
          <tpl fld="2" item="0"/>
          <tpl fld="1" item="5"/>
        </tpls>
      </n>
      <n v="36" in="0">
        <tpls c="2">
          <tpl fld="3" item="1"/>
          <tpl fld="1" item="5"/>
        </tpls>
      </n>
      <m in="0">
        <tpls c="3">
          <tpl fld="3" item="1"/>
          <tpl fld="2" item="1"/>
          <tpl fld="1" item="5"/>
        </tpls>
      </m>
      <n v="4" in="0">
        <tpls c="3">
          <tpl fld="3" item="1"/>
          <tpl fld="2" item="2"/>
          <tpl fld="1" item="5"/>
        </tpls>
      </n>
      <m in="0">
        <tpls c="3">
          <tpl fld="3" item="1"/>
          <tpl fld="2" item="3"/>
          <tpl fld="1" item="5"/>
        </tpls>
      </m>
      <n v="36" in="0">
        <tpls c="3">
          <tpl fld="3" item="1"/>
          <tpl fld="4" item="0"/>
          <tpl fld="1" item="0"/>
        </tpls>
      </n>
      <n v="6" in="0">
        <tpls c="3">
          <tpl fld="3" item="1"/>
          <tpl fld="4" item="1"/>
          <tpl fld="1" item="0"/>
        </tpls>
      </n>
      <n v="19" in="0">
        <tpls c="2">
          <tpl fld="3" item="1"/>
          <tpl fld="1" item="2"/>
        </tpls>
      </n>
      <n v="31.238095238095237" in="0">
        <tpls c="2">
          <tpl fld="3" item="1"/>
          <tpl fld="1" item="3"/>
        </tpls>
      </n>
      <n v="71" in="0">
        <tpls c="2">
          <tpl fld="3" item="1"/>
          <tpl fld="1" item="4"/>
        </tpls>
      </n>
      <n v="54" in="0">
        <tpls c="2">
          <tpl fld="4" item="0"/>
          <tpl fld="1" item="0"/>
        </tpls>
      </n>
      <n v="6" in="0">
        <tpls c="2">
          <tpl fld="4" item="1"/>
          <tpl fld="1" item="0"/>
        </tpls>
      </n>
      <n v="125" in="4">
        <tpls c="2">
          <tpl fld="3" item="0"/>
          <tpl fld="1" item="11"/>
        </tpls>
      </n>
      <n v="48" in="0">
        <tpls c="3">
          <tpl fld="3" item="0"/>
          <tpl fld="4" item="0"/>
          <tpl fld="1" item="0"/>
        </tpls>
      </n>
      <m in="0">
        <tpls c="3">
          <tpl fld="3" item="0"/>
          <tpl fld="4" item="1"/>
          <tpl fld="1" item="0"/>
        </tpls>
      </m>
      <n v="8" in="0">
        <tpls c="3">
          <tpl fld="0" item="0"/>
          <tpl fld="3" item="0"/>
          <tpl fld="1" item="0"/>
        </tpls>
      </n>
      <n v="26" in="0">
        <tpls c="3">
          <tpl fld="0" item="1"/>
          <tpl fld="3" item="0"/>
          <tpl fld="1" item="0"/>
        </tpls>
      </n>
      <n v="14" in="0">
        <tpls c="3">
          <tpl fld="0" item="2"/>
          <tpl fld="3" item="0"/>
          <tpl fld="1" item="0"/>
        </tpls>
      </n>
      <n v="28" in="0">
        <tpls c="3">
          <tpl fld="3" item="0"/>
          <tpl fld="1" item="0"/>
          <tpl fld="5" item="0"/>
        </tpls>
      </n>
      <n v="20" in="0">
        <tpls c="3">
          <tpl fld="3" item="0"/>
          <tpl fld="1" item="0"/>
          <tpl fld="5" item="1"/>
        </tpls>
      </n>
      <s v="Simon Nykjær-Fisher, BTK Viby (2587 rating) 🏓" in="3">
        <tpls c="1">
          <tpl fld="1" item="10"/>
        </tpls>
      </s>
      <n v="26" in="0">
        <tpls c="3">
          <tpl fld="3" item="1"/>
          <tpl fld="1" item="0"/>
          <tpl fld="5" item="0"/>
        </tpls>
      </n>
      <n v="16" in="0">
        <tpls c="3">
          <tpl fld="3" item="1"/>
          <tpl fld="1" item="0"/>
          <tpl fld="5" item="1"/>
        </tpls>
      </n>
      <s v="Amin Saad Al-Zayadi, Sisu/MBK (914 rating) 🏓" in="3">
        <tpls c="1">
          <tpl fld="1" item="12"/>
        </tpls>
      </s>
      <m in="0">
        <tpls c="3">
          <tpl fld="0" item="0"/>
          <tpl fld="3" item="1"/>
          <tpl fld="1" item="0"/>
        </tpls>
      </m>
      <n v="35" in="0">
        <tpls c="3">
          <tpl fld="0" item="1"/>
          <tpl fld="3" item="1"/>
          <tpl fld="1" item="0"/>
        </tpls>
      </n>
      <n v="7" in="0">
        <tpls c="3">
          <tpl fld="0" item="2"/>
          <tpl fld="3" item="1"/>
          <tpl fld="1" item="0"/>
        </tpls>
      </n>
      <s v="Bent O. Jakobsen, Sisu/MBK [71 år, 08-09-1950] 🏓" in="3">
        <tpls c="1">
          <tpl fld="1" item="17"/>
        </tpls>
      </s>
      <s v="Amin Saad Al-Zayadi, Sisu/MBK [10 år, 05-06-2012] 🏓" in="3">
        <tpls c="1">
          <tpl fld="1" item="16"/>
        </tpls>
      </s>
    </entries>
    <queryCache count="32">
      <query mdx="[Aldersgruppe_d2].[K: Aldersgruppe].&amp;[[&lt;=17]] Ungdom]">
        <tpls c="1">
          <tpl fld="0" item="0"/>
        </tpls>
      </query>
      <query mdx="[Measures].[👥 Aktuel tilmeldingsantal]">
        <tpls c="1">
          <tpl fld="1" item="0"/>
        </tpls>
      </query>
      <query mdx="[Aldersgruppe_d2].[K: Aldersgruppe].&amp;[[&lt;=39]] Senior]">
        <tpls c="1">
          <tpl fld="0" item="1"/>
        </tpls>
      </query>
      <query mdx="[Aldersgruppe_d2].[K: Aldersgruppe].&amp;[[&gt;=40]] Veteran]">
        <tpls c="1">
          <tpl fld="0" item="2"/>
        </tpls>
      </query>
      <query mdx="[Landsdel_d3].[K: Landsdel].&amp;[Jylland]">
        <tpls c="1">
          <tpl fld="2" item="0"/>
        </tpls>
      </query>
      <query mdx="[Measures].[👥 Tilmeldingsantal (kun med klub)]">
        <tpls c="1">
          <tpl fld="1" item="1"/>
        </tpls>
      </query>
      <query mdx="[Measures].[👥 Tilmeldingsantal (kun med klub)]]">
        <tpls c="1">
          <tpl fld="1" item="1"/>
        </tpls>
      </query>
      <query mdx="[Landsdel_d3].[K: Landsdel].&amp;[Fyn]">
        <tpls c="1">
          <tpl fld="2" item="1"/>
        </tpls>
      </query>
      <query mdx="[Landsdel_d3].[K: Landsdel].&amp;[Sjælland]">
        <tpls c="1">
          <tpl fld="2" item="2"/>
        </tpls>
      </query>
      <query mdx="[Landsdel_d3].[K: Landsdel].&amp;[Bornholm]">
        <tpls c="1">
          <tpl fld="2" item="3"/>
        </tpls>
      </query>
      <query mdx="[Measures].[👤 Aktuel alder min.]">
        <tpls c="1">
          <tpl fld="1" item="2"/>
        </tpls>
      </query>
      <query mdx="[Measures].[👥 Aktuel alder gns.]">
        <tpls c="1">
          <tpl fld="1" item="3"/>
        </tpls>
      </query>
      <query mdx="[Measures].[👤 Aktuel alder maks.]">
        <tpls c="1">
          <tpl fld="1" item="4"/>
        </tpls>
      </query>
      <query mdx="[Billettype_d2].[K: Billettype emoji].&amp;[🏓]">
        <tpls c="1">
          <tpl fld="3" item="0"/>
        </tpls>
      </query>
      <query mdx="[Measures].[👥 Aktuel tilmeldingsantal (kun med klub)]">
        <tpls c="1">
          <tpl fld="1" item="5"/>
        </tpls>
      </query>
      <query mdx="[Measures].[🛖 Aktuel klubantal]">
        <tpls c="1">
          <tpl fld="1" item="6"/>
        </tpls>
      </query>
      <query mdx="[Measures].[👥 Tilmeldingsantal]">
        <tpls c="1">
          <tpl fld="1" item="7"/>
        </tpls>
      </query>
      <query mdx="[Measures].[🎫 Billetantal maks.]">
        <tpls c="1">
          <tpl fld="1" item="8"/>
        </tpls>
      </query>
      <query mdx="[Measures].[🔃 Sidst opdateret]">
        <tpls c="1">
          <tpl fld="1" item="9"/>
        </tpls>
      </query>
      <query mdx="[Measures].[👤 Højeste rating Ping Pong]">
        <tpls c="1">
          <tpl fld="1" item="10"/>
        </tpls>
      </query>
      <query mdx="[Billettype_d2].[K: Billettype emoji].&amp;[🥳]">
        <tpls c="1">
          <tpl fld="3" item="1"/>
        </tpls>
      </query>
      <query mdx="[Measures].[💲 Billetpris]">
        <tpls c="1">
          <tpl fld="1" item="11"/>
        </tpls>
      </query>
      <query mdx="[Measures].[👤 Laveste rating Ping Pong]">
        <tpls c="1">
          <tpl fld="1" item="12"/>
        </tpls>
      </query>
      <query mdx="[Measures].[👤 Rating min.]">
        <tpls c="1">
          <tpl fld="1" item="13"/>
        </tpls>
      </query>
      <query mdx="[Measures].[👥 Aktuel rating gns.]">
        <tpls c="1">
          <tpl fld="1" item="14"/>
        </tpls>
      </query>
      <query mdx="[Measures].[👤 Aktuel rating maks.]">
        <tpls c="1">
          <tpl fld="1" item="15"/>
        </tpls>
      </query>
      <query mdx="[Køn_d2].[K: Køn emoji].&amp;[♂]">
        <tpls c="1">
          <tpl fld="4" item="0"/>
        </tpls>
      </query>
      <query mdx="[Køn_d2].[K: Køn emoji].&amp;[♀]">
        <tpls c="1">
          <tpl fld="4" item="1"/>
        </tpls>
      </query>
      <query mdx="[Ratinggruppe_d2].[K: Ratinggruppe].&amp;[[&gt;=2000]] Elite]">
        <tpls c="1">
          <tpl fld="5" item="0"/>
        </tpls>
      </query>
      <query mdx="[Ratinggruppe_d2].[K: Ratinggruppe].&amp;[[&lt;=1999]] Ikke-Elite]">
        <tpls c="1">
          <tpl fld="5" item="1"/>
        </tpls>
      </query>
      <query mdx="[Measures].[🎁 Yngst Ping Pong]">
        <tpls c="1">
          <tpl fld="1" item="16"/>
        </tpls>
      </query>
      <query mdx="[Measures].[🎁 Ældst Ping Pong]">
        <tpls c="1">
          <tpl fld="1" item="17"/>
        </tpls>
      </query>
    </queryCache>
    <serverFormats count="5">
      <serverFormat format="0"/>
      <serverFormat format="#,0"/>
      <serverFormat format="General Date"/>
      <serverFormat format=""/>
      <serverFormat format="&quot;kr.&quot; #,0;#,0 -&quot;kr.&quot;;&quot;kr.&quot; #,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06250003" createdVersion="6" refreshedVersion="8" minRefreshableVersion="3" recordCount="0" supportSubquery="1" supportAdvancedDrill="1" xr:uid="{19BDAD54-0A25-464C-8CCC-87C2766AD96B}">
  <cacheSource type="external" connectionId="15"/>
  <cacheFields count="38">
    <cacheField name="[Measures].[👥 Tilmeldingsantal]" caption="👥 Tilmeldingsantal" numFmtId="0" hierarchy="115" level="32767"/>
    <cacheField name="[Measures].[👥 Alder gns.]" caption="👥 Alder gns." numFmtId="0" hierarchy="100" level="32767"/>
    <cacheField name="[Measures].[👥 Rating gns.]" caption="👥 Rating gns." numFmtId="0" hierarchy="101" level="32767"/>
    <cacheField name="[Measures].[🎫 Billetantal gns.]" caption="🎫 Billetantal gns." numFmtId="0" hierarchy="105" level="32767"/>
    <cacheField name="[Measures].[🛖 Klubantal]" caption="🛖 Klubantal" numFmtId="0" hierarchy="116" level="32767"/>
    <cacheField name="[Measures].[💰 Omsætning]" caption="💰 Omsætning" numFmtId="0" hierarchy="89" level="32767"/>
    <cacheField name="[Measures].[💰 Arrangørpris]" caption="💰 Arrangørpris" numFmtId="0" hierarchy="90" level="32767"/>
    <cacheField name="[Measures].[💰 Over-/underskud arrangør]" caption="💰 Over-/underskud arrangør" numFmtId="0" hierarchy="88" level="32767"/>
    <cacheField name="[Measures].[👥 Manglende deltagerantal*]" caption="👥 Manglende deltagerantal*" numFmtId="0" hierarchy="110" level="32767"/>
    <cacheField name="[Measures].[👥 Alder forskel]" caption="👥 Alder forskel" numFmtId="0" hierarchy="106" level="32767"/>
    <cacheField name="[Measures].[👤 Rating forskel]" caption="👤 Rating forskel" numFmtId="0" hierarchy="107" level="32767"/>
    <cacheField name="[Measures].[👥 Deltagerantal*]" caption="👥 Deltagerantal*" numFmtId="0" hierarchy="109" level="32767"/>
    <cacheField name="[Measures].[👤 Laveste rating]" caption="👤 Laveste rating" numFmtId="0" hierarchy="103" level="32767"/>
    <cacheField name="[Measures].[👤 Højeste rating]" caption="👤 Højeste rating" numFmtId="0" hierarchy="102" level="32767"/>
    <cacheField name="[Measures].[👤 Yngst]" caption="👤 Yngst" numFmtId="0" hierarchy="96" level="32767"/>
    <cacheField name="[Measures].[👤 Ældst]" caption="👤 Ældst" numFmtId="0" hierarchy="91" level="32767"/>
    <cacheField name="[Measures].[🎫 Billetantal maks.]" caption="🎫 Billetantal maks." numFmtId="0" hierarchy="117" level="32767"/>
    <cacheField name="[Measures].[🎫 Billetsalg]" caption="🎫 Billetsalg" numFmtId="0" hierarchy="114" level="32767"/>
    <cacheField name="[Measures].[🎫 Tilgængelige billetter]" caption="🎫 Tilgængelige billetter" numFmtId="0" hierarchy="123" level="32767"/>
    <cacheField name="[Kalender].[K: År].[K: År]" caption="K: År" numFmtId="0" hierarchy="18" level="1">
      <sharedItems containsSemiMixedTypes="0" containsNonDate="0" containsString="0"/>
    </cacheField>
    <cacheField name="[Measures].[👥 Tilmeldingsantal afbud]" caption="👥 Tilmeldingsantal afbud" numFmtId="0" hierarchy="136" level="32767"/>
    <cacheField name="[Measures].[🎫 Billetsalg afbud]" caption="🎫 Billetsalg afbud" numFmtId="0" hierarchy="137"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2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3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3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22"/>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24"/>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3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9"/>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3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3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3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2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25"/>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2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23"/>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2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3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3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oneField="1">
      <fieldsUsage count="1">
        <fieldUsage x="7"/>
      </fieldsUsage>
    </cacheHierarchy>
    <cacheHierarchy uniqueName="[Measures].[💰 Omsætning]" caption="💰 Omsætning" measure="1" displayFolder="" measureGroup="Tilmeldinger_1f" count="0" oneField="1">
      <fieldsUsage count="1">
        <fieldUsage x="5"/>
      </fieldsUsage>
    </cacheHierarchy>
    <cacheHierarchy uniqueName="[Measures].[💰 Arrangørpris]" caption="💰 Arrangørpris" measure="1" displayFolder="" measureGroup="Tilmeldinger_1f" count="0" oneField="1">
      <fieldsUsage count="1">
        <fieldUsage x="6"/>
      </fieldsUsage>
    </cacheHierarchy>
    <cacheHierarchy uniqueName="[Measures].[👤 Ældst]" caption="👤 Ældst" measure="1" displayFolder="" measureGroup="Tilmeldinger_1f" count="0" oneField="1">
      <fieldsUsage count="1">
        <fieldUsage x="15"/>
      </fieldsUsage>
    </cacheHierarchy>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oneField="1">
      <fieldsUsage count="1">
        <fieldUsage x="14"/>
      </fieldsUsage>
    </cacheHierarchy>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oneField="1">
      <fieldsUsage count="1">
        <fieldUsage x="1"/>
      </fieldsUsage>
    </cacheHierarchy>
    <cacheHierarchy uniqueName="[Measures].[👥 Rating gns.]" caption="👥 Rating gns." measure="1" displayFolder="" measureGroup="Tilmeldinger_1f" count="0" oneField="1">
      <fieldsUsage count="1">
        <fieldUsage x="2"/>
      </fieldsUsage>
    </cacheHierarchy>
    <cacheHierarchy uniqueName="[Measures].[👤 Højeste rating]" caption="👤 Højeste rating" measure="1" displayFolder="" measureGroup="Tilmeldinger_1f" count="0" oneField="1">
      <fieldsUsage count="1">
        <fieldUsage x="13"/>
      </fieldsUsage>
    </cacheHierarchy>
    <cacheHierarchy uniqueName="[Measures].[👤 Laveste rating]" caption="👤 Laveste rating" measure="1" displayFolder="" measureGroup="Tilmeldinger_1f" count="0" oneField="1">
      <fieldsUsage count="1">
        <fieldUsage x="12"/>
      </fieldsUsage>
    </cacheHierarchy>
    <cacheHierarchy uniqueName="[Measures].[🎫 Tilmeldingstype]" caption="🎫 Tilmeldingstype" measure="1" displayFolder="" measureGroup="Tilmeldinger_1f" count="0"/>
    <cacheHierarchy uniqueName="[Measures].[🎫 Billetantal gns.]" caption="🎫 Billetantal gns." measure="1" displayFolder="" measureGroup="Tilmeldinger_1f" count="0" oneField="1">
      <fieldsUsage count="1">
        <fieldUsage x="3"/>
      </fieldsUsage>
    </cacheHierarchy>
    <cacheHierarchy uniqueName="[Measures].[👥 Alder forskel]" caption="👥 Alder forskel" measure="1" displayFolder="" measureGroup="Tilmeldinger_1f" count="0" oneField="1">
      <fieldsUsage count="1">
        <fieldUsage x="9"/>
      </fieldsUsage>
    </cacheHierarchy>
    <cacheHierarchy uniqueName="[Measures].[👤 Rating forskel]" caption="👤 Rating forskel" measure="1" displayFolder="" measureGroup="Tilmeldinger_1f" count="0" oneField="1">
      <fieldsUsage count="1">
        <fieldUsage x="10"/>
      </fieldsUsage>
    </cacheHierarchy>
    <cacheHierarchy uniqueName="[Measures].[👥 Spillertype⠀⠀⠀⠀⠀⠀]" caption="👥 Spillertype⠀⠀⠀⠀⠀⠀" measure="1" displayFolder="" measureGroup="Tilmeldinger_1f" count="0"/>
    <cacheHierarchy uniqueName="[Measures].[👥 Deltagerantal*]" caption="👥 Deltagerantal*" measure="1" displayFolder="" measureGroup="Tilmeldinger_1f" count="0" oneField="1">
      <fieldsUsage count="1">
        <fieldUsage x="11"/>
      </fieldsUsage>
    </cacheHierarchy>
    <cacheHierarchy uniqueName="[Measures].[👥 Manglende deltagerantal*]" caption="👥 Manglende deltagerantal*" measure="1" displayFolder="" measureGroup="Tilmeldinger_1f" count="0" oneField="1">
      <fieldsUsage count="1">
        <fieldUsage x="8"/>
      </fieldsUsage>
    </cacheHierarchy>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oneField="1">
      <fieldsUsage count="1">
        <fieldUsage x="17"/>
      </fieldsUsage>
    </cacheHierarchy>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oneField="1">
      <fieldsUsage count="1">
        <fieldUsage x="4"/>
      </fieldsUsage>
    </cacheHierarchy>
    <cacheHierarchy uniqueName="[Measures].[🎫 Billetantal maks.]" caption="🎫 Billetantal maks." measure="1" displayFolder="" measureGroup="Tilmeldinger_1f" count="0" oneField="1">
      <fieldsUsage count="1">
        <fieldUsage x="16"/>
      </fieldsUsage>
    </cacheHierarchy>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oneField="1">
      <fieldsUsage count="1">
        <fieldUsage x="18"/>
      </fieldsUsage>
    </cacheHierarchy>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oneField="1">
      <fieldsUsage count="1">
        <fieldUsage x="20"/>
      </fieldsUsage>
    </cacheHierarchy>
    <cacheHierarchy uniqueName="[Measures].[🎫 Billetsalg afbud]" caption="🎫 Billetsalg afbud" measure="1" displayFolder="" measureGroup="Tilmeldinger_1f" count="0" oneField="1">
      <fieldsUsage count="1">
        <fieldUsage x="21"/>
      </fieldsUsage>
    </cacheHierarchy>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32870367" createdVersion="6" refreshedVersion="8" minRefreshableVersion="3" recordCount="0" supportSubquery="1" supportAdvancedDrill="1" xr:uid="{6B2A7D0E-BEBB-4ABA-B891-1D109E9CB80B}">
  <cacheSource type="external" connectionId="15"/>
  <cacheFields count="30">
    <cacheField name="[Measures].[🎫 Ordreuge- og dato]" caption="🎫 Ordreuge- og dato" numFmtId="0" hierarchy="92" level="32767"/>
    <cacheField name="[Measures].[⠀👥 Køn⠀]" caption="⠀👥 Køn⠀" numFmtId="0" hierarchy="94" level="32767"/>
    <cacheField name="[Measures].[📅 Fødselsdato og alder⠀⠀⠀⠀⠀⠀⠀]" caption="📅 Fødselsdato og alder⠀⠀⠀⠀⠀⠀⠀" numFmtId="0" hierarchy="95" level="32767"/>
    <cacheField name="[Measures].[🎫 Tilmeldingstype]" caption="🎫 Tilmeldingstype" numFmtId="0" hierarchy="104" level="32767"/>
    <cacheField name="[Measures].[💪 Rating⠀⠀⠀⠀⠀⠀⠀⠀⠀⠀⠀⠀⠀⠀]" caption="💪 Rating⠀⠀⠀⠀⠀⠀⠀⠀⠀⠀⠀⠀⠀⠀" numFmtId="0" hierarchy="99" level="32767"/>
    <cacheField name="[Measures].[💰 Omsætning]" caption="💰 Omsætning" numFmtId="0" hierarchy="89" level="32767"/>
    <cacheField name="[Measures].[💰 Arrangørpris]" caption="💰 Arrangørpris" numFmtId="0" hierarchy="90" level="32767"/>
    <cacheField name="[Measures].[💰 Over-/underskud arrangør]" caption="💰 Over-/underskud arrangør" numFmtId="0" hierarchy="88" level="32767"/>
    <cacheField name="[Tilmeldinger_1f].[K: Tilmeldingsnr.].[K: Tilmeldingsnr.]" caption="K: Tilmeldingsnr." numFmtId="0" hierarchy="35" level="1">
      <sharedItems containsSemiMixedTypes="0" containsString="0" containsNumber="1" containsInteger="1" minValue="1" maxValue="67" count="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sharedItems>
      <extLst>
        <ext xmlns:x15="http://schemas.microsoft.com/office/spreadsheetml/2010/11/main" uri="{4F2E5C28-24EA-4eb8-9CBF-B6C8F9C3D259}">
          <x15:cachedUniqueNames>
            <x15:cachedUniqueName index="0" name="[Tilmeldinger_1f].[K: Tilmeldingsnr.].&amp;[1]"/>
            <x15:cachedUniqueName index="1" name="[Tilmeldinger_1f].[K: Tilmeldingsnr.].&amp;[2]"/>
            <x15:cachedUniqueName index="2" name="[Tilmeldinger_1f].[K: Tilmeldingsnr.].&amp;[3]"/>
            <x15:cachedUniqueName index="3" name="[Tilmeldinger_1f].[K: Tilmeldingsnr.].&amp;[4]"/>
            <x15:cachedUniqueName index="4" name="[Tilmeldinger_1f].[K: Tilmeldingsnr.].&amp;[5]"/>
            <x15:cachedUniqueName index="5" name="[Tilmeldinger_1f].[K: Tilmeldingsnr.].&amp;[6]"/>
            <x15:cachedUniqueName index="6" name="[Tilmeldinger_1f].[K: Tilmeldingsnr.].&amp;[7]"/>
            <x15:cachedUniqueName index="7" name="[Tilmeldinger_1f].[K: Tilmeldingsnr.].&amp;[8]"/>
            <x15:cachedUniqueName index="8" name="[Tilmeldinger_1f].[K: Tilmeldingsnr.].&amp;[9]"/>
            <x15:cachedUniqueName index="9" name="[Tilmeldinger_1f].[K: Tilmeldingsnr.].&amp;[10]"/>
            <x15:cachedUniqueName index="10" name="[Tilmeldinger_1f].[K: Tilmeldingsnr.].&amp;[11]"/>
            <x15:cachedUniqueName index="11" name="[Tilmeldinger_1f].[K: Tilmeldingsnr.].&amp;[12]"/>
            <x15:cachedUniqueName index="12" name="[Tilmeldinger_1f].[K: Tilmeldingsnr.].&amp;[13]"/>
            <x15:cachedUniqueName index="13" name="[Tilmeldinger_1f].[K: Tilmeldingsnr.].&amp;[14]"/>
            <x15:cachedUniqueName index="14" name="[Tilmeldinger_1f].[K: Tilmeldingsnr.].&amp;[15]"/>
            <x15:cachedUniqueName index="15" name="[Tilmeldinger_1f].[K: Tilmeldingsnr.].&amp;[16]"/>
            <x15:cachedUniqueName index="16" name="[Tilmeldinger_1f].[K: Tilmeldingsnr.].&amp;[17]"/>
            <x15:cachedUniqueName index="17" name="[Tilmeldinger_1f].[K: Tilmeldingsnr.].&amp;[18]"/>
            <x15:cachedUniqueName index="18" name="[Tilmeldinger_1f].[K: Tilmeldingsnr.].&amp;[19]"/>
            <x15:cachedUniqueName index="19" name="[Tilmeldinger_1f].[K: Tilmeldingsnr.].&amp;[20]"/>
            <x15:cachedUniqueName index="20" name="[Tilmeldinger_1f].[K: Tilmeldingsnr.].&amp;[21]"/>
            <x15:cachedUniqueName index="21" name="[Tilmeldinger_1f].[K: Tilmeldingsnr.].&amp;[22]"/>
            <x15:cachedUniqueName index="22" name="[Tilmeldinger_1f].[K: Tilmeldingsnr.].&amp;[23]"/>
            <x15:cachedUniqueName index="23" name="[Tilmeldinger_1f].[K: Tilmeldingsnr.].&amp;[24]"/>
            <x15:cachedUniqueName index="24" name="[Tilmeldinger_1f].[K: Tilmeldingsnr.].&amp;[25]"/>
            <x15:cachedUniqueName index="25" name="[Tilmeldinger_1f].[K: Tilmeldingsnr.].&amp;[26]"/>
            <x15:cachedUniqueName index="26" name="[Tilmeldinger_1f].[K: Tilmeldingsnr.].&amp;[27]"/>
            <x15:cachedUniqueName index="27" name="[Tilmeldinger_1f].[K: Tilmeldingsnr.].&amp;[28]"/>
            <x15:cachedUniqueName index="28" name="[Tilmeldinger_1f].[K: Tilmeldingsnr.].&amp;[29]"/>
            <x15:cachedUniqueName index="29" name="[Tilmeldinger_1f].[K: Tilmeldingsnr.].&amp;[30]"/>
            <x15:cachedUniqueName index="30" name="[Tilmeldinger_1f].[K: Tilmeldingsnr.].&amp;[31]"/>
            <x15:cachedUniqueName index="31" name="[Tilmeldinger_1f].[K: Tilmeldingsnr.].&amp;[32]"/>
            <x15:cachedUniqueName index="32" name="[Tilmeldinger_1f].[K: Tilmeldingsnr.].&amp;[33]"/>
            <x15:cachedUniqueName index="33" name="[Tilmeldinger_1f].[K: Tilmeldingsnr.].&amp;[34]"/>
            <x15:cachedUniqueName index="34" name="[Tilmeldinger_1f].[K: Tilmeldingsnr.].&amp;[35]"/>
            <x15:cachedUniqueName index="35" name="[Tilmeldinger_1f].[K: Tilmeldingsnr.].&amp;[36]"/>
            <x15:cachedUniqueName index="36" name="[Tilmeldinger_1f].[K: Tilmeldingsnr.].&amp;[37]"/>
            <x15:cachedUniqueName index="37" name="[Tilmeldinger_1f].[K: Tilmeldingsnr.].&amp;[38]"/>
            <x15:cachedUniqueName index="38" name="[Tilmeldinger_1f].[K: Tilmeldingsnr.].&amp;[39]"/>
            <x15:cachedUniqueName index="39" name="[Tilmeldinger_1f].[K: Tilmeldingsnr.].&amp;[40]"/>
            <x15:cachedUniqueName index="40" name="[Tilmeldinger_1f].[K: Tilmeldingsnr.].&amp;[41]"/>
            <x15:cachedUniqueName index="41" name="[Tilmeldinger_1f].[K: Tilmeldingsnr.].&amp;[42]"/>
            <x15:cachedUniqueName index="42" name="[Tilmeldinger_1f].[K: Tilmeldingsnr.].&amp;[43]"/>
            <x15:cachedUniqueName index="43" name="[Tilmeldinger_1f].[K: Tilmeldingsnr.].&amp;[44]"/>
            <x15:cachedUniqueName index="44" name="[Tilmeldinger_1f].[K: Tilmeldingsnr.].&amp;[45]"/>
            <x15:cachedUniqueName index="45" name="[Tilmeldinger_1f].[K: Tilmeldingsnr.].&amp;[46]"/>
            <x15:cachedUniqueName index="46" name="[Tilmeldinger_1f].[K: Tilmeldingsnr.].&amp;[47]"/>
            <x15:cachedUniqueName index="47" name="[Tilmeldinger_1f].[K: Tilmeldingsnr.].&amp;[48]"/>
            <x15:cachedUniqueName index="48" name="[Tilmeldinger_1f].[K: Tilmeldingsnr.].&amp;[49]"/>
            <x15:cachedUniqueName index="49" name="[Tilmeldinger_1f].[K: Tilmeldingsnr.].&amp;[50]"/>
            <x15:cachedUniqueName index="50" name="[Tilmeldinger_1f].[K: Tilmeldingsnr.].&amp;[51]"/>
            <x15:cachedUniqueName index="51" name="[Tilmeldinger_1f].[K: Tilmeldingsnr.].&amp;[52]"/>
            <x15:cachedUniqueName index="52" name="[Tilmeldinger_1f].[K: Tilmeldingsnr.].&amp;[53]"/>
            <x15:cachedUniqueName index="53" name="[Tilmeldinger_1f].[K: Tilmeldingsnr.].&amp;[54]"/>
            <x15:cachedUniqueName index="54" name="[Tilmeldinger_1f].[K: Tilmeldingsnr.].&amp;[55]"/>
            <x15:cachedUniqueName index="55" name="[Tilmeldinger_1f].[K: Tilmeldingsnr.].&amp;[56]"/>
            <x15:cachedUniqueName index="56" name="[Tilmeldinger_1f].[K: Tilmeldingsnr.].&amp;[57]"/>
            <x15:cachedUniqueName index="57" name="[Tilmeldinger_1f].[K: Tilmeldingsnr.].&amp;[58]"/>
            <x15:cachedUniqueName index="58" name="[Tilmeldinger_1f].[K: Tilmeldingsnr.].&amp;[59]"/>
            <x15:cachedUniqueName index="59" name="[Tilmeldinger_1f].[K: Tilmeldingsnr.].&amp;[60]"/>
            <x15:cachedUniqueName index="60" name="[Tilmeldinger_1f].[K: Tilmeldingsnr.].&amp;[61]"/>
            <x15:cachedUniqueName index="61" name="[Tilmeldinger_1f].[K: Tilmeldingsnr.].&amp;[62]"/>
            <x15:cachedUniqueName index="62" name="[Tilmeldinger_1f].[K: Tilmeldingsnr.].&amp;[63]"/>
            <x15:cachedUniqueName index="63" name="[Tilmeldinger_1f].[K: Tilmeldingsnr.].&amp;[64]"/>
            <x15:cachedUniqueName index="64" name="[Tilmeldinger_1f].[K: Tilmeldingsnr.].&amp;[65]"/>
            <x15:cachedUniqueName index="65" name="[Tilmeldinger_1f].[K: Tilmeldingsnr.].&amp;[66]"/>
            <x15:cachedUniqueName index="66" name="[Tilmeldinger_1f].[K: Tilmeldingsnr.].&amp;[67]"/>
          </x15:cachedUniqueNames>
        </ext>
      </extLst>
    </cacheField>
    <cacheField name="[Measures].[🏛️ Område⠀⠀⠀⠀⠀⠀⠀⠀⠀⠀⠀⠀⠀⠀⠀⠀⠀⠀⠀⠀⠀⠀⠀⠀]" caption="🏛️ Område⠀⠀⠀⠀⠀⠀⠀⠀⠀⠀⠀⠀⠀⠀⠀⠀⠀⠀⠀⠀⠀⠀⠀⠀" numFmtId="0" hierarchy="97" level="32767"/>
    <cacheField name="[Measures].[👥 Spillertype⠀⠀⠀⠀⠀⠀]" caption="👥 Spillertype⠀⠀⠀⠀⠀⠀" numFmtId="0" hierarchy="108" level="32767"/>
    <cacheField name="[Measures].[👤 Navn og bordtennisklub]" caption="👤 Navn og bordtennisklub" numFmtId="0" hierarchy="93" level="32767"/>
    <cacheField name="[Measures].[🔃 Gentilmeldinger]" caption="🔃 Gentilmeldinger" numFmtId="0" hierarchy="124"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20"/>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24"/>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22"/>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14"/>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16"/>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29"/>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3"/>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25"/>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26"/>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27"/>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18"/>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17"/>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21"/>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15"/>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19"/>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2" memberValueDatatype="20" unbalanced="0">
      <fieldsUsage count="2">
        <fieldUsage x="-1"/>
        <fieldUsage x="8"/>
      </fieldsUsage>
    </cacheHierarchy>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28"/>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23"/>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oneField="1">
      <fieldsUsage count="1">
        <fieldUsage x="7"/>
      </fieldsUsage>
    </cacheHierarchy>
    <cacheHierarchy uniqueName="[Measures].[💰 Omsætning]" caption="💰 Omsætning" measure="1" displayFolder="" measureGroup="Tilmeldinger_1f" count="0" oneField="1">
      <fieldsUsage count="1">
        <fieldUsage x="5"/>
      </fieldsUsage>
    </cacheHierarchy>
    <cacheHierarchy uniqueName="[Measures].[💰 Arrangørpris]" caption="💰 Arrangørpris" measure="1" displayFolder="" measureGroup="Tilmeldinger_1f" count="0" oneField="1">
      <fieldsUsage count="1">
        <fieldUsage x="6"/>
      </fieldsUsage>
    </cacheHierarchy>
    <cacheHierarchy uniqueName="[Measures].[👤 Ældst]" caption="👤 Ældst" measure="1" displayFolder="" measureGroup="Tilmeldinger_1f" count="0"/>
    <cacheHierarchy uniqueName="[Measures].[🎫 Ordreuge- og dato]" caption="🎫 Ordreuge- og dato" measure="1" displayFolder="" measureGroup="Tilmeldinger_1f" count="0" oneField="1">
      <fieldsUsage count="1">
        <fieldUsage x="0"/>
      </fieldsUsage>
    </cacheHierarchy>
    <cacheHierarchy uniqueName="[Measures].[👤 Navn og bordtennisklub]" caption="👤 Navn og bordtennisklub" measure="1" displayFolder="" measureGroup="Tilmeldinger_1f" count="0" oneField="1">
      <fieldsUsage count="1">
        <fieldUsage x="11"/>
      </fieldsUsage>
    </cacheHierarchy>
    <cacheHierarchy uniqueName="[Measures].[⠀👥 Køn⠀]" caption="⠀👥 Køn⠀" measure="1" displayFolder="" measureGroup="Tilmeldinger_1f" count="0" oneField="1">
      <fieldsUsage count="1">
        <fieldUsage x="1"/>
      </fieldsUsage>
    </cacheHierarchy>
    <cacheHierarchy uniqueName="[Measures].[📅 Fødselsdato og alder⠀⠀⠀⠀⠀⠀⠀]" caption="📅 Fødselsdato og alder⠀⠀⠀⠀⠀⠀⠀" measure="1" displayFolder="" measureGroup="Tilmeldinger_1f" count="0" oneField="1">
      <fieldsUsage count="1">
        <fieldUsage x="2"/>
      </fieldsUsage>
    </cacheHierarchy>
    <cacheHierarchy uniqueName="[Measures].[👤 Yngst]" caption="👤 Yngst" measure="1" displayFolder="" measureGroup="Tilmeldinger_1f" count="0"/>
    <cacheHierarchy uniqueName="[Measures].[🏛️ Område⠀⠀⠀⠀⠀⠀⠀⠀⠀⠀⠀⠀⠀⠀⠀⠀⠀⠀⠀⠀⠀⠀⠀⠀]" caption="🏛️ Område⠀⠀⠀⠀⠀⠀⠀⠀⠀⠀⠀⠀⠀⠀⠀⠀⠀⠀⠀⠀⠀⠀⠀⠀" measure="1" displayFolder="" measureGroup="Tilmeldinger_1f" count="0" oneField="1">
      <fieldsUsage count="1">
        <fieldUsage x="9"/>
      </fieldsUsage>
    </cacheHierarchy>
    <cacheHierarchy uniqueName="[Measures].[👥 Tilmeldingsantal (kun med klub)]" caption="👥 Tilmeldingsantal (kun med klub)" measure="1" displayFolder="" measureGroup="Tilmeldinger_1f" count="0"/>
    <cacheHierarchy uniqueName="[Measures].[💪 Rating⠀⠀⠀⠀⠀⠀⠀⠀⠀⠀⠀⠀⠀⠀]" caption="💪 Rating⠀⠀⠀⠀⠀⠀⠀⠀⠀⠀⠀⠀⠀⠀" measure="1" displayFolder="" measureGroup="Tilmeldinger_1f" count="0" oneField="1">
      <fieldsUsage count="1">
        <fieldUsage x="4"/>
      </fieldsUsage>
    </cacheHierarchy>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oneField="1">
      <fieldsUsage count="1">
        <fieldUsage x="3"/>
      </fieldsUsage>
    </cacheHierarchy>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oneField="1">
      <fieldsUsage count="1">
        <fieldUsage x="10"/>
      </fieldsUsage>
    </cacheHierarchy>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oneField="1">
      <fieldsUsage count="1">
        <fieldUsage x="12"/>
      </fieldsUsage>
    </cacheHierarchy>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03819448" createdVersion="3" refreshedVersion="8" minRefreshableVersion="3" recordCount="0" supportSubquery="1" supportAdvancedDrill="1" xr:uid="{C9DC281D-4EDF-4BED-A038-01A8C275D6E2}">
  <cacheSource type="external" connectionId="15">
    <extLst>
      <ext xmlns:x14="http://schemas.microsoft.com/office/spreadsheetml/2009/9/main" uri="{F057638F-6D5F-4e77-A914-E7F072B9BCA8}">
        <x14:sourceConnection name="ThisWorkbookDataModel"/>
      </ext>
    </extLst>
  </cacheSource>
  <cacheFields count="0"/>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cacheHierarchy uniqueName="[Billettype_d2].[K: Billettype]" caption="K: Billettype" attribute="1" defaultMemberUniqueName="[Billettype_d2].[K: Billettype].[All]" allUniqueName="[Billettype_d2].[K: Billettype].[All]" dimensionUniqueName="[Billettype_d2]" displayFolder="" count="2" memberValueDatatype="130" unbalanced="0"/>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cacheHierarchy uniqueName="[Kalender].[K: Uge og år]" caption="K: Uge og år" attribute="1" time="1" defaultMemberUniqueName="[Kalender].[K: Uge og år].[All]" allUniqueName="[Kalender].[K: Uge og år].[All]" dimensionUniqueName="[Kalender]" displayFolder="" count="2" memberValueDatatype="130" unbalanced="0"/>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cacheHierarchy uniqueName="[Køn_d2].[K: Køn]" caption="K: Køn" attribute="1" defaultMemberUniqueName="[Køn_d2].[K: Køn].[All]" allUniqueName="[Køn_d2].[K: Køn].[All]" dimensionUniqueName="[Køn_d2]" displayFolder="" count="2" memberValueDatatype="130" unbalanced="0"/>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cacheHierarchy uniqueName="[Region_d3].[K: Region]" caption="K: Region" attribute="1" defaultMemberUniqueName="[Region_d3].[K: Region].[All]" allUniqueName="[Region_d3].[K: Region].[All]" dimensionUniqueName="[Region_d3]" displayFolder="" count="2" memberValueDatatype="130" unbalanced="0"/>
    <cacheHierarchy uniqueName="[Spillertype_d2].[K: Spillertype]" caption="K: Spillertype" attribute="1" defaultMemberUniqueName="[Spillertype_d2].[K: Spillertype].[All]" allUniqueName="[Spillertype_d2].[K: Spillertype].[All]" dimensionUniqueName="[Spillertype_d2]" displayFolder="" count="2" memberValueDatatype="130" unbalanced="0"/>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extLst>
    <ext xmlns:x14="http://schemas.microsoft.com/office/spreadsheetml/2009/9/main" uri="{725AE2AE-9491-48be-B2B4-4EB974FC3084}">
      <x14:pivotCacheDefinition slicerData="1" pivotCacheId="932217471"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0821759" createdVersion="5" refreshedVersion="8" minRefreshableVersion="3" recordCount="0" supportSubquery="1" supportAdvancedDrill="1" xr:uid="{8E39FEBF-F94B-4706-BDD0-3131F488D41B}">
  <cacheSource type="external" connectionId="15">
    <extLst>
      <ext xmlns:x14="http://schemas.microsoft.com/office/spreadsheetml/2009/9/main" uri="{F057638F-6D5F-4e77-A914-E7F072B9BCA8}">
        <x14:sourceConnection name="ThisWorkbookDataModel"/>
      </ext>
    </extLst>
  </cacheSource>
  <cacheFields count="19">
    <cacheField name="[Measures].[👥 Tilmeldingsantal (inkl. afbud)]" caption="👥 Tilmeldingsantal (inkl. afbud)" numFmtId="0" hierarchy="134" level="32767"/>
    <cacheField name="[Kalender].[K: År].[K: År]" caption="K: År" numFmtId="0" hierarchy="18" level="1">
      <sharedItems containsSemiMixedTypes="0" containsNonDate="0" containsString="0"/>
    </cacheField>
    <cacheField name="[Tilmeldingsstatus_d1].[K: Tilmeldingsstatus simpel].[K: Tilmeldingsstatus simpel]" caption="K: Tilmeldingsstatus simpel" numFmtId="0" hierarchy="38" level="1">
      <sharedItems count="2">
        <s v="✔️ Tilmeldt"/>
        <s v="❌ Afbud"/>
      </sharedItems>
      <extLst>
        <ext xmlns:x15="http://schemas.microsoft.com/office/spreadsheetml/2010/11/main" uri="{4F2E5C28-24EA-4eb8-9CBF-B6C8F9C3D259}">
          <x15:cachedUniqueNames>
            <x15:cachedUniqueName index="0" name="[Tilmeldingsstatus_d1].[K: Tilmeldingsstatus simpel].&amp;[✔️ Tilmeldt]"/>
            <x15:cachedUniqueName index="1" name="[Tilmeldingsstatus_d1].[K: Tilmeldingsstatus simpel].&amp;[❌ Afbud]"/>
          </x15:cachedUniqueNames>
        </ext>
      </extLst>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8"/>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2" memberValueDatatype="130" unbalanced="0">
      <fieldsUsage count="2">
        <fieldUsage x="-1"/>
        <fieldUsage x="2"/>
      </fieldsUsage>
    </cacheHierarchy>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oneField="1">
      <fieldsUsage count="1">
        <fieldUsage x="0"/>
      </fieldsUsage>
    </cacheHierarchy>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3544024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10069444" createdVersion="5" refreshedVersion="8" minRefreshableVersion="3" recordCount="0" supportSubquery="1" supportAdvancedDrill="1" xr:uid="{38488E03-325E-427F-A526-60E90893B24A}">
  <cacheSource type="external" connectionId="15">
    <extLst>
      <ext xmlns:x14="http://schemas.microsoft.com/office/spreadsheetml/2009/9/main" uri="{F057638F-6D5F-4e77-A914-E7F072B9BCA8}">
        <x14:sourceConnection name="ThisWorkbookDataModel"/>
      </ext>
    </extLst>
  </cacheSource>
  <cacheFields count="18">
    <cacheField name="[Klokkeslætsinterval_d1].[K: Klokkeslætsinterval].[K: Klokkeslætsinterval]" caption="K: Klokkeslætsinterval" numFmtId="0" hierarchy="27" level="1">
      <sharedItems count="2">
        <s v="[&gt;=18] Aften"/>
        <s v="[&gt;=00] Øvrig"/>
      </sharedItems>
      <extLst>
        <ext xmlns:x15="http://schemas.microsoft.com/office/spreadsheetml/2010/11/main" uri="{4F2E5C28-24EA-4eb8-9CBF-B6C8F9C3D259}">
          <x15:cachedUniqueNames>
            <x15:cachedUniqueName index="0" name="[Klokkeslætsinterval_d1].[K: Klokkeslætsinterval].&amp;[[&gt;=18]] Aften]"/>
            <x15:cachedUniqueName index="1" name="[Klokkeslætsinterval_d1].[K: Klokkeslætsinterval].&amp;[[&gt;=00]] Øvrig]"/>
          </x15:cachedUniqueNames>
        </ext>
      </extLst>
    </cacheField>
    <cacheField name="[Measures].[👥 Tilmeldingsantal]" caption="👥 Tilmeldingsantal" numFmtId="0" hierarchy="115"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0"/>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8919797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11689815" createdVersion="5" refreshedVersion="8" minRefreshableVersion="3" recordCount="0" supportSubquery="1" supportAdvancedDrill="1" xr:uid="{A9F9864F-6AE8-44CE-A22B-4D8AFC6E232D}">
  <cacheSource type="external" connectionId="15">
    <extLst>
      <ext xmlns:x14="http://schemas.microsoft.com/office/spreadsheetml/2009/9/main" uri="{F057638F-6D5F-4e77-A914-E7F072B9BCA8}">
        <x14:sourceConnection name="ThisWorkbookDataModel"/>
      </ext>
    </extLst>
  </cacheSource>
  <cacheFields count="18">
    <cacheField name="[Measures].[👥 Tilmeldingsantal]" caption="👥 Tilmeldingsantal" numFmtId="0" hierarchy="115" level="32767"/>
    <cacheField name="[Bordtennisklub_d2].[K: Bordtennisklub].[K: Bordtennisklub]" caption="K: Bordtennisklub" numFmtId="0" hierarchy="4" level="1">
      <sharedItems count="17">
        <s v="Amager BTK"/>
        <s v="Brønderslev"/>
        <s v="BTK Midtjylland"/>
        <s v="BTK Tateni"/>
        <s v="BTK Viby"/>
        <s v="Esbjerg BTK"/>
        <s v="Hillerød GI"/>
        <s v="Holbæk BTK"/>
        <s v="Hvidovre BTK"/>
        <s v="Hørning BTK"/>
        <s v="Rønde BTK"/>
        <s v="Silkeborg BTK"/>
        <s v="Sisu/MBK"/>
        <s v="Sjørring BTK"/>
        <s v="Team Nørreå"/>
        <s v="Vejle BTK"/>
        <s v="(Ingen klub)"/>
      </sharedItems>
      <extLst>
        <ext xmlns:x15="http://schemas.microsoft.com/office/spreadsheetml/2010/11/main" uri="{4F2E5C28-24EA-4eb8-9CBF-B6C8F9C3D259}">
          <x15:cachedUniqueNames>
            <x15:cachedUniqueName index="0" name="[Bordtennisklub_d2].[K: Bordtennisklub].&amp;[Amager BTK]"/>
            <x15:cachedUniqueName index="1" name="[Bordtennisklub_d2].[K: Bordtennisklub].&amp;[Brønderslev]"/>
            <x15:cachedUniqueName index="2" name="[Bordtennisklub_d2].[K: Bordtennisklub].&amp;[BTK Midtjylland]"/>
            <x15:cachedUniqueName index="3" name="[Bordtennisklub_d2].[K: Bordtennisklub].&amp;[BTK Tateni]"/>
            <x15:cachedUniqueName index="4" name="[Bordtennisklub_d2].[K: Bordtennisklub].&amp;[BTK Viby]"/>
            <x15:cachedUniqueName index="5" name="[Bordtennisklub_d2].[K: Bordtennisklub].&amp;[Esbjerg BTK]"/>
            <x15:cachedUniqueName index="6" name="[Bordtennisklub_d2].[K: Bordtennisklub].&amp;[Hillerød GI]"/>
            <x15:cachedUniqueName index="7" name="[Bordtennisklub_d2].[K: Bordtennisklub].&amp;[Holbæk BTK]"/>
            <x15:cachedUniqueName index="8" name="[Bordtennisklub_d2].[K: Bordtennisklub].&amp;[Hvidovre BTK]"/>
            <x15:cachedUniqueName index="9" name="[Bordtennisklub_d2].[K: Bordtennisklub].&amp;[Hørning BTK]"/>
            <x15:cachedUniqueName index="10" name="[Bordtennisklub_d2].[K: Bordtennisklub].&amp;[Rønde BTK]"/>
            <x15:cachedUniqueName index="11" name="[Bordtennisklub_d2].[K: Bordtennisklub].&amp;[Silkeborg BTK]"/>
            <x15:cachedUniqueName index="12" name="[Bordtennisklub_d2].[K: Bordtennisklub].&amp;[Sisu/MBK]"/>
            <x15:cachedUniqueName index="13" name="[Bordtennisklub_d2].[K: Bordtennisklub].&amp;[Sjørring BTK]"/>
            <x15:cachedUniqueName index="14" name="[Bordtennisklub_d2].[K: Bordtennisklub].&amp;[Team Nørreå]"/>
            <x15:cachedUniqueName index="15" name="[Bordtennisklub_d2].[K: Bordtennisklub].&amp;[Vejle BTK]"/>
            <x15:cachedUniqueName index="16" name="[Bordtennisklub_d2].[K: Bordtennisklub].&amp;[(Ingen klub)]"/>
          </x15:cachedUniqueNames>
        </ext>
      </extLst>
    </cacheField>
    <cacheField name="[Kalender].[K: År].[K: År]" caption="K: År" numFmtId="0" hierarchy="18"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1"/>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4"/>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5"/>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3"/>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3149931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1354167" createdVersion="5" refreshedVersion="8" minRefreshableVersion="3" recordCount="0" supportSubquery="1" supportAdvancedDrill="1" xr:uid="{68F56D76-71E7-40D8-B56D-7B20F68071ED}">
  <cacheSource type="external" connectionId="15">
    <extLst>
      <ext xmlns:x14="http://schemas.microsoft.com/office/spreadsheetml/2009/9/main" uri="{F057638F-6D5F-4e77-A914-E7F072B9BCA8}">
        <x14:sourceConnection name="ThisWorkbookDataModel"/>
      </ext>
    </extLst>
  </cacheSource>
  <cacheFields count="21">
    <cacheField name="[Measures].[🎫 Billetsalg]" caption="🎫 Billetsalg" numFmtId="0" hierarchy="114" level="32767"/>
    <cacheField name="[Billettype_d2].[K: Billettype emoji].[K: Billettype emoji]" caption="K: Billettype emoji" numFmtId="0" hierarchy="3" level="1">
      <sharedItems count="2">
        <s v="🏓"/>
        <s v="🥳"/>
      </sharedItems>
      <extLst>
        <ext xmlns:x15="http://schemas.microsoft.com/office/spreadsheetml/2010/11/main" uri="{4F2E5C28-24EA-4eb8-9CBF-B6C8F9C3D259}">
          <x15:cachedUniqueNames>
            <x15:cachedUniqueName index="0" name="[Billettype_d2].[K: Billettype emoji].&amp;[🏓]"/>
            <x15:cachedUniqueName index="1" name="[Billettype_d2].[K: Billettype emoji].&amp;[🥳]"/>
          </x15:cachedUniqueNames>
        </ext>
      </extLst>
    </cacheField>
    <cacheField name="[Measures].[🎫 Tilgængelige billetter]" caption="🎫 Tilgængelige billetter" numFmtId="0" hierarchy="123" level="32767"/>
    <cacheField name="[Kalender].[K: År].[K: År]" caption="K: År" numFmtId="0" hierarchy="18" level="1">
      <sharedItems containsSemiMixedTypes="0" containsNonDate="0" containsString="0"/>
    </cacheField>
    <cacheField name="[Measures].[🎫 Billetsalg afbud]" caption="🎫 Billetsalg afbud" numFmtId="0" hierarchy="137"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11"/>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5"/>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3"/>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2" memberValueDatatype="130" unbalanced="0">
      <fieldsUsage count="2">
        <fieldUsage x="-1"/>
        <fieldUsage x="1"/>
      </fieldsUsage>
    </cacheHierarchy>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5"/>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7"/>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20"/>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3"/>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6"/>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7"/>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8"/>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9"/>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8"/>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2"/>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6"/>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10"/>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9"/>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4"/>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oneField="1">
      <fieldsUsage count="1">
        <fieldUsage x="0"/>
      </fieldsUsage>
    </cacheHierarchy>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oneField="1">
      <fieldsUsage count="1">
        <fieldUsage x="2"/>
      </fieldsUsage>
    </cacheHierarchy>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oneField="1">
      <fieldsUsage count="1">
        <fieldUsage x="4"/>
      </fieldsUsage>
    </cacheHierarchy>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201846320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1516204" createdVersion="5" refreshedVersion="8" minRefreshableVersion="3" recordCount="0" supportSubquery="1" supportAdvancedDrill="1" xr:uid="{E242B6F6-6DA2-4ED8-81EE-2752F2DB8226}">
  <cacheSource type="external" connectionId="15">
    <extLst>
      <ext xmlns:x14="http://schemas.microsoft.com/office/spreadsheetml/2009/9/main" uri="{F057638F-6D5F-4e77-A914-E7F072B9BCA8}">
        <x14:sourceConnection name="ThisWorkbookDataModel"/>
      </ext>
    </extLst>
  </cacheSource>
  <cacheFields count="18">
    <cacheField name="[Landsdel_d3].[K: Landsdel].[K: Landsdel]" caption="K: Landsdel" numFmtId="0" hierarchy="30" level="1">
      <sharedItems count="3">
        <s v="Jylland"/>
        <s v="Sjælland"/>
        <s v="(Ukendt landsdel)"/>
      </sharedItems>
      <extLst>
        <ext xmlns:x15="http://schemas.microsoft.com/office/spreadsheetml/2010/11/main" uri="{4F2E5C28-24EA-4eb8-9CBF-B6C8F9C3D259}">
          <x15:cachedUniqueNames>
            <x15:cachedUniqueName index="0" name="[Landsdel_d3].[K: Landsdel].&amp;[Jylland]"/>
            <x15:cachedUniqueName index="1" name="[Landsdel_d3].[K: Landsdel].&amp;[Sjælland]"/>
            <x15:cachedUniqueName index="2" name="[Landsdel_d3].[K: Landsdel].&amp;[(Ukendt landsdel)]"/>
          </x15:cachedUniqueNames>
        </ext>
      </extLst>
    </cacheField>
    <cacheField name="[Kalender].[K: År].[K: År]" caption="K: År" numFmtId="0" hierarchy="18" level="1">
      <sharedItems containsSemiMixedTypes="0" containsNonDate="0" containsString="0"/>
    </cacheField>
    <cacheField name="[Measures].[👥 Tilmeldingsantal]" caption="👥 Tilmeldingsantal" numFmtId="0" hierarchy="115"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0"/>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2"/>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8467604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1678241" createdVersion="5" refreshedVersion="8" minRefreshableVersion="3" recordCount="0" supportSubquery="1" supportAdvancedDrill="1" xr:uid="{11EA0C68-D874-40B1-9E98-33C987727DA0}">
  <cacheSource type="external" connectionId="15">
    <extLst>
      <ext xmlns:x14="http://schemas.microsoft.com/office/spreadsheetml/2009/9/main" uri="{F057638F-6D5F-4e77-A914-E7F072B9BCA8}">
        <x14:sourceConnection name="ThisWorkbookDataModel"/>
      </ext>
    </extLst>
  </cacheSource>
  <cacheFields count="20">
    <cacheField name="[Measures].[👥 Tilmeldingsantal]" caption="👥 Tilmeldingsantal" numFmtId="0" hierarchy="115" level="32767"/>
    <cacheField name="[Kalender].[K: Uge].[K: Uge]" caption="K: Uge" numFmtId="0" hierarchy="26" level="1">
      <sharedItems count="10">
        <s v="Uge 16"/>
        <s v="Uge 17"/>
        <s v="Uge 18"/>
        <s v="Uge 19"/>
        <s v="Uge 20"/>
        <s v="Uge 21"/>
        <s v="Uge 22"/>
        <s v="Uge 23"/>
        <s v="Uge 24"/>
        <s v="Uge 25"/>
      </sharedItems>
      <extLst>
        <ext xmlns:x15="http://schemas.microsoft.com/office/spreadsheetml/2010/11/main" uri="{4F2E5C28-24EA-4eb8-9CBF-B6C8F9C3D259}">
          <x15:cachedUniqueNames>
            <x15:cachedUniqueName index="0" name="[Kalender].[K: Uge].&amp;[Uge 16]"/>
            <x15:cachedUniqueName index="1" name="[Kalender].[K: Uge].&amp;[Uge 17]"/>
            <x15:cachedUniqueName index="2" name="[Kalender].[K: Uge].&amp;[Uge 18]"/>
            <x15:cachedUniqueName index="3" name="[Kalender].[K: Uge].&amp;[Uge 19]"/>
            <x15:cachedUniqueName index="4" name="[Kalender].[K: Uge].&amp;[Uge 20]"/>
            <x15:cachedUniqueName index="5" name="[Kalender].[K: Uge].&amp;[Uge 21]"/>
            <x15:cachedUniqueName index="6" name="[Kalender].[K: Uge].&amp;[Uge 22]"/>
            <x15:cachedUniqueName index="7" name="[Kalender].[K: Uge].&amp;[Uge 23]"/>
            <x15:cachedUniqueName index="8" name="[Kalender].[K: Uge].&amp;[Uge 24]"/>
            <x15:cachedUniqueName index="9" name="[Kalender].[K: Uge].&amp;[Uge 25]"/>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 name="Dummy0" numFmtId="0" hierarchy="165" level="32767">
      <extLst>
        <ext xmlns:x14="http://schemas.microsoft.com/office/spreadsheetml/2009/9/main" uri="{63CAB8AC-B538-458d-9737-405883B0398D}">
          <x14:cacheField ignore="1"/>
        </ext>
      </extLst>
    </cacheField>
  </cacheFields>
  <cacheHierarchies count="166">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8"/>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2" memberValueDatatype="130" unbalanced="0">
      <fieldsUsage count="2">
        <fieldUsage x="-1"/>
        <fieldUsage x="1"/>
      </fieldsUsage>
    </cacheHierarchy>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y uniqueName="Dummy0" caption="K: Aldersgruppe" measure="1" count="0">
      <extLst>
        <ext xmlns:x14="http://schemas.microsoft.com/office/spreadsheetml/2009/9/main" uri="{8CF416AD-EC4C-4aba-99F5-12A058AE0983}">
          <x14:cacheHierarchy ignore="1"/>
        </ext>
      </extLst>
    </cacheHierarchy>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3768050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18402781" createdVersion="5" refreshedVersion="8" minRefreshableVersion="3" recordCount="0" supportSubquery="1" supportAdvancedDrill="1" xr:uid="{F8979820-EA76-41A1-9D5D-1F2B85A7961C}">
  <cacheSource type="external" connectionId="15">
    <extLst>
      <ext xmlns:x14="http://schemas.microsoft.com/office/spreadsheetml/2009/9/main" uri="{F057638F-6D5F-4e77-A914-E7F072B9BCA8}">
        <x14:sourceConnection name="ThisWorkbookDataModel"/>
      </ext>
    </extLst>
  </cacheSource>
  <cacheFields count="18">
    <cacheField name="[Region_d3].[K: Region].[K: Region]" caption="K: Region" numFmtId="0" hierarchy="32" level="1">
      <sharedItems count="6">
        <s v="Region Nordjylland"/>
        <s v="Region Midtjylland"/>
        <s v="Region Syddanmark"/>
        <s v="Region Sjælland"/>
        <s v="Region Hovedstaden"/>
        <s v="(Ukendt region)"/>
      </sharedItems>
      <extLst>
        <ext xmlns:x15="http://schemas.microsoft.com/office/spreadsheetml/2010/11/main" uri="{4F2E5C28-24EA-4eb8-9CBF-B6C8F9C3D259}">
          <x15:cachedUniqueNames>
            <x15:cachedUniqueName index="0" name="[Region_d3].[K: Region].&amp;[Region Nordjylland]"/>
            <x15:cachedUniqueName index="1" name="[Region_d3].[K: Region].&amp;[Region Midtjylland]"/>
            <x15:cachedUniqueName index="2" name="[Region_d3].[K: Region].&amp;[Region Syddanmark]"/>
            <x15:cachedUniqueName index="3" name="[Region_d3].[K: Region].&amp;[Region Sjælland]"/>
            <x15:cachedUniqueName index="4" name="[Region_d3].[K: Region].&amp;[Region Hovedstaden]"/>
            <x15:cachedUniqueName index="5" name="[Region_d3].[K: Region].&amp;[(Ukendt region)]"/>
          </x15:cachedUniqueNames>
        </ext>
      </extLst>
    </cacheField>
    <cacheField name="[Kalender].[K: År].[K: År]" caption="K: År" numFmtId="0" hierarchy="18" level="1">
      <sharedItems containsSemiMixedTypes="0" containsNonDate="0" containsString="0"/>
    </cacheField>
    <cacheField name="[Measures].[👥 Tilmeldingsantal]" caption="👥 Tilmeldingsantal" numFmtId="0" hierarchy="115" level="32767"/>
    <cacheField name="[Bordtennisklub_d2].[K: Bordtennisklub].[K: Bordtennisklub]" caption="K: Bordtennisklub" numFmtId="0" hierarchy="4"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4"/>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5"/>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0"/>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2"/>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471922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20023151" createdVersion="5" refreshedVersion="8" minRefreshableVersion="3" recordCount="0" supportSubquery="1" supportAdvancedDrill="1" xr:uid="{5DB229D8-85DB-4BD8-8033-C92DFE0D9C59}">
  <cacheSource type="external" connectionId="15">
    <extLst>
      <ext xmlns:x14="http://schemas.microsoft.com/office/spreadsheetml/2009/9/main" uri="{F057638F-6D5F-4e77-A914-E7F072B9BCA8}">
        <x14:sourceConnection name="ThisWorkbookDataModel"/>
      </ext>
    </extLst>
  </cacheSource>
  <cacheFields count="18">
    <cacheField name="[Measures].[👥 Tilmeldingsantal]" caption="👥 Tilmeldingsantal" numFmtId="0" hierarchy="115" level="32767"/>
    <cacheField name="[Aldersgruppe_d2].[K: Aldersgruppe].[K: Aldersgruppe]" caption="K: Aldersgruppe" numFmtId="0" level="1">
      <sharedItems count="3">
        <s v="[&lt;=17] Ungdom"/>
        <s v="[&lt;=39] Senior"/>
        <s v="[&gt;=40] Veteran"/>
      </sharedItems>
      <extLst>
        <ext xmlns:x15="http://schemas.microsoft.com/office/spreadsheetml/2010/11/main" uri="{4F2E5C28-24EA-4eb8-9CBF-B6C8F9C3D259}">
          <x15:cachedUniqueNames>
            <x15:cachedUniqueName index="0" name="[Aldersgruppe_d2].[K: Aldersgruppe].&amp;[[&lt;=17]] Ungdom]"/>
            <x15:cachedUniqueName index="1" name="[Aldersgruppe_d2].[K: Aldersgruppe].&amp;[[&lt;=39]] Senior]"/>
            <x15:cachedUniqueName index="2" name="[Aldersgruppe_d2].[K: Aldersgruppe].&amp;[[&gt;=40]] Veteran]"/>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1"/>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8299924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21643521" createdVersion="5" refreshedVersion="8" minRefreshableVersion="3" recordCount="0" supportSubquery="1" supportAdvancedDrill="1" xr:uid="{D3F3A31F-E1C7-4416-836D-7548814C3969}">
  <cacheSource type="external" connectionId="15">
    <extLst>
      <ext xmlns:x14="http://schemas.microsoft.com/office/spreadsheetml/2009/9/main" uri="{F057638F-6D5F-4e77-A914-E7F072B9BCA8}">
        <x14:sourceConnection name="ThisWorkbookDataModel"/>
      </ext>
    </extLst>
  </cacheSource>
  <cacheFields count="18">
    <cacheField name="[Measures].[👥 Tilmeldingsantal]" caption="👥 Tilmeldingsantal" numFmtId="0" hierarchy="115" level="32767"/>
    <cacheField name="[Ratinggruppe_d2].[K: Ratinggruppe].[K: Ratinggruppe]" caption="K: Ratinggruppe" numFmtId="0" hierarchy="31" level="1">
      <sharedItems count="2">
        <s v="[&gt;=2000] Elite"/>
        <s v="[&lt;=1999] Ikke-elite"/>
      </sharedItems>
      <extLst>
        <ext xmlns:x15="http://schemas.microsoft.com/office/spreadsheetml/2010/11/main" uri="{4F2E5C28-24EA-4eb8-9CBF-B6C8F9C3D259}">
          <x15:cachedUniqueNames>
            <x15:cachedUniqueName index="0" name="[Ratinggruppe_d2].[K: Ratinggruppe].&amp;[[&gt;=2000]] Elite]"/>
            <x15:cachedUniqueName index="1" name="[Ratinggruppe_d2].[K: Ratinggruppe].&amp;[[&lt;=1999]] Ikke-elite]"/>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7409340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2337963" createdVersion="5" refreshedVersion="8" minRefreshableVersion="3" recordCount="0" supportSubquery="1" supportAdvancedDrill="1" xr:uid="{8FF1ABD6-F53E-4851-80A8-320F32D60DAB}">
  <cacheSource type="external" connectionId="15">
    <extLst>
      <ext xmlns:x14="http://schemas.microsoft.com/office/spreadsheetml/2009/9/main" uri="{F057638F-6D5F-4e77-A914-E7F072B9BCA8}">
        <x14:sourceConnection name="ThisWorkbookDataModel"/>
      </ext>
    </extLst>
  </cacheSource>
  <cacheFields count="18">
    <cacheField name="[Spillertype_d2].[K: Spillertype].[K: Spillertype]" caption="K: Spillertype" numFmtId="0" hierarchy="33" level="1">
      <sharedItems count="2">
        <s v="🏓 Bordtennisspiller"/>
        <s v="👤 Ikke-bordtennisspiller"/>
      </sharedItems>
      <extLst>
        <ext xmlns:x15="http://schemas.microsoft.com/office/spreadsheetml/2010/11/main" uri="{4F2E5C28-24EA-4eb8-9CBF-B6C8F9C3D259}">
          <x15:cachedUniqueNames>
            <x15:cachedUniqueName index="0" name="[Spillertype_d2].[K: Spillertype].&amp;[🏓 Bordtennisspiller]"/>
            <x15:cachedUniqueName index="1" name="[Spillertype_d2].[K: Spillertype].&amp;[👤 Ikke-bordtennisspiller]"/>
          </x15:cachedUniqueNames>
        </ext>
      </extLst>
    </cacheField>
    <cacheField name="[Measures].[👥 Tilmeldingsantal]" caption="👥 Tilmeldingsantal" numFmtId="0" hierarchy="115"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0"/>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20443146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25000001" createdVersion="5" refreshedVersion="8" minRefreshableVersion="3" recordCount="0" supportSubquery="1" supportAdvancedDrill="1" xr:uid="{9AC16935-1118-405E-A038-7890BED1C47E}">
  <cacheSource type="external" connectionId="15">
    <extLst>
      <ext xmlns:x14="http://schemas.microsoft.com/office/spreadsheetml/2009/9/main" uri="{F057638F-6D5F-4e77-A914-E7F072B9BCA8}">
        <x14:sourceConnection name="ThisWorkbookDataModel"/>
      </ext>
    </extLst>
  </cacheSource>
  <cacheFields count="18">
    <cacheField name="[Billetsalg_pr_tilmelding_d1].[K: Billetsalg pr. tilmelding].[K: Billetsalg pr. tilmelding]" caption="K: Billetsalg pr. tilmelding" numFmtId="0" hierarchy="1" level="1">
      <sharedItems count="2">
        <s v="Billetsalg 1 stk."/>
        <s v="Billetsalg 2 stk."/>
      </sharedItems>
      <extLst>
        <ext xmlns:x15="http://schemas.microsoft.com/office/spreadsheetml/2010/11/main" uri="{4F2E5C28-24EA-4eb8-9CBF-B6C8F9C3D259}">
          <x15:cachedUniqueNames>
            <x15:cachedUniqueName index="0" name="[Billetsalg_pr_tilmelding_d1].[K: Billetsalg pr. tilmelding].&amp;[Billetsalg 1 stk.]"/>
            <x15:cachedUniqueName index="1" name="[Billetsalg_pr_tilmelding_d1].[K: Billetsalg pr. tilmelding].&amp;[Billetsalg 2 stk.]"/>
          </x15:cachedUniqueNames>
        </ext>
      </extLst>
    </cacheField>
    <cacheField name="[Measures].[👥 Tilmeldingsantal]" caption="👥 Tilmeldingsantal" numFmtId="0" hierarchy="115"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0"/>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20704352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26736109" createdVersion="5" refreshedVersion="8" minRefreshableVersion="3" recordCount="0" supportSubquery="1" supportAdvancedDrill="1" xr:uid="{279DF962-426D-447F-A6E7-F1EC19AEFFA0}">
  <cacheSource type="external" connectionId="15">
    <extLst>
      <ext xmlns:x14="http://schemas.microsoft.com/office/spreadsheetml/2009/9/main" uri="{F057638F-6D5F-4e77-A914-E7F072B9BCA8}">
        <x14:sourceConnection name="ThisWorkbookDataModel"/>
      </ext>
    </extLst>
  </cacheSource>
  <cacheFields count="18">
    <cacheField name="[Tilmeldingstype_d1].[K: Tilmeldingstype].[K: Tilmeldingstype]" caption="K: Tilmeldingstype" numFmtId="0" hierarchy="39" level="1">
      <sharedItems count="2">
        <s v="✔️ Ordinær"/>
        <s v="🏃 Drive-in"/>
      </sharedItems>
      <extLst>
        <ext xmlns:x15="http://schemas.microsoft.com/office/spreadsheetml/2010/11/main" uri="{4F2E5C28-24EA-4eb8-9CBF-B6C8F9C3D259}">
          <x15:cachedUniqueNames>
            <x15:cachedUniqueName index="0" name="[Tilmeldingstype_d1].[K: Tilmeldingstype].&amp;[✔️ Ordinær]"/>
            <x15:cachedUniqueName index="1" name="[Tilmeldingstype_d1].[K: Tilmeldingstype].&amp;[🏃 Drive-in]"/>
          </x15:cachedUniqueNames>
        </ext>
      </extLst>
    </cacheField>
    <cacheField name="[Kalender].[K: År].[K: År]" caption="K: År" numFmtId="0" hierarchy="18" level="1">
      <sharedItems containsSemiMixedTypes="0" containsNonDate="0" containsString="0"/>
    </cacheField>
    <cacheField name="[Measures].[👥 Tilmeldingsantal]" caption="👥 Tilmeldingsantal" numFmtId="0" hierarchy="115"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0"/>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2"/>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70044547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2835648" createdVersion="5" refreshedVersion="8" minRefreshableVersion="3" recordCount="0" supportSubquery="1" supportAdvancedDrill="1" xr:uid="{DD1662C2-60CA-4A31-8F61-9F59A6349E44}">
  <cacheSource type="external" connectionId="15">
    <extLst>
      <ext xmlns:x14="http://schemas.microsoft.com/office/spreadsheetml/2009/9/main" uri="{F057638F-6D5F-4e77-A914-E7F072B9BCA8}">
        <x14:sourceConnection name="ThisWorkbookDataModel"/>
      </ext>
    </extLst>
  </cacheSource>
  <cacheFields count="18">
    <cacheField name="[Køn_d2].[K: Køn].[K: Køn]" caption="K: Køn" numFmtId="0" hierarchy="28" level="1">
      <sharedItems count="2">
        <s v="♂️ Herre"/>
        <s v="♀️ Dame"/>
      </sharedItems>
      <extLst>
        <ext xmlns:x15="http://schemas.microsoft.com/office/spreadsheetml/2010/11/main" uri="{4F2E5C28-24EA-4eb8-9CBF-B6C8F9C3D259}">
          <x15:cachedUniqueNames>
            <x15:cachedUniqueName index="0" name="[Køn_d2].[K: Køn].&amp;[♂️ Herre]"/>
            <x15:cachedUniqueName index="1" name="[Køn_d2].[K: Køn].&amp;[♀️ Dame]"/>
          </x15:cachedUniqueNames>
        </ext>
      </extLst>
    </cacheField>
    <cacheField name="[Measures].[👥 Tilmeldingsantal]" caption="👥 Tilmeldingsantal" numFmtId="0" hierarchy="115"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0"/>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8093682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778.644930208335" createdVersion="5" refreshedVersion="8" minRefreshableVersion="3" recordCount="0" supportSubquery="1" supportAdvancedDrill="1" xr:uid="{7C74463D-1FED-481B-9CCD-E56CA05FC30B}">
  <cacheSource type="external" connectionId="15">
    <extLst>
      <ext xmlns:x14="http://schemas.microsoft.com/office/spreadsheetml/2009/9/main" uri="{F057638F-6D5F-4e77-A914-E7F072B9BCA8}">
        <x14:sourceConnection name="ThisWorkbookDataModel"/>
      </ext>
    </extLst>
  </cacheSource>
  <cacheFields count="18">
    <cacheField name="[Kalender].[K: År].[K: År]" caption="K: År" numFmtId="0" hierarchy="18" level="1">
      <sharedItems containsSemiMixedTypes="0" containsNonDate="0" containsString="0"/>
    </cacheField>
    <cacheField name="[Gentilmeldinger_d1].[K: Gentilmeldinger].[K: Gentilmeldinger]" caption="K: Gentilmeldinger" numFmtId="0" hierarchy="15" level="1">
      <sharedItems count="2">
        <s v="🆕 Ny"/>
        <s v="🔃 Tidligere"/>
      </sharedItems>
      <extLst>
        <ext xmlns:x15="http://schemas.microsoft.com/office/spreadsheetml/2010/11/main" uri="{4F2E5C28-24EA-4eb8-9CBF-B6C8F9C3D259}">
          <x15:cachedUniqueNames>
            <x15:cachedUniqueName index="0" name="[Gentilmeldinger_d1].[K: Gentilmeldinger].&amp;[🆕 Ny]"/>
            <x15:cachedUniqueName index="1" name="[Gentilmeldinger_d1].[K: Gentilmeldinger].&amp;[🔃 Tidligere]"/>
          </x15:cachedUniqueNames>
        </ext>
      </extLst>
    </cacheField>
    <cacheField name="[Measures].[👥 Tilmeldingsantal]" caption="👥 Tilmeldingsantal" numFmtId="0" hierarchy="115"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0"/>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2"/>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5599827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999356-25BB-478F-8100-0FC465EEB3B1}" name="PivotChartTable9" cacheId="4"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9">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t="grand">
      <x/>
    </i>
  </rowItems>
  <colItems count="1">
    <i/>
  </colItems>
  <dataFields count="1">
    <dataFiel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2" count="1" selected="0">
            <x v="0"/>
          </reference>
        </references>
      </pivotArea>
    </chartFormat>
    <chartFormat chart="0" format="10">
      <pivotArea type="data" outline="0" fieldPosition="0">
        <references count="2">
          <reference field="4294967294" count="1" selected="0">
            <x v="0"/>
          </reference>
          <reference field="2"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3" columnCount="1" cacheId="1354402406">
        <x15:pivotRow count="1">
          <x15:c>
            <x15:v>60</x15:v>
            <x15:x in="0"/>
          </x15:c>
        </x15:pivotRow>
        <x15:pivotRow count="1">
          <x15:c>
            <x15:v>8</x15:v>
            <x15:x in="0"/>
          </x15:c>
        </x15:pivotRow>
        <x15:pivotRow count="1">
          <x15:c>
            <x15:v>67</x15:v>
            <x15:x in="0"/>
          </x15:c>
        </x15:pivotRow>
      </x15:pivotTableData>
    </ext>
    <ext xmlns:x15="http://schemas.microsoft.com/office/spreadsheetml/2010/11/main" uri="{E67621CE-5B39-4880-91FE-76760E9C1902}">
      <x15:pivotTableUISettings>
        <x15:activeTabTopLevelEntity name="[Tilmeldinger_1f]"/>
        <x15:activeTabTopLevelEntity name="[Tilmeldingsstatus_d1]"/>
        <x15:activeTabTopLevelEntity name="[Kalender]"/>
        <x15:activeTabTopLevelEntity name="[Deltagere_d1]"/>
        <x15:activeTabTopLevelEntity name="[Køn_d2]"/>
        <x15:activeTabTopLevelEntity name="[Spillertype_d2]"/>
        <x15:activeTabTopLevelEntity name="[Aldersgruppe_d2]"/>
        <x15:activeTabTopLevelEntity name="[Ratinggruppe_d2]"/>
        <x15:activeTabTopLevelEntity name="[Landsdel_d3]"/>
        <x15:activeTabTopLevelEntity name="[Region_d3]"/>
        <x15:activeTabTopLevelEntity name="[Bordtennisklub_d2]"/>
        <x15:activeTabTopLevelEntity name="[Billettype_d2]"/>
        <x15:activeTabTopLevelEntity name="[Billetsalg_pr_tilmelding_d1]"/>
        <x15:activeTabTopLevelEntity name="[Tilmeldingstype_d1]"/>
        <x15:activeTabTopLevelEntity name="[Gentilmeldinger_d1]"/>
        <x15:activeTabTopLevelEntity name="[Klokkeslætsinterval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1048AD-A2D4-46A6-BF82-190673A11D09}" name="PivotChartTable13" cacheId="5"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891979718">
        <x15:pivotRow count="1">
          <x15:c>
            <x15:v>30</x15:v>
            <x15:x in="0"/>
          </x15:c>
        </x15:pivotRow>
        <x15:pivotRow count="1">
          <x15:c>
            <x15:v>30</x15:v>
            <x15:x in="0"/>
          </x15:c>
        </x15:pivotRow>
        <x15:pivotRow count="1">
          <x15:c>
            <x15:v>60</x15:v>
            <x15:x in="0"/>
          </x15:c>
        </x15:pivotRow>
      </x15:pivotTableData>
    </ext>
    <ext xmlns:x15="http://schemas.microsoft.com/office/spreadsheetml/2010/11/main" uri="{E67621CE-5B39-4880-91FE-76760E9C1902}">
      <x15:pivotTableUISettings>
        <x15:activeTabTopLevelEntity name="[Klokkeslætsinterval_d1]"/>
        <x15:activeTabTopLevelEntity name="[Tilmeldinger_1f]"/>
        <x15:activeTabTopLevelEntity name="[Deltagere_d1]"/>
        <x15:activeTabTopLevelEntity name="[Køn_d2]"/>
        <x15:activeTabTopLevelEntity name="[Spillertype_d2]"/>
        <x15:activeTabTopLevelEntity name="[Aldersgruppe_d2]"/>
        <x15:activeTabTopLevelEntity name="[Ratinggruppe_d2]"/>
        <x15:activeTabTopLevelEntity name="[Landsdel_d3]"/>
        <x15:activeTabTopLevelEntity name="[Region_d3]"/>
        <x15:activeTabTopLevelEntity name="[Bordtennisklub_d2]"/>
        <x15:activeTabTopLevelEntity name="[Kalender]"/>
        <x15:activeTabTopLevelEntity name="[Tilmeldingstype_d1]"/>
        <x15:activeTabTopLevelEntity name="[Billetsalg_pr_tilmelding_d1]"/>
        <x15:activeTabTopLevelEntity name="[Billettype_d2]"/>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FE5176-DDB6-4D07-AA12-F7198246CA46}" name="PivotChartTable5" cacheId="16"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809368291">
        <x15:pivotRow count="1">
          <x15:c>
            <x15:v>54</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Køn_d2]"/>
        <x15:activeTabTopLevelEntity name="[Tilmeldinger_1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B1E9FD-78D3-47C0-A81C-9E49EB35764E}" name="PivotChartTable2" cacheId="15"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2" subtotal="count" baseField="0" baseItem="0"/>
  </dataFields>
  <chartFormats count="3">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0" count="1" selected="0">
            <x v="0"/>
          </reference>
        </references>
      </pivotArea>
    </chartFormat>
    <chartFormat chart="0" format="11">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700445470">
        <x15:pivotRow count="1">
          <x15:c>
            <x15:v>49</x15:v>
            <x15:x in="0"/>
          </x15:c>
        </x15:pivotRow>
        <x15:pivotRow count="1">
          <x15:c>
            <x15:v>11</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Tilmeldingstype_d1]"/>
        <x15:activeTabTopLevelEntity name="[Kalender]"/>
        <x15:activeTabTopLevelEntity name="[Bordtennisklub_d2]"/>
        <x15:activeTabTopLevelEntity name="[Region_d3]"/>
        <x15:activeTabTopLevelEntity name="[Deltagere_d1]"/>
        <x15:activeTabTopLevelEntity name="[Landsdel_d3]"/>
        <x15:activeTabTopLevelEntity name="[Billettype_d2]"/>
        <x15:activeTabTopLevelEntity name="[Billetsalg_pr_tilmelding_d1]"/>
        <x15:activeTabTopLevelEntity name="[Køn_d2]"/>
        <x15:activeTabTopLevelEntity name="[Spillertype_d2]"/>
        <x15:activeTabTopLevelEntity name="[Aldersgruppe_d2]"/>
        <x15:activeTabTopLevelEntity name="[Ratinggruppe_d2]"/>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0" cacheId="6"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26">
  <location ref="A1:B19" firstHeaderRow="1" firstDataRow="1" firstDataCol="1"/>
  <pivotFields count="18">
    <pivotField dataField="1" subtotalTop="0" showAll="0" defaultSubtotal="0"/>
    <pivotField axis="axisRow" allDrilled="1" subtotalTop="0" showAll="0" sortType="descending" dataSourceSort="1"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8">
    <i>
      <x v="12"/>
    </i>
    <i>
      <x v="4"/>
    </i>
    <i>
      <x v="11"/>
    </i>
    <i>
      <x v="16"/>
    </i>
    <i>
      <x v="9"/>
    </i>
    <i>
      <x v="14"/>
    </i>
    <i>
      <x v="10"/>
    </i>
    <i>
      <x v="8"/>
    </i>
    <i>
      <x v="15"/>
    </i>
    <i>
      <x v="13"/>
    </i>
    <i>
      <x/>
    </i>
    <i>
      <x v="2"/>
    </i>
    <i>
      <x v="6"/>
    </i>
    <i>
      <x v="3"/>
    </i>
    <i>
      <x v="7"/>
    </i>
    <i>
      <x v="1"/>
    </i>
    <i>
      <x v="5"/>
    </i>
    <i t="grand">
      <x/>
    </i>
  </rowItems>
  <colItems count="1">
    <i/>
  </colItems>
  <dataFields count="1">
    <dataField fld="0" subtotal="count" baseField="0" baseItem="0"/>
  </dataFields>
  <chartFormats count="9">
    <chartFormat chart="16" format="65" series="1">
      <pivotArea type="data" outline="0" fieldPosition="0">
        <references count="1">
          <reference field="4294967294" count="1" selected="0">
            <x v="0"/>
          </reference>
        </references>
      </pivotArea>
    </chartFormat>
    <chartFormat chart="18" format="70" series="1">
      <pivotArea type="data" outline="0" fieldPosition="0">
        <references count="1">
          <reference field="4294967294" count="1" selected="0">
            <x v="0"/>
          </reference>
        </references>
      </pivotArea>
    </chartFormat>
    <chartFormat chart="19" format="71" series="1">
      <pivotArea type="data" outline="0" fieldPosition="0">
        <references count="1">
          <reference field="4294967294" count="1" selected="0">
            <x v="0"/>
          </reference>
        </references>
      </pivotArea>
    </chartFormat>
    <chartFormat chart="20" format="72" series="1">
      <pivotArea type="data" outline="0" fieldPosition="0">
        <references count="1">
          <reference field="4294967294" count="1" selected="0">
            <x v="0"/>
          </reference>
        </references>
      </pivotArea>
    </chartFormat>
    <chartFormat chart="21" format="73" series="1">
      <pivotArea type="data" outline="0" fieldPosition="0">
        <references count="1">
          <reference field="4294967294" count="1" selected="0">
            <x v="0"/>
          </reference>
        </references>
      </pivotArea>
    </chartFormat>
    <chartFormat chart="22" format="74" series="1">
      <pivotArea type="data" outline="0" fieldPosition="0">
        <references count="1">
          <reference field="4294967294" count="1" selected="0">
            <x v="0"/>
          </reference>
        </references>
      </pivotArea>
    </chartFormat>
    <chartFormat chart="23" format="75" series="1">
      <pivotArea type="data" outline="0" fieldPosition="0">
        <references count="1">
          <reference field="4294967294" count="1" selected="0">
            <x v="0"/>
          </reference>
        </references>
      </pivotArea>
    </chartFormat>
    <chartFormat chart="24" format="76" series="1">
      <pivotArea type="data" outline="0" fieldPosition="0">
        <references count="1">
          <reference field="4294967294" count="1" selected="0">
            <x v="0"/>
          </reference>
        </references>
      </pivotArea>
    </chartFormat>
    <chartFormat chart="25" format="77" series="1">
      <pivotArea type="data" outline="0" fieldPosition="0">
        <references count="1">
          <reference field="4294967294" count="1" selected="0">
            <x v="0"/>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8" columnCount="1" cacheId="1314993199">
        <x15:pivotRow count="1">
          <x15:c>
            <x15:v>19</x15:v>
            <x15:x in="0"/>
          </x15:c>
        </x15:pivotRow>
        <x15:pivotRow count="1">
          <x15:c>
            <x15:v>7</x15:v>
            <x15:x in="0"/>
          </x15:c>
        </x15:pivotRow>
        <x15:pivotRow count="1">
          <x15:c>
            <x15:v>6</x15:v>
            <x15:x in="0"/>
          </x15:c>
        </x15:pivotRow>
        <x15:pivotRow count="1">
          <x15:c>
            <x15:v>6</x15:v>
            <x15:x in="0"/>
          </x15:c>
        </x15:pivotRow>
        <x15:pivotRow count="1">
          <x15:c>
            <x15:v>6</x15:v>
            <x15:x in="0"/>
          </x15:c>
        </x15:pivotRow>
        <x15:pivotRow count="1">
          <x15:c>
            <x15:v>3</x15:v>
            <x15:x in="0"/>
          </x15:c>
        </x15:pivotRow>
        <x15:pivotRow count="1">
          <x15:c>
            <x15:v>2</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Bordtennisklub_d2]"/>
        <x15:activeTabTopLevelEntity name="[Landsdel_d3]"/>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1" cacheId="7"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6">
  <location ref="A1:D4" firstHeaderRow="0" firstDataRow="1" firstDataCol="1"/>
  <pivotFields count="21">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fld="0" subtotal="count" baseField="0" baseItem="0"/>
    <dataField fld="2" subtotal="count" baseField="0" baseItem="0"/>
    <dataField fld="4" subtotal="count" baseField="0" baseItem="0"/>
  </dataFields>
  <chartFormats count="21">
    <chartFormat chart="10" format="36" series="1">
      <pivotArea type="data" outline="0" fieldPosition="0">
        <references count="1">
          <reference field="4294967294" count="1" selected="0">
            <x v="0"/>
          </reference>
        </references>
      </pivotArea>
    </chartFormat>
    <chartFormat chart="12" format="37" series="1">
      <pivotArea type="data" outline="0" fieldPosition="0">
        <references count="1">
          <reference field="4294967294" count="1" selected="0">
            <x v="0"/>
          </reference>
        </references>
      </pivotArea>
    </chartFormat>
    <chartFormat chart="13" format="38" series="1">
      <pivotArea type="data" outline="0" fieldPosition="0">
        <references count="1">
          <reference field="4294967294" count="1" selected="0">
            <x v="0"/>
          </reference>
        </references>
      </pivotArea>
    </chartFormat>
    <chartFormat chart="17" format="47" series="1">
      <pivotArea type="data" outline="0" fieldPosition="0">
        <references count="1">
          <reference field="4294967294" count="1" selected="0">
            <x v="0"/>
          </reference>
        </references>
      </pivotArea>
    </chartFormat>
    <chartFormat chart="18" format="48" series="1">
      <pivotArea type="data" outline="0" fieldPosition="0">
        <references count="1">
          <reference field="4294967294" count="1" selected="0">
            <x v="0"/>
          </reference>
        </references>
      </pivotArea>
    </chartFormat>
    <chartFormat chart="19" format="49" series="1">
      <pivotArea type="data" outline="0" fieldPosition="0">
        <references count="1">
          <reference field="4294967294" count="1" selected="0">
            <x v="0"/>
          </reference>
        </references>
      </pivotArea>
    </chartFormat>
    <chartFormat chart="20" format="50" series="1">
      <pivotArea type="data" outline="0" fieldPosition="0">
        <references count="1">
          <reference field="4294967294" count="1" selected="0">
            <x v="0"/>
          </reference>
        </references>
      </pivotArea>
    </chartFormat>
    <chartFormat chart="21" format="51" series="1">
      <pivotArea type="data" outline="0" fieldPosition="0">
        <references count="1">
          <reference field="4294967294" count="1" selected="0">
            <x v="0"/>
          </reference>
        </references>
      </pivotArea>
    </chartFormat>
    <chartFormat chart="22" format="52" series="1">
      <pivotArea type="data" outline="0" fieldPosition="0">
        <references count="1">
          <reference field="4294967294" count="1" selected="0">
            <x v="0"/>
          </reference>
        </references>
      </pivotArea>
    </chartFormat>
    <chartFormat chart="23" format="53" series="1">
      <pivotArea type="data" outline="0" fieldPosition="0">
        <references count="1">
          <reference field="4294967294" count="1" selected="0">
            <x v="0"/>
          </reference>
        </references>
      </pivotArea>
    </chartFormat>
    <chartFormat chart="24" format="54" series="1">
      <pivotArea type="data" outline="0" fieldPosition="0">
        <references count="1">
          <reference field="4294967294" count="1" selected="0">
            <x v="0"/>
          </reference>
        </references>
      </pivotArea>
    </chartFormat>
    <chartFormat chart="25" format="55" series="1">
      <pivotArea type="data" outline="0" fieldPosition="0">
        <references count="1">
          <reference field="4294967294" count="1" selected="0">
            <x v="0"/>
          </reference>
        </references>
      </pivotArea>
    </chartFormat>
    <chartFormat chart="26" format="56" series="1">
      <pivotArea type="data" outline="0" fieldPosition="0">
        <references count="1">
          <reference field="4294967294" count="1" selected="0">
            <x v="0"/>
          </reference>
        </references>
      </pivotArea>
    </chartFormat>
    <chartFormat chart="27" format="57" series="1">
      <pivotArea type="data" outline="0" fieldPosition="0">
        <references count="1">
          <reference field="4294967294" count="1" selected="0">
            <x v="0"/>
          </reference>
        </references>
      </pivotArea>
    </chartFormat>
    <chartFormat chart="28" format="58" series="1">
      <pivotArea type="data" outline="0" fieldPosition="0">
        <references count="1">
          <reference field="4294967294" count="1" selected="0">
            <x v="0"/>
          </reference>
        </references>
      </pivotArea>
    </chartFormat>
    <chartFormat chart="32" format="59" series="1">
      <pivotArea type="data" outline="0" fieldPosition="0">
        <references count="1">
          <reference field="4294967294" count="1" selected="0">
            <x v="0"/>
          </reference>
        </references>
      </pivotArea>
    </chartFormat>
    <chartFormat chart="33" format="60"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 chart="28" format="59">
      <pivotArea type="data" outline="0" fieldPosition="0">
        <references count="2">
          <reference field="4294967294" count="1" selected="0">
            <x v="0"/>
          </reference>
          <reference field="1" count="1" selected="0">
            <x v="0"/>
          </reference>
        </references>
      </pivotArea>
    </chartFormat>
    <chartFormat chart="28" format="61" series="1">
      <pivotArea type="data" outline="0" fieldPosition="0">
        <references count="1">
          <reference field="4294967294" count="1" selected="0">
            <x v="1"/>
          </reference>
        </references>
      </pivotArea>
    </chartFormat>
    <chartFormat chart="28" format="63" series="1">
      <pivotArea type="data" outline="0" fieldPosition="0">
        <references count="1">
          <reference field="4294967294" count="1" selected="0">
            <x v="2"/>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3">
        <x15:serverFormat format="#,0"/>
        <x15:serverFormat format="0"/>
        <x15:serverFormat format=""/>
      </x15:pivotTableServerFormats>
    </ext>
    <ext xmlns:x15="http://schemas.microsoft.com/office/spreadsheetml/2010/11/main" uri="{44433962-1CF7-4059-B4EE-95C3D5FFCF73}">
      <x15:pivotTableData rowCount="3" columnCount="3" cacheId="2018463201">
        <x15:pivotRow count="3">
          <x15:c>
            <x15:v>48</x15:v>
            <x15:x in="0"/>
          </x15:c>
          <x15:c>
            <x15:v>24</x15:v>
            <x15:x in="1"/>
          </x15:c>
          <x15:c>
            <x15:v>8</x15:v>
            <x15:x in="2"/>
          </x15:c>
        </x15:pivotRow>
        <x15:pivotRow count="3">
          <x15:c>
            <x15:v>42</x15:v>
            <x15:x in="0"/>
          </x15:c>
          <x15:c>
            <x15:v>78.000000000000014</x15:v>
            <x15:x in="1"/>
          </x15:c>
          <x15:c>
            <x15:v>3</x15:v>
            <x15:x in="2"/>
          </x15:c>
        </x15:pivotRow>
        <x15:pivotRow count="3">
          <x15:c>
            <x15:v>90</x15:v>
            <x15:x in="0"/>
          </x15:c>
          <x15:c>
            <x15:v>102</x15:v>
            <x15:x in="1"/>
          </x15:c>
          <x15:c>
            <x15:v>11</x15:v>
            <x15:x in="2"/>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2" cacheId="8"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5">
  <location ref="A1:B5" firstHeaderRow="1" firstDataRow="1" firstDataCol="1"/>
  <pivotFields count="18">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2" subtotal="count" baseField="0" baseItem="0"/>
  </dataFields>
  <chartFormats count="1">
    <chartFormat chart="31" format="113" series="1">
      <pivotArea type="data" outline="0" fieldPosition="0">
        <references count="1">
          <reference field="4294967294" count="1" selected="0">
            <x v="0"/>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4" columnCount="1" cacheId="846760434">
        <x15:pivotRow count="1">
          <x15:c>
            <x15:v>49</x15:v>
            <x15:x in="0"/>
          </x15:c>
        </x15:pivotRow>
        <x15:pivotRow count="1">
          <x15:c>
            <x15:v>5</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5" cacheId="9"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26">
  <location ref="A1:C12" firstHeaderRow="0" firstDataRow="1" firstDataCol="1"/>
  <pivotFields count="20">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name="👥 Tilmeldingsantal2" fld="19" subtotal="count" baseField="0" baseItem="0">
      <extLst>
        <ext xmlns:x14="http://schemas.microsoft.com/office/spreadsheetml/2009/9/main" uri="{E15A36E0-9728-4e99-A89B-3F7291B0FE68}">
          <x14:dataField sourceField="0" uniqueName="[__Xl2].[Measures].[👥 Tilmeldingsantal]"/>
        </ext>
      </extLst>
    </dataField>
  </dataFields>
  <chartFormats count="4">
    <chartFormat chart="20" format="334" series="1">
      <pivotArea type="data" outline="0" fieldPosition="0">
        <references count="1">
          <reference field="4294967294" count="1" selected="0">
            <x v="0"/>
          </reference>
        </references>
      </pivotArea>
    </chartFormat>
    <chartFormat chart="24" format="342" series="1">
      <pivotArea type="data" outline="0" fieldPosition="0">
        <references count="1">
          <reference field="4294967294" count="1" selected="0">
            <x v="0"/>
          </reference>
        </references>
      </pivotArea>
    </chartFormat>
    <chartFormat chart="25" format="343" series="1">
      <pivotArea type="data" outline="0" fieldPosition="0">
        <references count="1">
          <reference field="4294967294" count="1" selected="0">
            <x v="0"/>
          </reference>
        </references>
      </pivotArea>
    </chartFormat>
    <chartFormat chart="25" format="345" series="1">
      <pivotArea type="data" outline="0" fieldPosition="0">
        <references count="1">
          <reference field="4294967294" count="1" selected="0">
            <x v="1"/>
          </reference>
        </references>
      </pivotArea>
    </chartFormat>
  </chartFormats>
  <pivotHierarchies count="166">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1" columnCount="2" cacheId="376805023">
        <x15:pivotRow count="2">
          <x15:c>
            <x15:v>3</x15:v>
            <x15:x in="0"/>
          </x15:c>
          <x15:c>
            <x15:v>3</x15:v>
            <x15:x in="0"/>
          </x15:c>
        </x15:pivotRow>
        <x15:pivotRow count="2">
          <x15:c>
            <x15:v>5</x15:v>
            <x15:x in="0"/>
          </x15:c>
          <x15:c>
            <x15:v>5</x15:v>
            <x15:x in="0"/>
          </x15:c>
        </x15:pivotRow>
        <x15:pivotRow count="2">
          <x15:c>
            <x15:v>3</x15:v>
            <x15:x in="0"/>
          </x15:c>
          <x15:c>
            <x15:v>3</x15:v>
            <x15:x in="0"/>
          </x15:c>
        </x15:pivotRow>
        <x15:pivotRow count="2">
          <x15:c>
            <x15:v>1</x15:v>
            <x15:x in="0"/>
          </x15:c>
          <x15:c>
            <x15:v>1</x15:v>
            <x15:x in="0"/>
          </x15:c>
        </x15:pivotRow>
        <x15:pivotRow count="2">
          <x15:c>
            <x15:v>3</x15:v>
            <x15:x in="0"/>
          </x15:c>
          <x15:c>
            <x15:v>3</x15:v>
            <x15:x in="0"/>
          </x15:c>
        </x15:pivotRow>
        <x15:pivotRow count="2">
          <x15:c>
            <x15:v>4</x15:v>
            <x15:x in="0"/>
          </x15:c>
          <x15:c>
            <x15:v>4</x15:v>
            <x15:x in="0"/>
          </x15:c>
        </x15:pivotRow>
        <x15:pivotRow count="2">
          <x15:c>
            <x15:v>7</x15:v>
            <x15:x in="0"/>
          </x15:c>
          <x15:c>
            <x15:v>7</x15:v>
            <x15:x in="0"/>
          </x15:c>
        </x15:pivotRow>
        <x15:pivotRow count="2">
          <x15:c>
            <x15:v>23</x15:v>
            <x15:x in="0"/>
          </x15:c>
          <x15:c>
            <x15:v>23</x15:v>
            <x15:x in="0"/>
          </x15:c>
        </x15:pivotRow>
        <x15:pivotRow count="2">
          <x15:c>
            <x15:v>3</x15:v>
            <x15:x in="0"/>
          </x15:c>
          <x15:c>
            <x15:v>3</x15:v>
            <x15:x in="0"/>
          </x15:c>
        </x15:pivotRow>
        <x15:pivotRow count="2">
          <x15:c>
            <x15:v>8</x15:v>
            <x15:x in="0"/>
          </x15:c>
          <x15:c>
            <x15:v>8</x15:v>
            <x15:x in="0"/>
          </x15:c>
        </x15:pivotRow>
        <x15:pivotRow count="2">
          <x15:c>
            <x15:v>60</x15:v>
            <x15:x in="0"/>
          </x15:c>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4" cacheId="10"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9">
  <location ref="A1:B8" firstHeaderRow="1" firstDataRow="1" firstDataCol="1"/>
  <pivotFields count="18">
    <pivotField axis="axisRow"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1"/>
    </i>
    <i>
      <x v="5"/>
    </i>
    <i>
      <x v="4"/>
    </i>
    <i>
      <x/>
    </i>
    <i>
      <x v="2"/>
    </i>
    <i>
      <x v="3"/>
    </i>
    <i t="grand">
      <x/>
    </i>
  </rowItems>
  <colItems count="1">
    <i/>
  </colItems>
  <dataFields count="1">
    <dataField fld="2" subtotal="count" baseField="0" baseItem="0"/>
  </dataFields>
  <chartFormats count="1">
    <chartFormat chart="38" format="141" series="1">
      <pivotArea type="data" outline="0" fieldPosition="0">
        <references count="1">
          <reference field="4294967294" count="1" selected="0">
            <x v="0"/>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7" columnCount="1" cacheId="147192258">
        <x15:pivotRow count="1">
          <x15:c>
            <x15:v>44</x15:v>
            <x15:x in="0"/>
          </x15:c>
        </x15:pivotRow>
        <x15:pivotRow count="1">
          <x15:c>
            <x15:v>6</x15:v>
            <x15:x in="0"/>
          </x15:c>
        </x15:pivotRow>
        <x15:pivotRow count="1">
          <x15:c>
            <x15:v>4</x15:v>
            <x15:x in="0"/>
          </x15:c>
        </x15:pivotRow>
        <x15:pivotRow count="1">
          <x15:c>
            <x15:v>3</x15:v>
            <x15:x in="0"/>
          </x15:c>
        </x15:pivotRow>
        <x15:pivotRow count="1">
          <x15:c>
            <x15:v>2</x15:v>
            <x15:x in="0"/>
          </x15:c>
        </x15:pivotRow>
        <x15:pivotRow count="1">
          <x15:c>
            <x15:v>1</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6" cacheId="11"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1">
  <location ref="A1:B5" firstHeaderRow="1" firstDataRow="1" firstDataCol="1"/>
  <pivotFields count="18">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chartFormats count="9">
    <chartFormat chart="21" format="225" series="1">
      <pivotArea type="data" outline="0" fieldPosition="0">
        <references count="1">
          <reference field="4294967294" count="1" selected="0">
            <x v="0"/>
          </reference>
        </references>
      </pivotArea>
    </chartFormat>
    <chartFormat chart="22" format="226" series="1">
      <pivotArea type="data" outline="0" fieldPosition="0">
        <references count="1">
          <reference field="4294967294" count="1" selected="0">
            <x v="0"/>
          </reference>
        </references>
      </pivotArea>
    </chartFormat>
    <chartFormat chart="23" format="227" series="1">
      <pivotArea type="data" outline="0" fieldPosition="0">
        <references count="1">
          <reference field="4294967294" count="1" selected="0">
            <x v="0"/>
          </reference>
        </references>
      </pivotArea>
    </chartFormat>
    <chartFormat chart="25" format="229" series="1">
      <pivotArea type="data" outline="0" fieldPosition="0">
        <references count="1">
          <reference field="4294967294" count="1" selected="0">
            <x v="0"/>
          </reference>
        </references>
      </pivotArea>
    </chartFormat>
    <chartFormat chart="26" format="230" series="1">
      <pivotArea type="data" outline="0" fieldPosition="0">
        <references count="1">
          <reference field="4294967294" count="1" selected="0">
            <x v="0"/>
          </reference>
        </references>
      </pivotArea>
    </chartFormat>
    <chartFormat chart="27" format="231" series="1">
      <pivotArea type="data" outline="0" fieldPosition="0">
        <references count="1">
          <reference field="4294967294" count="1" selected="0">
            <x v="0"/>
          </reference>
        </references>
      </pivotArea>
    </chartFormat>
    <chartFormat chart="28" format="232" series="1">
      <pivotArea type="data" outline="0" fieldPosition="0">
        <references count="1">
          <reference field="4294967294" count="1" selected="0">
            <x v="0"/>
          </reference>
        </references>
      </pivotArea>
    </chartFormat>
    <chartFormat chart="29" format="233" series="1">
      <pivotArea type="data" outline="0" fieldPosition="0">
        <references count="1">
          <reference field="4294967294" count="1" selected="0">
            <x v="0"/>
          </reference>
        </references>
      </pivotArea>
    </chartFormat>
    <chartFormat chart="30" format="234" series="1">
      <pivotArea type="data" outline="0" fieldPosition="0">
        <references count="1">
          <reference field="4294967294" count="1" selected="0">
            <x v="0"/>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4" columnCount="1" cacheId="829992427">
        <x15:pivotRow count="1">
          <x15:c>
            <x15:v>8</x15:v>
            <x15:x in="0"/>
          </x15:c>
        </x15:pivotRow>
        <x15:pivotRow count="1">
          <x15:c>
            <x15:v>38</x15:v>
            <x15:x in="0"/>
          </x15:c>
        </x15:pivotRow>
        <x15:pivotRow count="1">
          <x15:c>
            <x15:v>14</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Kalender]"/>
        <x15:activeTabTopLevelEntity name="[Tilvalg_d2]"/>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7" cacheId="12"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0">
  <location ref="A1:B4" firstHeaderRow="1" firstDataRow="1" firstDataCol="1"/>
  <pivotFields count="18">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chartFormats count="11">
    <chartFormat chart="21" format="225" series="1">
      <pivotArea type="data" outline="0" fieldPosition="0">
        <references count="1">
          <reference field="4294967294" count="1" selected="0">
            <x v="0"/>
          </reference>
        </references>
      </pivotArea>
    </chartFormat>
    <chartFormat chart="22" format="226" series="1">
      <pivotArea type="data" outline="0" fieldPosition="0">
        <references count="1">
          <reference field="4294967294" count="1" selected="0">
            <x v="0"/>
          </reference>
        </references>
      </pivotArea>
    </chartFormat>
    <chartFormat chart="23" format="227" series="1">
      <pivotArea type="data" outline="0" fieldPosition="0">
        <references count="1">
          <reference field="4294967294" count="1" selected="0">
            <x v="0"/>
          </reference>
        </references>
      </pivotArea>
    </chartFormat>
    <chartFormat chart="24" format="229" series="1">
      <pivotArea type="data" outline="0" fieldPosition="0">
        <references count="1">
          <reference field="4294967294" count="1" selected="0">
            <x v="0"/>
          </reference>
        </references>
      </pivotArea>
    </chartFormat>
    <chartFormat chart="25" format="230" series="1">
      <pivotArea type="data" outline="0" fieldPosition="0">
        <references count="1">
          <reference field="4294967294" count="1" selected="0">
            <x v="0"/>
          </reference>
        </references>
      </pivotArea>
    </chartFormat>
    <chartFormat chart="26" format="231" series="1">
      <pivotArea type="data" outline="0" fieldPosition="0">
        <references count="1">
          <reference field="4294967294" count="1" selected="0">
            <x v="0"/>
          </reference>
        </references>
      </pivotArea>
    </chartFormat>
    <chartFormat chart="27" format="232" series="1">
      <pivotArea type="data" outline="0" fieldPosition="0">
        <references count="1">
          <reference field="4294967294" count="1" selected="0">
            <x v="0"/>
          </reference>
        </references>
      </pivotArea>
    </chartFormat>
    <chartFormat chart="28" format="233" series="1">
      <pivotArea type="data" outline="0" fieldPosition="0">
        <references count="1">
          <reference field="4294967294" count="1" selected="0">
            <x v="0"/>
          </reference>
        </references>
      </pivotArea>
    </chartFormat>
    <chartFormat chart="29" format="234" series="1">
      <pivotArea type="data" outline="0" fieldPosition="0">
        <references count="1">
          <reference field="4294967294" count="1" selected="0">
            <x v="0"/>
          </reference>
        </references>
      </pivotArea>
    </chartFormat>
    <chartFormat chart="29" format="235">
      <pivotArea type="data" outline="0" fieldPosition="0">
        <references count="2">
          <reference field="4294967294" count="1" selected="0">
            <x v="0"/>
          </reference>
          <reference field="1" count="1" selected="0">
            <x v="0"/>
          </reference>
        </references>
      </pivotArea>
    </chartFormat>
    <chartFormat chart="29" format="236">
      <pivotArea type="data" outline="0" fieldPosition="0">
        <references count="2">
          <reference field="4294967294" count="1" selected="0">
            <x v="0"/>
          </reference>
          <reference field="1"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740934046">
        <x15:pivotRow count="1">
          <x15:c>
            <x15:v>33</x15:v>
            <x15:x in="0"/>
          </x15:c>
        </x15:pivotRow>
        <x15:pivotRow count="1">
          <x15:c>
            <x15:v>27</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Kalender]"/>
        <x15:activeTabTopLevelEntity name="[Tilvalg_d2]"/>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8" cacheId="13"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7">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5">
    <chartFormat chart="33" format="120" series="1">
      <pivotArea type="data" outline="0" fieldPosition="0">
        <references count="1">
          <reference field="4294967294" count="1" selected="0">
            <x v="0"/>
          </reference>
        </references>
      </pivotArea>
    </chartFormat>
    <chartFormat chart="34" format="123" series="1">
      <pivotArea type="data" outline="0" fieldPosition="0">
        <references count="1">
          <reference field="4294967294" count="1" selected="0">
            <x v="0"/>
          </reference>
        </references>
      </pivotArea>
    </chartFormat>
    <chartFormat chart="35" format="125" series="1">
      <pivotArea type="data" outline="0" fieldPosition="0">
        <references count="1">
          <reference field="4294967294" count="1" selected="0">
            <x v="0"/>
          </reference>
        </references>
      </pivotArea>
    </chartFormat>
    <chartFormat chart="35" format="128">
      <pivotArea type="data" outline="0" fieldPosition="0">
        <references count="2">
          <reference field="4294967294" count="1" selected="0">
            <x v="0"/>
          </reference>
          <reference field="0" count="1" selected="0">
            <x v="0"/>
          </reference>
        </references>
      </pivotArea>
    </chartFormat>
    <chartFormat chart="35" format="129">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2044314655">
        <x15:pivotRow count="1">
          <x15:c>
            <x15:v>54</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06345E-5BA7-407A-A9DA-A94A9CD76514}" name="PivotChartTable1" cacheId="14"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2070435273">
        <x15:pivotRow count="1">
          <x15:c>
            <x15:v>30</x15:v>
            <x15:x in="0"/>
          </x15:c>
        </x15:pivotRow>
        <x15:pivotRow count="1">
          <x15:c>
            <x15:v>30</x15:v>
            <x15:x in="0"/>
          </x15:c>
        </x15:pivotRow>
        <x15:pivotRow count="1">
          <x15:c>
            <x15:v>60</x15:v>
            <x15:x in="0"/>
          </x15:c>
        </x15:pivotRow>
      </x15:pivotTableData>
    </ext>
    <ext xmlns:x15="http://schemas.microsoft.com/office/spreadsheetml/2010/11/main" uri="{E67621CE-5B39-4880-91FE-76760E9C1902}">
      <x15:pivotTableUISettings>
        <x15:activeTabTopLevelEntity name="[Billetsalg_pr_tilmelding_d1]"/>
        <x15:activeTabTopLevelEntity name="[Tilmeldinger_1f]"/>
        <x15:activeTabTopLevelEntity name="[Billettype_d2]"/>
        <x15:activeTabTopLevelEntity name="[Kalender]"/>
        <x15:activeTabTopLevelEntity name="[Bordtennisklub_d2]"/>
        <x15:activeTabTopLevelEntity name="[Region_d3]"/>
        <x15:activeTabTopLevelEntity name="[Deltagere_d1]"/>
        <x15:activeTabTopLevelEntity name="[Landsdel_d3]"/>
        <x15:activeTabTopLevelEntity name="[Tilmeldingstype_d1]"/>
        <x15:activeTabTopLevelEntity name="[Køn_d2]"/>
        <x15:activeTabTopLevelEntity name="[Spillertype_d2]"/>
        <x15:activeTabTopLevelEntity name="[Aldersgruppe_d2]"/>
        <x15:activeTabTopLevelEntity name="[Ratinggruppe_d2]"/>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5BEA279-01A4-4FB4-8D11-B85AF2D3E9A2}" name="PivotChartTable3" cacheId="17"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2" subtotal="count" baseField="0" baseItem="0"/>
  </dataFields>
  <chartFormats count="3">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559982739">
        <x15:pivotRow count="1">
          <x15:c>
            <x15:v>54</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Bordtennisklub_d2]"/>
        <x15:activeTabTopLevelEntity name="[Region_d3]"/>
        <x15:activeTabTopLevelEntity name="[Deltagere_d1]"/>
        <x15:activeTabTopLevelEntity name="[Landsdel_d3]"/>
        <x15:activeTabTopLevelEntity name="[Køn_d2]"/>
        <x15:activeTabTopLevelEntity name="[Spillertype_d2]"/>
        <x15:activeTabTopLevelEntity name="[Aldersgruppe_d2]"/>
        <x15:activeTabTopLevelEntity name="[Ratinggruppe_d2]"/>
        <x15:activeTabTopLevelEntity name="[Tilmeldingstype_d1]"/>
        <x15:activeTabTopLevelEntity name="[Billetsalg_pr_tilmelding_d1]"/>
        <x15:activeTabTopLevelEntity name="[Kalender]"/>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9A09EA5-D3AF-4967-AED3-94BB8A6A8D21}" name="PT - Tilmeldinger" cacheId="2" applyNumberFormats="0" applyBorderFormats="0" applyFontFormats="0" applyPatternFormats="0" applyAlignmentFormats="0" applyWidthHeightFormats="1" dataCaption="Værdier" grandTotalCaption="Total" showMissing="0" tag="0be10a5c-2227-4d40-a5ad-e793727ddabe" updatedVersion="8" minRefreshableVersion="3" subtotalHiddenItems="1" rowGrandTotals="0" colGrandTotals="0" itemPrintTitles="1" createdVersion="6" indent="0" showHeaders="0" outline="1" outlineData="1" multipleFieldFilters="0">
  <location ref="A33:M100" firstHeaderRow="0" firstDataRow="1" firstDataCol="1"/>
  <pivotFields count="30">
    <pivotField dataField="1" showAll="0" defaultSubtotal="0"/>
    <pivotField dataField="1" showAll="0" defaultSubtotal="0"/>
    <pivotField dataField="1"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sortType="ascending" defaultSubtotal="0" defaultAttributeDrillState="1">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8"/>
  </rowFields>
  <rowItems count="6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rowItems>
  <colFields count="1">
    <field x="-2"/>
  </colFields>
  <colItems count="12">
    <i>
      <x/>
    </i>
    <i i="1">
      <x v="1"/>
    </i>
    <i i="2">
      <x v="2"/>
    </i>
    <i i="3">
      <x v="3"/>
    </i>
    <i i="4">
      <x v="4"/>
    </i>
    <i i="5">
      <x v="5"/>
    </i>
    <i i="6">
      <x v="6"/>
    </i>
    <i i="7">
      <x v="7"/>
    </i>
    <i i="8">
      <x v="8"/>
    </i>
    <i i="9">
      <x v="9"/>
    </i>
    <i i="10">
      <x v="10"/>
    </i>
    <i i="11">
      <x v="11"/>
    </i>
  </colItems>
  <dataFields count="12">
    <dataField fld="0" subtotal="count" baseField="0" baseItem="0" numFmtId="49"/>
    <dataField fld="11" subtotal="count" baseField="0" baseItem="0" numFmtId="49"/>
    <dataField fld="2" subtotal="count" baseField="0" baseItem="0" numFmtId="49"/>
    <dataField fld="1" subtotal="count" baseField="0" baseItem="0" numFmtId="49"/>
    <dataField fld="4" subtotal="count" baseField="0" baseItem="0" numFmtId="49"/>
    <dataField fld="9" subtotal="count" baseField="0" baseItem="0" numFmtId="49"/>
    <dataField fld="10" subtotal="count" baseField="0" baseItem="0" numFmtId="49"/>
    <dataField fld="3" subtotal="count" baseField="0" baseItem="0" numFmtId="49"/>
    <dataField fld="12" subtotal="count" baseField="0" baseItem="0" numFmtId="49"/>
    <dataField fld="5" subtotal="count" baseField="0" baseItem="0" numFmtId="170"/>
    <dataField fld="6" subtotal="count" baseField="0" baseItem="0" numFmtId="170"/>
    <dataField fld="7" subtotal="count" baseField="0" baseItem="0" numFmtId="170"/>
  </dataFields>
  <formats count="35">
    <format dxfId="34">
      <pivotArea outline="0" collapsedLevelsAreSubtotals="1" fieldPosition="0"/>
    </format>
    <format dxfId="33">
      <pivotArea dataOnly="0" labelOnly="1" grandCol="1" outline="0" fieldPosition="0"/>
    </format>
    <format dxfId="32">
      <pivotArea type="origin" dataOnly="0" labelOnly="1" outline="0" fieldPosition="0"/>
    </format>
    <format dxfId="31">
      <pivotArea type="topRight" dataOnly="0" labelOnly="1" outline="0" fieldPosition="0"/>
    </format>
    <format dxfId="30">
      <pivotArea outline="0" collapsedLevelsAreSubtotals="1" fieldPosition="0">
        <references count="1">
          <reference field="4294967294" count="2" selected="0">
            <x v="2"/>
            <x v="3"/>
          </reference>
        </references>
      </pivotArea>
    </format>
    <format dxfId="29">
      <pivotArea outline="0" fieldPosition="0">
        <references count="1">
          <reference field="4294967294" count="1">
            <x v="0"/>
          </reference>
        </references>
      </pivotArea>
    </format>
    <format dxfId="28">
      <pivotArea outline="0" collapsedLevelsAreSubtotals="1" fieldPosition="0">
        <references count="1">
          <reference field="4294967294" count="2" selected="0">
            <x v="2"/>
            <x v="3"/>
          </reference>
        </references>
      </pivotArea>
    </format>
    <format dxfId="27">
      <pivotArea outline="0" fieldPosition="0">
        <references count="1">
          <reference field="4294967294" count="1">
            <x v="2"/>
          </reference>
        </references>
      </pivotArea>
    </format>
    <format dxfId="26">
      <pivotArea outline="0" collapsedLevelsAreSubtotals="1" fieldPosition="0">
        <references count="1">
          <reference field="4294967294" count="1" selected="0">
            <x v="0"/>
          </reference>
        </references>
      </pivotArea>
    </format>
    <format dxfId="25">
      <pivotArea dataOnly="0" labelOnly="1" outline="0" fieldPosition="0">
        <references count="1">
          <reference field="4294967294" count="1">
            <x v="0"/>
          </reference>
        </references>
      </pivotArea>
    </format>
    <format dxfId="24">
      <pivotArea outline="0" collapsedLevelsAreSubtotals="1" fieldPosition="0">
        <references count="1">
          <reference field="4294967294" count="3" selected="0">
            <x v="2"/>
            <x v="3"/>
            <x v="7"/>
          </reference>
        </references>
      </pivotArea>
    </format>
    <format dxfId="23">
      <pivotArea outline="0" collapsedLevelsAreSubtotals="1" fieldPosition="0">
        <references count="1">
          <reference field="4294967294" count="3" selected="0">
            <x v="2"/>
            <x v="3"/>
            <x v="7"/>
          </reference>
        </references>
      </pivotArea>
    </format>
    <format dxfId="22">
      <pivotArea outline="0" collapsedLevelsAreSubtotals="1" fieldPosition="0">
        <references count="1">
          <reference field="4294967294" count="1" selected="0">
            <x v="7"/>
          </reference>
        </references>
      </pivotArea>
    </format>
    <format dxfId="21">
      <pivotArea dataOnly="0" labelOnly="1" outline="0" fieldPosition="0">
        <references count="1">
          <reference field="4294967294" count="1">
            <x v="7"/>
          </reference>
        </references>
      </pivotArea>
    </format>
    <format dxfId="20">
      <pivotArea outline="0" collapsedLevelsAreSubtotals="1" fieldPosition="0">
        <references count="1">
          <reference field="4294967294" count="2" selected="0">
            <x v="3"/>
            <x v="7"/>
          </reference>
        </references>
      </pivotArea>
    </format>
    <format dxfId="19">
      <pivotArea outline="0" collapsedLevelsAreSubtotals="1" fieldPosition="0">
        <references count="1">
          <reference field="4294967294" count="1" selected="0">
            <x v="4"/>
          </reference>
        </references>
      </pivotArea>
    </format>
    <format dxfId="18">
      <pivotArea outline="0" collapsedLevelsAreSubtotals="1" fieldPosition="0">
        <references count="1">
          <reference field="4294967294" count="3" selected="0">
            <x v="9"/>
            <x v="10"/>
            <x v="11"/>
          </reference>
        </references>
      </pivotArea>
    </format>
    <format dxfId="17">
      <pivotArea dataOnly="0" labelOnly="1" fieldPosition="0">
        <references count="1">
          <reference field="8" count="0"/>
        </references>
      </pivotArea>
    </format>
    <format dxfId="16">
      <pivotArea outline="0" collapsedLevelsAreSubtotals="1" fieldPosition="0">
        <references count="1">
          <reference field="4294967294" count="1" selected="0">
            <x v="5"/>
          </reference>
        </references>
      </pivotArea>
    </format>
    <format dxfId="15">
      <pivotArea outline="0" collapsedLevelsAreSubtotals="1" fieldPosition="0">
        <references count="1">
          <reference field="4294967294" count="1" selected="0">
            <x v="6"/>
          </reference>
        </references>
      </pivotArea>
    </format>
    <format dxfId="14">
      <pivotArea outline="0" collapsedLevelsAreSubtotals="1" fieldPosition="0">
        <references count="1">
          <reference field="4294967294" count="1" selected="0">
            <x v="1"/>
          </reference>
        </references>
      </pivotArea>
    </format>
    <format dxfId="13">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0"/>
          </reference>
        </references>
      </pivotArea>
    </format>
    <format dxfId="11">
      <pivotArea outline="0" collapsedLevelsAreSubtotals="1" fieldPosition="0">
        <references count="1">
          <reference field="4294967294" count="1" selected="0">
            <x v="2"/>
          </reference>
        </references>
      </pivotArea>
    </format>
    <format dxfId="10">
      <pivotArea outline="0" collapsedLevelsAreSubtotals="1" fieldPosition="0">
        <references count="1">
          <reference field="4294967294" count="1" selected="0">
            <x v="4"/>
          </reference>
        </references>
      </pivotArea>
    </format>
    <format dxfId="9">
      <pivotArea dataOnly="0" labelOnly="1" outline="0" fieldPosition="0">
        <references count="1">
          <reference field="4294967294" count="1">
            <x v="4"/>
          </reference>
        </references>
      </pivotArea>
    </format>
    <format dxfId="8">
      <pivotArea outline="0" collapsedLevelsAreSubtotals="1" fieldPosition="0">
        <references count="1">
          <reference field="4294967294" count="1" selected="0">
            <x v="3"/>
          </reference>
        </references>
      </pivotArea>
    </format>
    <format dxfId="7">
      <pivotArea dataOnly="0" labelOnly="1" outline="0" fieldPosition="0">
        <references count="1">
          <reference field="4294967294" count="1">
            <x v="3"/>
          </reference>
        </references>
      </pivotArea>
    </format>
    <format dxfId="6">
      <pivotArea outline="0" collapsedLevelsAreSubtotals="1" fieldPosition="0">
        <references count="1">
          <reference field="4294967294" count="3" selected="0">
            <x v="9"/>
            <x v="10"/>
            <x v="11"/>
          </reference>
        </references>
      </pivotArea>
    </format>
    <format dxfId="5">
      <pivotArea dataOnly="0" labelOnly="1" outline="0" fieldPosition="0">
        <references count="1">
          <reference field="4294967294" count="3">
            <x v="9"/>
            <x v="10"/>
            <x v="11"/>
          </reference>
        </references>
      </pivotArea>
    </format>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8"/>
          </reference>
        </references>
      </pivotArea>
    </format>
    <format dxfId="2">
      <pivotArea collapsedLevelsAreSubtotals="1" fieldPosition="0">
        <references count="2">
          <reference field="4294967294" count="1" selected="0">
            <x v="9"/>
          </reference>
          <reference field="8" count="1">
            <x v="3"/>
          </reference>
        </references>
      </pivotArea>
    </format>
    <format dxfId="1">
      <pivotArea outline="0" collapsedLevelsAreSubtotals="1" fieldPosition="0">
        <references count="1">
          <reference field="4294967294" count="1" selected="0">
            <x v="8"/>
          </reference>
        </references>
      </pivotArea>
    </format>
    <format dxfId="0">
      <pivotArea dataOnly="0" labelOnly="1" outline="0" fieldPosition="0">
        <references count="1">
          <reference field="4294967294" count="1">
            <x v="8"/>
          </reference>
        </references>
      </pivotArea>
    </format>
  </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Standard"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ilmeldinger_1f]"/>
        <x15:activeTabTopLevelEntity name="[Billettype_d2]"/>
        <x15:activeTabTopLevelEntity name="[Kalender]"/>
        <x15:activeTabTopLevelEntity name="[Tilvalg_d2]"/>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702D60B-6BA3-446A-9812-E880AD8DAAAF}" name="PT - KPI" cacheId="1" dataOnRows="1" applyNumberFormats="0" applyBorderFormats="0" applyFontFormats="0" applyPatternFormats="0" applyAlignmentFormats="0" applyWidthHeightFormats="1" dataCaption="Værdier" grandTotalCaption="Total" showMissing="0" tag="5f26b7f8-68dd-421c-aeb0-0c3a803a8da3" updatedVersion="8" minRefreshableVersion="3" subtotalHiddenItems="1" rowGrandTotals="0" colGrandTotals="0" itemPrintTitles="1" createdVersion="6" indent="0" showHeaders="0" outline="1" outlineData="1" multipleFieldFilters="0">
  <location ref="B6:C26" firstHeaderRow="0" firstDataRow="0" firstDataCol="1"/>
  <pivotFields count="38">
    <pivotField dataField="1" showAll="0" defaultSubtota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21">
    <i>
      <x/>
    </i>
    <i i="1">
      <x v="1"/>
    </i>
    <i i="2">
      <x v="2"/>
    </i>
    <i i="3">
      <x v="3"/>
    </i>
    <i i="4">
      <x v="4"/>
    </i>
    <i i="5">
      <x v="5"/>
    </i>
    <i i="6">
      <x v="6"/>
    </i>
    <i i="7">
      <x v="7"/>
    </i>
    <i i="8">
      <x v="8"/>
    </i>
    <i i="9">
      <x v="9"/>
    </i>
    <i i="10">
      <x v="10"/>
    </i>
    <i i="11">
      <x v="11"/>
    </i>
    <i i="12">
      <x v="12"/>
    </i>
    <i i="13">
      <x v="13"/>
    </i>
    <i i="14">
      <x v="14"/>
    </i>
    <i i="15">
      <x v="15"/>
    </i>
    <i i="16">
      <x v="16"/>
    </i>
    <i i="17">
      <x v="17"/>
    </i>
    <i i="18">
      <x v="18"/>
    </i>
    <i i="19">
      <x v="19"/>
    </i>
    <i i="20">
      <x v="20"/>
    </i>
  </rowItems>
  <colItems count="1">
    <i/>
  </colItems>
  <dataFields count="21">
    <dataField fld="11" subtotal="count" baseField="0" baseItem="0"/>
    <dataField fld="8" subtotal="count" baseField="0" baseItem="0"/>
    <dataField fld="16" subtotal="count" baseField="0" baseItem="0"/>
    <dataField fld="18" subtotal="count" baseField="0" baseItem="0"/>
    <dataField fld="0" subtotal="count" baseField="0" baseItem="0"/>
    <dataField fld="20" subtotal="count" baseField="0" baseItem="0"/>
    <dataField fld="17" subtotal="count" baseField="0" baseItem="0"/>
    <dataField fld="21" subtotal="count" baseField="0" baseItem="0"/>
    <dataField fld="3" subtotal="count" baseField="0" baseItem="0"/>
    <dataField fld="4" subtotal="count" baseField="0" baseItem="0"/>
    <dataField fld="14" subtotal="count" baseField="0" baseItem="0"/>
    <dataField fld="15" subtotal="count" baseField="0" baseItem="0"/>
    <dataField fld="9" subtotal="count" baseField="0" baseItem="0"/>
    <dataField fld="1" subtotal="count" baseField="0" baseItem="0"/>
    <dataField fld="12" subtotal="count" baseField="0" baseItem="0"/>
    <dataField fld="13" subtotal="count" baseField="0" baseItem="0"/>
    <dataField fld="10" subtotal="count" baseField="0" baseItem="0"/>
    <dataField fld="2" subtotal="count" baseField="0" baseItem="0"/>
    <dataField fld="5" subtotal="count" baseField="0" baseItem="0"/>
    <dataField fld="6" subtotal="count" baseField="0" baseItem="0"/>
    <dataField fld="7" subtotal="count" baseField="0" baseItem="0"/>
  </dataFields>
  <formats count="58">
    <format dxfId="92">
      <pivotArea dataOnly="0" labelOnly="1" grandCol="1" outline="0" fieldPosition="0"/>
    </format>
    <format dxfId="91">
      <pivotArea type="origin" dataOnly="0" labelOnly="1" outline="0" fieldPosition="0"/>
    </format>
    <format dxfId="90">
      <pivotArea type="topRight" dataOnly="0" labelOnly="1" outline="0" fieldPosition="0"/>
    </format>
    <format dxfId="89">
      <pivotArea outline="0" collapsedLevelsAreSubtotals="1" fieldPosition="0"/>
    </format>
    <format dxfId="88">
      <pivotArea type="all" dataOnly="0" outline="0" fieldPosition="0"/>
    </format>
    <format dxfId="87">
      <pivotArea dataOnly="0" labelOnly="1" outline="0" axis="axisValues" fieldPosition="0"/>
    </format>
    <format dxfId="86">
      <pivotArea dataOnly="0" labelOnly="1" grandRow="1" outline="0" fieldPosition="0"/>
    </format>
    <format dxfId="85">
      <pivotArea outline="0" collapsedLevelsAreSubtotals="1" fieldPosition="0"/>
    </format>
    <format dxfId="84">
      <pivotArea fieldPosition="0">
        <references count="1">
          <reference field="4294967294" count="1">
            <x v="4"/>
          </reference>
        </references>
      </pivotArea>
    </format>
    <format dxfId="83">
      <pivotArea outline="0" collapsedLevelsAreSubtotals="1" fieldPosition="0"/>
    </format>
    <format dxfId="82">
      <pivotArea fieldPosition="0">
        <references count="1">
          <reference field="4294967294" count="1">
            <x v="4"/>
          </reference>
        </references>
      </pivotArea>
    </format>
    <format dxfId="81">
      <pivotArea outline="0" collapsedLevelsAreSubtotals="1" fieldPosition="0"/>
    </format>
    <format dxfId="80">
      <pivotArea fieldPosition="0">
        <references count="1">
          <reference field="4294967294" count="1">
            <x v="4"/>
          </reference>
        </references>
      </pivotArea>
    </format>
    <format dxfId="79">
      <pivotArea dataOnly="0" labelOnly="1" outline="0" fieldPosition="0">
        <references count="1">
          <reference field="4294967294" count="3">
            <x v="4"/>
            <x v="13"/>
            <x v="17"/>
          </reference>
        </references>
      </pivotArea>
    </format>
    <format dxfId="78">
      <pivotArea type="all" dataOnly="0" outline="0" fieldPosition="0"/>
    </format>
    <format dxfId="77">
      <pivotArea dataOnly="0" labelOnly="1" fieldPosition="0">
        <references count="1">
          <reference field="4294967294" count="0"/>
        </references>
      </pivotArea>
    </format>
    <format dxfId="76">
      <pivotArea type="all" dataOnly="0" outline="0" fieldPosition="0"/>
    </format>
    <format dxfId="75">
      <pivotArea collapsedLevelsAreSubtotals="1" fieldPosition="0">
        <references count="1">
          <reference field="4294967294" count="1">
            <x v="8"/>
          </reference>
        </references>
      </pivotArea>
    </format>
    <format dxfId="74">
      <pivotArea type="all" dataOnly="0" outline="0" fieldPosition="0"/>
    </format>
    <format dxfId="73">
      <pivotArea collapsedLevelsAreSubtotals="1" fieldPosition="0">
        <references count="1">
          <reference field="4294967294" count="3">
            <x v="18"/>
            <x v="19"/>
            <x v="20"/>
          </reference>
        </references>
      </pivotArea>
    </format>
    <format dxfId="72">
      <pivotArea collapsedLevelsAreSubtotals="1" fieldPosition="0">
        <references count="1">
          <reference field="4294967294" count="3">
            <x v="18"/>
            <x v="19"/>
            <x v="20"/>
          </reference>
        </references>
      </pivotArea>
    </format>
    <format dxfId="71">
      <pivotArea collapsedLevelsAreSubtotals="1" fieldPosition="0">
        <references count="1">
          <reference field="4294967294" count="3">
            <x v="18"/>
            <x v="19"/>
            <x v="20"/>
          </reference>
        </references>
      </pivotArea>
    </format>
    <format dxfId="70">
      <pivotArea type="all" dataOnly="0" outline="0" fieldPosition="0"/>
    </format>
    <format dxfId="69">
      <pivotArea collapsedLevelsAreSubtotals="1" fieldPosition="0">
        <references count="1">
          <reference field="4294967294" count="2">
            <x v="16"/>
            <x v="17"/>
          </reference>
        </references>
      </pivotArea>
    </format>
    <format dxfId="68">
      <pivotArea collapsedLevelsAreSubtotals="1" fieldPosition="0">
        <references count="1">
          <reference field="4294967294" count="2">
            <x v="12"/>
            <x v="13"/>
          </reference>
        </references>
      </pivotArea>
    </format>
    <format dxfId="67">
      <pivotArea type="all" dataOnly="0" outline="0" fieldPosition="0"/>
    </format>
    <format dxfId="66">
      <pivotArea dataOnly="0" labelOnly="1" outline="0" fieldPosition="0">
        <references count="1">
          <reference field="4294967294" count="16">
            <x v="0"/>
            <x v="1"/>
            <x v="4"/>
            <x v="8"/>
            <x v="9"/>
            <x v="10"/>
            <x v="11"/>
            <x v="12"/>
            <x v="13"/>
            <x v="14"/>
            <x v="15"/>
            <x v="16"/>
            <x v="17"/>
            <x v="18"/>
            <x v="19"/>
            <x v="20"/>
          </reference>
        </references>
      </pivotArea>
    </format>
    <format dxfId="65">
      <pivotArea fieldPosition="0">
        <references count="1">
          <reference field="4294967294" count="1">
            <x v="4"/>
          </reference>
        </references>
      </pivotArea>
    </format>
    <format dxfId="64">
      <pivotArea collapsedLevelsAreSubtotals="1" fieldPosition="0">
        <references count="1">
          <reference field="4294967294" count="2">
            <x v="14"/>
            <x v="15"/>
          </reference>
        </references>
      </pivotArea>
    </format>
    <format dxfId="63">
      <pivotArea collapsedLevelsAreSubtotals="1" fieldPosition="0">
        <references count="1">
          <reference field="4294967294" count="2">
            <x v="10"/>
            <x v="11"/>
          </reference>
        </references>
      </pivotArea>
    </format>
    <format dxfId="62">
      <pivotArea dataOnly="0" labelOnly="1" outline="0" fieldPosition="0">
        <references count="1">
          <reference field="4294967294" count="1">
            <x v="16"/>
          </reference>
        </references>
      </pivotArea>
    </format>
    <format dxfId="61">
      <pivotArea collapsedLevelsAreSubtotals="1" fieldPosition="0">
        <references count="1">
          <reference field="4294967294" count="2">
            <x v="0"/>
            <x v="1"/>
          </reference>
        </references>
      </pivotArea>
    </format>
    <format dxfId="60">
      <pivotArea fieldPosition="0">
        <references count="1">
          <reference field="4294967294" count="1">
            <x v="0"/>
          </reference>
        </references>
      </pivotArea>
    </format>
    <format dxfId="59">
      <pivotArea collapsedLevelsAreSubtotals="1" fieldPosition="0">
        <references count="1">
          <reference field="4294967294" count="2">
            <x v="0"/>
            <x v="1"/>
          </reference>
        </references>
      </pivotArea>
    </format>
    <format dxfId="58">
      <pivotArea dataOnly="0" labelOnly="1" outline="0" fieldPosition="0">
        <references count="1">
          <reference field="4294967294" count="2">
            <x v="0"/>
            <x v="1"/>
          </reference>
        </references>
      </pivotArea>
    </format>
    <format dxfId="57">
      <pivotArea fieldPosition="0">
        <references count="1">
          <reference field="4294967294" count="1">
            <x v="0"/>
          </reference>
        </references>
      </pivotArea>
    </format>
    <format dxfId="56">
      <pivotArea collapsedLevelsAreSubtotals="1" fieldPosition="0">
        <references count="1">
          <reference field="4294967294" count="2">
            <x v="0"/>
            <x v="1"/>
          </reference>
        </references>
      </pivotArea>
    </format>
    <format dxfId="55">
      <pivotArea fieldPosition="0">
        <references count="1">
          <reference field="4294967294" count="1">
            <x v="0"/>
          </reference>
        </references>
      </pivotArea>
    </format>
    <format dxfId="54">
      <pivotArea collapsedLevelsAreSubtotals="1" fieldPosition="0">
        <references count="1">
          <reference field="4294967294" count="1">
            <x v="2"/>
          </reference>
        </references>
      </pivotArea>
    </format>
    <format dxfId="53">
      <pivotArea dataOnly="0" labelOnly="1" outline="0" fieldPosition="0">
        <references count="1">
          <reference field="4294967294" count="1">
            <x v="2"/>
          </reference>
        </references>
      </pivotArea>
    </format>
    <format dxfId="52">
      <pivotArea type="all" dataOnly="0" outline="0" fieldPosition="0"/>
    </format>
    <format dxfId="51">
      <pivotArea dataOnly="0" labelOnly="1" outline="0" fieldPosition="0">
        <references count="1">
          <reference field="4294967294" count="17">
            <x v="0"/>
            <x v="1"/>
            <x v="2"/>
            <x v="4"/>
            <x v="8"/>
            <x v="9"/>
            <x v="10"/>
            <x v="11"/>
            <x v="12"/>
            <x v="13"/>
            <x v="14"/>
            <x v="15"/>
            <x v="16"/>
            <x v="17"/>
            <x v="18"/>
            <x v="19"/>
            <x v="20"/>
          </reference>
        </references>
      </pivotArea>
    </format>
    <format dxfId="50">
      <pivotArea fieldPosition="0">
        <references count="1">
          <reference field="4294967294" count="1">
            <x v="0"/>
          </reference>
        </references>
      </pivotArea>
    </format>
    <format dxfId="49">
      <pivotArea collapsedLevelsAreSubtotals="1" fieldPosition="0">
        <references count="1">
          <reference field="4294967294" count="1">
            <x v="3"/>
          </reference>
        </references>
      </pivotArea>
    </format>
    <format dxfId="48">
      <pivotArea dataOnly="0" labelOnly="1" outline="0" fieldPosition="0">
        <references count="1">
          <reference field="4294967294" count="1">
            <x v="3"/>
          </reference>
        </references>
      </pivotArea>
    </format>
    <format dxfId="47">
      <pivotArea fieldPosition="0">
        <references count="1">
          <reference field="4294967294" count="1">
            <x v="0"/>
          </reference>
        </references>
      </pivotArea>
    </format>
    <format dxfId="46">
      <pivotArea collapsedLevelsAreSubtotals="1" fieldPosition="0">
        <references count="1">
          <reference field="4294967294" count="2">
            <x v="2"/>
            <x v="3"/>
          </reference>
        </references>
      </pivotArea>
    </format>
    <format dxfId="45">
      <pivotArea dataOnly="0" labelOnly="1" outline="0" fieldPosition="0">
        <references count="1">
          <reference field="4294967294" count="2">
            <x v="2"/>
            <x v="3"/>
          </reference>
        </references>
      </pivotArea>
    </format>
    <format dxfId="44">
      <pivotArea collapsedLevelsAreSubtotals="1" fieldPosition="0">
        <references count="1">
          <reference field="4294967294" count="2">
            <x v="0"/>
            <x v="1"/>
          </reference>
        </references>
      </pivotArea>
    </format>
    <format dxfId="43">
      <pivotArea dataOnly="0" labelOnly="1" outline="0" fieldPosition="0">
        <references count="1">
          <reference field="4294967294" count="2">
            <x v="0"/>
            <x v="1"/>
          </reference>
        </references>
      </pivotArea>
    </format>
    <format dxfId="42">
      <pivotArea fieldPosition="0">
        <references count="1">
          <reference field="4294967294" count="1">
            <x v="0"/>
          </reference>
        </references>
      </pivotArea>
    </format>
    <format dxfId="41">
      <pivotArea collapsedLevelsAreSubtotals="1" fieldPosition="0">
        <references count="1">
          <reference field="4294967294" count="2">
            <x v="0"/>
            <x v="1"/>
          </reference>
        </references>
      </pivotArea>
    </format>
    <format dxfId="40">
      <pivotArea fieldPosition="0">
        <references count="1">
          <reference field="4294967294" count="1">
            <x v="0"/>
          </reference>
        </references>
      </pivotArea>
    </format>
    <format dxfId="39">
      <pivotArea collapsedLevelsAreSubtotals="1" fieldPosition="0">
        <references count="1">
          <reference field="4294967294" count="2">
            <x v="2"/>
            <x v="3"/>
          </reference>
        </references>
      </pivotArea>
    </format>
    <format dxfId="38">
      <pivotArea type="all" dataOnly="0" outline="0" fieldPosition="0"/>
    </format>
    <format dxfId="37">
      <pivotArea outline="0" collapsedLevelsAreSubtotals="1" fieldPosition="0"/>
    </format>
    <format dxfId="36">
      <pivotArea dataOnly="0" labelOnly="1" outline="0" fieldPosition="0">
        <references count="1">
          <reference field="4294967294" count="19">
            <x v="0"/>
            <x v="1"/>
            <x v="2"/>
            <x v="3"/>
            <x v="4"/>
            <x v="6"/>
            <x v="8"/>
            <x v="9"/>
            <x v="10"/>
            <x v="11"/>
            <x v="12"/>
            <x v="13"/>
            <x v="14"/>
            <x v="15"/>
            <x v="16"/>
            <x v="17"/>
            <x v="18"/>
            <x v="19"/>
            <x v="20"/>
          </reference>
        </references>
      </pivotArea>
    </format>
    <format dxfId="35">
      <pivotArea fieldPosition="0">
        <references count="1">
          <reference field="4294967294" count="1">
            <x v="0"/>
          </reference>
        </references>
      </pivotArea>
    </format>
  </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Standard"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ilmeldinger_1f]"/>
        <x15:activeTabTopLevelEntity name="[Billettype_d2]"/>
        <x15:activeTabTopLevelEntity name="[Kalender]"/>
        <x15:activeTabTopLevelEntity name="[Tilvalg_d2]"/>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4" connectionId="14" xr16:uid="{1BE4550A-5F9D-4451-BC1D-F530B45ECEC8}" autoFormatId="16" applyNumberFormats="0" applyBorderFormats="0" applyFontFormats="0" applyPatternFormats="0" applyAlignmentFormats="0" applyWidthHeightFormats="0">
  <queryTableRefresh nextId="16">
    <queryTableFields count="9">
      <queryTableField id="9" name="Nr." tableColumnId="1"/>
      <queryTableField id="1" name="Navn" tableColumnId="25"/>
      <queryTableField id="2" name="Bordtennisklub" tableColumnId="26"/>
      <queryTableField id="3" name="Alder" tableColumnId="27"/>
      <queryTableField id="11" name="Køn" tableColumnId="2"/>
      <queryTableField id="13" name="Ordredato med tid" tableColumnId="3"/>
      <queryTableField id="7" name="Billettype" tableColumnId="31"/>
      <queryTableField id="8" name="Status" tableColumnId="32"/>
      <queryTableField id="15" name="Billetpris"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ksterneData_6" adjustColumnWidth="0" connectionId="13" xr16:uid="{6A30259C-4EB0-4CF5-BE2B-7AF15C54F934}" autoFormatId="16" applyNumberFormats="0" applyBorderFormats="0" applyFontFormats="0" applyPatternFormats="0" applyAlignmentFormats="0" applyWidthHeightFormats="0">
  <queryTableRefresh nextId="8">
    <queryTableFields count="5">
      <queryTableField id="4" name="Nr." tableColumnId="1"/>
      <queryTableField id="1" name="Navn og bordtennisklub" tableColumnId="10"/>
      <queryTableField id="2" name="Alder" tableColumnId="11"/>
      <queryTableField id="6" name="Køn" tableColumnId="2"/>
      <queryTableField id="3" name="Billettype"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ksterneData_7" adjustColumnWidth="0" connectionId="7" xr16:uid="{E414B055-3FC0-4C3D-9594-59D912575301}" autoFormatId="16" applyNumberFormats="0" applyBorderFormats="0" applyFontFormats="0" applyPatternFormats="0" applyAlignmentFormats="0" applyWidthHeightFormats="0">
  <queryTableRefresh nextId="4">
    <queryTableFields count="2">
      <queryTableField id="1" name="Nr." tableColumnId="1"/>
      <queryTableField id="2" name="Foreløbige tilmeldinger"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ksterneData_8" adjustColumnWidth="0" connectionId="6" xr16:uid="{CD4A9E35-A19A-48DC-8CDF-A53AC6897748}" autoFormatId="16" applyNumberFormats="0" applyBorderFormats="0" applyFontFormats="0" applyPatternFormats="0" applyAlignmentFormats="0" applyWidthHeightFormats="0">
  <queryTableRefresh nextId="4">
    <queryTableFields count="2">
      <queryTableField id="1" name="Nr." tableColumnId="1"/>
      <queryTableField id="3" name="Tilmeldinger"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ksterneData_9" adjustColumnWidth="0" connectionId="11" xr16:uid="{8514ADE6-B541-40BF-8C71-FA51D4F9DB65}" autoFormatId="16" applyNumberFormats="0" applyBorderFormats="0" applyFontFormats="0" applyPatternFormats="0" applyAlignmentFormats="0" applyWidthHeightFormats="0">
  <queryTableRefresh nextId="39">
    <queryTableFields count="4">
      <queryTableField id="35" name="Ordredato" tableColumnId="1"/>
      <queryTableField id="29" name="Deltager-ID" tableColumnId="29"/>
      <queryTableField id="37" name="Køn" tableColumnId="2"/>
      <queryTableField id="28" name="Rating" tableColumnId="2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ksterneData_10" adjustColumnWidth="0" connectionId="12" xr16:uid="{0F8626F3-6B68-491E-BC2A-F9E8125FAE54}" autoFormatId="16" applyNumberFormats="0" applyBorderFormats="0" applyFontFormats="0" applyPatternFormats="0" applyAlignmentFormats="0" applyWidthHeightFormats="0">
  <queryTableRefresh nextId="5">
    <queryTableFields count="4">
      <queryTableField id="1" name="Nr." tableColumnId="1"/>
      <queryTableField id="2" name="Navn og bordtennisklub" tableColumnId="2"/>
      <queryTableField id="3" name="Alder" tableColumnId="3"/>
      <queryTableField id="4" name="Rating"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ksterneData_11" adjustColumnWidth="0" connectionId="8" xr16:uid="{DD0BFFEF-E4C7-4206-AC98-C4E4944C32EB}" autoFormatId="16" applyNumberFormats="0" applyBorderFormats="0" applyFontFormats="0" applyPatternFormats="0" applyAlignmentFormats="0" applyWidthHeightFormats="0">
  <queryTableRefresh nextId="22">
    <queryTableFields count="19">
      <queryTableField id="1" name="Nr.¹" tableColumnId="1"/>
      <queryTableField id="2" name="Navn og bordtennisklub¹" tableColumnId="2"/>
      <queryTableField id="3" name="Alder¹" tableColumnId="3"/>
      <queryTableField id="4" name="Rating¹" tableColumnId="4"/>
      <queryTableField id="5" name="Seedningslag 2" tableColumnId="5"/>
      <queryTableField id="6" name="Nr.²" tableColumnId="6"/>
      <queryTableField id="7" name="Navn og bordtennisklub²" tableColumnId="7"/>
      <queryTableField id="8" name="Alder²" tableColumnId="8"/>
      <queryTableField id="9" name="Rating²" tableColumnId="9"/>
      <queryTableField id="10" name="Seedningslag 3" tableColumnId="10"/>
      <queryTableField id="11" name="Nr.³" tableColumnId="11"/>
      <queryTableField id="12" name="Navn og bordtennisklub³" tableColumnId="12"/>
      <queryTableField id="13" name="Alder³" tableColumnId="13"/>
      <queryTableField id="14" name="Rating³" tableColumnId="14"/>
      <queryTableField id="15" name="Seedningslag 4" tableColumnId="15"/>
      <queryTableField id="16" name="Nr.⁴" tableColumnId="16"/>
      <queryTableField id="17" name="Navn og bordtennisklub⁴" tableColumnId="17"/>
      <queryTableField id="18" name="Alder⁴" tableColumnId="18"/>
      <queryTableField id="19" name="Rating⁴" tableColumnId="1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ksterneData_12" adjustColumnWidth="0" connectionId="9" xr16:uid="{ED3CE338-5918-41C4-9C50-068421536823}" autoFormatId="16" applyNumberFormats="0" applyBorderFormats="0" applyFontFormats="0" applyPatternFormats="0" applyAlignmentFormats="0" applyWidthHeightFormats="0">
  <queryTableRefresh nextId="30">
    <queryTableFields count="29">
      <queryTableField id="1" name="Nr.¹" tableColumnId="1"/>
      <queryTableField id="2" name="Navn og bordtennisklub¹" tableColumnId="2"/>
      <queryTableField id="3" name="Alder¹" tableColumnId="3"/>
      <queryTableField id="4" name="Rating¹" tableColumnId="4"/>
      <queryTableField id="5" name="Seedningslag 2" tableColumnId="5"/>
      <queryTableField id="6" name="Nr.²" tableColumnId="6"/>
      <queryTableField id="7" name="Navn og bordtennisklub²" tableColumnId="7"/>
      <queryTableField id="8" name="Alder²" tableColumnId="8"/>
      <queryTableField id="9" name="Rating²" tableColumnId="9"/>
      <queryTableField id="10" name="Seedningslag 3" tableColumnId="10"/>
      <queryTableField id="11" name="Nr.³" tableColumnId="11"/>
      <queryTableField id="12" name="Navn og bordtennisklub³" tableColumnId="12"/>
      <queryTableField id="13" name="Alder³" tableColumnId="13"/>
      <queryTableField id="14" name="Rating³" tableColumnId="14"/>
      <queryTableField id="15" name="Seedningslag 4" tableColumnId="15"/>
      <queryTableField id="16" name="Nr.⁴" tableColumnId="16"/>
      <queryTableField id="17" name="Navn og bordtennisklub⁴" tableColumnId="17"/>
      <queryTableField id="18" name="Alder⁴" tableColumnId="18"/>
      <queryTableField id="19" name="Rating⁴" tableColumnId="19"/>
      <queryTableField id="20" name="Seedningslag 5" tableColumnId="20"/>
      <queryTableField id="21" name="Nr.⁵" tableColumnId="21"/>
      <queryTableField id="22" name="Navn og bordtennisklub⁵" tableColumnId="22"/>
      <queryTableField id="23" name="Alder⁵" tableColumnId="23"/>
      <queryTableField id="24" name="Rating⁵" tableColumnId="24"/>
      <queryTableField id="25" name="Seedningslag 6" tableColumnId="25"/>
      <queryTableField id="26" name="Nr.⁶" tableColumnId="26"/>
      <queryTableField id="27" name="Navn og bordtennisklub⁶" tableColumnId="27"/>
      <queryTableField id="28" name="Alder⁶" tableColumnId="28"/>
      <queryTableField id="29" name="Rating⁶"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Bordtennisklub" xr10:uid="{2DF579A0-5D95-49FF-A239-21D1067855FA}" sourceName="[Bordtennisklub_d2].[K: Bordtennisklub]">
  <pivotTables>
    <pivotTable tabId="42" name="PT - Tilmeldinger"/>
    <pivotTable tabId="42" name="PT - KPI"/>
  </pivotTables>
  <data>
    <olap pivotCacheId="932217471">
      <levels count="2">
        <level uniqueName="[Bordtennisklub_d2].[K: Bordtennisklub].[(All)]" sourceCaption="(All)" count="0"/>
        <level uniqueName="[Bordtennisklub_d2].[K: Bordtennisklub].[K: Bordtennisklub]" sourceCaption="K: Bordtennisklub" count="34">
          <ranges>
            <range startItem="0">
              <i n="[Bordtennisklub_d2].[K: Bordtennisklub].&amp;[Amager BTK]" c="Amager BTK"/>
              <i n="[Bordtennisklub_d2].[K: Bordtennisklub].&amp;[Brønderslev]" c="Brønderslev"/>
              <i n="[Bordtennisklub_d2].[K: Bordtennisklub].&amp;[Brønshøj BTK]" c="Brønshøj BTK"/>
              <i n="[Bordtennisklub_d2].[K: Bordtennisklub].&amp;[BTK Midtjylland]" c="BTK Midtjylland"/>
              <i n="[Bordtennisklub_d2].[K: Bordtennisklub].&amp;[BTK Tateni]" c="BTK Tateni"/>
              <i n="[Bordtennisklub_d2].[K: Bordtennisklub].&amp;[BTK Viby]" c="BTK Viby"/>
              <i n="[Bordtennisklub_d2].[K: Bordtennisklub].&amp;[Esbjerg BTK]" c="Esbjerg BTK"/>
              <i n="[Bordtennisklub_d2].[K: Bordtennisklub].&amp;[Hillerød GI]" c="Hillerød GI"/>
              <i n="[Bordtennisklub_d2].[K: Bordtennisklub].&amp;[Holbæk BTK]" c="Holbæk BTK"/>
              <i n="[Bordtennisklub_d2].[K: Bordtennisklub].&amp;[Hvidovre BTK]" c="Hvidovre BTK"/>
              <i n="[Bordtennisklub_d2].[K: Bordtennisklub].&amp;[Hørning BTK]" c="Hørning BTK"/>
              <i n="[Bordtennisklub_d2].[K: Bordtennisklub].&amp;[Ringkøbing]" c="Ringkøbing"/>
              <i n="[Bordtennisklub_d2].[K: Bordtennisklub].&amp;[Rønde BTK]" c="Rønde BTK"/>
              <i n="[Bordtennisklub_d2].[K: Bordtennisklub].&amp;[Silkeborg BTK]" c="Silkeborg BTK"/>
              <i n="[Bordtennisklub_d2].[K: Bordtennisklub].&amp;[Sisu/MBK]" c="Sisu/MBK"/>
              <i n="[Bordtennisklub_d2].[K: Bordtennisklub].&amp;[Sjørring BTK]" c="Sjørring BTK"/>
              <i n="[Bordtennisklub_d2].[K: Bordtennisklub].&amp;[Team Nørreå]" c="Team Nørreå"/>
              <i n="[Bordtennisklub_d2].[K: Bordtennisklub].&amp;[Vejle BTK]" c="Vejle BTK"/>
              <i n="[Bordtennisklub_d2].[K: Bordtennisklub].&amp;[Viborg BTK]" c="Viborg BTK"/>
              <i n="[Bordtennisklub_d2].[K: Bordtennisklub].&amp;[(Ingen klub)]" c="(Ingen klub)"/>
              <i n="[Bordtennisklub_d2].[K: Bordtennisklub].&amp;[B75]" c="B75" nd="1"/>
              <i n="[Bordtennisklub_d2].[K: Bordtennisklub].&amp;[Brøndby BC]" c="Brøndby BC" nd="1"/>
              <i n="[Bordtennisklub_d2].[K: Bordtennisklub].&amp;[BTK Grenå]" c="BTK Grenå" nd="1"/>
              <i n="[Bordtennisklub_d2].[K: Bordtennisklub].&amp;[Frederiksberg BTK]" c="Frederiksberg BTK" nd="1"/>
              <i n="[Bordtennisklub_d2].[K: Bordtennisklub].&amp;[Galten FS]" c="Galten FS" nd="1"/>
              <i n="[Bordtennisklub_d2].[K: Bordtennisklub].&amp;[Greve BTK]" c="Greve BTK" nd="1"/>
              <i n="[Bordtennisklub_d2].[K: Bordtennisklub].&amp;[Hasle IF]" c="Hasle IF" nd="1"/>
              <i n="[Bordtennisklub_d2].[K: Bordtennisklub].&amp;[Københavns BTK]" c="Københavns BTK" nd="1"/>
              <i n="[Bordtennisklub_d2].[K: Bordtennisklub].&amp;[Nyborg G &amp; IF]" c="Nyborg G &amp; IF" nd="1"/>
              <i n="[Bordtennisklub_d2].[K: Bordtennisklub].&amp;[Næstved BTK]" c="Næstved BTK" nd="1"/>
              <i n="[Bordtennisklub_d2].[K: Bordtennisklub].&amp;[OB Bordtennis]" c="OB Bordtennis" nd="1"/>
              <i n="[Bordtennisklub_d2].[K: Bordtennisklub].&amp;[Roskilde, BTK 61]" c="Roskilde, BTK 61" nd="1"/>
              <i n="[Bordtennisklub_d2].[K: Bordtennisklub].&amp;[Triton]" c="Triton" nd="1"/>
              <i n="[Bordtennisklub_d2].[K: Bordtennisklub].&amp;[Virum Sorgenfri BTK]" c="Virum Sorgenfri BTK" nd="1"/>
            </range>
          </ranges>
        </level>
      </levels>
      <selections count="1">
        <selection n="[Bordtennisklub_d2].[K: Bordtennisklub].[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
        <pivotTable tabId="4294967295" name="PivotChartTable8"/>
        <pivotTable tabId="4294967295" name="PivotChartTable7"/>
        <pivotTable tabId="4294967295" name="PivotChartTable6"/>
        <pivotTable tabId="4294967295" name="PivotChartTable4"/>
        <pivotTable tabId="4294967295" name="PivotChartTable15"/>
        <pivotTable tabId="4294967295" name="PivotChartTable12"/>
        <pivotTable tabId="4294967295" name="PivotChartTable11"/>
        <pivotTable tabId="4294967295" name="PivotChartTable10"/>
        <pivotTable tabId="4294967295" name="PivotChartTable13"/>
        <pivotTable tabId="4294967295" name="PivotChartTable9"/>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Region" xr10:uid="{87272B04-28E6-4F7A-8C36-17D387F7C7D1}" sourceName="[Region_d3].[K: Region]">
  <pivotTables>
    <pivotTable tabId="42" name="PT - KPI"/>
    <pivotTable tabId="42" name="PT - Tilmeldinger"/>
  </pivotTables>
  <data>
    <olap pivotCacheId="932217471">
      <levels count="2">
        <level uniqueName="[Region_d3].[K: Region].[(All)]" sourceCaption="(All)" count="0"/>
        <level uniqueName="[Region_d3].[K: Region].[K: Region]" sourceCaption="K: Region" count="6">
          <ranges>
            <range startItem="0">
              <i n="[Region_d3].[K: Region].&amp;[Region Nordjylland]" c="Region Nordjylland"/>
              <i n="[Region_d3].[K: Region].&amp;[Region Midtjylland]" c="Region Midtjylland"/>
              <i n="[Region_d3].[K: Region].&amp;[Region Syddanmark]" c="Region Syddanmark"/>
              <i n="[Region_d3].[K: Region].&amp;[Region Sjælland]" c="Region Sjælland"/>
              <i n="[Region_d3].[K: Region].&amp;[Region Hovedstaden]" c="Region Hovedstaden"/>
              <i n="[Region_d3].[K: Region].&amp;[(Ukendt region)]" c="(Ukendt region)"/>
            </range>
          </ranges>
        </level>
      </levels>
      <selections count="1">
        <selection n="[Region_d3].[K: Region].[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
        <pivotTable tabId="4294967295" name="PivotChartTable8"/>
        <pivotTable tabId="4294967295" name="PivotChartTable7"/>
        <pivotTable tabId="4294967295" name="PivotChartTable6"/>
        <pivotTable tabId="4294967295" name="PivotChartTable4"/>
        <pivotTable tabId="4294967295" name="PivotChartTable15"/>
        <pivotTable tabId="4294967295" name="PivotChartTable12"/>
        <pivotTable tabId="4294967295" name="PivotChartTable11"/>
        <pivotTable tabId="4294967295" name="PivotChartTable10"/>
        <pivotTable tabId="4294967295" name="PivotChartTable13"/>
        <pivotTable tabId="4294967295" name="PivotChartTable9"/>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Deltager_ID" xr10:uid="{F1187956-6790-4B4B-8BE5-F747ED410553}" sourceName="[Deltagere_d1].[K: Deltager-ID]">
  <pivotTables>
    <pivotTable tabId="42" name="PT - KPI"/>
    <pivotTable tabId="42" name="PT - Tilmeldinger"/>
  </pivotTables>
  <data>
    <olap pivotCacheId="932217471">
      <levels count="2">
        <level uniqueName="[Deltagere_d1].[K: Deltager-ID].[(All)]" sourceCaption="(All)" count="0"/>
        <level uniqueName="[Deltagere_d1].[K: Deltager-ID].[K: Deltager-ID]" sourceCaption="K: Deltager-ID" count="83">
          <ranges>
            <range startItem="0">
              <i n="[Deltagere_d1].[K: Deltager-ID].&amp;[Alfred Brøgger, Sisu/MBK (13 år, 23-07-2009)]" c="Alfred Brøgger, Sisu/MBK (13 år, 23-07-2009)"/>
              <i n="[Deltagere_d1].[K: Deltager-ID].&amp;[Amin Saad Al-Zayadi, Sisu/MBK (10 år, 05-06-2012)]" c="Amin Saad Al-Zayadi, Sisu/MBK (10 år, 05-06-2012)"/>
              <i n="[Deltagere_d1].[K: Deltager-ID].&amp;[Anders Holler, BTK Tateni (15 år, 10-09-2006)]" c="Anders Holler, BTK Tateni (15 år, 10-09-2006)"/>
              <i n="[Deltagere_d1].[K: Deltager-ID].&amp;[Anders Lind, Brønshøj BTK (23 år, 14-12-1998)]" c="Anders Lind, Brønshøj BTK (23 år, 14-12-1998)"/>
              <i n="[Deltagere_d1].[K: Deltager-ID].&amp;[Annsofie Sommer (28 år, 03-08-1994)]" c="Annsofie Sommer (28 år, 03-08-1994)"/>
              <i n="[Deltagere_d1].[K: Deltager-ID].&amp;[Anton Andersson, Hillerød GI (25 år, 03-01-1997)]" c="Anton Andersson, Hillerød GI (25 år, 03-01-1997)"/>
              <i n="[Deltagere_d1].[K: Deltager-ID].&amp;[Bastian Diness, Sisu/MBK (16 år, 20-10-2005)]" c="Bastian Diness, Sisu/MBK (16 år, 20-10-2005)"/>
              <i n="[Deltagere_d1].[K: Deltager-ID].&amp;[Benjamin Lillelund, Sisu/MBK (24 år, 06-05-1998)]" c="Benjamin Lillelund, Sisu/MBK (24 år, 06-05-1998)"/>
              <i n="[Deltagere_d1].[K: Deltager-ID].&amp;[Benjamin Sørensen, Hørning BTK (28 år, 08-02-1994)]" c="Benjamin Sørensen, Hørning BTK (28 år, 08-02-1994)"/>
              <i n="[Deltagere_d1].[K: Deltager-ID].&amp;[Bent O. Jakobsen, Sisu/MBK (71 år, 08-09-1950)]" c="Bent O. Jakobsen, Sisu/MBK (71 år, 08-09-1950)"/>
              <i n="[Deltagere_d1].[K: Deltager-ID].&amp;[Casper Staal, Sisu/MBK (40 år, 04-02-1982)]" c="Casper Staal, Sisu/MBK (40 år, 04-02-1982)"/>
              <i n="[Deltagere_d1].[K: Deltager-ID].&amp;[Christian H. Andersen, Sisu/MBK (30 år, 20-07-1992)]" c="Christian H. Andersen, Sisu/MBK (30 år, 20-07-1992)"/>
              <i n="[Deltagere_d1].[K: Deltager-ID].&amp;[Daniel Wolf, Sisu/MBK (26 år, 30-04-1996)]" c="Daniel Wolf, Sisu/MBK (26 år, 30-04-1996)"/>
              <i n="[Deltagere_d1].[K: Deltager-ID].&amp;[Dennis K. Nielsen, Team Nørreå (36 år, 02-06-1986)]" c="Dennis K. Nielsen, Team Nørreå (36 år, 02-06-1986)"/>
              <i n="[Deltagere_d1].[K: Deltager-ID].&amp;[Emil Lynge Sørensen, Amager BTK (19 år, 07-08-2002)]" c="Emil Lynge Sørensen, Amager BTK (19 år, 07-08-2002)"/>
              <i n="[Deltagere_d1].[K: Deltager-ID].&amp;[Emil Madsen, Hørning BTK (29 år, 29-05-1993)]" c="Emil Madsen, Hørning BTK (29 år, 29-05-1993)"/>
              <i n="[Deltagere_d1].[K: Deltager-ID].&amp;[Frederik Kjeldgaard, Hørning BTK (12 år, 10-05-2010)]" c="Frederik Kjeldgaard, Hørning BTK (12 år, 10-05-2010)"/>
              <i n="[Deltagere_d1].[K: Deltager-ID].&amp;[Hans Herluf Boisen, BTK Viby (43 år, 16-08-1978)]" c="Hans Herluf Boisen, BTK Viby (43 år, 16-08-1978)"/>
              <i n="[Deltagere_d1].[K: Deltager-ID].&amp;[Ida Nielsen, Sisu/MBK (31 år, 09-03-1991)]" c="Ida Nielsen, Sisu/MBK (31 år, 09-03-1991)"/>
              <i n="[Deltagere_d1].[K: Deltager-ID].&amp;[Izabell Nørlem, Hvidovre BTK (31 år, 15-10-1990)]" c="Izabell Nørlem, Hvidovre BTK (31 år, 15-10-1990)"/>
              <i n="[Deltagere_d1].[K: Deltager-ID].&amp;[Jan Nordhøj, Hvidovre BTK (52 år, 30-04-1970)]" c="Jan Nordhøj, Hvidovre BTK (52 år, 30-04-1970)"/>
              <i n="[Deltagere_d1].[K: Deltager-ID].&amp;[Jesper Skivesen, Silkeborg BTK (50 år, 25-03-1972)]" c="Jesper Skivesen, Silkeborg BTK (50 år, 25-03-1972)"/>
              <i n="[Deltagere_d1].[K: Deltager-ID].&amp;[Jesper Steffensen, Sisu/MBK (47 år, 22-04-1975)]" c="Jesper Steffensen, Sisu/MBK (47 år, 22-04-1975)"/>
              <i n="[Deltagere_d1].[K: Deltager-ID].&amp;[Johan Grønhøj, Sisu/MBK (19 år, 23-04-2003)]" c="Johan Grønhøj, Sisu/MBK (19 år, 23-04-2003)"/>
              <i n="[Deltagere_d1].[K: Deltager-ID].&amp;[Johannes Messick Mortensen, Sisu/MBK (19 år, 31-10-2002)]" c="Johannes Messick Mortensen, Sisu/MBK (19 år, 31-10-2002)"/>
              <i n="[Deltagere_d1].[K: Deltager-ID].&amp;[John Sabalic, Rønde BTK (57 år, 18-03-1965)]" c="John Sabalic, Rønde BTK (57 år, 18-03-1965)"/>
              <i n="[Deltagere_d1].[K: Deltager-ID].&amp;[Jonas Brandt, Silkeborg BTK (23 år, 16-10-1998)]" c="Jonas Brandt, Silkeborg BTK (23 år, 16-10-1998)"/>
              <i n="[Deltagere_d1].[K: Deltager-ID].&amp;[Jonas Overgaard, Silkeborg BTK (25 år, 01-02-1997)]" c="Jonas Overgaard, Silkeborg BTK (25 år, 01-02-1997)"/>
              <i n="[Deltagere_d1].[K: Deltager-ID].&amp;[Jonas Ring Agerholm, Rønde BTK (33 år, 28-03-1989)]" c="Jonas Ring Agerholm, Rønde BTK (33 år, 28-03-1989)"/>
              <i n="[Deltagere_d1].[K: Deltager-ID].&amp;[Jonathan Abildgaard Hansen, Sisu/MBK (25 år, 12-02-1997)]" c="Jonathan Abildgaard Hansen, Sisu/MBK (25 år, 12-02-1997)"/>
              <i n="[Deltagere_d1].[K: Deltager-ID].&amp;[Jonathan Weiss, Sisu/MBK (20 år, 03-03-2002)]" c="Jonathan Weiss, Sisu/MBK (20 år, 03-03-2002)"/>
              <i n="[Deltagere_d1].[K: Deltager-ID].&amp;[Lars Jørgensen, Silkeborg BTK (56 år, 28-04-1966)]" c="Lars Jørgensen, Silkeborg BTK (56 år, 28-04-1966)"/>
              <i n="[Deltagere_d1].[K: Deltager-ID].&amp;[Lasse Frølich Rasmussen (37 år, 09-11-1984)]" c="Lasse Frølich Rasmussen (37 år, 09-11-1984)"/>
              <i n="[Deltagere_d1].[K: Deltager-ID].&amp;[Lasse Kardel Larsen, Hørning BTK (24 år, 21-07-1998)]" c="Lasse Kardel Larsen, Hørning BTK (24 år, 21-07-1998)"/>
              <i n="[Deltagere_d1].[K: Deltager-ID].&amp;[Laust Ravn Johansen, BTK Viby (16 år, 23-07-2006)]" c="Laust Ravn Johansen, BTK Viby (16 år, 23-07-2006)"/>
              <i n="[Deltagere_d1].[K: Deltager-ID].&amp;[Mads Larsen, Silkeborg BTK (28 år, 05-09-1993)]" c="Mads Larsen, Silkeborg BTK (28 år, 05-09-1993)"/>
              <i n="[Deltagere_d1].[K: Deltager-ID].&amp;[Marc Kynde, BTK Viby (24 år, 16-08-1997)]" c="Marc Kynde, BTK Viby (24 år, 16-08-1997)"/>
              <i n="[Deltagere_d1].[K: Deltager-ID].&amp;[Marius Dam, BTK Viby (21 år, 12-10-2000)]" c="Marius Dam, BTK Viby (21 år, 12-10-2000)"/>
              <i n="[Deltagere_d1].[K: Deltager-ID].&amp;[Martin Svendsen, Holbæk BTK (60 år, 25-06-1962)]" c="Martin Svendsen, Holbæk BTK (60 år, 25-06-1962)"/>
              <i n="[Deltagere_d1].[K: Deltager-ID].&amp;[Mathias Christensen, Silkeborg BTK (28 år, 19-05-1994)]" c="Mathias Christensen, Silkeborg BTK (28 år, 19-05-1994)"/>
              <i n="[Deltagere_d1].[K: Deltager-ID].&amp;[Mathias Heidmann, Sisu/MBK (39 år, 01-08-1983)]" c="Mathias Heidmann, Sisu/MBK (39 år, 01-08-1983)"/>
              <i n="[Deltagere_d1].[K: Deltager-ID].&amp;[Mette Kristensen, Sisu/MBK (33 år, 08-02-1989)]" c="Mette Kristensen, Sisu/MBK (33 år, 08-02-1989)"/>
              <i n="[Deltagere_d1].[K: Deltager-ID].&amp;[Michel Christensen, Ringkøbing (32 år, 14-09-1989)]" c="Michel Christensen, Ringkøbing (32 år, 14-09-1989)"/>
              <i n="[Deltagere_d1].[K: Deltager-ID].&amp;[Mickey Elsborg, Vejle BTK (20 år, 25-09-2001)]" c="Mickey Elsborg, Vejle BTK (20 år, 25-09-2001)"/>
              <i n="[Deltagere_d1].[K: Deltager-ID].&amp;[Mie Binnerup Jacobsen, Sisu/MBK (29 år, 05-11-1992)]" c="Mie Binnerup Jacobsen, Sisu/MBK (29 år, 05-11-1992)"/>
              <i n="[Deltagere_d1].[K: Deltager-ID].&amp;[Milosz Miszczuk, Hørning BTK (40 år, 03-08-1982)]" c="Milosz Miszczuk, Hørning BTK (40 år, 03-08-1982)"/>
              <i n="[Deltagere_d1].[K: Deltager-ID].&amp;[Nichlas Middelhede, Team Nørreå (29 år, 31-12-1992)]" c="Nichlas Middelhede, Team Nørreå (29 år, 31-12-1992)"/>
              <i n="[Deltagere_d1].[K: Deltager-ID].&amp;[Nick Sommer, Team Nørreå (35 år, 07-03-1987)]" c="Nick Sommer, Team Nørreå (35 år, 07-03-1987)"/>
              <i n="[Deltagere_d1].[K: Deltager-ID].&amp;[Nicklas Martti Johnsen, Viborg BTK (26 år, 02-04-1996)]" c="Nicklas Martti Johnsen, Viborg BTK (26 år, 02-04-1996)"/>
              <i n="[Deltagere_d1].[K: Deltager-ID].&amp;[Oliver Kjeldgaard Johansson, Hørning BTK (15 år, 22-12-2006)]" c="Oliver Kjeldgaard Johansson, Hørning BTK (15 år, 22-12-2006)"/>
              <i n="[Deltagere_d1].[K: Deltager-ID].&amp;[Oscar Hovmøller, BTK Viby (20 år, 23-07-2002)]" c="Oscar Hovmøller, BTK Viby (20 år, 23-07-2002)"/>
              <i n="[Deltagere_d1].[K: Deltager-ID].&amp;[Otto Svindt, Sisu/MBK (10 år, 05-05-2012)]" c="Otto Svindt, Sisu/MBK (10 år, 05-05-2012)"/>
              <i n="[Deltagere_d1].[K: Deltager-ID].&amp;[Peter Bruhn, Brønderslev (60 år, 23-09-1961)]" c="Peter Bruhn, Brønderslev (60 år, 23-09-1961)"/>
              <i n="[Deltagere_d1].[K: Deltager-ID].&amp;[Peter Skalborg Jensen, Sisu/MBK (32 år, 08-07-1990)]" c="Peter Skalborg Jensen, Sisu/MBK (32 år, 08-07-1990)"/>
              <i n="[Deltagere_d1].[K: Deltager-ID].&amp;[Poul B. Pedersen (69 år, 29-12-1952)]" c="Poul B. Pedersen (69 år, 29-12-1952)"/>
              <i n="[Deltagere_d1].[K: Deltager-ID].&amp;[Rasmus Damkjær Hansen, Sisu/MBK (26 år, 11-06-1996)]" c="Rasmus Damkjær Hansen, Sisu/MBK (26 år, 11-06-1996)"/>
              <i n="[Deltagere_d1].[K: Deltager-ID].&amp;[Rasmus Hansen (21 år, 28-05-2001)]" c="Rasmus Hansen (21 år, 28-05-2001)"/>
              <i n="[Deltagere_d1].[K: Deltager-ID].&amp;[Sarah Svendsen (26 år, 29-10-1995)]" c="Sarah Svendsen (26 år, 29-10-1995)"/>
              <i n="[Deltagere_d1].[K: Deltager-ID].&amp;[Sebastian Karlsmose (19 år, 30-05-2003)]" c="Sebastian Karlsmose (19 år, 30-05-2003)"/>
              <i n="[Deltagere_d1].[K: Deltager-ID].&amp;[Sebastian Kjær Jensen, Sjørring BTK (27 år, 10-05-1995)]" c="Sebastian Kjær Jensen, Sjørring BTK (27 år, 10-05-1995)"/>
              <i n="[Deltagere_d1].[K: Deltager-ID].&amp;[Sebastian Sørensen, Esbjerg BTK (21 år, 11-05-2001)]" c="Sebastian Sørensen, Esbjerg BTK (21 år, 11-05-2001)"/>
              <i n="[Deltagere_d1].[K: Deltager-ID].&amp;[Simon Egebæk (21 år, 03-02-2001)]" c="Simon Egebæk (21 år, 03-02-2001)"/>
              <i n="[Deltagere_d1].[K: Deltager-ID].&amp;[Simon Larsen, BTK Viby (21 år, 25-05-2001)]" c="Simon Larsen, BTK Viby (21 år, 25-05-2001)"/>
              <i n="[Deltagere_d1].[K: Deltager-ID].&amp;[Simon Nykjær-Fisher, BTK Viby (33 år, 15-08-1988)]" c="Simon Nykjær-Fisher, BTK Viby (33 år, 15-08-1988)"/>
              <i n="[Deltagere_d1].[K: Deltager-ID].&amp;[Thomas B. Petersen, BTK Midtjylland (31 år, 04-07-1991)]" c="Thomas B. Petersen, BTK Midtjylland (31 år, 04-07-1991)"/>
              <i n="[Deltagere_d1].[K: Deltager-ID].&amp;[Thomas Bjerregaard, BTK Midtjylland (44 år, 23-05-1978)]" c="Thomas Bjerregaard, BTK Midtjylland (44 år, 23-05-1978)"/>
              <i n="[Deltagere_d1].[K: Deltager-ID].&amp;[Thomas Kjeldgård, Hørning BTK (44 år, 30-06-1978)]" c="Thomas Kjeldgård, Hørning BTK (44 år, 30-06-1978)"/>
              <i n="[Deltagere_d1].[K: Deltager-ID].&amp;[Amanda Mau, Amager BTK (18 år, 19-10-2003)]" c="Amanda Mau, Amager BTK (18 år, 19-10-2003)" nd="1"/>
              <i n="[Deltagere_d1].[K: Deltager-ID].&amp;[Andreas Bjørnholdt (28 år, 23-10-1993)]" c="Andreas Bjørnholdt (28 år, 23-10-1993)" nd="1"/>
              <i n="[Deltagere_d1].[K: Deltager-ID].&amp;[Bjarke Krog, B75 (20 år, 28-11-2001)]" c="Bjarke Krog, B75 (20 år, 28-11-2001)" nd="1"/>
              <i n="[Deltagere_d1].[K: Deltager-ID].&amp;[Gabriel Berthelsen, Amager BTK (14 år, 04-10-2007)]" c="Gabriel Berthelsen, Amager BTK (14 år, 04-10-2007)" nd="1"/>
              <i n="[Deltagere_d1].[K: Deltager-ID].&amp;[Jakub Dorocinski, Rønde BTK (29 år, 08-08-1992)]" c="Jakub Dorocinski, Rønde BTK (29 år, 08-08-1992)" nd="1"/>
              <i n="[Deltagere_d1].[K: Deltager-ID].&amp;[Jannick Helbo Wagner, Hørning BTK (51 år, 29-01-1971)]" c="Jannick Helbo Wagner, Hørning BTK (51 år, 29-01-1971)" nd="1"/>
              <i n="[Deltagere_d1].[K: Deltager-ID].&amp;[Jeff Tølbøll, OB Bordtennis (13 år, 18-02-2009)]" c="Jeff Tølbøll, OB Bordtennis (13 år, 18-02-2009)" nd="1"/>
              <i n="[Deltagere_d1].[K: Deltager-ID].&amp;[Jesper Nedergård, Galten FS (47 år, 09-07-1975)]" c="Jesper Nedergård, Galten FS (47 år, 09-07-1975)" nd="1"/>
              <i n="[Deltagere_d1].[K: Deltager-ID].&amp;[Kresten Christensen, OB Bordtennis (16 år, 06-02-2006)]" c="Kresten Christensen, OB Bordtennis (16 år, 06-02-2006)" nd="1"/>
              <i n="[Deltagere_d1].[K: Deltager-ID].&amp;[Lars Hartvig Bruun Severinsen, Esbjerg BTK (40 år, 19-03-1982)]" c="Lars Hartvig Bruun Severinsen, Esbjerg BTK (40 år, 19-03-1982)" nd="1"/>
              <i n="[Deltagere_d1].[K: Deltager-ID].&amp;[Mads Harbo Jensen, OB Bordtennis (46 år, 16-09-1975)]" c="Mads Harbo Jensen, OB Bordtennis (46 år, 16-09-1975)" nd="1"/>
              <i n="[Deltagere_d1].[K: Deltager-ID].&amp;[Mai Jensen, Københavns BTK (57 år, 22-04-1965)]" c="Mai Jensen, Københavns BTK (57 år, 22-04-1965)" nd="1"/>
              <i n="[Deltagere_d1].[K: Deltager-ID].&amp;[Maja Helene Hansen, OB Bordtennis (15 år, 13-04-2007)]" c="Maja Helene Hansen, OB Bordtennis (15 år, 13-04-2007)" nd="1"/>
              <i n="[Deltagere_d1].[K: Deltager-ID].&amp;[Malik Hartvig Bruun Severinsen, Esbjerg BTK (12 år, 20-02-2010)]" c="Malik Hartvig Bruun Severinsen, Esbjerg BTK (12 år, 20-02-2010)" nd="1"/>
              <i n="[Deltagere_d1].[K: Deltager-ID].&amp;[Michael Hegelund Knudsen, Rønde BTK (26 år, 23-11-1995)]" c="Michael Hegelund Knudsen, Rønde BTK (26 år, 23-11-1995)" nd="1"/>
              <i n="[Deltagere_d1].[K: Deltager-ID].&amp;[Victoria Berthelsen, Amager BTK (16 år, 26-12-2005)]" c="Victoria Berthelsen, Amager BTK (16 år, 26-12-2005)" nd="1"/>
            </range>
          </ranges>
        </level>
      </levels>
      <selections count="1">
        <selection n="[Deltagere_d1].[K: Deltager-ID].[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13"/>
        <pivotTable tabId="4294967295" name="PivotChartTable9"/>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Landsdel" xr10:uid="{F40759E8-1387-4D93-B341-2F82345258CF}" sourceName="[Landsdel_d3].[K: Landsdel]">
  <pivotTables>
    <pivotTable tabId="42" name="PT - Tilmeldinger"/>
    <pivotTable tabId="42" name="PT - KPI"/>
  </pivotTables>
  <data>
    <olap pivotCacheId="932217471">
      <levels count="2">
        <level uniqueName="[Landsdel_d3].[K: Landsdel].[(All)]" sourceCaption="(All)" count="0"/>
        <level uniqueName="[Landsdel_d3].[K: Landsdel].[K: Landsdel]" sourceCaption="K: Landsdel" count="5">
          <ranges>
            <range startItem="0">
              <i n="[Landsdel_d3].[K: Landsdel].&amp;[Jylland]" c="Jylland"/>
              <i n="[Landsdel_d3].[K: Landsdel].&amp;[Sjælland]" c="Sjælland"/>
              <i n="[Landsdel_d3].[K: Landsdel].&amp;[(Ukendt landsdel)]" c="(Ukendt landsdel)"/>
              <i n="[Landsdel_d3].[K: Landsdel].&amp;[Fyn]" c="Fyn" nd="1"/>
              <i n="[Landsdel_d3].[K: Landsdel].&amp;[Bornholm]" c="Bornholm" nd="1"/>
            </range>
          </ranges>
        </level>
      </levels>
      <selections count="1">
        <selection n="[Landsdel_d3].[K: Landsdel].[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13"/>
        <pivotTable tabId="4294967295" name="PivotChartTable9"/>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Køn" xr10:uid="{73ECC5C6-6769-4F9F-98A6-CF037BEE3277}" sourceName="[Køn_d2].[K: Køn]">
  <pivotTables>
    <pivotTable tabId="42" name="PT - Tilmeldinger"/>
    <pivotTable tabId="42" name="PT - KPI"/>
  </pivotTables>
  <data>
    <olap pivotCacheId="932217471">
      <levels count="2">
        <level uniqueName="[Køn_d2].[K: Køn].[(All)]" sourceCaption="(All)" count="0"/>
        <level uniqueName="[Køn_d2].[K: Køn].[K: Køn]" sourceCaption="K: Køn" count="2">
          <ranges>
            <range startItem="0">
              <i n="[Køn_d2].[K: Køn].&amp;[♂️ Herre]" c="♂️ Herre"/>
              <i n="[Køn_d2].[K: Køn].&amp;[♀️ Dame]" c="♀️ Dame"/>
            </range>
          </ranges>
        </level>
      </levels>
      <selections count="1">
        <selection n="[Køn_d2].[K: Køn].[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Spillertype" xr10:uid="{5FFBB9D3-D6E9-42C4-A1DB-6C8C6B77A856}" sourceName="[Spillertype_d2].[K: Spillertype]">
  <pivotTables>
    <pivotTable tabId="42" name="PT - KPI"/>
    <pivotTable tabId="42" name="PT - Tilmeldinger"/>
  </pivotTables>
  <data>
    <olap pivotCacheId="932217471">
      <levels count="2">
        <level uniqueName="[Spillertype_d2].[K: Spillertype].[(All)]" sourceCaption="(All)" count="0"/>
        <level uniqueName="[Spillertype_d2].[K: Spillertype].[K: Spillertype]" sourceCaption="K: Spillertype" count="2">
          <ranges>
            <range startItem="0">
              <i n="[Spillertype_d2].[K: Spillertype].&amp;[🏓 Bordtennisspiller]" c="🏓 Bordtennisspiller"/>
              <i n="[Spillertype_d2].[K: Spillertype].&amp;[👤 Ikke-bordtennisspiller]" c="👤 Ikke-bordtennisspiller"/>
            </range>
          </ranges>
        </level>
      </levels>
      <selections count="1">
        <selection n="[Spillertype_d2].[K: Spillertype].[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Alder_interval" xr10:uid="{840E0DB8-6BA2-4D11-A754-372742CC20D2}" sourceName="[Aldersgruppe_d2].[K: Aldersgruppe]">
  <pivotTables>
    <pivotTable tabId="42" name="PT - Tilmeldinger"/>
    <pivotTable tabId="42" name="PT - KPI"/>
  </pivotTables>
  <data>
    <olap pivotCacheId="932217471">
      <levels count="2">
        <level uniqueName="[Aldersgruppe_d2].[K: Aldersgruppe].[(All)]" sourceCaption="(All)" count="0"/>
        <level uniqueName="[Aldersgruppe_d2].[K: Aldersgruppe].[K: Aldersgruppe]" sourceCaption="K: Aldersgruppe" count="3">
          <ranges>
            <range startItem="0">
              <i n="[Aldersgruppe_d2].[K: Aldersgruppe].&amp;[[&lt;=17]] Ungdom]" c="[&lt;=17] Ungdom"/>
              <i n="[Aldersgruppe_d2].[K: Aldersgruppe].&amp;[[&lt;=39]] Senior]" c="[&lt;=39] Senior"/>
              <i n="[Aldersgruppe_d2].[K: Aldersgruppe].&amp;[[&gt;=40]] Veteran]" c="[&gt;=40] Veteran"/>
            </range>
          </ranges>
        </level>
      </levels>
      <selections count="1">
        <selection n="[Aldersgruppe_d2].[K: Aldersgruppe].[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Rating_interval" xr10:uid="{B9DDFC6A-C98D-4BB9-B548-7DB25084AD9D}" sourceName="[Ratinggruppe_d2].[K: Ratinggruppe]">
  <pivotTables>
    <pivotTable tabId="42" name="PT - KPI"/>
    <pivotTable tabId="42" name="PT - Tilmeldinger"/>
  </pivotTables>
  <data>
    <olap pivotCacheId="932217471">
      <levels count="2">
        <level uniqueName="[Ratinggruppe_d2].[K: Ratinggruppe].[(All)]" sourceCaption="(All)" count="0"/>
        <level uniqueName="[Ratinggruppe_d2].[K: Ratinggruppe].[K: Ratinggruppe]" sourceCaption="K: Ratinggruppe" count="2">
          <ranges>
            <range startItem="0">
              <i n="[Ratinggruppe_d2].[K: Ratinggruppe].&amp;[[&gt;=2000]] Elite]" c="[&gt;=2000] Elite"/>
              <i n="[Ratinggruppe_d2].[K: Ratinggruppe].&amp;[[&lt;=1999]] Ikke-elite]" c="[&lt;=1999] Ikke-elite"/>
            </range>
          </ranges>
        </level>
      </levels>
      <selections count="1">
        <selection n="[Ratinggruppe_d2].[K: Ratinggruppe].[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Billettype" xr10:uid="{B6D4D9A0-64FF-435A-9A7E-6B721EA173B6}" sourceName="[Billettype_d2].[K: Billettype]">
  <pivotTables>
    <pivotTable tabId="42" name="PT - Tilmeldinger"/>
    <pivotTable tabId="42" name="PT - KPI"/>
  </pivotTables>
  <data>
    <olap pivotCacheId="932217471">
      <levels count="2">
        <level uniqueName="[Billettype_d2].[K: Billettype].[(All)]" sourceCaption="(All)" count="0"/>
        <level uniqueName="[Billettype_d2].[K: Billettype].[K: Billettype]" sourceCaption="K: Billettype" count="2">
          <ranges>
            <range startItem="0">
              <i n="[Billettype_d2].[K: Billettype].&amp;[🏓 DM I PING PONG]" c="🏓 DM I PING PONG"/>
              <i n="[Billettype_d2].[K: Billettype].&amp;[🥳 FEST OM AFTENEN]" c="🥳 FEST OM AFTENEN"/>
            </range>
          </ranges>
        </level>
      </levels>
      <selections count="1">
        <selection n="[Billettype_d2].[K: Billettype].[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13"/>
        <pivotTable tabId="4294967295" name="PivotChartTable9"/>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Tilmeldingskanal" xr10:uid="{2507CE3B-9DBC-4DE3-91CC-E945667D0545}" sourceName="[Tilmeldingstype_d1].[K: Tilmeldingstype]">
  <pivotTables>
    <pivotTable tabId="42" name="PT - Tilmeldinger"/>
    <pivotTable tabId="42" name="PT - KPI"/>
  </pivotTables>
  <data>
    <olap pivotCacheId="932217471">
      <levels count="2">
        <level uniqueName="[Tilmeldingstype_d1].[K: Tilmeldingstype].[(All)]" sourceCaption="(All)" count="0"/>
        <level uniqueName="[Tilmeldingstype_d1].[K: Tilmeldingstype].[K: Tilmeldingstype]" sourceCaption="K: Tilmeldingstype" count="3">
          <ranges>
            <range startItem="0">
              <i n="[Tilmeldingstype_d1].[K: Tilmeldingstype].&amp;[✔️ Ordinær]" c="✔️ Ordinær"/>
              <i n="[Tilmeldingstype_d1].[K: Tilmeldingstype].&amp;[🏃 Drive-in]" c="🏃 Drive-in"/>
              <i n="[Tilmeldingstype_d1].[K: Tilmeldingstype].&amp;[❌ Afbud]" c="❌ Afbud"/>
            </range>
          </ranges>
        </level>
      </levels>
      <selections count="1">
        <selection n="[Tilmeldingstype_d1].[K: Tilmeldingstype].[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13"/>
        <pivotTable tabId="4294967295" name="PivotChartTable9"/>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Billetantal_pr._tilmelding" xr10:uid="{05CE41BD-75B6-4555-BC37-208DFE2ED342}" sourceName="[Billetsalg_pr_tilmelding_d1].[K: Billetsalg pr. tilmelding]">
  <pivotTables>
    <pivotTable tabId="42" name="PT - KPI"/>
    <pivotTable tabId="42" name="PT - Tilmeldinger"/>
  </pivotTables>
  <data>
    <olap pivotCacheId="932217471">
      <levels count="2">
        <level uniqueName="[Billetsalg_pr_tilmelding_d1].[K: Billetsalg pr. tilmelding].[(All)]" sourceCaption="(All)" count="0"/>
        <level uniqueName="[Billetsalg_pr_tilmelding_d1].[K: Billetsalg pr. tilmelding].[K: Billetsalg pr. tilmelding]" sourceCaption="K: Billetsalg pr. tilmelding" count="2">
          <ranges>
            <range startItem="0">
              <i n="[Billetsalg_pr_tilmelding_d1].[K: Billetsalg pr. tilmelding].&amp;[Billetsalg 1 stk.]" c="Billetsalg 1 stk."/>
              <i n="[Billetsalg_pr_tilmelding_d1].[K: Billetsalg pr. tilmelding].&amp;[Billetsalg 2 stk.]" c="Billetsalg 2 stk."/>
            </range>
          </ranges>
        </level>
      </levels>
      <selections count="1">
        <selection n="[Billetsalg_pr_tilmelding_d1].[K: Billetsalg pr. tilmelding].[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Måned_og_år" xr10:uid="{CC635C5C-5BB4-43BD-9A95-99B3AC50ECC9}" sourceName="[Kalender].[K: Måned og år]">
  <pivotTables>
    <pivotTable tabId="42" name="PT - Tilmeldinger"/>
    <pivotTable tabId="42" name="PT - KPI"/>
  </pivotTables>
  <data>
    <olap pivotCacheId="932217471">
      <levels count="2">
        <level uniqueName="[Kalender].[K: Måned og år].[(All)]" sourceCaption="(All)" count="0"/>
        <level uniqueName="[Kalender].[K: Måned og år].[K: Måned og år]" sourceCaption="K: Måned og år" count="384">
          <ranges>
            <range startItem="0">
              <i n="[Kalender].[K: Måned og år].&amp;[Apr-22]" c="Apr-22"/>
              <i n="[Kalender].[K: Måned og år].&amp;[Maj-22]" c="Maj-22"/>
              <i n="[Kalender].[K: Måned og år].&amp;[Jun-22]" c="Jun-22"/>
              <i n="[Kalender].[K: Måned og år].&amp;[Jan-18]" c="Jan-18" nd="1"/>
              <i n="[Kalender].[K: Måned og år].&amp;[Feb-18]" c="Feb-18" nd="1"/>
              <i n="[Kalender].[K: Måned og år].&amp;[Mar-18]" c="Mar-18" nd="1"/>
              <i n="[Kalender].[K: Måned og år].&amp;[Apr-18]" c="Apr-18" nd="1"/>
              <i n="[Kalender].[K: Måned og år].&amp;[Maj-18]" c="Maj-18" nd="1"/>
              <i n="[Kalender].[K: Måned og år].&amp;[Jun-18]" c="Jun-18" nd="1"/>
              <i n="[Kalender].[K: Måned og år].&amp;[Jul-18]" c="Jul-18" nd="1"/>
              <i n="[Kalender].[K: Måned og år].&amp;[Aug-18]" c="Aug-18" nd="1"/>
              <i n="[Kalender].[K: Måned og år].&amp;[Sep-18]" c="Sep-18" nd="1"/>
              <i n="[Kalender].[K: Måned og år].&amp;[Okt-18]" c="Okt-18" nd="1"/>
              <i n="[Kalender].[K: Måned og år].&amp;[Nov-18]" c="Nov-18" nd="1"/>
              <i n="[Kalender].[K: Måned og år].&amp;[Dec-18]" c="Dec-18" nd="1"/>
              <i n="[Kalender].[K: Måned og år].&amp;[Jan-19]" c="Jan-19" nd="1"/>
              <i n="[Kalender].[K: Måned og år].&amp;[Feb-19]" c="Feb-19" nd="1"/>
              <i n="[Kalender].[K: Måned og år].&amp;[Mar-19]" c="Mar-19" nd="1"/>
              <i n="[Kalender].[K: Måned og år].&amp;[Apr-19]" c="Apr-19" nd="1"/>
              <i n="[Kalender].[K: Måned og år].&amp;[Maj-19]" c="Maj-19" nd="1"/>
              <i n="[Kalender].[K: Måned og år].&amp;[Jun-19]" c="Jun-19" nd="1"/>
              <i n="[Kalender].[K: Måned og år].&amp;[Jul-19]" c="Jul-19" nd="1"/>
              <i n="[Kalender].[K: Måned og år].&amp;[Aug-19]" c="Aug-19" nd="1"/>
              <i n="[Kalender].[K: Måned og år].&amp;[Sep-19]" c="Sep-19" nd="1"/>
              <i n="[Kalender].[K: Måned og år].&amp;[Okt-19]" c="Okt-19" nd="1"/>
              <i n="[Kalender].[K: Måned og år].&amp;[Nov-19]" c="Nov-19" nd="1"/>
              <i n="[Kalender].[K: Måned og år].&amp;[Dec-19]" c="Dec-19" nd="1"/>
              <i n="[Kalender].[K: Måned og år].&amp;[Jan-20]" c="Jan-20" nd="1"/>
              <i n="[Kalender].[K: Måned og år].&amp;[Feb-20]" c="Feb-20" nd="1"/>
              <i n="[Kalender].[K: Måned og år].&amp;[Mar-20]" c="Mar-20" nd="1"/>
              <i n="[Kalender].[K: Måned og år].&amp;[Apr-20]" c="Apr-20" nd="1"/>
              <i n="[Kalender].[K: Måned og år].&amp;[Maj-20]" c="Maj-20" nd="1"/>
              <i n="[Kalender].[K: Måned og år].&amp;[Jun-20]" c="Jun-20" nd="1"/>
              <i n="[Kalender].[K: Måned og år].&amp;[Jul-20]" c="Jul-20" nd="1"/>
              <i n="[Kalender].[K: Måned og år].&amp;[Aug-20]" c="Aug-20" nd="1"/>
              <i n="[Kalender].[K: Måned og år].&amp;[Sep-20]" c="Sep-20" nd="1"/>
              <i n="[Kalender].[K: Måned og år].&amp;[Okt-20]" c="Okt-20" nd="1"/>
              <i n="[Kalender].[K: Måned og år].&amp;[Nov-20]" c="Nov-20" nd="1"/>
              <i n="[Kalender].[K: Måned og år].&amp;[Dec-20]" c="Dec-20" nd="1"/>
              <i n="[Kalender].[K: Måned og år].&amp;[Jan-21]" c="Jan-21" nd="1"/>
              <i n="[Kalender].[K: Måned og år].&amp;[Feb-21]" c="Feb-21" nd="1"/>
              <i n="[Kalender].[K: Måned og år].&amp;[Mar-21]" c="Mar-21" nd="1"/>
              <i n="[Kalender].[K: Måned og år].&amp;[Apr-21]" c="Apr-21" nd="1"/>
              <i n="[Kalender].[K: Måned og år].&amp;[Maj-21]" c="Maj-21" nd="1"/>
              <i n="[Kalender].[K: Måned og år].&amp;[Jun-21]" c="Jun-21" nd="1"/>
              <i n="[Kalender].[K: Måned og år].&amp;[Jul-21]" c="Jul-21" nd="1"/>
              <i n="[Kalender].[K: Måned og år].&amp;[Aug-21]" c="Aug-21" nd="1"/>
              <i n="[Kalender].[K: Måned og år].&amp;[Sep-21]" c="Sep-21" nd="1"/>
              <i n="[Kalender].[K: Måned og år].&amp;[Okt-21]" c="Okt-21" nd="1"/>
              <i n="[Kalender].[K: Måned og år].&amp;[Nov-21]" c="Nov-21" nd="1"/>
              <i n="[Kalender].[K: Måned og år].&amp;[Dec-21]" c="Dec-21" nd="1"/>
              <i n="[Kalender].[K: Måned og år].&amp;[Jan-22]" c="Jan-22" nd="1"/>
              <i n="[Kalender].[K: Måned og år].&amp;[Feb-22]" c="Feb-22" nd="1"/>
              <i n="[Kalender].[K: Måned og år].&amp;[Mar-22]" c="Mar-22" nd="1"/>
              <i n="[Kalender].[K: Måned og år].&amp;[Jul-22]" c="Jul-22" nd="1"/>
              <i n="[Kalender].[K: Måned og år].&amp;[Aug-22]" c="Aug-22" nd="1"/>
              <i n="[Kalender].[K: Måned og år].&amp;[Sep-22]" c="Sep-22" nd="1"/>
              <i n="[Kalender].[K: Måned og år].&amp;[Okt-22]" c="Okt-22" nd="1"/>
              <i n="[Kalender].[K: Måned og år].&amp;[Nov-22]" c="Nov-22" nd="1"/>
              <i n="[Kalender].[K: Måned og år].&amp;[Dec-22]" c="Dec-22" nd="1"/>
              <i n="[Kalender].[K: Måned og år].&amp;[Jan-23]" c="Jan-23" nd="1"/>
              <i n="[Kalender].[K: Måned og år].&amp;[Feb-23]" c="Feb-23" nd="1"/>
              <i n="[Kalender].[K: Måned og år].&amp;[Mar-23]" c="Mar-23" nd="1"/>
              <i n="[Kalender].[K: Måned og år].&amp;[Apr-23]" c="Apr-23" nd="1"/>
              <i n="[Kalender].[K: Måned og år].&amp;[Maj-23]" c="Maj-23" nd="1"/>
              <i n="[Kalender].[K: Måned og år].&amp;[Jun-23]" c="Jun-23" nd="1"/>
              <i n="[Kalender].[K: Måned og år].&amp;[Jul-23]" c="Jul-23" nd="1"/>
              <i n="[Kalender].[K: Måned og år].&amp;[Aug-23]" c="Aug-23" nd="1"/>
              <i n="[Kalender].[K: Måned og år].&amp;[Sep-23]" c="Sep-23" nd="1"/>
              <i n="[Kalender].[K: Måned og år].&amp;[Okt-23]" c="Okt-23" nd="1"/>
              <i n="[Kalender].[K: Måned og år].&amp;[Nov-23]" c="Nov-23" nd="1"/>
              <i n="[Kalender].[K: Måned og år].&amp;[Dec-23]" c="Dec-23" nd="1"/>
              <i n="[Kalender].[K: Måned og år].&amp;[Jan-24]" c="Jan-24" nd="1"/>
              <i n="[Kalender].[K: Måned og år].&amp;[Feb-24]" c="Feb-24" nd="1"/>
              <i n="[Kalender].[K: Måned og år].&amp;[Mar-24]" c="Mar-24" nd="1"/>
              <i n="[Kalender].[K: Måned og år].&amp;[Apr-24]" c="Apr-24" nd="1"/>
              <i n="[Kalender].[K: Måned og år].&amp;[Maj-24]" c="Maj-24" nd="1"/>
              <i n="[Kalender].[K: Måned og år].&amp;[Jun-24]" c="Jun-24" nd="1"/>
              <i n="[Kalender].[K: Måned og år].&amp;[Jul-24]" c="Jul-24" nd="1"/>
              <i n="[Kalender].[K: Måned og år].&amp;[Aug-24]" c="Aug-24" nd="1"/>
              <i n="[Kalender].[K: Måned og år].&amp;[Sep-24]" c="Sep-24" nd="1"/>
              <i n="[Kalender].[K: Måned og år].&amp;[Okt-24]" c="Okt-24" nd="1"/>
              <i n="[Kalender].[K: Måned og år].&amp;[Nov-24]" c="Nov-24" nd="1"/>
              <i n="[Kalender].[K: Måned og år].&amp;[Dec-24]" c="Dec-24" nd="1"/>
              <i n="[Kalender].[K: Måned og år].&amp;[Jan-25]" c="Jan-25" nd="1"/>
              <i n="[Kalender].[K: Måned og år].&amp;[Feb-25]" c="Feb-25" nd="1"/>
              <i n="[Kalender].[K: Måned og år].&amp;[Mar-25]" c="Mar-25" nd="1"/>
              <i n="[Kalender].[K: Måned og år].&amp;[Apr-25]" c="Apr-25" nd="1"/>
              <i n="[Kalender].[K: Måned og år].&amp;[Maj-25]" c="Maj-25" nd="1"/>
              <i n="[Kalender].[K: Måned og år].&amp;[Jun-25]" c="Jun-25" nd="1"/>
              <i n="[Kalender].[K: Måned og år].&amp;[Jul-25]" c="Jul-25" nd="1"/>
              <i n="[Kalender].[K: Måned og år].&amp;[Aug-25]" c="Aug-25" nd="1"/>
              <i n="[Kalender].[K: Måned og år].&amp;[Sep-25]" c="Sep-25" nd="1"/>
              <i n="[Kalender].[K: Måned og år].&amp;[Okt-25]" c="Okt-25" nd="1"/>
              <i n="[Kalender].[K: Måned og år].&amp;[Nov-25]" c="Nov-25" nd="1"/>
              <i n="[Kalender].[K: Måned og år].&amp;[Dec-25]" c="Dec-25" nd="1"/>
              <i n="[Kalender].[K: Måned og år].&amp;[Jan-26]" c="Jan-26" nd="1"/>
              <i n="[Kalender].[K: Måned og år].&amp;[Feb-26]" c="Feb-26" nd="1"/>
              <i n="[Kalender].[K: Måned og år].&amp;[Mar-26]" c="Mar-26" nd="1"/>
              <i n="[Kalender].[K: Måned og år].&amp;[Apr-26]" c="Apr-26" nd="1"/>
              <i n="[Kalender].[K: Måned og år].&amp;[Maj-26]" c="Maj-26" nd="1"/>
              <i n="[Kalender].[K: Måned og år].&amp;[Jun-26]" c="Jun-26" nd="1"/>
              <i n="[Kalender].[K: Måned og år].&amp;[Jul-26]" c="Jul-26" nd="1"/>
              <i n="[Kalender].[K: Måned og år].&amp;[Aug-26]" c="Aug-26" nd="1"/>
              <i n="[Kalender].[K: Måned og år].&amp;[Sep-26]" c="Sep-26" nd="1"/>
              <i n="[Kalender].[K: Måned og år].&amp;[Okt-26]" c="Okt-26" nd="1"/>
              <i n="[Kalender].[K: Måned og år].&amp;[Nov-26]" c="Nov-26" nd="1"/>
              <i n="[Kalender].[K: Måned og år].&amp;[Dec-26]" c="Dec-26" nd="1"/>
              <i n="[Kalender].[K: Måned og år].&amp;[Jan-27]" c="Jan-27" nd="1"/>
              <i n="[Kalender].[K: Måned og år].&amp;[Feb-27]" c="Feb-27" nd="1"/>
              <i n="[Kalender].[K: Måned og år].&amp;[Mar-27]" c="Mar-27" nd="1"/>
              <i n="[Kalender].[K: Måned og år].&amp;[Apr-27]" c="Apr-27" nd="1"/>
              <i n="[Kalender].[K: Måned og år].&amp;[Maj-27]" c="Maj-27" nd="1"/>
              <i n="[Kalender].[K: Måned og år].&amp;[Jun-27]" c="Jun-27" nd="1"/>
              <i n="[Kalender].[K: Måned og år].&amp;[Jul-27]" c="Jul-27" nd="1"/>
              <i n="[Kalender].[K: Måned og år].&amp;[Aug-27]" c="Aug-27" nd="1"/>
              <i n="[Kalender].[K: Måned og år].&amp;[Sep-27]" c="Sep-27" nd="1"/>
              <i n="[Kalender].[K: Måned og år].&amp;[Okt-27]" c="Okt-27" nd="1"/>
              <i n="[Kalender].[K: Måned og år].&amp;[Nov-27]" c="Nov-27" nd="1"/>
              <i n="[Kalender].[K: Måned og år].&amp;[Dec-27]" c="Dec-27" nd="1"/>
              <i n="[Kalender].[K: Måned og år].&amp;[Jan-28]" c="Jan-28" nd="1"/>
              <i n="[Kalender].[K: Måned og år].&amp;[Feb-28]" c="Feb-28" nd="1"/>
              <i n="[Kalender].[K: Måned og år].&amp;[Mar-28]" c="Mar-28" nd="1"/>
              <i n="[Kalender].[K: Måned og år].&amp;[Apr-28]" c="Apr-28" nd="1"/>
              <i n="[Kalender].[K: Måned og år].&amp;[Maj-28]" c="Maj-28" nd="1"/>
              <i n="[Kalender].[K: Måned og år].&amp;[Jun-28]" c="Jun-28" nd="1"/>
              <i n="[Kalender].[K: Måned og år].&amp;[Jul-28]" c="Jul-28" nd="1"/>
              <i n="[Kalender].[K: Måned og år].&amp;[Aug-28]" c="Aug-28" nd="1"/>
              <i n="[Kalender].[K: Måned og år].&amp;[Sep-28]" c="Sep-28" nd="1"/>
              <i n="[Kalender].[K: Måned og år].&amp;[Okt-28]" c="Okt-28" nd="1"/>
              <i n="[Kalender].[K: Måned og år].&amp;[Nov-28]" c="Nov-28" nd="1"/>
              <i n="[Kalender].[K: Måned og år].&amp;[Dec-28]" c="Dec-28" nd="1"/>
              <i n="[Kalender].[K: Måned og år].&amp;[Jan-29]" c="Jan-29" nd="1"/>
              <i n="[Kalender].[K: Måned og år].&amp;[Feb-29]" c="Feb-29" nd="1"/>
              <i n="[Kalender].[K: Måned og år].&amp;[Mar-29]" c="Mar-29" nd="1"/>
              <i n="[Kalender].[K: Måned og år].&amp;[Apr-29]" c="Apr-29" nd="1"/>
              <i n="[Kalender].[K: Måned og år].&amp;[Maj-29]" c="Maj-29" nd="1"/>
              <i n="[Kalender].[K: Måned og år].&amp;[Jun-29]" c="Jun-29" nd="1"/>
              <i n="[Kalender].[K: Måned og år].&amp;[Jul-29]" c="Jul-29" nd="1"/>
              <i n="[Kalender].[K: Måned og år].&amp;[Aug-29]" c="Aug-29" nd="1"/>
              <i n="[Kalender].[K: Måned og år].&amp;[Sep-29]" c="Sep-29" nd="1"/>
              <i n="[Kalender].[K: Måned og år].&amp;[Okt-29]" c="Okt-29" nd="1"/>
              <i n="[Kalender].[K: Måned og år].&amp;[Nov-29]" c="Nov-29" nd="1"/>
              <i n="[Kalender].[K: Måned og år].&amp;[Dec-29]" c="Dec-29" nd="1"/>
              <i n="[Kalender].[K: Måned og år].&amp;[Jan-30]" c="Jan-30" nd="1"/>
              <i n="[Kalender].[K: Måned og år].&amp;[Feb-30]" c="Feb-30" nd="1"/>
              <i n="[Kalender].[K: Måned og år].&amp;[Mar-30]" c="Mar-30" nd="1"/>
              <i n="[Kalender].[K: Måned og år].&amp;[Apr-30]" c="Apr-30" nd="1"/>
              <i n="[Kalender].[K: Måned og år].&amp;[Maj-30]" c="Maj-30" nd="1"/>
              <i n="[Kalender].[K: Måned og år].&amp;[Jun-30]" c="Jun-30" nd="1"/>
              <i n="[Kalender].[K: Måned og år].&amp;[Jul-30]" c="Jul-30" nd="1"/>
              <i n="[Kalender].[K: Måned og år].&amp;[Aug-30]" c="Aug-30" nd="1"/>
              <i n="[Kalender].[K: Måned og år].&amp;[Sep-30]" c="Sep-30" nd="1"/>
              <i n="[Kalender].[K: Måned og år].&amp;[Okt-30]" c="Okt-30" nd="1"/>
              <i n="[Kalender].[K: Måned og år].&amp;[Nov-30]" c="Nov-30" nd="1"/>
              <i n="[Kalender].[K: Måned og år].&amp;[Dec-30]" c="Dec-30" nd="1"/>
              <i n="[Kalender].[K: Måned og år].&amp;[Jan-31]" c="Jan-31" nd="1"/>
              <i n="[Kalender].[K: Måned og år].&amp;[Feb-31]" c="Feb-31" nd="1"/>
              <i n="[Kalender].[K: Måned og år].&amp;[Mar-31]" c="Mar-31" nd="1"/>
              <i n="[Kalender].[K: Måned og år].&amp;[Apr-31]" c="Apr-31" nd="1"/>
              <i n="[Kalender].[K: Måned og år].&amp;[Maj-31]" c="Maj-31" nd="1"/>
              <i n="[Kalender].[K: Måned og år].&amp;[Jun-31]" c="Jun-31" nd="1"/>
              <i n="[Kalender].[K: Måned og år].&amp;[Jul-31]" c="Jul-31" nd="1"/>
              <i n="[Kalender].[K: Måned og år].&amp;[Aug-31]" c="Aug-31" nd="1"/>
              <i n="[Kalender].[K: Måned og år].&amp;[Sep-31]" c="Sep-31" nd="1"/>
              <i n="[Kalender].[K: Måned og år].&amp;[Okt-31]" c="Okt-31" nd="1"/>
              <i n="[Kalender].[K: Måned og år].&amp;[Nov-31]" c="Nov-31" nd="1"/>
              <i n="[Kalender].[K: Måned og år].&amp;[Dec-31]" c="Dec-31" nd="1"/>
              <i n="[Kalender].[K: Måned og år].&amp;[Jan-32]" c="Jan-32" nd="1"/>
              <i n="[Kalender].[K: Måned og år].&amp;[Feb-32]" c="Feb-32" nd="1"/>
              <i n="[Kalender].[K: Måned og år].&amp;[Mar-32]" c="Mar-32" nd="1"/>
              <i n="[Kalender].[K: Måned og år].&amp;[Apr-32]" c="Apr-32" nd="1"/>
              <i n="[Kalender].[K: Måned og år].&amp;[Maj-32]" c="Maj-32" nd="1"/>
              <i n="[Kalender].[K: Måned og år].&amp;[Jun-32]" c="Jun-32" nd="1"/>
              <i n="[Kalender].[K: Måned og år].&amp;[Jul-32]" c="Jul-32" nd="1"/>
              <i n="[Kalender].[K: Måned og år].&amp;[Aug-32]" c="Aug-32" nd="1"/>
              <i n="[Kalender].[K: Måned og år].&amp;[Sep-32]" c="Sep-32" nd="1"/>
              <i n="[Kalender].[K: Måned og år].&amp;[Okt-32]" c="Okt-32" nd="1"/>
              <i n="[Kalender].[K: Måned og år].&amp;[Nov-32]" c="Nov-32" nd="1"/>
              <i n="[Kalender].[K: Måned og år].&amp;[Dec-32]" c="Dec-32" nd="1"/>
              <i n="[Kalender].[K: Måned og år].&amp;[Jan-33]" c="Jan-33" nd="1"/>
              <i n="[Kalender].[K: Måned og år].&amp;[Feb-33]" c="Feb-33" nd="1"/>
              <i n="[Kalender].[K: Måned og år].&amp;[Mar-33]" c="Mar-33" nd="1"/>
              <i n="[Kalender].[K: Måned og år].&amp;[Apr-33]" c="Apr-33" nd="1"/>
              <i n="[Kalender].[K: Måned og år].&amp;[Maj-33]" c="Maj-33" nd="1"/>
              <i n="[Kalender].[K: Måned og år].&amp;[Jun-33]" c="Jun-33" nd="1"/>
              <i n="[Kalender].[K: Måned og år].&amp;[Jul-33]" c="Jul-33" nd="1"/>
              <i n="[Kalender].[K: Måned og år].&amp;[Aug-33]" c="Aug-33" nd="1"/>
              <i n="[Kalender].[K: Måned og år].&amp;[Sep-33]" c="Sep-33" nd="1"/>
              <i n="[Kalender].[K: Måned og år].&amp;[Okt-33]" c="Okt-33" nd="1"/>
              <i n="[Kalender].[K: Måned og år].&amp;[Nov-33]" c="Nov-33" nd="1"/>
              <i n="[Kalender].[K: Måned og år].&amp;[Dec-33]" c="Dec-33" nd="1"/>
              <i n="[Kalender].[K: Måned og år].&amp;[Jan-34]" c="Jan-34" nd="1"/>
              <i n="[Kalender].[K: Måned og år].&amp;[Feb-34]" c="Feb-34" nd="1"/>
              <i n="[Kalender].[K: Måned og år].&amp;[Mar-34]" c="Mar-34" nd="1"/>
              <i n="[Kalender].[K: Måned og år].&amp;[Apr-34]" c="Apr-34" nd="1"/>
              <i n="[Kalender].[K: Måned og år].&amp;[Maj-34]" c="Maj-34" nd="1"/>
              <i n="[Kalender].[K: Måned og år].&amp;[Jun-34]" c="Jun-34" nd="1"/>
              <i n="[Kalender].[K: Måned og år].&amp;[Jul-34]" c="Jul-34" nd="1"/>
              <i n="[Kalender].[K: Måned og år].&amp;[Aug-34]" c="Aug-34" nd="1"/>
              <i n="[Kalender].[K: Måned og år].&amp;[Sep-34]" c="Sep-34" nd="1"/>
              <i n="[Kalender].[K: Måned og år].&amp;[Okt-34]" c="Okt-34" nd="1"/>
              <i n="[Kalender].[K: Måned og år].&amp;[Nov-34]" c="Nov-34" nd="1"/>
              <i n="[Kalender].[K: Måned og år].&amp;[Dec-34]" c="Dec-34" nd="1"/>
              <i n="[Kalender].[K: Måned og år].&amp;[Jan-35]" c="Jan-35" nd="1"/>
              <i n="[Kalender].[K: Måned og år].&amp;[Feb-35]" c="Feb-35" nd="1"/>
              <i n="[Kalender].[K: Måned og år].&amp;[Mar-35]" c="Mar-35" nd="1"/>
              <i n="[Kalender].[K: Måned og år].&amp;[Apr-35]" c="Apr-35" nd="1"/>
              <i n="[Kalender].[K: Måned og år].&amp;[Maj-35]" c="Maj-35" nd="1"/>
              <i n="[Kalender].[K: Måned og år].&amp;[Jun-35]" c="Jun-35" nd="1"/>
              <i n="[Kalender].[K: Måned og år].&amp;[Jul-35]" c="Jul-35" nd="1"/>
              <i n="[Kalender].[K: Måned og år].&amp;[Aug-35]" c="Aug-35" nd="1"/>
              <i n="[Kalender].[K: Måned og år].&amp;[Sep-35]" c="Sep-35" nd="1"/>
              <i n="[Kalender].[K: Måned og år].&amp;[Okt-35]" c="Okt-35" nd="1"/>
              <i n="[Kalender].[K: Måned og år].&amp;[Nov-35]" c="Nov-35" nd="1"/>
              <i n="[Kalender].[K: Måned og år].&amp;[Dec-35]" c="Dec-35" nd="1"/>
              <i n="[Kalender].[K: Måned og år].&amp;[Jan-36]" c="Jan-36" nd="1"/>
              <i n="[Kalender].[K: Måned og år].&amp;[Feb-36]" c="Feb-36" nd="1"/>
              <i n="[Kalender].[K: Måned og år].&amp;[Mar-36]" c="Mar-36" nd="1"/>
              <i n="[Kalender].[K: Måned og år].&amp;[Apr-36]" c="Apr-36" nd="1"/>
              <i n="[Kalender].[K: Måned og år].&amp;[Maj-36]" c="Maj-36" nd="1"/>
              <i n="[Kalender].[K: Måned og år].&amp;[Jun-36]" c="Jun-36" nd="1"/>
              <i n="[Kalender].[K: Måned og år].&amp;[Jul-36]" c="Jul-36" nd="1"/>
              <i n="[Kalender].[K: Måned og år].&amp;[Aug-36]" c="Aug-36" nd="1"/>
              <i n="[Kalender].[K: Måned og år].&amp;[Sep-36]" c="Sep-36" nd="1"/>
              <i n="[Kalender].[K: Måned og år].&amp;[Okt-36]" c="Okt-36" nd="1"/>
              <i n="[Kalender].[K: Måned og år].&amp;[Nov-36]" c="Nov-36" nd="1"/>
              <i n="[Kalender].[K: Måned og år].&amp;[Dec-36]" c="Dec-36" nd="1"/>
              <i n="[Kalender].[K: Måned og år].&amp;[Jan-37]" c="Jan-37" nd="1"/>
              <i n="[Kalender].[K: Måned og år].&amp;[Feb-37]" c="Feb-37" nd="1"/>
              <i n="[Kalender].[K: Måned og år].&amp;[Mar-37]" c="Mar-37" nd="1"/>
              <i n="[Kalender].[K: Måned og år].&amp;[Apr-37]" c="Apr-37" nd="1"/>
              <i n="[Kalender].[K: Måned og år].&amp;[Maj-37]" c="Maj-37" nd="1"/>
              <i n="[Kalender].[K: Måned og år].&amp;[Jun-37]" c="Jun-37" nd="1"/>
              <i n="[Kalender].[K: Måned og år].&amp;[Jul-37]" c="Jul-37" nd="1"/>
              <i n="[Kalender].[K: Måned og år].&amp;[Aug-37]" c="Aug-37" nd="1"/>
              <i n="[Kalender].[K: Måned og år].&amp;[Sep-37]" c="Sep-37" nd="1"/>
              <i n="[Kalender].[K: Måned og år].&amp;[Okt-37]" c="Okt-37" nd="1"/>
              <i n="[Kalender].[K: Måned og år].&amp;[Nov-37]" c="Nov-37" nd="1"/>
              <i n="[Kalender].[K: Måned og år].&amp;[Dec-37]" c="Dec-37" nd="1"/>
              <i n="[Kalender].[K: Måned og år].&amp;[Jan-38]" c="Jan-38" nd="1"/>
              <i n="[Kalender].[K: Måned og år].&amp;[Feb-38]" c="Feb-38" nd="1"/>
              <i n="[Kalender].[K: Måned og år].&amp;[Mar-38]" c="Mar-38" nd="1"/>
              <i n="[Kalender].[K: Måned og år].&amp;[Apr-38]" c="Apr-38" nd="1"/>
              <i n="[Kalender].[K: Måned og år].&amp;[Maj-38]" c="Maj-38" nd="1"/>
              <i n="[Kalender].[K: Måned og år].&amp;[Jun-38]" c="Jun-38" nd="1"/>
              <i n="[Kalender].[K: Måned og år].&amp;[Jul-38]" c="Jul-38" nd="1"/>
              <i n="[Kalender].[K: Måned og år].&amp;[Aug-38]" c="Aug-38" nd="1"/>
              <i n="[Kalender].[K: Måned og år].&amp;[Sep-38]" c="Sep-38" nd="1"/>
              <i n="[Kalender].[K: Måned og år].&amp;[Okt-38]" c="Okt-38" nd="1"/>
              <i n="[Kalender].[K: Måned og år].&amp;[Nov-38]" c="Nov-38" nd="1"/>
              <i n="[Kalender].[K: Måned og år].&amp;[Dec-38]" c="Dec-38" nd="1"/>
              <i n="[Kalender].[K: Måned og år].&amp;[Jan-39]" c="Jan-39" nd="1"/>
              <i n="[Kalender].[K: Måned og år].&amp;[Feb-39]" c="Feb-39" nd="1"/>
              <i n="[Kalender].[K: Måned og år].&amp;[Mar-39]" c="Mar-39" nd="1"/>
              <i n="[Kalender].[K: Måned og år].&amp;[Apr-39]" c="Apr-39" nd="1"/>
              <i n="[Kalender].[K: Måned og år].&amp;[Maj-39]" c="Maj-39" nd="1"/>
              <i n="[Kalender].[K: Måned og år].&amp;[Jun-39]" c="Jun-39" nd="1"/>
              <i n="[Kalender].[K: Måned og år].&amp;[Jul-39]" c="Jul-39" nd="1"/>
              <i n="[Kalender].[K: Måned og år].&amp;[Aug-39]" c="Aug-39" nd="1"/>
              <i n="[Kalender].[K: Måned og år].&amp;[Sep-39]" c="Sep-39" nd="1"/>
              <i n="[Kalender].[K: Måned og år].&amp;[Okt-39]" c="Okt-39" nd="1"/>
              <i n="[Kalender].[K: Måned og år].&amp;[Nov-39]" c="Nov-39" nd="1"/>
              <i n="[Kalender].[K: Måned og år].&amp;[Dec-39]" c="Dec-39" nd="1"/>
              <i n="[Kalender].[K: Måned og år].&amp;[Jan-40]" c="Jan-40" nd="1"/>
              <i n="[Kalender].[K: Måned og år].&amp;[Feb-40]" c="Feb-40" nd="1"/>
              <i n="[Kalender].[K: Måned og år].&amp;[Mar-40]" c="Mar-40" nd="1"/>
              <i n="[Kalender].[K: Måned og år].&amp;[Apr-40]" c="Apr-40" nd="1"/>
              <i n="[Kalender].[K: Måned og år].&amp;[Maj-40]" c="Maj-40" nd="1"/>
              <i n="[Kalender].[K: Måned og år].&amp;[Jun-40]" c="Jun-40" nd="1"/>
              <i n="[Kalender].[K: Måned og år].&amp;[Jul-40]" c="Jul-40" nd="1"/>
              <i n="[Kalender].[K: Måned og år].&amp;[Aug-40]" c="Aug-40" nd="1"/>
              <i n="[Kalender].[K: Måned og år].&amp;[Sep-40]" c="Sep-40" nd="1"/>
              <i n="[Kalender].[K: Måned og år].&amp;[Okt-40]" c="Okt-40" nd="1"/>
              <i n="[Kalender].[K: Måned og år].&amp;[Nov-40]" c="Nov-40" nd="1"/>
              <i n="[Kalender].[K: Måned og år].&amp;[Dec-40]" c="Dec-40" nd="1"/>
              <i n="[Kalender].[K: Måned og år].&amp;[Jan-41]" c="Jan-41" nd="1"/>
              <i n="[Kalender].[K: Måned og år].&amp;[Feb-41]" c="Feb-41" nd="1"/>
              <i n="[Kalender].[K: Måned og år].&amp;[Mar-41]" c="Mar-41" nd="1"/>
              <i n="[Kalender].[K: Måned og år].&amp;[Apr-41]" c="Apr-41" nd="1"/>
              <i n="[Kalender].[K: Måned og år].&amp;[Maj-41]" c="Maj-41" nd="1"/>
              <i n="[Kalender].[K: Måned og år].&amp;[Jun-41]" c="Jun-41" nd="1"/>
              <i n="[Kalender].[K: Måned og år].&amp;[Jul-41]" c="Jul-41" nd="1"/>
              <i n="[Kalender].[K: Måned og år].&amp;[Aug-41]" c="Aug-41" nd="1"/>
              <i n="[Kalender].[K: Måned og år].&amp;[Sep-41]" c="Sep-41" nd="1"/>
              <i n="[Kalender].[K: Måned og år].&amp;[Okt-41]" c="Okt-41" nd="1"/>
              <i n="[Kalender].[K: Måned og år].&amp;[Nov-41]" c="Nov-41" nd="1"/>
              <i n="[Kalender].[K: Måned og år].&amp;[Dec-41]" c="Dec-41" nd="1"/>
              <i n="[Kalender].[K: Måned og år].&amp;[Jan-42]" c="Jan-42" nd="1"/>
              <i n="[Kalender].[K: Måned og år].&amp;[Feb-42]" c="Feb-42" nd="1"/>
              <i n="[Kalender].[K: Måned og år].&amp;[Mar-42]" c="Mar-42" nd="1"/>
              <i n="[Kalender].[K: Måned og år].&amp;[Apr-42]" c="Apr-42" nd="1"/>
              <i n="[Kalender].[K: Måned og år].&amp;[Maj-42]" c="Maj-42" nd="1"/>
              <i n="[Kalender].[K: Måned og år].&amp;[Jun-42]" c="Jun-42" nd="1"/>
              <i n="[Kalender].[K: Måned og år].&amp;[Jul-42]" c="Jul-42" nd="1"/>
              <i n="[Kalender].[K: Måned og år].&amp;[Aug-42]" c="Aug-42" nd="1"/>
              <i n="[Kalender].[K: Måned og år].&amp;[Sep-42]" c="Sep-42" nd="1"/>
              <i n="[Kalender].[K: Måned og år].&amp;[Okt-42]" c="Okt-42" nd="1"/>
              <i n="[Kalender].[K: Måned og år].&amp;[Nov-42]" c="Nov-42" nd="1"/>
              <i n="[Kalender].[K: Måned og år].&amp;[Dec-42]" c="Dec-42" nd="1"/>
              <i n="[Kalender].[K: Måned og år].&amp;[Jan-43]" c="Jan-43" nd="1"/>
              <i n="[Kalender].[K: Måned og år].&amp;[Feb-43]" c="Feb-43" nd="1"/>
              <i n="[Kalender].[K: Måned og år].&amp;[Mar-43]" c="Mar-43" nd="1"/>
              <i n="[Kalender].[K: Måned og år].&amp;[Apr-43]" c="Apr-43" nd="1"/>
              <i n="[Kalender].[K: Måned og år].&amp;[Maj-43]" c="Maj-43" nd="1"/>
              <i n="[Kalender].[K: Måned og år].&amp;[Jun-43]" c="Jun-43" nd="1"/>
              <i n="[Kalender].[K: Måned og år].&amp;[Jul-43]" c="Jul-43" nd="1"/>
              <i n="[Kalender].[K: Måned og år].&amp;[Aug-43]" c="Aug-43" nd="1"/>
              <i n="[Kalender].[K: Måned og år].&amp;[Sep-43]" c="Sep-43" nd="1"/>
              <i n="[Kalender].[K: Måned og år].&amp;[Okt-43]" c="Okt-43" nd="1"/>
              <i n="[Kalender].[K: Måned og år].&amp;[Nov-43]" c="Nov-43" nd="1"/>
              <i n="[Kalender].[K: Måned og år].&amp;[Dec-43]" c="Dec-43" nd="1"/>
              <i n="[Kalender].[K: Måned og år].&amp;[Jan-44]" c="Jan-44" nd="1"/>
              <i n="[Kalender].[K: Måned og år].&amp;[Feb-44]" c="Feb-44" nd="1"/>
              <i n="[Kalender].[K: Måned og år].&amp;[Mar-44]" c="Mar-44" nd="1"/>
              <i n="[Kalender].[K: Måned og år].&amp;[Apr-44]" c="Apr-44" nd="1"/>
              <i n="[Kalender].[K: Måned og år].&amp;[Maj-44]" c="Maj-44" nd="1"/>
              <i n="[Kalender].[K: Måned og år].&amp;[Jun-44]" c="Jun-44" nd="1"/>
              <i n="[Kalender].[K: Måned og år].&amp;[Jul-44]" c="Jul-44" nd="1"/>
              <i n="[Kalender].[K: Måned og år].&amp;[Aug-44]" c="Aug-44" nd="1"/>
              <i n="[Kalender].[K: Måned og år].&amp;[Sep-44]" c="Sep-44" nd="1"/>
              <i n="[Kalender].[K: Måned og år].&amp;[Okt-44]" c="Okt-44" nd="1"/>
              <i n="[Kalender].[K: Måned og år].&amp;[Nov-44]" c="Nov-44" nd="1"/>
              <i n="[Kalender].[K: Måned og år].&amp;[Dec-44]" c="Dec-44" nd="1"/>
              <i n="[Kalender].[K: Måned og år].&amp;[Jan-45]" c="Jan-45" nd="1"/>
              <i n="[Kalender].[K: Måned og år].&amp;[Feb-45]" c="Feb-45" nd="1"/>
              <i n="[Kalender].[K: Måned og år].&amp;[Mar-45]" c="Mar-45" nd="1"/>
              <i n="[Kalender].[K: Måned og år].&amp;[Apr-45]" c="Apr-45" nd="1"/>
              <i n="[Kalender].[K: Måned og år].&amp;[Maj-45]" c="Maj-45" nd="1"/>
              <i n="[Kalender].[K: Måned og år].&amp;[Jun-45]" c="Jun-45" nd="1"/>
              <i n="[Kalender].[K: Måned og år].&amp;[Jul-45]" c="Jul-45" nd="1"/>
              <i n="[Kalender].[K: Måned og år].&amp;[Aug-45]" c="Aug-45" nd="1"/>
              <i n="[Kalender].[K: Måned og år].&amp;[Sep-45]" c="Sep-45" nd="1"/>
              <i n="[Kalender].[K: Måned og år].&amp;[Okt-45]" c="Okt-45" nd="1"/>
              <i n="[Kalender].[K: Måned og år].&amp;[Nov-45]" c="Nov-45" nd="1"/>
              <i n="[Kalender].[K: Måned og år].&amp;[Dec-45]" c="Dec-45" nd="1"/>
              <i n="[Kalender].[K: Måned og år].&amp;[Jan-46]" c="Jan-46" nd="1"/>
              <i n="[Kalender].[K: Måned og år].&amp;[Feb-46]" c="Feb-46" nd="1"/>
              <i n="[Kalender].[K: Måned og år].&amp;[Mar-46]" c="Mar-46" nd="1"/>
              <i n="[Kalender].[K: Måned og år].&amp;[Apr-46]" c="Apr-46" nd="1"/>
              <i n="[Kalender].[K: Måned og år].&amp;[Maj-46]" c="Maj-46" nd="1"/>
              <i n="[Kalender].[K: Måned og år].&amp;[Jun-46]" c="Jun-46" nd="1"/>
              <i n="[Kalender].[K: Måned og år].&amp;[Jul-46]" c="Jul-46" nd="1"/>
              <i n="[Kalender].[K: Måned og år].&amp;[Aug-46]" c="Aug-46" nd="1"/>
              <i n="[Kalender].[K: Måned og år].&amp;[Sep-46]" c="Sep-46" nd="1"/>
              <i n="[Kalender].[K: Måned og år].&amp;[Okt-46]" c="Okt-46" nd="1"/>
              <i n="[Kalender].[K: Måned og år].&amp;[Nov-46]" c="Nov-46" nd="1"/>
              <i n="[Kalender].[K: Måned og år].&amp;[Dec-46]" c="Dec-46" nd="1"/>
              <i n="[Kalender].[K: Måned og år].&amp;[Jan-47]" c="Jan-47" nd="1"/>
              <i n="[Kalender].[K: Måned og år].&amp;[Feb-47]" c="Feb-47" nd="1"/>
              <i n="[Kalender].[K: Måned og år].&amp;[Mar-47]" c="Mar-47" nd="1"/>
              <i n="[Kalender].[K: Måned og år].&amp;[Apr-47]" c="Apr-47" nd="1"/>
              <i n="[Kalender].[K: Måned og år].&amp;[Maj-47]" c="Maj-47" nd="1"/>
              <i n="[Kalender].[K: Måned og år].&amp;[Jun-47]" c="Jun-47" nd="1"/>
              <i n="[Kalender].[K: Måned og år].&amp;[Jul-47]" c="Jul-47" nd="1"/>
              <i n="[Kalender].[K: Måned og år].&amp;[Aug-47]" c="Aug-47" nd="1"/>
              <i n="[Kalender].[K: Måned og år].&amp;[Sep-47]" c="Sep-47" nd="1"/>
              <i n="[Kalender].[K: Måned og år].&amp;[Okt-47]" c="Okt-47" nd="1"/>
              <i n="[Kalender].[K: Måned og år].&amp;[Nov-47]" c="Nov-47" nd="1"/>
              <i n="[Kalender].[K: Måned og år].&amp;[Dec-47]" c="Dec-47" nd="1"/>
              <i n="[Kalender].[K: Måned og år].&amp;[Jan-48]" c="Jan-48" nd="1"/>
              <i n="[Kalender].[K: Måned og år].&amp;[Feb-48]" c="Feb-48" nd="1"/>
              <i n="[Kalender].[K: Måned og år].&amp;[Mar-48]" c="Mar-48" nd="1"/>
              <i n="[Kalender].[K: Måned og år].&amp;[Apr-48]" c="Apr-48" nd="1"/>
              <i n="[Kalender].[K: Måned og år].&amp;[Maj-48]" c="Maj-48" nd="1"/>
              <i n="[Kalender].[K: Måned og år].&amp;[Jun-48]" c="Jun-48" nd="1"/>
              <i n="[Kalender].[K: Måned og år].&amp;[Jul-48]" c="Jul-48" nd="1"/>
              <i n="[Kalender].[K: Måned og år].&amp;[Aug-48]" c="Aug-48" nd="1"/>
              <i n="[Kalender].[K: Måned og år].&amp;[Sep-48]" c="Sep-48" nd="1"/>
              <i n="[Kalender].[K: Måned og år].&amp;[Okt-48]" c="Okt-48" nd="1"/>
              <i n="[Kalender].[K: Måned og år].&amp;[Nov-48]" c="Nov-48" nd="1"/>
              <i n="[Kalender].[K: Måned og år].&amp;[Dec-48]" c="Dec-48" nd="1"/>
              <i n="[Kalender].[K: Måned og år].&amp;[Jan-49]" c="Jan-49" nd="1"/>
              <i n="[Kalender].[K: Måned og år].&amp;[Feb-49]" c="Feb-49" nd="1"/>
              <i n="[Kalender].[K: Måned og år].&amp;[Mar-49]" c="Mar-49" nd="1"/>
              <i n="[Kalender].[K: Måned og år].&amp;[Apr-49]" c="Apr-49" nd="1"/>
              <i n="[Kalender].[K: Måned og år].&amp;[Maj-49]" c="Maj-49" nd="1"/>
              <i n="[Kalender].[K: Måned og år].&amp;[Jun-49]" c="Jun-49" nd="1"/>
              <i n="[Kalender].[K: Måned og år].&amp;[Jul-49]" c="Jul-49" nd="1"/>
              <i n="[Kalender].[K: Måned og år].&amp;[Aug-49]" c="Aug-49" nd="1"/>
              <i n="[Kalender].[K: Måned og år].&amp;[Sep-49]" c="Sep-49" nd="1"/>
              <i n="[Kalender].[K: Måned og år].&amp;[Okt-49]" c="Okt-49" nd="1"/>
              <i n="[Kalender].[K: Måned og år].&amp;[Nov-49]" c="Nov-49" nd="1"/>
              <i n="[Kalender].[K: Måned og år].&amp;[Dec-49]" c="Dec-49" nd="1"/>
            </range>
          </ranges>
        </level>
      </levels>
      <selections count="1">
        <selection n="[Kalender].[K: Måned og år].[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13"/>
        <pivotTable tabId="4294967295" name="PivotChartTable9"/>
      </x15:slicerCachePivotTables>
    </x:ext>
    <x:ext xmlns:x15="http://schemas.microsoft.com/office/spreadsheetml/2010/11/main" uri="{470722E0-AACD-4C17-9CDC-17EF765DBC7E}">
      <x15:slicerCacheHideItemsWithNoData count="1">
        <x15:slicerCacheOlapLevelName uniqueName="[Kalender].[K: Måned og år].[K: Måned og år]" count="381"/>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Uge1" xr10:uid="{99845463-D29F-4FB4-9F14-8B6B12243959}" sourceName="[Kalender].[K: Uge og år]">
  <pivotTables>
    <pivotTable tabId="42" name="PT - Tilmeldinger"/>
    <pivotTable tabId="42" name="PT - KPI"/>
  </pivotTables>
  <data>
    <olap pivotCacheId="932217471">
      <levels count="2">
        <level uniqueName="[Kalender].[K: Uge og år].[(All)]" sourceCaption="(All)" count="0"/>
        <level uniqueName="[Kalender].[K: Uge og år].[K: Uge og år]" sourceCaption="K: Uge og år" count="1673">
          <ranges>
            <range startItem="0">
              <i n="[Kalender].[K: Uge og år].&amp;[Uge 16 2022]" c="Uge 16 2022"/>
              <i n="[Kalender].[K: Uge og år].&amp;[Uge 17 2022]" c="Uge 17 2022"/>
              <i n="[Kalender].[K: Uge og år].&amp;[Uge 18 2022]" c="Uge 18 2022"/>
              <i n="[Kalender].[K: Uge og år].&amp;[Uge 19 2022]" c="Uge 19 2022"/>
              <i n="[Kalender].[K: Uge og år].&amp;[Uge 20 2022]" c="Uge 20 2022"/>
              <i n="[Kalender].[K: Uge og år].&amp;[Uge 21 2022]" c="Uge 21 2022"/>
              <i n="[Kalender].[K: Uge og år].&amp;[Uge 22 2022]" c="Uge 22 2022"/>
              <i n="[Kalender].[K: Uge og år].&amp;[Uge 23 2022]" c="Uge 23 2022"/>
              <i n="[Kalender].[K: Uge og år].&amp;[Uge 24 2022]" c="Uge 24 2022"/>
              <i n="[Kalender].[K: Uge og år].&amp;[Uge 25 2022]" c="Uge 25 2022"/>
              <i n="[Kalender].[K: Uge og år].&amp;[Uge 2 2018]" c="Uge 2 2018" nd="1"/>
              <i n="[Kalender].[K: Uge og år].&amp;[Uge 5 2018]" c="Uge 5 2018" nd="1"/>
              <i n="[Kalender].[K: Uge og år].&amp;[Uge 6 2018]" c="Uge 6 2018" nd="1"/>
              <i n="[Kalender].[K: Uge og år].&amp;[Uge 7 2018]" c="Uge 7 2018" nd="1"/>
              <i n="[Kalender].[K: Uge og år].&amp;[Uge 8 2018]" c="Uge 8 2018" nd="1"/>
              <i n="[Kalender].[K: Uge og år].&amp;[Uge 9 2018]" c="Uge 9 2018" nd="1"/>
              <i n="[Kalender].[K: Uge og år].&amp;[Uge 10 2018]" c="Uge 10 2018" nd="1"/>
              <i n="[Kalender].[K: Uge og år].&amp;[Uge 11 2018]" c="Uge 11 2018" nd="1"/>
              <i n="[Kalender].[K: Uge og år].&amp;[Uge 12 2018]" c="Uge 12 2018" nd="1"/>
              <i n="[Kalender].[K: Uge og år].&amp;[Uge 13 2018]" c="Uge 13 2018" nd="1"/>
              <i n="[Kalender].[K: Uge og år].&amp;[Uge 14 2018]" c="Uge 14 2018" nd="1"/>
              <i n="[Kalender].[K: Uge og år].&amp;[Uge 15 2018]" c="Uge 15 2018" nd="1"/>
              <i n="[Kalender].[K: Uge og år].&amp;[Uge 16 2018]" c="Uge 16 2018" nd="1"/>
              <i n="[Kalender].[K: Uge og år].&amp;[Uge 17 2018]" c="Uge 17 2018" nd="1"/>
              <i n="[Kalender].[K: Uge og år].&amp;[Uge 18 2018]" c="Uge 18 2018" nd="1"/>
              <i n="[Kalender].[K: Uge og år].&amp;[Uge 19 2018]" c="Uge 19 2018" nd="1"/>
              <i n="[Kalender].[K: Uge og år].&amp;[Uge 20 2018]" c="Uge 20 2018" nd="1"/>
              <i n="[Kalender].[K: Uge og år].&amp;[Uge 21 2018]" c="Uge 21 2018" nd="1"/>
              <i n="[Kalender].[K: Uge og år].&amp;[Uge 22 2018]" c="Uge 22 2018" nd="1"/>
              <i n="[Kalender].[K: Uge og år].&amp;[Uge 23 2018]" c="Uge 23 2018" nd="1"/>
              <i n="[Kalender].[K: Uge og år].&amp;[Uge 24 2018]" c="Uge 24 2018" nd="1"/>
              <i n="[Kalender].[K: Uge og år].&amp;[Uge 25 2018]" c="Uge 25 2018" nd="1"/>
              <i n="[Kalender].[K: Uge og år].&amp;[Uge 26 2018]" c="Uge 26 2018" nd="1"/>
              <i n="[Kalender].[K: Uge og år].&amp;[Uge 27 2018]" c="Uge 27 2018" nd="1"/>
              <i n="[Kalender].[K: Uge og år].&amp;[Uge 28 2018]" c="Uge 28 2018" nd="1"/>
              <i n="[Kalender].[K: Uge og år].&amp;[Uge 3 2018]" c="Uge 3 2018" nd="1"/>
              <i n="[Kalender].[K: Uge og år].&amp;[Uge 4 2018]" c="Uge 4 2018" nd="1"/>
              <i n="[Kalender].[K: Uge og år].&amp;[Uge 29 2018]" c="Uge 29 2018" nd="1"/>
              <i n="[Kalender].[K: Uge og år].&amp;[Uge 30 2018]" c="Uge 30 2018" nd="1"/>
              <i n="[Kalender].[K: Uge og år].&amp;[Uge 31 2018]" c="Uge 31 2018" nd="1"/>
              <i n="[Kalender].[K: Uge og år].&amp;[Uge 32 2018]" c="Uge 32 2018" nd="1"/>
              <i n="[Kalender].[K: Uge og år].&amp;[Uge 33 2018]" c="Uge 33 2018" nd="1"/>
              <i n="[Kalender].[K: Uge og år].&amp;[Uge 34 2018]" c="Uge 34 2018" nd="1"/>
              <i n="[Kalender].[K: Uge og år].&amp;[Uge 35 2018]" c="Uge 35 2018" nd="1"/>
              <i n="[Kalender].[K: Uge og år].&amp;[Uge 36 2018]" c="Uge 36 2018" nd="1"/>
              <i n="[Kalender].[K: Uge og år].&amp;[Uge 37 2018]" c="Uge 37 2018" nd="1"/>
              <i n="[Kalender].[K: Uge og år].&amp;[Uge 38 2018]" c="Uge 38 2018" nd="1"/>
              <i n="[Kalender].[K: Uge og år].&amp;[Uge 39 2018]" c="Uge 39 2018" nd="1"/>
              <i n="[Kalender].[K: Uge og år].&amp;[Uge 40 2018]" c="Uge 40 2018" nd="1"/>
              <i n="[Kalender].[K: Uge og år].&amp;[Uge 41 2018]" c="Uge 41 2018" nd="1"/>
              <i n="[Kalender].[K: Uge og år].&amp;[Uge 42 2018]" c="Uge 42 2018" nd="1"/>
              <i n="[Kalender].[K: Uge og år].&amp;[Uge 43 2018]" c="Uge 43 2018" nd="1"/>
              <i n="[Kalender].[K: Uge og år].&amp;[Uge 44 2018]" c="Uge 44 2018" nd="1"/>
              <i n="[Kalender].[K: Uge og år].&amp;[Uge 45 2018]" c="Uge 45 2018" nd="1"/>
              <i n="[Kalender].[K: Uge og år].&amp;[Uge 46 2018]" c="Uge 46 2018" nd="1"/>
              <i n="[Kalender].[K: Uge og år].&amp;[Uge 47 2018]" c="Uge 47 2018" nd="1"/>
              <i n="[Kalender].[K: Uge og år].&amp;[Uge 48 2018]" c="Uge 48 2018" nd="1"/>
              <i n="[Kalender].[K: Uge og år].&amp;[Uge 49 2018]" c="Uge 49 2018" nd="1"/>
              <i n="[Kalender].[K: Uge og år].&amp;[Uge 50 2018]" c="Uge 50 2018" nd="1"/>
              <i n="[Kalender].[K: Uge og år].&amp;[Uge 51 2018]" c="Uge 51 2018" nd="1"/>
              <i n="[Kalender].[K: Uge og år].&amp;[Uge 52 2018]" c="Uge 52 2018" nd="1"/>
              <i n="[Kalender].[K: Uge og år].&amp;[Uge 1 2018]" c="Uge 1 2018" nd="1"/>
              <i n="[Kalender].[K: Uge og år].&amp;[Uge 53 2018]" c="Uge 53 2018" nd="1"/>
              <i n="[Kalender].[K: Uge og år].&amp;[Uge 26 2019]" c="Uge 26 2019" nd="1"/>
              <i n="[Kalender].[K: Uge og år].&amp;[Uge 53 2019]" c="Uge 53 2019" nd="1"/>
              <i n="[Kalender].[K: Uge og år].&amp;[Uge 2 2019]" c="Uge 2 2019" nd="1"/>
              <i n="[Kalender].[K: Uge og år].&amp;[Uge 3 2019]" c="Uge 3 2019" nd="1"/>
              <i n="[Kalender].[K: Uge og år].&amp;[Uge 4 2019]" c="Uge 4 2019" nd="1"/>
              <i n="[Kalender].[K: Uge og år].&amp;[Uge 5 2019]" c="Uge 5 2019" nd="1"/>
              <i n="[Kalender].[K: Uge og år].&amp;[Uge 6 2019]" c="Uge 6 2019" nd="1"/>
              <i n="[Kalender].[K: Uge og år].&amp;[Uge 7 2019]" c="Uge 7 2019" nd="1"/>
              <i n="[Kalender].[K: Uge og år].&amp;[Uge 8 2019]" c="Uge 8 2019" nd="1"/>
              <i n="[Kalender].[K: Uge og år].&amp;[Uge 9 2019]" c="Uge 9 2019" nd="1"/>
              <i n="[Kalender].[K: Uge og år].&amp;[Uge 10 2019]" c="Uge 10 2019" nd="1"/>
              <i n="[Kalender].[K: Uge og år].&amp;[Uge 11 2019]" c="Uge 11 2019" nd="1"/>
              <i n="[Kalender].[K: Uge og år].&amp;[Uge 12 2019]" c="Uge 12 2019" nd="1"/>
              <i n="[Kalender].[K: Uge og år].&amp;[Uge 13 2019]" c="Uge 13 2019" nd="1"/>
              <i n="[Kalender].[K: Uge og år].&amp;[Uge 14 2019]" c="Uge 14 2019" nd="1"/>
              <i n="[Kalender].[K: Uge og år].&amp;[Uge 15 2019]" c="Uge 15 2019" nd="1"/>
              <i n="[Kalender].[K: Uge og år].&amp;[Uge 16 2019]" c="Uge 16 2019" nd="1"/>
              <i n="[Kalender].[K: Uge og år].&amp;[Uge 17 2019]" c="Uge 17 2019" nd="1"/>
              <i n="[Kalender].[K: Uge og år].&amp;[Uge 18 2019]" c="Uge 18 2019" nd="1"/>
              <i n="[Kalender].[K: Uge og år].&amp;[Uge 19 2019]" c="Uge 19 2019" nd="1"/>
              <i n="[Kalender].[K: Uge og år].&amp;[Uge 20 2019]" c="Uge 20 2019" nd="1"/>
              <i n="[Kalender].[K: Uge og år].&amp;[Uge 21 2019]" c="Uge 21 2019" nd="1"/>
              <i n="[Kalender].[K: Uge og år].&amp;[Uge 22 2019]" c="Uge 22 2019" nd="1"/>
              <i n="[Kalender].[K: Uge og år].&amp;[Uge 23 2019]" c="Uge 23 2019" nd="1"/>
              <i n="[Kalender].[K: Uge og år].&amp;[Uge 24 2019]" c="Uge 24 2019" nd="1"/>
              <i n="[Kalender].[K: Uge og år].&amp;[Uge 25 2019]" c="Uge 25 2019" nd="1"/>
              <i n="[Kalender].[K: Uge og år].&amp;[Uge 27 2019]" c="Uge 27 2019" nd="1"/>
              <i n="[Kalender].[K: Uge og år].&amp;[Uge 28 2019]" c="Uge 28 2019" nd="1"/>
              <i n="[Kalender].[K: Uge og år].&amp;[Uge 29 2019]" c="Uge 29 2019" nd="1"/>
              <i n="[Kalender].[K: Uge og år].&amp;[Uge 30 2019]" c="Uge 30 2019" nd="1"/>
              <i n="[Kalender].[K: Uge og år].&amp;[Uge 31 2019]" c="Uge 31 2019" nd="1"/>
              <i n="[Kalender].[K: Uge og år].&amp;[Uge 32 2019]" c="Uge 32 2019" nd="1"/>
              <i n="[Kalender].[K: Uge og år].&amp;[Uge 33 2019]" c="Uge 33 2019" nd="1"/>
              <i n="[Kalender].[K: Uge og år].&amp;[Uge 34 2019]" c="Uge 34 2019" nd="1"/>
              <i n="[Kalender].[K: Uge og år].&amp;[Uge 35 2019]" c="Uge 35 2019" nd="1"/>
              <i n="[Kalender].[K: Uge og år].&amp;[Uge 36 2019]" c="Uge 36 2019" nd="1"/>
              <i n="[Kalender].[K: Uge og år].&amp;[Uge 37 2019]" c="Uge 37 2019" nd="1"/>
              <i n="[Kalender].[K: Uge og år].&amp;[Uge 38 2019]" c="Uge 38 2019" nd="1"/>
              <i n="[Kalender].[K: Uge og år].&amp;[Uge 39 2019]" c="Uge 39 2019" nd="1"/>
              <i n="[Kalender].[K: Uge og år].&amp;[Uge 40 2019]" c="Uge 40 2019" nd="1"/>
              <i n="[Kalender].[K: Uge og år].&amp;[Uge 41 2019]" c="Uge 41 2019" nd="1"/>
              <i n="[Kalender].[K: Uge og år].&amp;[Uge 42 2019]" c="Uge 42 2019" nd="1"/>
              <i n="[Kalender].[K: Uge og år].&amp;[Uge 43 2019]" c="Uge 43 2019" nd="1"/>
              <i n="[Kalender].[K: Uge og år].&amp;[Uge 44 2019]" c="Uge 44 2019" nd="1"/>
              <i n="[Kalender].[K: Uge og år].&amp;[Uge 45 2019]" c="Uge 45 2019" nd="1"/>
              <i n="[Kalender].[K: Uge og år].&amp;[Uge 46 2019]" c="Uge 46 2019" nd="1"/>
              <i n="[Kalender].[K: Uge og år].&amp;[Uge 47 2019]" c="Uge 47 2019" nd="1"/>
              <i n="[Kalender].[K: Uge og år].&amp;[Uge 48 2019]" c="Uge 48 2019" nd="1"/>
              <i n="[Kalender].[K: Uge og år].&amp;[Uge 49 2019]" c="Uge 49 2019" nd="1"/>
              <i n="[Kalender].[K: Uge og år].&amp;[Uge 50 2019]" c="Uge 50 2019" nd="1"/>
              <i n="[Kalender].[K: Uge og år].&amp;[Uge 51 2019]" c="Uge 51 2019" nd="1"/>
              <i n="[Kalender].[K: Uge og år].&amp;[Uge 52 2019]" c="Uge 52 2019" nd="1"/>
              <i n="[Kalender].[K: Uge og år].&amp;[Uge 27 2020]" c="Uge 27 2020" nd="1"/>
              <i n="[Kalender].[K: Uge og år].&amp;[Uge 2 2020]" c="Uge 2 2020" nd="1"/>
              <i n="[Kalender].[K: Uge og år].&amp;[Uge 3 2020]" c="Uge 3 2020" nd="1"/>
              <i n="[Kalender].[K: Uge og år].&amp;[Uge 4 2020]" c="Uge 4 2020" nd="1"/>
              <i n="[Kalender].[K: Uge og år].&amp;[Uge 5 2020]" c="Uge 5 2020" nd="1"/>
              <i n="[Kalender].[K: Uge og år].&amp;[Uge 6 2020]" c="Uge 6 2020" nd="1"/>
              <i n="[Kalender].[K: Uge og år].&amp;[Uge 7 2020]" c="Uge 7 2020" nd="1"/>
              <i n="[Kalender].[K: Uge og år].&amp;[Uge 8 2020]" c="Uge 8 2020" nd="1"/>
              <i n="[Kalender].[K: Uge og år].&amp;[Uge 9 2020]" c="Uge 9 2020" nd="1"/>
              <i n="[Kalender].[K: Uge og år].&amp;[Uge 10 2020]" c="Uge 10 2020" nd="1"/>
              <i n="[Kalender].[K: Uge og år].&amp;[Uge 11 2020]" c="Uge 11 2020" nd="1"/>
              <i n="[Kalender].[K: Uge og år].&amp;[Uge 12 2020]" c="Uge 12 2020" nd="1"/>
              <i n="[Kalender].[K: Uge og år].&amp;[Uge 13 2020]" c="Uge 13 2020" nd="1"/>
              <i n="[Kalender].[K: Uge og år].&amp;[Uge 14 2020]" c="Uge 14 2020" nd="1"/>
              <i n="[Kalender].[K: Uge og år].&amp;[Uge 15 2020]" c="Uge 15 2020" nd="1"/>
              <i n="[Kalender].[K: Uge og år].&amp;[Uge 16 2020]" c="Uge 16 2020" nd="1"/>
              <i n="[Kalender].[K: Uge og år].&amp;[Uge 17 2020]" c="Uge 17 2020" nd="1"/>
              <i n="[Kalender].[K: Uge og år].&amp;[Uge 18 2020]" c="Uge 18 2020" nd="1"/>
              <i n="[Kalender].[K: Uge og år].&amp;[Uge 19 2020]" c="Uge 19 2020" nd="1"/>
              <i n="[Kalender].[K: Uge og år].&amp;[Uge 20 2020]" c="Uge 20 2020" nd="1"/>
              <i n="[Kalender].[K: Uge og år].&amp;[Uge 21 2020]" c="Uge 21 2020" nd="1"/>
              <i n="[Kalender].[K: Uge og år].&amp;[Uge 22 2020]" c="Uge 22 2020" nd="1"/>
              <i n="[Kalender].[K: Uge og år].&amp;[Uge 23 2020]" c="Uge 23 2020" nd="1"/>
              <i n="[Kalender].[K: Uge og år].&amp;[Uge 24 2020]" c="Uge 24 2020" nd="1"/>
              <i n="[Kalender].[K: Uge og år].&amp;[Uge 25 2020]" c="Uge 25 2020" nd="1"/>
              <i n="[Kalender].[K: Uge og år].&amp;[Uge 26 2020]" c="Uge 26 2020" nd="1"/>
              <i n="[Kalender].[K: Uge og år].&amp;[Uge 53 2020]" c="Uge 53 2020" nd="1"/>
              <i n="[Kalender].[K: Uge og år].&amp;[Uge 28 2020]" c="Uge 28 2020" nd="1"/>
              <i n="[Kalender].[K: Uge og år].&amp;[Uge 29 2020]" c="Uge 29 2020" nd="1"/>
              <i n="[Kalender].[K: Uge og år].&amp;[Uge 30 2020]" c="Uge 30 2020" nd="1"/>
              <i n="[Kalender].[K: Uge og år].&amp;[Uge 31 2020]" c="Uge 31 2020" nd="1"/>
              <i n="[Kalender].[K: Uge og år].&amp;[Uge 32 2020]" c="Uge 32 2020" nd="1"/>
              <i n="[Kalender].[K: Uge og år].&amp;[Uge 33 2020]" c="Uge 33 2020" nd="1"/>
              <i n="[Kalender].[K: Uge og år].&amp;[Uge 34 2020]" c="Uge 34 2020" nd="1"/>
              <i n="[Kalender].[K: Uge og år].&amp;[Uge 35 2020]" c="Uge 35 2020" nd="1"/>
              <i n="[Kalender].[K: Uge og år].&amp;[Uge 36 2020]" c="Uge 36 2020" nd="1"/>
              <i n="[Kalender].[K: Uge og år].&amp;[Uge 37 2020]" c="Uge 37 2020" nd="1"/>
              <i n="[Kalender].[K: Uge og år].&amp;[Uge 38 2020]" c="Uge 38 2020" nd="1"/>
              <i n="[Kalender].[K: Uge og år].&amp;[Uge 39 2020]" c="Uge 39 2020" nd="1"/>
              <i n="[Kalender].[K: Uge og år].&amp;[Uge 40 2020]" c="Uge 40 2020" nd="1"/>
              <i n="[Kalender].[K: Uge og år].&amp;[Uge 41 2020]" c="Uge 41 2020" nd="1"/>
              <i n="[Kalender].[K: Uge og år].&amp;[Uge 42 2020]" c="Uge 42 2020" nd="1"/>
              <i n="[Kalender].[K: Uge og år].&amp;[Uge 43 2020]" c="Uge 43 2020" nd="1"/>
              <i n="[Kalender].[K: Uge og år].&amp;[Uge 44 2020]" c="Uge 44 2020" nd="1"/>
              <i n="[Kalender].[K: Uge og år].&amp;[Uge 45 2020]" c="Uge 45 2020" nd="1"/>
              <i n="[Kalender].[K: Uge og år].&amp;[Uge 46 2020]" c="Uge 46 2020" nd="1"/>
              <i n="[Kalender].[K: Uge og år].&amp;[Uge 47 2020]" c="Uge 47 2020" nd="1"/>
              <i n="[Kalender].[K: Uge og år].&amp;[Uge 48 2020]" c="Uge 48 2020" nd="1"/>
              <i n="[Kalender].[K: Uge og år].&amp;[Uge 49 2020]" c="Uge 49 2020" nd="1"/>
              <i n="[Kalender].[K: Uge og år].&amp;[Uge 50 2020]" c="Uge 50 2020" nd="1"/>
              <i n="[Kalender].[K: Uge og år].&amp;[Uge 51 2020]" c="Uge 51 2020" nd="1"/>
              <i n="[Kalender].[K: Uge og år].&amp;[Uge 52 2020]" c="Uge 52 2020" nd="1"/>
              <i n="[Kalender].[K: Uge og år].&amp;[Uge 27 2021]" c="Uge 27 2021" nd="1"/>
              <i n="[Kalender].[K: Uge og år].&amp;[Uge 53 2021]" c="Uge 53 2021" nd="1"/>
              <i n="[Kalender].[K: Uge og år].&amp;[Uge 2 2021]" c="Uge 2 2021" nd="1"/>
              <i n="[Kalender].[K: Uge og år].&amp;[Uge 3 2021]" c="Uge 3 2021" nd="1"/>
              <i n="[Kalender].[K: Uge og år].&amp;[Uge 4 2021]" c="Uge 4 2021" nd="1"/>
              <i n="[Kalender].[K: Uge og år].&amp;[Uge 5 2021]" c="Uge 5 2021" nd="1"/>
              <i n="[Kalender].[K: Uge og år].&amp;[Uge 6 2021]" c="Uge 6 2021" nd="1"/>
              <i n="[Kalender].[K: Uge og år].&amp;[Uge 7 2021]" c="Uge 7 2021" nd="1"/>
              <i n="[Kalender].[K: Uge og år].&amp;[Uge 8 2021]" c="Uge 8 2021" nd="1"/>
              <i n="[Kalender].[K: Uge og år].&amp;[Uge 9 2021]" c="Uge 9 2021" nd="1"/>
              <i n="[Kalender].[K: Uge og år].&amp;[Uge 10 2021]" c="Uge 10 2021" nd="1"/>
              <i n="[Kalender].[K: Uge og år].&amp;[Uge 11 2021]" c="Uge 11 2021" nd="1"/>
              <i n="[Kalender].[K: Uge og år].&amp;[Uge 12 2021]" c="Uge 12 2021" nd="1"/>
              <i n="[Kalender].[K: Uge og år].&amp;[Uge 13 2021]" c="Uge 13 2021" nd="1"/>
              <i n="[Kalender].[K: Uge og år].&amp;[Uge 14 2021]" c="Uge 14 2021" nd="1"/>
              <i n="[Kalender].[K: Uge og år].&amp;[Uge 15 2021]" c="Uge 15 2021" nd="1"/>
              <i n="[Kalender].[K: Uge og år].&amp;[Uge 16 2021]" c="Uge 16 2021" nd="1"/>
              <i n="[Kalender].[K: Uge og år].&amp;[Uge 17 2021]" c="Uge 17 2021" nd="1"/>
              <i n="[Kalender].[K: Uge og år].&amp;[Uge 18 2021]" c="Uge 18 2021" nd="1"/>
              <i n="[Kalender].[K: Uge og år].&amp;[Uge 19 2021]" c="Uge 19 2021" nd="1"/>
              <i n="[Kalender].[K: Uge og år].&amp;[Uge 20 2021]" c="Uge 20 2021" nd="1"/>
              <i n="[Kalender].[K: Uge og år].&amp;[Uge 21 2021]" c="Uge 21 2021" nd="1"/>
              <i n="[Kalender].[K: Uge og år].&amp;[Uge 22 2021]" c="Uge 22 2021" nd="1"/>
              <i n="[Kalender].[K: Uge og år].&amp;[Uge 23 2021]" c="Uge 23 2021" nd="1"/>
              <i n="[Kalender].[K: Uge og år].&amp;[Uge 24 2021]" c="Uge 24 2021" nd="1"/>
              <i n="[Kalender].[K: Uge og år].&amp;[Uge 25 2021]" c="Uge 25 2021" nd="1"/>
              <i n="[Kalender].[K: Uge og år].&amp;[Uge 26 2021]" c="Uge 26 2021" nd="1"/>
              <i n="[Kalender].[K: Uge og år].&amp;[Uge 28 2021]" c="Uge 28 2021" nd="1"/>
              <i n="[Kalender].[K: Uge og år].&amp;[Uge 29 2021]" c="Uge 29 2021" nd="1"/>
              <i n="[Kalender].[K: Uge og år].&amp;[Uge 30 2021]" c="Uge 30 2021" nd="1"/>
              <i n="[Kalender].[K: Uge og år].&amp;[Uge 31 2021]" c="Uge 31 2021" nd="1"/>
              <i n="[Kalender].[K: Uge og år].&amp;[Uge 32 2021]" c="Uge 32 2021" nd="1"/>
              <i n="[Kalender].[K: Uge og år].&amp;[Uge 33 2021]" c="Uge 33 2021" nd="1"/>
              <i n="[Kalender].[K: Uge og år].&amp;[Uge 34 2021]" c="Uge 34 2021" nd="1"/>
              <i n="[Kalender].[K: Uge og år].&amp;[Uge 35 2021]" c="Uge 35 2021" nd="1"/>
              <i n="[Kalender].[K: Uge og år].&amp;[Uge 36 2021]" c="Uge 36 2021" nd="1"/>
              <i n="[Kalender].[K: Uge og år].&amp;[Uge 37 2021]" c="Uge 37 2021" nd="1"/>
              <i n="[Kalender].[K: Uge og år].&amp;[Uge 38 2021]" c="Uge 38 2021" nd="1"/>
              <i n="[Kalender].[K: Uge og år].&amp;[Uge 39 2021]" c="Uge 39 2021" nd="1"/>
              <i n="[Kalender].[K: Uge og år].&amp;[Uge 40 2021]" c="Uge 40 2021" nd="1"/>
              <i n="[Kalender].[K: Uge og år].&amp;[Uge 41 2021]" c="Uge 41 2021" nd="1"/>
              <i n="[Kalender].[K: Uge og år].&amp;[Uge 42 2021]" c="Uge 42 2021" nd="1"/>
              <i n="[Kalender].[K: Uge og år].&amp;[Uge 43 2021]" c="Uge 43 2021" nd="1"/>
              <i n="[Kalender].[K: Uge og år].&amp;[Uge 44 2021]" c="Uge 44 2021" nd="1"/>
              <i n="[Kalender].[K: Uge og år].&amp;[Uge 45 2021]" c="Uge 45 2021" nd="1"/>
              <i n="[Kalender].[K: Uge og år].&amp;[Uge 46 2021]" c="Uge 46 2021" nd="1"/>
              <i n="[Kalender].[K: Uge og år].&amp;[Uge 47 2021]" c="Uge 47 2021" nd="1"/>
              <i n="[Kalender].[K: Uge og år].&amp;[Uge 48 2021]" c="Uge 48 2021" nd="1"/>
              <i n="[Kalender].[K: Uge og år].&amp;[Uge 49 2021]" c="Uge 49 2021" nd="1"/>
              <i n="[Kalender].[K: Uge og år].&amp;[Uge 50 2021]" c="Uge 50 2021" nd="1"/>
              <i n="[Kalender].[K: Uge og år].&amp;[Uge 51 2021]" c="Uge 51 2021" nd="1"/>
              <i n="[Kalender].[K: Uge og år].&amp;[Uge 52 2021]" c="Uge 52 2021" nd="1"/>
              <i n="[Kalender].[K: Uge og år].&amp;[Uge 53 2022]" c="Uge 53 2022" nd="1"/>
              <i n="[Kalender].[K: Uge og år].&amp;[Uge 4 2022]" c="Uge 4 2022" nd="1"/>
              <i n="[Kalender].[K: Uge og år].&amp;[Uge 5 2022]" c="Uge 5 2022" nd="1"/>
              <i n="[Kalender].[K: Uge og år].&amp;[Uge 6 2022]" c="Uge 6 2022" nd="1"/>
              <i n="[Kalender].[K: Uge og år].&amp;[Uge 7 2022]" c="Uge 7 2022" nd="1"/>
              <i n="[Kalender].[K: Uge og år].&amp;[Uge 8 2022]" c="Uge 8 2022" nd="1"/>
              <i n="[Kalender].[K: Uge og år].&amp;[Uge 9 2022]" c="Uge 9 2022" nd="1"/>
              <i n="[Kalender].[K: Uge og år].&amp;[Uge 10 2022]" c="Uge 10 2022" nd="1"/>
              <i n="[Kalender].[K: Uge og år].&amp;[Uge 11 2022]" c="Uge 11 2022" nd="1"/>
              <i n="[Kalender].[K: Uge og år].&amp;[Uge 12 2022]" c="Uge 12 2022" nd="1"/>
              <i n="[Kalender].[K: Uge og år].&amp;[Uge 13 2022]" c="Uge 13 2022" nd="1"/>
              <i n="[Kalender].[K: Uge og år].&amp;[Uge 14 2022]" c="Uge 14 2022" nd="1"/>
              <i n="[Kalender].[K: Uge og år].&amp;[Uge 15 2022]" c="Uge 15 2022" nd="1"/>
              <i n="[Kalender].[K: Uge og år].&amp;[Uge 26 2022]" c="Uge 26 2022" nd="1"/>
              <i n="[Kalender].[K: Uge og år].&amp;[Uge 27 2022]" c="Uge 27 2022" nd="1"/>
              <i n="[Kalender].[K: Uge og år].&amp;[Uge 28 2022]" c="Uge 28 2022" nd="1"/>
              <i n="[Kalender].[K: Uge og år].&amp;[Uge 3 2022]" c="Uge 3 2022" nd="1"/>
              <i n="[Kalender].[K: Uge og år].&amp;[Uge 29 2022]" c="Uge 29 2022" nd="1"/>
              <i n="[Kalender].[K: Uge og år].&amp;[Uge 30 2022]" c="Uge 30 2022" nd="1"/>
              <i n="[Kalender].[K: Uge og år].&amp;[Uge 31 2022]" c="Uge 31 2022" nd="1"/>
              <i n="[Kalender].[K: Uge og år].&amp;[Uge 32 2022]" c="Uge 32 2022" nd="1"/>
              <i n="[Kalender].[K: Uge og år].&amp;[Uge 33 2022]" c="Uge 33 2022" nd="1"/>
              <i n="[Kalender].[K: Uge og år].&amp;[Uge 34 2022]" c="Uge 34 2022" nd="1"/>
              <i n="[Kalender].[K: Uge og år].&amp;[Uge 35 2022]" c="Uge 35 2022" nd="1"/>
              <i n="[Kalender].[K: Uge og år].&amp;[Uge 36 2022]" c="Uge 36 2022" nd="1"/>
              <i n="[Kalender].[K: Uge og år].&amp;[Uge 37 2022]" c="Uge 37 2022" nd="1"/>
              <i n="[Kalender].[K: Uge og år].&amp;[Uge 38 2022]" c="Uge 38 2022" nd="1"/>
              <i n="[Kalender].[K: Uge og år].&amp;[Uge 39 2022]" c="Uge 39 2022" nd="1"/>
              <i n="[Kalender].[K: Uge og år].&amp;[Uge 40 2022]" c="Uge 40 2022" nd="1"/>
              <i n="[Kalender].[K: Uge og år].&amp;[Uge 41 2022]" c="Uge 41 2022" nd="1"/>
              <i n="[Kalender].[K: Uge og år].&amp;[Uge 42 2022]" c="Uge 42 2022" nd="1"/>
              <i n="[Kalender].[K: Uge og år].&amp;[Uge 43 2022]" c="Uge 43 2022" nd="1"/>
              <i n="[Kalender].[K: Uge og år].&amp;[Uge 44 2022]" c="Uge 44 2022" nd="1"/>
              <i n="[Kalender].[K: Uge og år].&amp;[Uge 45 2022]" c="Uge 45 2022" nd="1"/>
              <i n="[Kalender].[K: Uge og år].&amp;[Uge 46 2022]" c="Uge 46 2022" nd="1"/>
              <i n="[Kalender].[K: Uge og år].&amp;[Uge 47 2022]" c="Uge 47 2022" nd="1"/>
              <i n="[Kalender].[K: Uge og år].&amp;[Uge 48 2022]" c="Uge 48 2022" nd="1"/>
              <i n="[Kalender].[K: Uge og år].&amp;[Uge 49 2022]" c="Uge 49 2022" nd="1"/>
              <i n="[Kalender].[K: Uge og år].&amp;[Uge 50 2022]" c="Uge 50 2022" nd="1"/>
              <i n="[Kalender].[K: Uge og år].&amp;[Uge 51 2022]" c="Uge 51 2022" nd="1"/>
              <i n="[Kalender].[K: Uge og år].&amp;[Uge 52 2022]" c="Uge 52 2022" nd="1"/>
              <i n="[Kalender].[K: Uge og år].&amp;[Uge 2 2022]" c="Uge 2 2022" nd="1"/>
              <i n="[Kalender].[K: Uge og år].&amp;[Uge 52 2023]" c="Uge 52 2023" nd="1"/>
              <i n="[Kalender].[K: Uge og år].&amp;[Uge 27 2023]" c="Uge 27 2023" nd="1"/>
              <i n="[Kalender].[K: Uge og år].&amp;[Uge 53 2023]" c="Uge 53 2023" nd="1"/>
              <i n="[Kalender].[K: Uge og år].&amp;[Uge 1 2023]" c="Uge 1 2023" nd="1"/>
              <i n="[Kalender].[K: Uge og år].&amp;[Uge 2 2023]" c="Uge 2 2023" nd="1"/>
              <i n="[Kalender].[K: Uge og år].&amp;[Uge 3 2023]" c="Uge 3 2023" nd="1"/>
              <i n="[Kalender].[K: Uge og år].&amp;[Uge 4 2023]" c="Uge 4 2023" nd="1"/>
              <i n="[Kalender].[K: Uge og år].&amp;[Uge 5 2023]" c="Uge 5 2023" nd="1"/>
              <i n="[Kalender].[K: Uge og år].&amp;[Uge 6 2023]" c="Uge 6 2023" nd="1"/>
              <i n="[Kalender].[K: Uge og år].&amp;[Uge 7 2023]" c="Uge 7 2023" nd="1"/>
              <i n="[Kalender].[K: Uge og år].&amp;[Uge 8 2023]" c="Uge 8 2023" nd="1"/>
              <i n="[Kalender].[K: Uge og år].&amp;[Uge 9 2023]" c="Uge 9 2023" nd="1"/>
              <i n="[Kalender].[K: Uge og år].&amp;[Uge 10 2023]" c="Uge 10 2023" nd="1"/>
              <i n="[Kalender].[K: Uge og år].&amp;[Uge 11 2023]" c="Uge 11 2023" nd="1"/>
              <i n="[Kalender].[K: Uge og år].&amp;[Uge 12 2023]" c="Uge 12 2023" nd="1"/>
              <i n="[Kalender].[K: Uge og år].&amp;[Uge 13 2023]" c="Uge 13 2023" nd="1"/>
              <i n="[Kalender].[K: Uge og år].&amp;[Uge 14 2023]" c="Uge 14 2023" nd="1"/>
              <i n="[Kalender].[K: Uge og år].&amp;[Uge 15 2023]" c="Uge 15 2023" nd="1"/>
              <i n="[Kalender].[K: Uge og år].&amp;[Uge 16 2023]" c="Uge 16 2023" nd="1"/>
              <i n="[Kalender].[K: Uge og år].&amp;[Uge 17 2023]" c="Uge 17 2023" nd="1"/>
              <i n="[Kalender].[K: Uge og år].&amp;[Uge 18 2023]" c="Uge 18 2023" nd="1"/>
              <i n="[Kalender].[K: Uge og år].&amp;[Uge 19 2023]" c="Uge 19 2023" nd="1"/>
              <i n="[Kalender].[K: Uge og år].&amp;[Uge 20 2023]" c="Uge 20 2023" nd="1"/>
              <i n="[Kalender].[K: Uge og år].&amp;[Uge 21 2023]" c="Uge 21 2023" nd="1"/>
              <i n="[Kalender].[K: Uge og år].&amp;[Uge 22 2023]" c="Uge 22 2023" nd="1"/>
              <i n="[Kalender].[K: Uge og år].&amp;[Uge 23 2023]" c="Uge 23 2023" nd="1"/>
              <i n="[Kalender].[K: Uge og år].&amp;[Uge 24 2023]" c="Uge 24 2023" nd="1"/>
              <i n="[Kalender].[K: Uge og år].&amp;[Uge 25 2023]" c="Uge 25 2023" nd="1"/>
              <i n="[Kalender].[K: Uge og år].&amp;[Uge 26 2023]" c="Uge 26 2023" nd="1"/>
              <i n="[Kalender].[K: Uge og år].&amp;[Uge 28 2023]" c="Uge 28 2023" nd="1"/>
              <i n="[Kalender].[K: Uge og år].&amp;[Uge 29 2023]" c="Uge 29 2023" nd="1"/>
              <i n="[Kalender].[K: Uge og år].&amp;[Uge 30 2023]" c="Uge 30 2023" nd="1"/>
              <i n="[Kalender].[K: Uge og år].&amp;[Uge 31 2023]" c="Uge 31 2023" nd="1"/>
              <i n="[Kalender].[K: Uge og år].&amp;[Uge 32 2023]" c="Uge 32 2023" nd="1"/>
              <i n="[Kalender].[K: Uge og år].&amp;[Uge 33 2023]" c="Uge 33 2023" nd="1"/>
              <i n="[Kalender].[K: Uge og år].&amp;[Uge 34 2023]" c="Uge 34 2023" nd="1"/>
              <i n="[Kalender].[K: Uge og år].&amp;[Uge 35 2023]" c="Uge 35 2023" nd="1"/>
              <i n="[Kalender].[K: Uge og år].&amp;[Uge 36 2023]" c="Uge 36 2023" nd="1"/>
              <i n="[Kalender].[K: Uge og år].&amp;[Uge 37 2023]" c="Uge 37 2023" nd="1"/>
              <i n="[Kalender].[K: Uge og år].&amp;[Uge 38 2023]" c="Uge 38 2023" nd="1"/>
              <i n="[Kalender].[K: Uge og år].&amp;[Uge 39 2023]" c="Uge 39 2023" nd="1"/>
              <i n="[Kalender].[K: Uge og år].&amp;[Uge 40 2023]" c="Uge 40 2023" nd="1"/>
              <i n="[Kalender].[K: Uge og år].&amp;[Uge 41 2023]" c="Uge 41 2023" nd="1"/>
              <i n="[Kalender].[K: Uge og år].&amp;[Uge 42 2023]" c="Uge 42 2023" nd="1"/>
              <i n="[Kalender].[K: Uge og år].&amp;[Uge 43 2023]" c="Uge 43 2023" nd="1"/>
              <i n="[Kalender].[K: Uge og år].&amp;[Uge 44 2023]" c="Uge 44 2023" nd="1"/>
              <i n="[Kalender].[K: Uge og år].&amp;[Uge 45 2023]" c="Uge 45 2023" nd="1"/>
              <i n="[Kalender].[K: Uge og år].&amp;[Uge 46 2023]" c="Uge 46 2023" nd="1"/>
              <i n="[Kalender].[K: Uge og år].&amp;[Uge 47 2023]" c="Uge 47 2023" nd="1"/>
              <i n="[Kalender].[K: Uge og år].&amp;[Uge 48 2023]" c="Uge 48 2023" nd="1"/>
              <i n="[Kalender].[K: Uge og år].&amp;[Uge 49 2023]" c="Uge 49 2023" nd="1"/>
              <i n="[Kalender].[K: Uge og år].&amp;[Uge 50 2023]" c="Uge 50 2023" nd="1"/>
              <i n="[Kalender].[K: Uge og år].&amp;[Uge 51 2023]" c="Uge 51 2023" nd="1"/>
              <i n="[Kalender].[K: Uge og år].&amp;[Uge 27 2024]" c="Uge 27 2024" nd="1"/>
              <i n="[Kalender].[K: Uge og år].&amp;[Uge 2 2024]" c="Uge 2 2024" nd="1"/>
              <i n="[Kalender].[K: Uge og år].&amp;[Uge 3 2024]" c="Uge 3 2024" nd="1"/>
              <i n="[Kalender].[K: Uge og år].&amp;[Uge 4 2024]" c="Uge 4 2024" nd="1"/>
              <i n="[Kalender].[K: Uge og år].&amp;[Uge 5 2024]" c="Uge 5 2024" nd="1"/>
              <i n="[Kalender].[K: Uge og år].&amp;[Uge 6 2024]" c="Uge 6 2024" nd="1"/>
              <i n="[Kalender].[K: Uge og år].&amp;[Uge 7 2024]" c="Uge 7 2024" nd="1"/>
              <i n="[Kalender].[K: Uge og år].&amp;[Uge 8 2024]" c="Uge 8 2024" nd="1"/>
              <i n="[Kalender].[K: Uge og år].&amp;[Uge 9 2024]" c="Uge 9 2024" nd="1"/>
              <i n="[Kalender].[K: Uge og år].&amp;[Uge 10 2024]" c="Uge 10 2024" nd="1"/>
              <i n="[Kalender].[K: Uge og år].&amp;[Uge 11 2024]" c="Uge 11 2024" nd="1"/>
              <i n="[Kalender].[K: Uge og år].&amp;[Uge 12 2024]" c="Uge 12 2024" nd="1"/>
              <i n="[Kalender].[K: Uge og år].&amp;[Uge 13 2024]" c="Uge 13 2024" nd="1"/>
              <i n="[Kalender].[K: Uge og år].&amp;[Uge 14 2024]" c="Uge 14 2024" nd="1"/>
              <i n="[Kalender].[K: Uge og år].&amp;[Uge 15 2024]" c="Uge 15 2024" nd="1"/>
              <i n="[Kalender].[K: Uge og år].&amp;[Uge 16 2024]" c="Uge 16 2024" nd="1"/>
              <i n="[Kalender].[K: Uge og år].&amp;[Uge 17 2024]" c="Uge 17 2024" nd="1"/>
              <i n="[Kalender].[K: Uge og år].&amp;[Uge 18 2024]" c="Uge 18 2024" nd="1"/>
              <i n="[Kalender].[K: Uge og år].&amp;[Uge 19 2024]" c="Uge 19 2024" nd="1"/>
              <i n="[Kalender].[K: Uge og år].&amp;[Uge 20 2024]" c="Uge 20 2024" nd="1"/>
              <i n="[Kalender].[K: Uge og år].&amp;[Uge 21 2024]" c="Uge 21 2024" nd="1"/>
              <i n="[Kalender].[K: Uge og år].&amp;[Uge 22 2024]" c="Uge 22 2024" nd="1"/>
              <i n="[Kalender].[K: Uge og år].&amp;[Uge 23 2024]" c="Uge 23 2024" nd="1"/>
              <i n="[Kalender].[K: Uge og år].&amp;[Uge 24 2024]" c="Uge 24 2024" nd="1"/>
              <i n="[Kalender].[K: Uge og år].&amp;[Uge 25 2024]" c="Uge 25 2024" nd="1"/>
              <i n="[Kalender].[K: Uge og år].&amp;[Uge 26 2024]" c="Uge 26 2024" nd="1"/>
              <i n="[Kalender].[K: Uge og år].&amp;[Uge 1 2024]" c="Uge 1 2024" nd="1"/>
              <i n="[Kalender].[K: Uge og år].&amp;[Uge 28 2024]" c="Uge 28 2024" nd="1"/>
              <i n="[Kalender].[K: Uge og år].&amp;[Uge 29 2024]" c="Uge 29 2024" nd="1"/>
              <i n="[Kalender].[K: Uge og år].&amp;[Uge 30 2024]" c="Uge 30 2024" nd="1"/>
              <i n="[Kalender].[K: Uge og år].&amp;[Uge 31 2024]" c="Uge 31 2024" nd="1"/>
              <i n="[Kalender].[K: Uge og år].&amp;[Uge 32 2024]" c="Uge 32 2024" nd="1"/>
              <i n="[Kalender].[K: Uge og år].&amp;[Uge 33 2024]" c="Uge 33 2024" nd="1"/>
              <i n="[Kalender].[K: Uge og år].&amp;[Uge 34 2024]" c="Uge 34 2024" nd="1"/>
              <i n="[Kalender].[K: Uge og år].&amp;[Uge 35 2024]" c="Uge 35 2024" nd="1"/>
              <i n="[Kalender].[K: Uge og år].&amp;[Uge 36 2024]" c="Uge 36 2024" nd="1"/>
              <i n="[Kalender].[K: Uge og år].&amp;[Uge 37 2024]" c="Uge 37 2024" nd="1"/>
              <i n="[Kalender].[K: Uge og år].&amp;[Uge 38 2024]" c="Uge 38 2024" nd="1"/>
              <i n="[Kalender].[K: Uge og år].&amp;[Uge 39 2024]" c="Uge 39 2024" nd="1"/>
              <i n="[Kalender].[K: Uge og år].&amp;[Uge 40 2024]" c="Uge 40 2024" nd="1"/>
              <i n="[Kalender].[K: Uge og år].&amp;[Uge 41 2024]" c="Uge 41 2024" nd="1"/>
              <i n="[Kalender].[K: Uge og år].&amp;[Uge 42 2024]" c="Uge 42 2024" nd="1"/>
              <i n="[Kalender].[K: Uge og år].&amp;[Uge 43 2024]" c="Uge 43 2024" nd="1"/>
              <i n="[Kalender].[K: Uge og år].&amp;[Uge 44 2024]" c="Uge 44 2024" nd="1"/>
              <i n="[Kalender].[K: Uge og år].&amp;[Uge 45 2024]" c="Uge 45 2024" nd="1"/>
              <i n="[Kalender].[K: Uge og år].&amp;[Uge 46 2024]" c="Uge 46 2024" nd="1"/>
              <i n="[Kalender].[K: Uge og år].&amp;[Uge 47 2024]" c="Uge 47 2024" nd="1"/>
              <i n="[Kalender].[K: Uge og år].&amp;[Uge 48 2024]" c="Uge 48 2024" nd="1"/>
              <i n="[Kalender].[K: Uge og år].&amp;[Uge 49 2024]" c="Uge 49 2024" nd="1"/>
              <i n="[Kalender].[K: Uge og år].&amp;[Uge 50 2024]" c="Uge 50 2024" nd="1"/>
              <i n="[Kalender].[K: Uge og år].&amp;[Uge 51 2024]" c="Uge 51 2024" nd="1"/>
              <i n="[Kalender].[K: Uge og år].&amp;[Uge 52 2024]" c="Uge 52 2024" nd="1"/>
              <i n="[Kalender].[K: Uge og år].&amp;[Uge 53 2024]" c="Uge 53 2024" nd="1"/>
              <i n="[Kalender].[K: Uge og år].&amp;[Uge 52 2025]" c="Uge 52 2025" nd="1"/>
              <i n="[Kalender].[K: Uge og år].&amp;[Uge 53 2025]" c="Uge 53 2025" nd="1"/>
              <i n="[Kalender].[K: Uge og år].&amp;[Uge 2 2025]" c="Uge 2 2025" nd="1"/>
              <i n="[Kalender].[K: Uge og år].&amp;[Uge 3 2025]" c="Uge 3 2025" nd="1"/>
              <i n="[Kalender].[K: Uge og år].&amp;[Uge 4 2025]" c="Uge 4 2025" nd="1"/>
              <i n="[Kalender].[K: Uge og år].&amp;[Uge 5 2025]" c="Uge 5 2025" nd="1"/>
              <i n="[Kalender].[K: Uge og år].&amp;[Uge 6 2025]" c="Uge 6 2025" nd="1"/>
              <i n="[Kalender].[K: Uge og år].&amp;[Uge 7 2025]" c="Uge 7 2025" nd="1"/>
              <i n="[Kalender].[K: Uge og år].&amp;[Uge 8 2025]" c="Uge 8 2025" nd="1"/>
              <i n="[Kalender].[K: Uge og år].&amp;[Uge 9 2025]" c="Uge 9 2025" nd="1"/>
              <i n="[Kalender].[K: Uge og år].&amp;[Uge 10 2025]" c="Uge 10 2025" nd="1"/>
              <i n="[Kalender].[K: Uge og år].&amp;[Uge 11 2025]" c="Uge 11 2025" nd="1"/>
              <i n="[Kalender].[K: Uge og år].&amp;[Uge 12 2025]" c="Uge 12 2025" nd="1"/>
              <i n="[Kalender].[K: Uge og år].&amp;[Uge 13 2025]" c="Uge 13 2025" nd="1"/>
              <i n="[Kalender].[K: Uge og år].&amp;[Uge 14 2025]" c="Uge 14 2025" nd="1"/>
              <i n="[Kalender].[K: Uge og år].&amp;[Uge 15 2025]" c="Uge 15 2025" nd="1"/>
              <i n="[Kalender].[K: Uge og år].&amp;[Uge 16 2025]" c="Uge 16 2025" nd="1"/>
              <i n="[Kalender].[K: Uge og år].&amp;[Uge 17 2025]" c="Uge 17 2025" nd="1"/>
              <i n="[Kalender].[K: Uge og år].&amp;[Uge 18 2025]" c="Uge 18 2025" nd="1"/>
              <i n="[Kalender].[K: Uge og år].&amp;[Uge 19 2025]" c="Uge 19 2025" nd="1"/>
              <i n="[Kalender].[K: Uge og år].&amp;[Uge 20 2025]" c="Uge 20 2025" nd="1"/>
              <i n="[Kalender].[K: Uge og år].&amp;[Uge 21 2025]" c="Uge 21 2025" nd="1"/>
              <i n="[Kalender].[K: Uge og år].&amp;[Uge 22 2025]" c="Uge 22 2025" nd="1"/>
              <i n="[Kalender].[K: Uge og år].&amp;[Uge 23 2025]" c="Uge 23 2025" nd="1"/>
              <i n="[Kalender].[K: Uge og år].&amp;[Uge 24 2025]" c="Uge 24 2025" nd="1"/>
              <i n="[Kalender].[K: Uge og år].&amp;[Uge 25 2025]" c="Uge 25 2025" nd="1"/>
              <i n="[Kalender].[K: Uge og år].&amp;[Uge 26 2025]" c="Uge 26 2025" nd="1"/>
              <i n="[Kalender].[K: Uge og år].&amp;[Uge 27 2025]" c="Uge 27 2025" nd="1"/>
              <i n="[Kalender].[K: Uge og år].&amp;[Uge 28 2025]" c="Uge 28 2025" nd="1"/>
              <i n="[Kalender].[K: Uge og år].&amp;[Uge 29 2025]" c="Uge 29 2025" nd="1"/>
              <i n="[Kalender].[K: Uge og år].&amp;[Uge 30 2025]" c="Uge 30 2025" nd="1"/>
              <i n="[Kalender].[K: Uge og år].&amp;[Uge 31 2025]" c="Uge 31 2025" nd="1"/>
              <i n="[Kalender].[K: Uge og år].&amp;[Uge 32 2025]" c="Uge 32 2025" nd="1"/>
              <i n="[Kalender].[K: Uge og år].&amp;[Uge 33 2025]" c="Uge 33 2025" nd="1"/>
              <i n="[Kalender].[K: Uge og år].&amp;[Uge 34 2025]" c="Uge 34 2025" nd="1"/>
              <i n="[Kalender].[K: Uge og år].&amp;[Uge 35 2025]" c="Uge 35 2025" nd="1"/>
              <i n="[Kalender].[K: Uge og år].&amp;[Uge 36 2025]" c="Uge 36 2025" nd="1"/>
              <i n="[Kalender].[K: Uge og år].&amp;[Uge 37 2025]" c="Uge 37 2025" nd="1"/>
              <i n="[Kalender].[K: Uge og år].&amp;[Uge 38 2025]" c="Uge 38 2025" nd="1"/>
              <i n="[Kalender].[K: Uge og år].&amp;[Uge 39 2025]" c="Uge 39 2025" nd="1"/>
              <i n="[Kalender].[K: Uge og år].&amp;[Uge 40 2025]" c="Uge 40 2025" nd="1"/>
              <i n="[Kalender].[K: Uge og år].&amp;[Uge 41 2025]" c="Uge 41 2025" nd="1"/>
              <i n="[Kalender].[K: Uge og år].&amp;[Uge 42 2025]" c="Uge 42 2025" nd="1"/>
              <i n="[Kalender].[K: Uge og år].&amp;[Uge 43 2025]" c="Uge 43 2025" nd="1"/>
              <i n="[Kalender].[K: Uge og år].&amp;[Uge 44 2025]" c="Uge 44 2025" nd="1"/>
              <i n="[Kalender].[K: Uge og år].&amp;[Uge 45 2025]" c="Uge 45 2025" nd="1"/>
              <i n="[Kalender].[K: Uge og år].&amp;[Uge 46 2025]" c="Uge 46 2025" nd="1"/>
              <i n="[Kalender].[K: Uge og år].&amp;[Uge 47 2025]" c="Uge 47 2025" nd="1"/>
              <i n="[Kalender].[K: Uge og år].&amp;[Uge 48 2025]" c="Uge 48 2025" nd="1"/>
              <i n="[Kalender].[K: Uge og år].&amp;[Uge 49 2025]" c="Uge 49 2025" nd="1"/>
              <i n="[Kalender].[K: Uge og år].&amp;[Uge 50 2025]" c="Uge 50 2025" nd="1"/>
              <i n="[Kalender].[K: Uge og år].&amp;[Uge 51 2025]" c="Uge 51 2025" nd="1"/>
              <i n="[Kalender].[K: Uge og år].&amp;[Uge 2 2026]" c="Uge 2 2026" nd="1"/>
              <i n="[Kalender].[K: Uge og år].&amp;[Uge 4 2026]" c="Uge 4 2026" nd="1"/>
              <i n="[Kalender].[K: Uge og år].&amp;[Uge 5 2026]" c="Uge 5 2026" nd="1"/>
              <i n="[Kalender].[K: Uge og år].&amp;[Uge 6 2026]" c="Uge 6 2026" nd="1"/>
              <i n="[Kalender].[K: Uge og år].&amp;[Uge 7 2026]" c="Uge 7 2026" nd="1"/>
              <i n="[Kalender].[K: Uge og år].&amp;[Uge 8 2026]" c="Uge 8 2026" nd="1"/>
              <i n="[Kalender].[K: Uge og år].&amp;[Uge 9 2026]" c="Uge 9 2026" nd="1"/>
              <i n="[Kalender].[K: Uge og år].&amp;[Uge 10 2026]" c="Uge 10 2026" nd="1"/>
              <i n="[Kalender].[K: Uge og år].&amp;[Uge 11 2026]" c="Uge 11 2026" nd="1"/>
              <i n="[Kalender].[K: Uge og år].&amp;[Uge 12 2026]" c="Uge 12 2026" nd="1"/>
              <i n="[Kalender].[K: Uge og år].&amp;[Uge 13 2026]" c="Uge 13 2026" nd="1"/>
              <i n="[Kalender].[K: Uge og år].&amp;[Uge 14 2026]" c="Uge 14 2026" nd="1"/>
              <i n="[Kalender].[K: Uge og år].&amp;[Uge 15 2026]" c="Uge 15 2026" nd="1"/>
              <i n="[Kalender].[K: Uge og år].&amp;[Uge 16 2026]" c="Uge 16 2026" nd="1"/>
              <i n="[Kalender].[K: Uge og år].&amp;[Uge 17 2026]" c="Uge 17 2026" nd="1"/>
              <i n="[Kalender].[K: Uge og år].&amp;[Uge 18 2026]" c="Uge 18 2026" nd="1"/>
              <i n="[Kalender].[K: Uge og år].&amp;[Uge 19 2026]" c="Uge 19 2026" nd="1"/>
              <i n="[Kalender].[K: Uge og år].&amp;[Uge 20 2026]" c="Uge 20 2026" nd="1"/>
              <i n="[Kalender].[K: Uge og år].&amp;[Uge 21 2026]" c="Uge 21 2026" nd="1"/>
              <i n="[Kalender].[K: Uge og år].&amp;[Uge 22 2026]" c="Uge 22 2026" nd="1"/>
              <i n="[Kalender].[K: Uge og år].&amp;[Uge 23 2026]" c="Uge 23 2026" nd="1"/>
              <i n="[Kalender].[K: Uge og år].&amp;[Uge 24 2026]" c="Uge 24 2026" nd="1"/>
              <i n="[Kalender].[K: Uge og år].&amp;[Uge 25 2026]" c="Uge 25 2026" nd="1"/>
              <i n="[Kalender].[K: Uge og år].&amp;[Uge 26 2026]" c="Uge 26 2026" nd="1"/>
              <i n="[Kalender].[K: Uge og år].&amp;[Uge 27 2026]" c="Uge 27 2026" nd="1"/>
              <i n="[Kalender].[K: Uge og år].&amp;[Uge 28 2026]" c="Uge 28 2026" nd="1"/>
              <i n="[Kalender].[K: Uge og år].&amp;[Uge 53 2026]" c="Uge 53 2026" nd="1"/>
              <i n="[Kalender].[K: Uge og år].&amp;[Uge 29 2026]" c="Uge 29 2026" nd="1"/>
              <i n="[Kalender].[K: Uge og år].&amp;[Uge 30 2026]" c="Uge 30 2026" nd="1"/>
              <i n="[Kalender].[K: Uge og år].&amp;[Uge 31 2026]" c="Uge 31 2026" nd="1"/>
              <i n="[Kalender].[K: Uge og år].&amp;[Uge 32 2026]" c="Uge 32 2026" nd="1"/>
              <i n="[Kalender].[K: Uge og år].&amp;[Uge 33 2026]" c="Uge 33 2026" nd="1"/>
              <i n="[Kalender].[K: Uge og år].&amp;[Uge 34 2026]" c="Uge 34 2026" nd="1"/>
              <i n="[Kalender].[K: Uge og år].&amp;[Uge 35 2026]" c="Uge 35 2026" nd="1"/>
              <i n="[Kalender].[K: Uge og år].&amp;[Uge 36 2026]" c="Uge 36 2026" nd="1"/>
              <i n="[Kalender].[K: Uge og år].&amp;[Uge 37 2026]" c="Uge 37 2026" nd="1"/>
              <i n="[Kalender].[K: Uge og år].&amp;[Uge 38 2026]" c="Uge 38 2026" nd="1"/>
              <i n="[Kalender].[K: Uge og år].&amp;[Uge 39 2026]" c="Uge 39 2026" nd="1"/>
              <i n="[Kalender].[K: Uge og år].&amp;[Uge 40 2026]" c="Uge 40 2026" nd="1"/>
              <i n="[Kalender].[K: Uge og år].&amp;[Uge 41 2026]" c="Uge 41 2026" nd="1"/>
              <i n="[Kalender].[K: Uge og år].&amp;[Uge 42 2026]" c="Uge 42 2026" nd="1"/>
              <i n="[Kalender].[K: Uge og år].&amp;[Uge 43 2026]" c="Uge 43 2026" nd="1"/>
              <i n="[Kalender].[K: Uge og år].&amp;[Uge 44 2026]" c="Uge 44 2026" nd="1"/>
              <i n="[Kalender].[K: Uge og år].&amp;[Uge 45 2026]" c="Uge 45 2026" nd="1"/>
              <i n="[Kalender].[K: Uge og år].&amp;[Uge 46 2026]" c="Uge 46 2026" nd="1"/>
              <i n="[Kalender].[K: Uge og år].&amp;[Uge 47 2026]" c="Uge 47 2026" nd="1"/>
              <i n="[Kalender].[K: Uge og år].&amp;[Uge 48 2026]" c="Uge 48 2026" nd="1"/>
              <i n="[Kalender].[K: Uge og år].&amp;[Uge 49 2026]" c="Uge 49 2026" nd="1"/>
              <i n="[Kalender].[K: Uge og år].&amp;[Uge 50 2026]" c="Uge 50 2026" nd="1"/>
              <i n="[Kalender].[K: Uge og år].&amp;[Uge 51 2026]" c="Uge 51 2026" nd="1"/>
              <i n="[Kalender].[K: Uge og år].&amp;[Uge 52 2026]" c="Uge 52 2026" nd="1"/>
              <i n="[Kalender].[K: Uge og år].&amp;[Uge 3 2026]" c="Uge 3 2026" nd="1"/>
              <i n="[Kalender].[K: Uge og år].&amp;[Uge 27 2027]" c="Uge 27 2027" nd="1"/>
              <i n="[Kalender].[K: Uge og år].&amp;[Uge 53 2027]" c="Uge 53 2027" nd="1"/>
              <i n="[Kalender].[K: Uge og år].&amp;[Uge 2 2027]" c="Uge 2 2027" nd="1"/>
              <i n="[Kalender].[K: Uge og år].&amp;[Uge 3 2027]" c="Uge 3 2027" nd="1"/>
              <i n="[Kalender].[K: Uge og år].&amp;[Uge 4 2027]" c="Uge 4 2027" nd="1"/>
              <i n="[Kalender].[K: Uge og år].&amp;[Uge 5 2027]" c="Uge 5 2027" nd="1"/>
              <i n="[Kalender].[K: Uge og år].&amp;[Uge 6 2027]" c="Uge 6 2027" nd="1"/>
              <i n="[Kalender].[K: Uge og år].&amp;[Uge 7 2027]" c="Uge 7 2027" nd="1"/>
              <i n="[Kalender].[K: Uge og år].&amp;[Uge 8 2027]" c="Uge 8 2027" nd="1"/>
              <i n="[Kalender].[K: Uge og år].&amp;[Uge 9 2027]" c="Uge 9 2027" nd="1"/>
              <i n="[Kalender].[K: Uge og år].&amp;[Uge 10 2027]" c="Uge 10 2027" nd="1"/>
              <i n="[Kalender].[K: Uge og år].&amp;[Uge 11 2027]" c="Uge 11 2027" nd="1"/>
              <i n="[Kalender].[K: Uge og år].&amp;[Uge 12 2027]" c="Uge 12 2027" nd="1"/>
              <i n="[Kalender].[K: Uge og år].&amp;[Uge 13 2027]" c="Uge 13 2027" nd="1"/>
              <i n="[Kalender].[K: Uge og år].&amp;[Uge 14 2027]" c="Uge 14 2027" nd="1"/>
              <i n="[Kalender].[K: Uge og år].&amp;[Uge 15 2027]" c="Uge 15 2027" nd="1"/>
              <i n="[Kalender].[K: Uge og år].&amp;[Uge 16 2027]" c="Uge 16 2027" nd="1"/>
              <i n="[Kalender].[K: Uge og år].&amp;[Uge 17 2027]" c="Uge 17 2027" nd="1"/>
              <i n="[Kalender].[K: Uge og år].&amp;[Uge 18 2027]" c="Uge 18 2027" nd="1"/>
              <i n="[Kalender].[K: Uge og år].&amp;[Uge 19 2027]" c="Uge 19 2027" nd="1"/>
              <i n="[Kalender].[K: Uge og år].&amp;[Uge 20 2027]" c="Uge 20 2027" nd="1"/>
              <i n="[Kalender].[K: Uge og år].&amp;[Uge 21 2027]" c="Uge 21 2027" nd="1"/>
              <i n="[Kalender].[K: Uge og år].&amp;[Uge 22 2027]" c="Uge 22 2027" nd="1"/>
              <i n="[Kalender].[K: Uge og år].&amp;[Uge 23 2027]" c="Uge 23 2027" nd="1"/>
              <i n="[Kalender].[K: Uge og år].&amp;[Uge 24 2027]" c="Uge 24 2027" nd="1"/>
              <i n="[Kalender].[K: Uge og år].&amp;[Uge 25 2027]" c="Uge 25 2027" nd="1"/>
              <i n="[Kalender].[K: Uge og år].&amp;[Uge 26 2027]" c="Uge 26 2027" nd="1"/>
              <i n="[Kalender].[K: Uge og år].&amp;[Uge 28 2027]" c="Uge 28 2027" nd="1"/>
              <i n="[Kalender].[K: Uge og år].&amp;[Uge 29 2027]" c="Uge 29 2027" nd="1"/>
              <i n="[Kalender].[K: Uge og år].&amp;[Uge 30 2027]" c="Uge 30 2027" nd="1"/>
              <i n="[Kalender].[K: Uge og år].&amp;[Uge 31 2027]" c="Uge 31 2027" nd="1"/>
              <i n="[Kalender].[K: Uge og år].&amp;[Uge 32 2027]" c="Uge 32 2027" nd="1"/>
              <i n="[Kalender].[K: Uge og år].&amp;[Uge 33 2027]" c="Uge 33 2027" nd="1"/>
              <i n="[Kalender].[K: Uge og år].&amp;[Uge 34 2027]" c="Uge 34 2027" nd="1"/>
              <i n="[Kalender].[K: Uge og år].&amp;[Uge 35 2027]" c="Uge 35 2027" nd="1"/>
              <i n="[Kalender].[K: Uge og år].&amp;[Uge 36 2027]" c="Uge 36 2027" nd="1"/>
              <i n="[Kalender].[K: Uge og år].&amp;[Uge 37 2027]" c="Uge 37 2027" nd="1"/>
              <i n="[Kalender].[K: Uge og år].&amp;[Uge 38 2027]" c="Uge 38 2027" nd="1"/>
              <i n="[Kalender].[K: Uge og år].&amp;[Uge 39 2027]" c="Uge 39 2027" nd="1"/>
              <i n="[Kalender].[K: Uge og år].&amp;[Uge 40 2027]" c="Uge 40 2027" nd="1"/>
              <i n="[Kalender].[K: Uge og år].&amp;[Uge 41 2027]" c="Uge 41 2027" nd="1"/>
              <i n="[Kalender].[K: Uge og år].&amp;[Uge 42 2027]" c="Uge 42 2027" nd="1"/>
              <i n="[Kalender].[K: Uge og år].&amp;[Uge 43 2027]" c="Uge 43 2027" nd="1"/>
              <i n="[Kalender].[K: Uge og år].&amp;[Uge 44 2027]" c="Uge 44 2027" nd="1"/>
              <i n="[Kalender].[K: Uge og år].&amp;[Uge 45 2027]" c="Uge 45 2027" nd="1"/>
              <i n="[Kalender].[K: Uge og år].&amp;[Uge 46 2027]" c="Uge 46 2027" nd="1"/>
              <i n="[Kalender].[K: Uge og år].&amp;[Uge 47 2027]" c="Uge 47 2027" nd="1"/>
              <i n="[Kalender].[K: Uge og år].&amp;[Uge 48 2027]" c="Uge 48 2027" nd="1"/>
              <i n="[Kalender].[K: Uge og år].&amp;[Uge 49 2027]" c="Uge 49 2027" nd="1"/>
              <i n="[Kalender].[K: Uge og år].&amp;[Uge 50 2027]" c="Uge 50 2027" nd="1"/>
              <i n="[Kalender].[K: Uge og år].&amp;[Uge 51 2027]" c="Uge 51 2027" nd="1"/>
              <i n="[Kalender].[K: Uge og år].&amp;[Uge 52 2027]" c="Uge 52 2027" nd="1"/>
              <i n="[Kalender].[K: Uge og år].&amp;[Uge 27 2028]" c="Uge 27 2028" nd="1"/>
              <i n="[Kalender].[K: Uge og år].&amp;[Uge 2 2028]" c="Uge 2 2028" nd="1"/>
              <i n="[Kalender].[K: Uge og år].&amp;[Uge 3 2028]" c="Uge 3 2028" nd="1"/>
              <i n="[Kalender].[K: Uge og år].&amp;[Uge 4 2028]" c="Uge 4 2028" nd="1"/>
              <i n="[Kalender].[K: Uge og år].&amp;[Uge 5 2028]" c="Uge 5 2028" nd="1"/>
              <i n="[Kalender].[K: Uge og år].&amp;[Uge 6 2028]" c="Uge 6 2028" nd="1"/>
              <i n="[Kalender].[K: Uge og år].&amp;[Uge 7 2028]" c="Uge 7 2028" nd="1"/>
              <i n="[Kalender].[K: Uge og år].&amp;[Uge 8 2028]" c="Uge 8 2028" nd="1"/>
              <i n="[Kalender].[K: Uge og år].&amp;[Uge 9 2028]" c="Uge 9 2028" nd="1"/>
              <i n="[Kalender].[K: Uge og år].&amp;[Uge 10 2028]" c="Uge 10 2028" nd="1"/>
              <i n="[Kalender].[K: Uge og år].&amp;[Uge 11 2028]" c="Uge 11 2028" nd="1"/>
              <i n="[Kalender].[K: Uge og år].&amp;[Uge 12 2028]" c="Uge 12 2028" nd="1"/>
              <i n="[Kalender].[K: Uge og år].&amp;[Uge 13 2028]" c="Uge 13 2028" nd="1"/>
              <i n="[Kalender].[K: Uge og år].&amp;[Uge 14 2028]" c="Uge 14 2028" nd="1"/>
              <i n="[Kalender].[K: Uge og år].&amp;[Uge 15 2028]" c="Uge 15 2028" nd="1"/>
              <i n="[Kalender].[K: Uge og år].&amp;[Uge 16 2028]" c="Uge 16 2028" nd="1"/>
              <i n="[Kalender].[K: Uge og år].&amp;[Uge 17 2028]" c="Uge 17 2028" nd="1"/>
              <i n="[Kalender].[K: Uge og år].&amp;[Uge 18 2028]" c="Uge 18 2028" nd="1"/>
              <i n="[Kalender].[K: Uge og år].&amp;[Uge 19 2028]" c="Uge 19 2028" nd="1"/>
              <i n="[Kalender].[K: Uge og år].&amp;[Uge 20 2028]" c="Uge 20 2028" nd="1"/>
              <i n="[Kalender].[K: Uge og år].&amp;[Uge 21 2028]" c="Uge 21 2028" nd="1"/>
              <i n="[Kalender].[K: Uge og år].&amp;[Uge 22 2028]" c="Uge 22 2028" nd="1"/>
              <i n="[Kalender].[K: Uge og år].&amp;[Uge 23 2028]" c="Uge 23 2028" nd="1"/>
              <i n="[Kalender].[K: Uge og år].&amp;[Uge 24 2028]" c="Uge 24 2028" nd="1"/>
              <i n="[Kalender].[K: Uge og år].&amp;[Uge 25 2028]" c="Uge 25 2028" nd="1"/>
              <i n="[Kalender].[K: Uge og år].&amp;[Uge 26 2028]" c="Uge 26 2028" nd="1"/>
              <i n="[Kalender].[K: Uge og år].&amp;[Uge 53 2028]" c="Uge 53 2028" nd="1"/>
              <i n="[Kalender].[K: Uge og år].&amp;[Uge 28 2028]" c="Uge 28 2028" nd="1"/>
              <i n="[Kalender].[K: Uge og år].&amp;[Uge 29 2028]" c="Uge 29 2028" nd="1"/>
              <i n="[Kalender].[K: Uge og år].&amp;[Uge 30 2028]" c="Uge 30 2028" nd="1"/>
              <i n="[Kalender].[K: Uge og år].&amp;[Uge 31 2028]" c="Uge 31 2028" nd="1"/>
              <i n="[Kalender].[K: Uge og år].&amp;[Uge 32 2028]" c="Uge 32 2028" nd="1"/>
              <i n="[Kalender].[K: Uge og år].&amp;[Uge 33 2028]" c="Uge 33 2028" nd="1"/>
              <i n="[Kalender].[K: Uge og år].&amp;[Uge 34 2028]" c="Uge 34 2028" nd="1"/>
              <i n="[Kalender].[K: Uge og år].&amp;[Uge 35 2028]" c="Uge 35 2028" nd="1"/>
              <i n="[Kalender].[K: Uge og år].&amp;[Uge 36 2028]" c="Uge 36 2028" nd="1"/>
              <i n="[Kalender].[K: Uge og år].&amp;[Uge 37 2028]" c="Uge 37 2028" nd="1"/>
              <i n="[Kalender].[K: Uge og år].&amp;[Uge 38 2028]" c="Uge 38 2028" nd="1"/>
              <i n="[Kalender].[K: Uge og år].&amp;[Uge 39 2028]" c="Uge 39 2028" nd="1"/>
              <i n="[Kalender].[K: Uge og år].&amp;[Uge 40 2028]" c="Uge 40 2028" nd="1"/>
              <i n="[Kalender].[K: Uge og år].&amp;[Uge 41 2028]" c="Uge 41 2028" nd="1"/>
              <i n="[Kalender].[K: Uge og år].&amp;[Uge 42 2028]" c="Uge 42 2028" nd="1"/>
              <i n="[Kalender].[K: Uge og år].&amp;[Uge 43 2028]" c="Uge 43 2028" nd="1"/>
              <i n="[Kalender].[K: Uge og år].&amp;[Uge 44 2028]" c="Uge 44 2028" nd="1"/>
              <i n="[Kalender].[K: Uge og år].&amp;[Uge 45 2028]" c="Uge 45 2028" nd="1"/>
              <i n="[Kalender].[K: Uge og år].&amp;[Uge 46 2028]" c="Uge 46 2028" nd="1"/>
              <i n="[Kalender].[K: Uge og år].&amp;[Uge 47 2028]" c="Uge 47 2028" nd="1"/>
              <i n="[Kalender].[K: Uge og år].&amp;[Uge 48 2028]" c="Uge 48 2028" nd="1"/>
              <i n="[Kalender].[K: Uge og år].&amp;[Uge 49 2028]" c="Uge 49 2028" nd="1"/>
              <i n="[Kalender].[K: Uge og år].&amp;[Uge 50 2028]" c="Uge 50 2028" nd="1"/>
              <i n="[Kalender].[K: Uge og år].&amp;[Uge 51 2028]" c="Uge 51 2028" nd="1"/>
              <i n="[Kalender].[K: Uge og år].&amp;[Uge 52 2028]" c="Uge 52 2028" nd="1"/>
              <i n="[Kalender].[K: Uge og år].&amp;[Uge 53 2029]" c="Uge 53 2029" nd="1"/>
              <i n="[Kalender].[K: Uge og år].&amp;[Uge 1 2029]" c="Uge 1 2029" nd="1"/>
              <i n="[Kalender].[K: Uge og år].&amp;[Uge 2 2029]" c="Uge 2 2029" nd="1"/>
              <i n="[Kalender].[K: Uge og år].&amp;[Uge 3 2029]" c="Uge 3 2029" nd="1"/>
              <i n="[Kalender].[K: Uge og år].&amp;[Uge 4 2029]" c="Uge 4 2029" nd="1"/>
              <i n="[Kalender].[K: Uge og år].&amp;[Uge 5 2029]" c="Uge 5 2029" nd="1"/>
              <i n="[Kalender].[K: Uge og år].&amp;[Uge 6 2029]" c="Uge 6 2029" nd="1"/>
              <i n="[Kalender].[K: Uge og år].&amp;[Uge 7 2029]" c="Uge 7 2029" nd="1"/>
              <i n="[Kalender].[K: Uge og år].&amp;[Uge 8 2029]" c="Uge 8 2029" nd="1"/>
              <i n="[Kalender].[K: Uge og år].&amp;[Uge 9 2029]" c="Uge 9 2029" nd="1"/>
              <i n="[Kalender].[K: Uge og år].&amp;[Uge 10 2029]" c="Uge 10 2029" nd="1"/>
              <i n="[Kalender].[K: Uge og år].&amp;[Uge 11 2029]" c="Uge 11 2029" nd="1"/>
              <i n="[Kalender].[K: Uge og år].&amp;[Uge 12 2029]" c="Uge 12 2029" nd="1"/>
              <i n="[Kalender].[K: Uge og år].&amp;[Uge 13 2029]" c="Uge 13 2029" nd="1"/>
              <i n="[Kalender].[K: Uge og år].&amp;[Uge 14 2029]" c="Uge 14 2029" nd="1"/>
              <i n="[Kalender].[K: Uge og år].&amp;[Uge 15 2029]" c="Uge 15 2029" nd="1"/>
              <i n="[Kalender].[K: Uge og år].&amp;[Uge 16 2029]" c="Uge 16 2029" nd="1"/>
              <i n="[Kalender].[K: Uge og år].&amp;[Uge 17 2029]" c="Uge 17 2029" nd="1"/>
              <i n="[Kalender].[K: Uge og år].&amp;[Uge 18 2029]" c="Uge 18 2029" nd="1"/>
              <i n="[Kalender].[K: Uge og år].&amp;[Uge 19 2029]" c="Uge 19 2029" nd="1"/>
              <i n="[Kalender].[K: Uge og år].&amp;[Uge 20 2029]" c="Uge 20 2029" nd="1"/>
              <i n="[Kalender].[K: Uge og år].&amp;[Uge 21 2029]" c="Uge 21 2029" nd="1"/>
              <i n="[Kalender].[K: Uge og år].&amp;[Uge 22 2029]" c="Uge 22 2029" nd="1"/>
              <i n="[Kalender].[K: Uge og år].&amp;[Uge 23 2029]" c="Uge 23 2029" nd="1"/>
              <i n="[Kalender].[K: Uge og år].&amp;[Uge 24 2029]" c="Uge 24 2029" nd="1"/>
              <i n="[Kalender].[K: Uge og år].&amp;[Uge 25 2029]" c="Uge 25 2029" nd="1"/>
              <i n="[Kalender].[K: Uge og år].&amp;[Uge 26 2029]" c="Uge 26 2029" nd="1"/>
              <i n="[Kalender].[K: Uge og år].&amp;[Uge 27 2029]" c="Uge 27 2029" nd="1"/>
              <i n="[Kalender].[K: Uge og år].&amp;[Uge 28 2029]" c="Uge 28 2029" nd="1"/>
              <i n="[Kalender].[K: Uge og år].&amp;[Uge 29 2029]" c="Uge 29 2029" nd="1"/>
              <i n="[Kalender].[K: Uge og år].&amp;[Uge 30 2029]" c="Uge 30 2029" nd="1"/>
              <i n="[Kalender].[K: Uge og år].&amp;[Uge 31 2029]" c="Uge 31 2029" nd="1"/>
              <i n="[Kalender].[K: Uge og år].&amp;[Uge 32 2029]" c="Uge 32 2029" nd="1"/>
              <i n="[Kalender].[K: Uge og år].&amp;[Uge 33 2029]" c="Uge 33 2029" nd="1"/>
              <i n="[Kalender].[K: Uge og år].&amp;[Uge 34 2029]" c="Uge 34 2029" nd="1"/>
              <i n="[Kalender].[K: Uge og år].&amp;[Uge 35 2029]" c="Uge 35 2029" nd="1"/>
              <i n="[Kalender].[K: Uge og år].&amp;[Uge 36 2029]" c="Uge 36 2029" nd="1"/>
              <i n="[Kalender].[K: Uge og år].&amp;[Uge 37 2029]" c="Uge 37 2029" nd="1"/>
              <i n="[Kalender].[K: Uge og år].&amp;[Uge 38 2029]" c="Uge 38 2029" nd="1"/>
              <i n="[Kalender].[K: Uge og år].&amp;[Uge 39 2029]" c="Uge 39 2029" nd="1"/>
              <i n="[Kalender].[K: Uge og år].&amp;[Uge 40 2029]" c="Uge 40 2029" nd="1"/>
              <i n="[Kalender].[K: Uge og år].&amp;[Uge 41 2029]" c="Uge 41 2029" nd="1"/>
              <i n="[Kalender].[K: Uge og år].&amp;[Uge 42 2029]" c="Uge 42 2029" nd="1"/>
              <i n="[Kalender].[K: Uge og år].&amp;[Uge 43 2029]" c="Uge 43 2029" nd="1"/>
              <i n="[Kalender].[K: Uge og år].&amp;[Uge 44 2029]" c="Uge 44 2029" nd="1"/>
              <i n="[Kalender].[K: Uge og år].&amp;[Uge 45 2029]" c="Uge 45 2029" nd="1"/>
              <i n="[Kalender].[K: Uge og år].&amp;[Uge 46 2029]" c="Uge 46 2029" nd="1"/>
              <i n="[Kalender].[K: Uge og år].&amp;[Uge 47 2029]" c="Uge 47 2029" nd="1"/>
              <i n="[Kalender].[K: Uge og år].&amp;[Uge 48 2029]" c="Uge 48 2029" nd="1"/>
              <i n="[Kalender].[K: Uge og år].&amp;[Uge 49 2029]" c="Uge 49 2029" nd="1"/>
              <i n="[Kalender].[K: Uge og år].&amp;[Uge 50 2029]" c="Uge 50 2029" nd="1"/>
              <i n="[Kalender].[K: Uge og år].&amp;[Uge 51 2029]" c="Uge 51 2029" nd="1"/>
              <i n="[Kalender].[K: Uge og år].&amp;[Uge 52 2029]" c="Uge 52 2029" nd="1"/>
              <i n="[Kalender].[K: Uge og år].&amp;[Uge 27 2030]" c="Uge 27 2030" nd="1"/>
              <i n="[Kalender].[K: Uge og år].&amp;[Uge 2 2030]" c="Uge 2 2030" nd="1"/>
              <i n="[Kalender].[K: Uge og år].&amp;[Uge 3 2030]" c="Uge 3 2030" nd="1"/>
              <i n="[Kalender].[K: Uge og år].&amp;[Uge 4 2030]" c="Uge 4 2030" nd="1"/>
              <i n="[Kalender].[K: Uge og år].&amp;[Uge 5 2030]" c="Uge 5 2030" nd="1"/>
              <i n="[Kalender].[K: Uge og år].&amp;[Uge 6 2030]" c="Uge 6 2030" nd="1"/>
              <i n="[Kalender].[K: Uge og år].&amp;[Uge 7 2030]" c="Uge 7 2030" nd="1"/>
              <i n="[Kalender].[K: Uge og år].&amp;[Uge 8 2030]" c="Uge 8 2030" nd="1"/>
              <i n="[Kalender].[K: Uge og år].&amp;[Uge 9 2030]" c="Uge 9 2030" nd="1"/>
              <i n="[Kalender].[K: Uge og år].&amp;[Uge 10 2030]" c="Uge 10 2030" nd="1"/>
              <i n="[Kalender].[K: Uge og år].&amp;[Uge 11 2030]" c="Uge 11 2030" nd="1"/>
              <i n="[Kalender].[K: Uge og år].&amp;[Uge 12 2030]" c="Uge 12 2030" nd="1"/>
              <i n="[Kalender].[K: Uge og år].&amp;[Uge 13 2030]" c="Uge 13 2030" nd="1"/>
              <i n="[Kalender].[K: Uge og år].&amp;[Uge 14 2030]" c="Uge 14 2030" nd="1"/>
              <i n="[Kalender].[K: Uge og år].&amp;[Uge 15 2030]" c="Uge 15 2030" nd="1"/>
              <i n="[Kalender].[K: Uge og år].&amp;[Uge 16 2030]" c="Uge 16 2030" nd="1"/>
              <i n="[Kalender].[K: Uge og år].&amp;[Uge 17 2030]" c="Uge 17 2030" nd="1"/>
              <i n="[Kalender].[K: Uge og år].&amp;[Uge 18 2030]" c="Uge 18 2030" nd="1"/>
              <i n="[Kalender].[K: Uge og år].&amp;[Uge 19 2030]" c="Uge 19 2030" nd="1"/>
              <i n="[Kalender].[K: Uge og år].&amp;[Uge 20 2030]" c="Uge 20 2030" nd="1"/>
              <i n="[Kalender].[K: Uge og år].&amp;[Uge 21 2030]" c="Uge 21 2030" nd="1"/>
              <i n="[Kalender].[K: Uge og år].&amp;[Uge 22 2030]" c="Uge 22 2030" nd="1"/>
              <i n="[Kalender].[K: Uge og år].&amp;[Uge 23 2030]" c="Uge 23 2030" nd="1"/>
              <i n="[Kalender].[K: Uge og år].&amp;[Uge 24 2030]" c="Uge 24 2030" nd="1"/>
              <i n="[Kalender].[K: Uge og år].&amp;[Uge 25 2030]" c="Uge 25 2030" nd="1"/>
              <i n="[Kalender].[K: Uge og år].&amp;[Uge 26 2030]" c="Uge 26 2030" nd="1"/>
              <i n="[Kalender].[K: Uge og år].&amp;[Uge 53 2030]" c="Uge 53 2030" nd="1"/>
              <i n="[Kalender].[K: Uge og år].&amp;[Uge 28 2030]" c="Uge 28 2030" nd="1"/>
              <i n="[Kalender].[K: Uge og år].&amp;[Uge 29 2030]" c="Uge 29 2030" nd="1"/>
              <i n="[Kalender].[K: Uge og år].&amp;[Uge 30 2030]" c="Uge 30 2030" nd="1"/>
              <i n="[Kalender].[K: Uge og år].&amp;[Uge 31 2030]" c="Uge 31 2030" nd="1"/>
              <i n="[Kalender].[K: Uge og år].&amp;[Uge 32 2030]" c="Uge 32 2030" nd="1"/>
              <i n="[Kalender].[K: Uge og år].&amp;[Uge 33 2030]" c="Uge 33 2030" nd="1"/>
              <i n="[Kalender].[K: Uge og år].&amp;[Uge 34 2030]" c="Uge 34 2030" nd="1"/>
              <i n="[Kalender].[K: Uge og år].&amp;[Uge 35 2030]" c="Uge 35 2030" nd="1"/>
              <i n="[Kalender].[K: Uge og år].&amp;[Uge 36 2030]" c="Uge 36 2030" nd="1"/>
              <i n="[Kalender].[K: Uge og år].&amp;[Uge 37 2030]" c="Uge 37 2030" nd="1"/>
              <i n="[Kalender].[K: Uge og år].&amp;[Uge 38 2030]" c="Uge 38 2030" nd="1"/>
              <i n="[Kalender].[K: Uge og år].&amp;[Uge 39 2030]" c="Uge 39 2030" nd="1"/>
              <i n="[Kalender].[K: Uge og år].&amp;[Uge 40 2030]" c="Uge 40 2030" nd="1"/>
              <i n="[Kalender].[K: Uge og år].&amp;[Uge 41 2030]" c="Uge 41 2030" nd="1"/>
              <i n="[Kalender].[K: Uge og år].&amp;[Uge 42 2030]" c="Uge 42 2030" nd="1"/>
              <i n="[Kalender].[K: Uge og år].&amp;[Uge 43 2030]" c="Uge 43 2030" nd="1"/>
              <i n="[Kalender].[K: Uge og år].&amp;[Uge 44 2030]" c="Uge 44 2030" nd="1"/>
              <i n="[Kalender].[K: Uge og år].&amp;[Uge 45 2030]" c="Uge 45 2030" nd="1"/>
              <i n="[Kalender].[K: Uge og år].&amp;[Uge 46 2030]" c="Uge 46 2030" nd="1"/>
              <i n="[Kalender].[K: Uge og år].&amp;[Uge 47 2030]" c="Uge 47 2030" nd="1"/>
              <i n="[Kalender].[K: Uge og år].&amp;[Uge 48 2030]" c="Uge 48 2030" nd="1"/>
              <i n="[Kalender].[K: Uge og år].&amp;[Uge 49 2030]" c="Uge 49 2030" nd="1"/>
              <i n="[Kalender].[K: Uge og år].&amp;[Uge 50 2030]" c="Uge 50 2030" nd="1"/>
              <i n="[Kalender].[K: Uge og år].&amp;[Uge 51 2030]" c="Uge 51 2030" nd="1"/>
              <i n="[Kalender].[K: Uge og år].&amp;[Uge 52 2030]" c="Uge 52 2030" nd="1"/>
              <i n="[Kalender].[K: Uge og år].&amp;[Uge 53 2031]" c="Uge 53 2031" nd="1"/>
              <i n="[Kalender].[K: Uge og år].&amp;[Uge 2 2031]" c="Uge 2 2031" nd="1"/>
              <i n="[Kalender].[K: Uge og år].&amp;[Uge 3 2031]" c="Uge 3 2031" nd="1"/>
              <i n="[Kalender].[K: Uge og år].&amp;[Uge 4 2031]" c="Uge 4 2031" nd="1"/>
              <i n="[Kalender].[K: Uge og år].&amp;[Uge 5 2031]" c="Uge 5 2031" nd="1"/>
              <i n="[Kalender].[K: Uge og år].&amp;[Uge 6 2031]" c="Uge 6 2031" nd="1"/>
              <i n="[Kalender].[K: Uge og år].&amp;[Uge 7 2031]" c="Uge 7 2031" nd="1"/>
              <i n="[Kalender].[K: Uge og år].&amp;[Uge 8 2031]" c="Uge 8 2031" nd="1"/>
              <i n="[Kalender].[K: Uge og år].&amp;[Uge 9 2031]" c="Uge 9 2031" nd="1"/>
              <i n="[Kalender].[K: Uge og år].&amp;[Uge 10 2031]" c="Uge 10 2031" nd="1"/>
              <i n="[Kalender].[K: Uge og år].&amp;[Uge 11 2031]" c="Uge 11 2031" nd="1"/>
              <i n="[Kalender].[K: Uge og år].&amp;[Uge 12 2031]" c="Uge 12 2031" nd="1"/>
              <i n="[Kalender].[K: Uge og år].&amp;[Uge 13 2031]" c="Uge 13 2031" nd="1"/>
              <i n="[Kalender].[K: Uge og år].&amp;[Uge 14 2031]" c="Uge 14 2031" nd="1"/>
              <i n="[Kalender].[K: Uge og år].&amp;[Uge 15 2031]" c="Uge 15 2031" nd="1"/>
              <i n="[Kalender].[K: Uge og år].&amp;[Uge 16 2031]" c="Uge 16 2031" nd="1"/>
              <i n="[Kalender].[K: Uge og år].&amp;[Uge 17 2031]" c="Uge 17 2031" nd="1"/>
              <i n="[Kalender].[K: Uge og år].&amp;[Uge 18 2031]" c="Uge 18 2031" nd="1"/>
              <i n="[Kalender].[K: Uge og år].&amp;[Uge 19 2031]" c="Uge 19 2031" nd="1"/>
              <i n="[Kalender].[K: Uge og år].&amp;[Uge 20 2031]" c="Uge 20 2031" nd="1"/>
              <i n="[Kalender].[K: Uge og år].&amp;[Uge 21 2031]" c="Uge 21 2031" nd="1"/>
              <i n="[Kalender].[K: Uge og år].&amp;[Uge 22 2031]" c="Uge 22 2031" nd="1"/>
              <i n="[Kalender].[K: Uge og år].&amp;[Uge 23 2031]" c="Uge 23 2031" nd="1"/>
              <i n="[Kalender].[K: Uge og år].&amp;[Uge 24 2031]" c="Uge 24 2031" nd="1"/>
              <i n="[Kalender].[K: Uge og år].&amp;[Uge 25 2031]" c="Uge 25 2031" nd="1"/>
              <i n="[Kalender].[K: Uge og år].&amp;[Uge 26 2031]" c="Uge 26 2031" nd="1"/>
              <i n="[Kalender].[K: Uge og år].&amp;[Uge 27 2031]" c="Uge 27 2031" nd="1"/>
              <i n="[Kalender].[K: Uge og år].&amp;[Uge 28 2031]" c="Uge 28 2031" nd="1"/>
              <i n="[Kalender].[K: Uge og år].&amp;[Uge 29 2031]" c="Uge 29 2031" nd="1"/>
              <i n="[Kalender].[K: Uge og år].&amp;[Uge 30 2031]" c="Uge 30 2031" nd="1"/>
              <i n="[Kalender].[K: Uge og år].&amp;[Uge 31 2031]" c="Uge 31 2031" nd="1"/>
              <i n="[Kalender].[K: Uge og år].&amp;[Uge 32 2031]" c="Uge 32 2031" nd="1"/>
              <i n="[Kalender].[K: Uge og år].&amp;[Uge 33 2031]" c="Uge 33 2031" nd="1"/>
              <i n="[Kalender].[K: Uge og år].&amp;[Uge 34 2031]" c="Uge 34 2031" nd="1"/>
              <i n="[Kalender].[K: Uge og år].&amp;[Uge 35 2031]" c="Uge 35 2031" nd="1"/>
              <i n="[Kalender].[K: Uge og år].&amp;[Uge 36 2031]" c="Uge 36 2031" nd="1"/>
              <i n="[Kalender].[K: Uge og år].&amp;[Uge 37 2031]" c="Uge 37 2031" nd="1"/>
              <i n="[Kalender].[K: Uge og år].&amp;[Uge 38 2031]" c="Uge 38 2031" nd="1"/>
              <i n="[Kalender].[K: Uge og år].&amp;[Uge 39 2031]" c="Uge 39 2031" nd="1"/>
              <i n="[Kalender].[K: Uge og år].&amp;[Uge 40 2031]" c="Uge 40 2031" nd="1"/>
              <i n="[Kalender].[K: Uge og år].&amp;[Uge 41 2031]" c="Uge 41 2031" nd="1"/>
              <i n="[Kalender].[K: Uge og år].&amp;[Uge 42 2031]" c="Uge 42 2031" nd="1"/>
              <i n="[Kalender].[K: Uge og år].&amp;[Uge 43 2031]" c="Uge 43 2031" nd="1"/>
              <i n="[Kalender].[K: Uge og år].&amp;[Uge 44 2031]" c="Uge 44 2031" nd="1"/>
              <i n="[Kalender].[K: Uge og år].&amp;[Uge 45 2031]" c="Uge 45 2031" nd="1"/>
              <i n="[Kalender].[K: Uge og år].&amp;[Uge 46 2031]" c="Uge 46 2031" nd="1"/>
              <i n="[Kalender].[K: Uge og år].&amp;[Uge 47 2031]" c="Uge 47 2031" nd="1"/>
              <i n="[Kalender].[K: Uge og år].&amp;[Uge 48 2031]" c="Uge 48 2031" nd="1"/>
              <i n="[Kalender].[K: Uge og år].&amp;[Uge 49 2031]" c="Uge 49 2031" nd="1"/>
              <i n="[Kalender].[K: Uge og år].&amp;[Uge 50 2031]" c="Uge 50 2031" nd="1"/>
              <i n="[Kalender].[K: Uge og år].&amp;[Uge 51 2031]" c="Uge 51 2031" nd="1"/>
              <i n="[Kalender].[K: Uge og år].&amp;[Uge 52 2031]" c="Uge 52 2031" nd="1"/>
              <i n="[Kalender].[K: Uge og år].&amp;[Uge 53 2032]" c="Uge 53 2032" nd="1"/>
              <i n="[Kalender].[K: Uge og år].&amp;[Uge 2 2032]" c="Uge 2 2032" nd="1"/>
              <i n="[Kalender].[K: Uge og år].&amp;[Uge 3 2032]" c="Uge 3 2032" nd="1"/>
              <i n="[Kalender].[K: Uge og år].&amp;[Uge 4 2032]" c="Uge 4 2032" nd="1"/>
              <i n="[Kalender].[K: Uge og år].&amp;[Uge 5 2032]" c="Uge 5 2032" nd="1"/>
              <i n="[Kalender].[K: Uge og år].&amp;[Uge 6 2032]" c="Uge 6 2032" nd="1"/>
              <i n="[Kalender].[K: Uge og år].&amp;[Uge 7 2032]" c="Uge 7 2032" nd="1"/>
              <i n="[Kalender].[K: Uge og år].&amp;[Uge 8 2032]" c="Uge 8 2032" nd="1"/>
              <i n="[Kalender].[K: Uge og år].&amp;[Uge 9 2032]" c="Uge 9 2032" nd="1"/>
              <i n="[Kalender].[K: Uge og år].&amp;[Uge 10 2032]" c="Uge 10 2032" nd="1"/>
              <i n="[Kalender].[K: Uge og år].&amp;[Uge 11 2032]" c="Uge 11 2032" nd="1"/>
              <i n="[Kalender].[K: Uge og år].&amp;[Uge 12 2032]" c="Uge 12 2032" nd="1"/>
              <i n="[Kalender].[K: Uge og år].&amp;[Uge 13 2032]" c="Uge 13 2032" nd="1"/>
              <i n="[Kalender].[K: Uge og år].&amp;[Uge 14 2032]" c="Uge 14 2032" nd="1"/>
              <i n="[Kalender].[K: Uge og år].&amp;[Uge 15 2032]" c="Uge 15 2032" nd="1"/>
              <i n="[Kalender].[K: Uge og år].&amp;[Uge 16 2032]" c="Uge 16 2032" nd="1"/>
              <i n="[Kalender].[K: Uge og år].&amp;[Uge 17 2032]" c="Uge 17 2032" nd="1"/>
              <i n="[Kalender].[K: Uge og år].&amp;[Uge 18 2032]" c="Uge 18 2032" nd="1"/>
              <i n="[Kalender].[K: Uge og år].&amp;[Uge 19 2032]" c="Uge 19 2032" nd="1"/>
              <i n="[Kalender].[K: Uge og år].&amp;[Uge 20 2032]" c="Uge 20 2032" nd="1"/>
              <i n="[Kalender].[K: Uge og år].&amp;[Uge 21 2032]" c="Uge 21 2032" nd="1"/>
              <i n="[Kalender].[K: Uge og år].&amp;[Uge 22 2032]" c="Uge 22 2032" nd="1"/>
              <i n="[Kalender].[K: Uge og år].&amp;[Uge 23 2032]" c="Uge 23 2032" nd="1"/>
              <i n="[Kalender].[K: Uge og år].&amp;[Uge 24 2032]" c="Uge 24 2032" nd="1"/>
              <i n="[Kalender].[K: Uge og år].&amp;[Uge 25 2032]" c="Uge 25 2032" nd="1"/>
              <i n="[Kalender].[K: Uge og år].&amp;[Uge 26 2032]" c="Uge 26 2032" nd="1"/>
              <i n="[Kalender].[K: Uge og år].&amp;[Uge 27 2032]" c="Uge 27 2032" nd="1"/>
              <i n="[Kalender].[K: Uge og år].&amp;[Uge 28 2032]" c="Uge 28 2032" nd="1"/>
              <i n="[Kalender].[K: Uge og år].&amp;[Uge 29 2032]" c="Uge 29 2032" nd="1"/>
              <i n="[Kalender].[K: Uge og år].&amp;[Uge 30 2032]" c="Uge 30 2032" nd="1"/>
              <i n="[Kalender].[K: Uge og år].&amp;[Uge 31 2032]" c="Uge 31 2032" nd="1"/>
              <i n="[Kalender].[K: Uge og år].&amp;[Uge 32 2032]" c="Uge 32 2032" nd="1"/>
              <i n="[Kalender].[K: Uge og år].&amp;[Uge 33 2032]" c="Uge 33 2032" nd="1"/>
              <i n="[Kalender].[K: Uge og år].&amp;[Uge 34 2032]" c="Uge 34 2032" nd="1"/>
              <i n="[Kalender].[K: Uge og år].&amp;[Uge 35 2032]" c="Uge 35 2032" nd="1"/>
              <i n="[Kalender].[K: Uge og år].&amp;[Uge 36 2032]" c="Uge 36 2032" nd="1"/>
              <i n="[Kalender].[K: Uge og år].&amp;[Uge 37 2032]" c="Uge 37 2032" nd="1"/>
              <i n="[Kalender].[K: Uge og år].&amp;[Uge 38 2032]" c="Uge 38 2032" nd="1"/>
              <i n="[Kalender].[K: Uge og år].&amp;[Uge 39 2032]" c="Uge 39 2032" nd="1"/>
              <i n="[Kalender].[K: Uge og år].&amp;[Uge 40 2032]" c="Uge 40 2032" nd="1"/>
              <i n="[Kalender].[K: Uge og år].&amp;[Uge 41 2032]" c="Uge 41 2032" nd="1"/>
              <i n="[Kalender].[K: Uge og år].&amp;[Uge 42 2032]" c="Uge 42 2032" nd="1"/>
              <i n="[Kalender].[K: Uge og år].&amp;[Uge 43 2032]" c="Uge 43 2032" nd="1"/>
              <i n="[Kalender].[K: Uge og år].&amp;[Uge 44 2032]" c="Uge 44 2032" nd="1"/>
              <i n="[Kalender].[K: Uge og år].&amp;[Uge 45 2032]" c="Uge 45 2032" nd="1"/>
              <i n="[Kalender].[K: Uge og år].&amp;[Uge 46 2032]" c="Uge 46 2032" nd="1"/>
              <i n="[Kalender].[K: Uge og år].&amp;[Uge 47 2032]" c="Uge 47 2032" nd="1"/>
              <i n="[Kalender].[K: Uge og år].&amp;[Uge 48 2032]" c="Uge 48 2032" nd="1"/>
              <i n="[Kalender].[K: Uge og år].&amp;[Uge 49 2032]" c="Uge 49 2032" nd="1"/>
              <i n="[Kalender].[K: Uge og år].&amp;[Uge 50 2032]" c="Uge 50 2032" nd="1"/>
              <i n="[Kalender].[K: Uge og år].&amp;[Uge 51 2032]" c="Uge 51 2032" nd="1"/>
              <i n="[Kalender].[K: Uge og år].&amp;[Uge 52 2032]" c="Uge 52 2032" nd="1"/>
              <i n="[Kalender].[K: Uge og år].&amp;[Uge 27 2033]" c="Uge 27 2033" nd="1"/>
              <i n="[Kalender].[K: Uge og år].&amp;[Uge 2 2033]" c="Uge 2 2033" nd="1"/>
              <i n="[Kalender].[K: Uge og år].&amp;[Uge 3 2033]" c="Uge 3 2033" nd="1"/>
              <i n="[Kalender].[K: Uge og år].&amp;[Uge 4 2033]" c="Uge 4 2033" nd="1"/>
              <i n="[Kalender].[K: Uge og år].&amp;[Uge 5 2033]" c="Uge 5 2033" nd="1"/>
              <i n="[Kalender].[K: Uge og år].&amp;[Uge 6 2033]" c="Uge 6 2033" nd="1"/>
              <i n="[Kalender].[K: Uge og år].&amp;[Uge 7 2033]" c="Uge 7 2033" nd="1"/>
              <i n="[Kalender].[K: Uge og år].&amp;[Uge 8 2033]" c="Uge 8 2033" nd="1"/>
              <i n="[Kalender].[K: Uge og år].&amp;[Uge 9 2033]" c="Uge 9 2033" nd="1"/>
              <i n="[Kalender].[K: Uge og år].&amp;[Uge 10 2033]" c="Uge 10 2033" nd="1"/>
              <i n="[Kalender].[K: Uge og år].&amp;[Uge 11 2033]" c="Uge 11 2033" nd="1"/>
              <i n="[Kalender].[K: Uge og år].&amp;[Uge 12 2033]" c="Uge 12 2033" nd="1"/>
              <i n="[Kalender].[K: Uge og år].&amp;[Uge 13 2033]" c="Uge 13 2033" nd="1"/>
              <i n="[Kalender].[K: Uge og år].&amp;[Uge 14 2033]" c="Uge 14 2033" nd="1"/>
              <i n="[Kalender].[K: Uge og år].&amp;[Uge 15 2033]" c="Uge 15 2033" nd="1"/>
              <i n="[Kalender].[K: Uge og år].&amp;[Uge 16 2033]" c="Uge 16 2033" nd="1"/>
              <i n="[Kalender].[K: Uge og år].&amp;[Uge 17 2033]" c="Uge 17 2033" nd="1"/>
              <i n="[Kalender].[K: Uge og år].&amp;[Uge 18 2033]" c="Uge 18 2033" nd="1"/>
              <i n="[Kalender].[K: Uge og år].&amp;[Uge 19 2033]" c="Uge 19 2033" nd="1"/>
              <i n="[Kalender].[K: Uge og år].&amp;[Uge 20 2033]" c="Uge 20 2033" nd="1"/>
              <i n="[Kalender].[K: Uge og år].&amp;[Uge 21 2033]" c="Uge 21 2033" nd="1"/>
              <i n="[Kalender].[K: Uge og år].&amp;[Uge 22 2033]" c="Uge 22 2033" nd="1"/>
              <i n="[Kalender].[K: Uge og år].&amp;[Uge 23 2033]" c="Uge 23 2033" nd="1"/>
              <i n="[Kalender].[K: Uge og år].&amp;[Uge 24 2033]" c="Uge 24 2033" nd="1"/>
              <i n="[Kalender].[K: Uge og år].&amp;[Uge 25 2033]" c="Uge 25 2033" nd="1"/>
              <i n="[Kalender].[K: Uge og år].&amp;[Uge 26 2033]" c="Uge 26 2033" nd="1"/>
              <i n="[Kalender].[K: Uge og år].&amp;[Uge 53 2033]" c="Uge 53 2033" nd="1"/>
              <i n="[Kalender].[K: Uge og år].&amp;[Uge 28 2033]" c="Uge 28 2033" nd="1"/>
              <i n="[Kalender].[K: Uge og år].&amp;[Uge 29 2033]" c="Uge 29 2033" nd="1"/>
              <i n="[Kalender].[K: Uge og år].&amp;[Uge 30 2033]" c="Uge 30 2033" nd="1"/>
              <i n="[Kalender].[K: Uge og år].&amp;[Uge 31 2033]" c="Uge 31 2033" nd="1"/>
              <i n="[Kalender].[K: Uge og år].&amp;[Uge 32 2033]" c="Uge 32 2033" nd="1"/>
              <i n="[Kalender].[K: Uge og år].&amp;[Uge 33 2033]" c="Uge 33 2033" nd="1"/>
              <i n="[Kalender].[K: Uge og år].&amp;[Uge 34 2033]" c="Uge 34 2033" nd="1"/>
              <i n="[Kalender].[K: Uge og år].&amp;[Uge 35 2033]" c="Uge 35 2033" nd="1"/>
              <i n="[Kalender].[K: Uge og år].&amp;[Uge 36 2033]" c="Uge 36 2033" nd="1"/>
              <i n="[Kalender].[K: Uge og år].&amp;[Uge 37 2033]" c="Uge 37 2033" nd="1"/>
              <i n="[Kalender].[K: Uge og år].&amp;[Uge 38 2033]" c="Uge 38 2033" nd="1"/>
              <i n="[Kalender].[K: Uge og år].&amp;[Uge 39 2033]" c="Uge 39 2033" nd="1"/>
              <i n="[Kalender].[K: Uge og år].&amp;[Uge 40 2033]" c="Uge 40 2033" nd="1"/>
              <i n="[Kalender].[K: Uge og år].&amp;[Uge 41 2033]" c="Uge 41 2033" nd="1"/>
              <i n="[Kalender].[K: Uge og år].&amp;[Uge 42 2033]" c="Uge 42 2033" nd="1"/>
              <i n="[Kalender].[K: Uge og år].&amp;[Uge 43 2033]" c="Uge 43 2033" nd="1"/>
              <i n="[Kalender].[K: Uge og år].&amp;[Uge 44 2033]" c="Uge 44 2033" nd="1"/>
              <i n="[Kalender].[K: Uge og år].&amp;[Uge 45 2033]" c="Uge 45 2033" nd="1"/>
              <i n="[Kalender].[K: Uge og år].&amp;[Uge 46 2033]" c="Uge 46 2033" nd="1"/>
              <i n="[Kalender].[K: Uge og år].&amp;[Uge 47 2033]" c="Uge 47 2033" nd="1"/>
              <i n="[Kalender].[K: Uge og år].&amp;[Uge 48 2033]" c="Uge 48 2033" nd="1"/>
              <i n="[Kalender].[K: Uge og år].&amp;[Uge 49 2033]" c="Uge 49 2033" nd="1"/>
              <i n="[Kalender].[K: Uge og år].&amp;[Uge 50 2033]" c="Uge 50 2033" nd="1"/>
              <i n="[Kalender].[K: Uge og år].&amp;[Uge 51 2033]" c="Uge 51 2033" nd="1"/>
              <i n="[Kalender].[K: Uge og år].&amp;[Uge 52 2033]" c="Uge 52 2033" nd="1"/>
              <i n="[Kalender].[K: Uge og år].&amp;[Uge 53 2034]" c="Uge 53 2034" nd="1"/>
              <i n="[Kalender].[K: Uge og år].&amp;[Uge 1 2034]" c="Uge 1 2034" nd="1"/>
              <i n="[Kalender].[K: Uge og år].&amp;[Uge 2 2034]" c="Uge 2 2034" nd="1"/>
              <i n="[Kalender].[K: Uge og år].&amp;[Uge 3 2034]" c="Uge 3 2034" nd="1"/>
              <i n="[Kalender].[K: Uge og år].&amp;[Uge 4 2034]" c="Uge 4 2034" nd="1"/>
              <i n="[Kalender].[K: Uge og år].&amp;[Uge 5 2034]" c="Uge 5 2034" nd="1"/>
              <i n="[Kalender].[K: Uge og år].&amp;[Uge 6 2034]" c="Uge 6 2034" nd="1"/>
              <i n="[Kalender].[K: Uge og år].&amp;[Uge 7 2034]" c="Uge 7 2034" nd="1"/>
              <i n="[Kalender].[K: Uge og år].&amp;[Uge 8 2034]" c="Uge 8 2034" nd="1"/>
              <i n="[Kalender].[K: Uge og år].&amp;[Uge 9 2034]" c="Uge 9 2034" nd="1"/>
              <i n="[Kalender].[K: Uge og år].&amp;[Uge 10 2034]" c="Uge 10 2034" nd="1"/>
              <i n="[Kalender].[K: Uge og år].&amp;[Uge 11 2034]" c="Uge 11 2034" nd="1"/>
              <i n="[Kalender].[K: Uge og år].&amp;[Uge 12 2034]" c="Uge 12 2034" nd="1"/>
              <i n="[Kalender].[K: Uge og år].&amp;[Uge 13 2034]" c="Uge 13 2034" nd="1"/>
              <i n="[Kalender].[K: Uge og år].&amp;[Uge 14 2034]" c="Uge 14 2034" nd="1"/>
              <i n="[Kalender].[K: Uge og år].&amp;[Uge 15 2034]" c="Uge 15 2034" nd="1"/>
              <i n="[Kalender].[K: Uge og år].&amp;[Uge 16 2034]" c="Uge 16 2034" nd="1"/>
              <i n="[Kalender].[K: Uge og år].&amp;[Uge 17 2034]" c="Uge 17 2034" nd="1"/>
              <i n="[Kalender].[K: Uge og år].&amp;[Uge 18 2034]" c="Uge 18 2034" nd="1"/>
              <i n="[Kalender].[K: Uge og år].&amp;[Uge 19 2034]" c="Uge 19 2034" nd="1"/>
              <i n="[Kalender].[K: Uge og år].&amp;[Uge 20 2034]" c="Uge 20 2034" nd="1"/>
              <i n="[Kalender].[K: Uge og år].&amp;[Uge 21 2034]" c="Uge 21 2034" nd="1"/>
              <i n="[Kalender].[K: Uge og år].&amp;[Uge 22 2034]" c="Uge 22 2034" nd="1"/>
              <i n="[Kalender].[K: Uge og år].&amp;[Uge 23 2034]" c="Uge 23 2034" nd="1"/>
              <i n="[Kalender].[K: Uge og år].&amp;[Uge 24 2034]" c="Uge 24 2034" nd="1"/>
              <i n="[Kalender].[K: Uge og år].&amp;[Uge 25 2034]" c="Uge 25 2034" nd="1"/>
              <i n="[Kalender].[K: Uge og år].&amp;[Uge 26 2034]" c="Uge 26 2034" nd="1"/>
              <i n="[Kalender].[K: Uge og år].&amp;[Uge 27 2034]" c="Uge 27 2034" nd="1"/>
              <i n="[Kalender].[K: Uge og år].&amp;[Uge 28 2034]" c="Uge 28 2034" nd="1"/>
              <i n="[Kalender].[K: Uge og år].&amp;[Uge 29 2034]" c="Uge 29 2034" nd="1"/>
              <i n="[Kalender].[K: Uge og år].&amp;[Uge 30 2034]" c="Uge 30 2034" nd="1"/>
              <i n="[Kalender].[K: Uge og år].&amp;[Uge 31 2034]" c="Uge 31 2034" nd="1"/>
              <i n="[Kalender].[K: Uge og år].&amp;[Uge 32 2034]" c="Uge 32 2034" nd="1"/>
              <i n="[Kalender].[K: Uge og år].&amp;[Uge 33 2034]" c="Uge 33 2034" nd="1"/>
              <i n="[Kalender].[K: Uge og år].&amp;[Uge 34 2034]" c="Uge 34 2034" nd="1"/>
              <i n="[Kalender].[K: Uge og år].&amp;[Uge 35 2034]" c="Uge 35 2034" nd="1"/>
              <i n="[Kalender].[K: Uge og år].&amp;[Uge 36 2034]" c="Uge 36 2034" nd="1"/>
              <i n="[Kalender].[K: Uge og år].&amp;[Uge 37 2034]" c="Uge 37 2034" nd="1"/>
              <i n="[Kalender].[K: Uge og år].&amp;[Uge 38 2034]" c="Uge 38 2034" nd="1"/>
              <i n="[Kalender].[K: Uge og år].&amp;[Uge 39 2034]" c="Uge 39 2034" nd="1"/>
              <i n="[Kalender].[K: Uge og år].&amp;[Uge 40 2034]" c="Uge 40 2034" nd="1"/>
              <i n="[Kalender].[K: Uge og år].&amp;[Uge 41 2034]" c="Uge 41 2034" nd="1"/>
              <i n="[Kalender].[K: Uge og år].&amp;[Uge 42 2034]" c="Uge 42 2034" nd="1"/>
              <i n="[Kalender].[K: Uge og år].&amp;[Uge 43 2034]" c="Uge 43 2034" nd="1"/>
              <i n="[Kalender].[K: Uge og år].&amp;[Uge 44 2034]" c="Uge 44 2034" nd="1"/>
              <i n="[Kalender].[K: Uge og år].&amp;[Uge 45 2034]" c="Uge 45 2034" nd="1"/>
              <i n="[Kalender].[K: Uge og år].&amp;[Uge 46 2034]" c="Uge 46 2034" nd="1"/>
              <i n="[Kalender].[K: Uge og år].&amp;[Uge 47 2034]" c="Uge 47 2034" nd="1"/>
              <i n="[Kalender].[K: Uge og år].&amp;[Uge 48 2034]" c="Uge 48 2034" nd="1"/>
              <i n="[Kalender].[K: Uge og år].&amp;[Uge 49 2034]" c="Uge 49 2034" nd="1"/>
              <i n="[Kalender].[K: Uge og år].&amp;[Uge 50 2034]" c="Uge 50 2034" nd="1"/>
              <i n="[Kalender].[K: Uge og år].&amp;[Uge 51 2034]" c="Uge 51 2034" nd="1"/>
              <i n="[Kalender].[K: Uge og år].&amp;[Uge 52 2034]" c="Uge 52 2034" nd="1"/>
              <i n="[Kalender].[K: Uge og år].&amp;[Uge 2 2035]" c="Uge 2 2035" nd="1"/>
              <i n="[Kalender].[K: Uge og år].&amp;[Uge 5 2035]" c="Uge 5 2035" nd="1"/>
              <i n="[Kalender].[K: Uge og år].&amp;[Uge 6 2035]" c="Uge 6 2035" nd="1"/>
              <i n="[Kalender].[K: Uge og år].&amp;[Uge 7 2035]" c="Uge 7 2035" nd="1"/>
              <i n="[Kalender].[K: Uge og år].&amp;[Uge 8 2035]" c="Uge 8 2035" nd="1"/>
              <i n="[Kalender].[K: Uge og år].&amp;[Uge 9 2035]" c="Uge 9 2035" nd="1"/>
              <i n="[Kalender].[K: Uge og år].&amp;[Uge 10 2035]" c="Uge 10 2035" nd="1"/>
              <i n="[Kalender].[K: Uge og år].&amp;[Uge 11 2035]" c="Uge 11 2035" nd="1"/>
              <i n="[Kalender].[K: Uge og år].&amp;[Uge 12 2035]" c="Uge 12 2035" nd="1"/>
              <i n="[Kalender].[K: Uge og år].&amp;[Uge 13 2035]" c="Uge 13 2035" nd="1"/>
              <i n="[Kalender].[K: Uge og år].&amp;[Uge 14 2035]" c="Uge 14 2035" nd="1"/>
              <i n="[Kalender].[K: Uge og år].&amp;[Uge 15 2035]" c="Uge 15 2035" nd="1"/>
              <i n="[Kalender].[K: Uge og år].&amp;[Uge 16 2035]" c="Uge 16 2035" nd="1"/>
              <i n="[Kalender].[K: Uge og år].&amp;[Uge 17 2035]" c="Uge 17 2035" nd="1"/>
              <i n="[Kalender].[K: Uge og år].&amp;[Uge 18 2035]" c="Uge 18 2035" nd="1"/>
              <i n="[Kalender].[K: Uge og år].&amp;[Uge 19 2035]" c="Uge 19 2035" nd="1"/>
              <i n="[Kalender].[K: Uge og år].&amp;[Uge 20 2035]" c="Uge 20 2035" nd="1"/>
              <i n="[Kalender].[K: Uge og år].&amp;[Uge 21 2035]" c="Uge 21 2035" nd="1"/>
              <i n="[Kalender].[K: Uge og år].&amp;[Uge 22 2035]" c="Uge 22 2035" nd="1"/>
              <i n="[Kalender].[K: Uge og år].&amp;[Uge 23 2035]" c="Uge 23 2035" nd="1"/>
              <i n="[Kalender].[K: Uge og år].&amp;[Uge 24 2035]" c="Uge 24 2035" nd="1"/>
              <i n="[Kalender].[K: Uge og år].&amp;[Uge 25 2035]" c="Uge 25 2035" nd="1"/>
              <i n="[Kalender].[K: Uge og år].&amp;[Uge 26 2035]" c="Uge 26 2035" nd="1"/>
              <i n="[Kalender].[K: Uge og år].&amp;[Uge 27 2035]" c="Uge 27 2035" nd="1"/>
              <i n="[Kalender].[K: Uge og år].&amp;[Uge 1 2035]" c="Uge 1 2035" nd="1"/>
              <i n="[Kalender].[K: Uge og år].&amp;[Uge 3 2035]" c="Uge 3 2035" nd="1"/>
              <i n="[Kalender].[K: Uge og år].&amp;[Uge 4 2035]" c="Uge 4 2035" nd="1"/>
              <i n="[Kalender].[K: Uge og år].&amp;[Uge 28 2035]" c="Uge 28 2035" nd="1"/>
              <i n="[Kalender].[K: Uge og år].&amp;[Uge 29 2035]" c="Uge 29 2035" nd="1"/>
              <i n="[Kalender].[K: Uge og år].&amp;[Uge 30 2035]" c="Uge 30 2035" nd="1"/>
              <i n="[Kalender].[K: Uge og år].&amp;[Uge 31 2035]" c="Uge 31 2035" nd="1"/>
              <i n="[Kalender].[K: Uge og år].&amp;[Uge 32 2035]" c="Uge 32 2035" nd="1"/>
              <i n="[Kalender].[K: Uge og år].&amp;[Uge 33 2035]" c="Uge 33 2035" nd="1"/>
              <i n="[Kalender].[K: Uge og år].&amp;[Uge 34 2035]" c="Uge 34 2035" nd="1"/>
              <i n="[Kalender].[K: Uge og år].&amp;[Uge 35 2035]" c="Uge 35 2035" nd="1"/>
              <i n="[Kalender].[K: Uge og år].&amp;[Uge 36 2035]" c="Uge 36 2035" nd="1"/>
              <i n="[Kalender].[K: Uge og år].&amp;[Uge 37 2035]" c="Uge 37 2035" nd="1"/>
              <i n="[Kalender].[K: Uge og år].&amp;[Uge 38 2035]" c="Uge 38 2035" nd="1"/>
              <i n="[Kalender].[K: Uge og år].&amp;[Uge 39 2035]" c="Uge 39 2035" nd="1"/>
              <i n="[Kalender].[K: Uge og år].&amp;[Uge 40 2035]" c="Uge 40 2035" nd="1"/>
              <i n="[Kalender].[K: Uge og år].&amp;[Uge 41 2035]" c="Uge 41 2035" nd="1"/>
              <i n="[Kalender].[K: Uge og år].&amp;[Uge 42 2035]" c="Uge 42 2035" nd="1"/>
              <i n="[Kalender].[K: Uge og år].&amp;[Uge 43 2035]" c="Uge 43 2035" nd="1"/>
              <i n="[Kalender].[K: Uge og år].&amp;[Uge 44 2035]" c="Uge 44 2035" nd="1"/>
              <i n="[Kalender].[K: Uge og år].&amp;[Uge 45 2035]" c="Uge 45 2035" nd="1"/>
              <i n="[Kalender].[K: Uge og år].&amp;[Uge 46 2035]" c="Uge 46 2035" nd="1"/>
              <i n="[Kalender].[K: Uge og år].&amp;[Uge 47 2035]" c="Uge 47 2035" nd="1"/>
              <i n="[Kalender].[K: Uge og år].&amp;[Uge 48 2035]" c="Uge 48 2035" nd="1"/>
              <i n="[Kalender].[K: Uge og år].&amp;[Uge 49 2035]" c="Uge 49 2035" nd="1"/>
              <i n="[Kalender].[K: Uge og år].&amp;[Uge 50 2035]" c="Uge 50 2035" nd="1"/>
              <i n="[Kalender].[K: Uge og år].&amp;[Uge 51 2035]" c="Uge 51 2035" nd="1"/>
              <i n="[Kalender].[K: Uge og år].&amp;[Uge 52 2035]" c="Uge 52 2035" nd="1"/>
              <i n="[Kalender].[K: Uge og år].&amp;[Uge 53 2035]" c="Uge 53 2035" nd="1"/>
              <i n="[Kalender].[K: Uge og år].&amp;[Uge 26 2036]" c="Uge 26 2036" nd="1"/>
              <i n="[Kalender].[K: Uge og år].&amp;[Uge 53 2036]" c="Uge 53 2036" nd="1"/>
              <i n="[Kalender].[K: Uge og år].&amp;[Uge 2 2036]" c="Uge 2 2036" nd="1"/>
              <i n="[Kalender].[K: Uge og år].&amp;[Uge 3 2036]" c="Uge 3 2036" nd="1"/>
              <i n="[Kalender].[K: Uge og år].&amp;[Uge 4 2036]" c="Uge 4 2036" nd="1"/>
              <i n="[Kalender].[K: Uge og år].&amp;[Uge 5 2036]" c="Uge 5 2036" nd="1"/>
              <i n="[Kalender].[K: Uge og år].&amp;[Uge 6 2036]" c="Uge 6 2036" nd="1"/>
              <i n="[Kalender].[K: Uge og år].&amp;[Uge 7 2036]" c="Uge 7 2036" nd="1"/>
              <i n="[Kalender].[K: Uge og år].&amp;[Uge 8 2036]" c="Uge 8 2036" nd="1"/>
              <i n="[Kalender].[K: Uge og år].&amp;[Uge 9 2036]" c="Uge 9 2036" nd="1"/>
              <i n="[Kalender].[K: Uge og år].&amp;[Uge 10 2036]" c="Uge 10 2036" nd="1"/>
              <i n="[Kalender].[K: Uge og år].&amp;[Uge 11 2036]" c="Uge 11 2036" nd="1"/>
              <i n="[Kalender].[K: Uge og år].&amp;[Uge 12 2036]" c="Uge 12 2036" nd="1"/>
              <i n="[Kalender].[K: Uge og år].&amp;[Uge 13 2036]" c="Uge 13 2036" nd="1"/>
              <i n="[Kalender].[K: Uge og år].&amp;[Uge 14 2036]" c="Uge 14 2036" nd="1"/>
              <i n="[Kalender].[K: Uge og år].&amp;[Uge 15 2036]" c="Uge 15 2036" nd="1"/>
              <i n="[Kalender].[K: Uge og år].&amp;[Uge 16 2036]" c="Uge 16 2036" nd="1"/>
              <i n="[Kalender].[K: Uge og år].&amp;[Uge 17 2036]" c="Uge 17 2036" nd="1"/>
              <i n="[Kalender].[K: Uge og år].&amp;[Uge 18 2036]" c="Uge 18 2036" nd="1"/>
              <i n="[Kalender].[K: Uge og år].&amp;[Uge 19 2036]" c="Uge 19 2036" nd="1"/>
              <i n="[Kalender].[K: Uge og år].&amp;[Uge 20 2036]" c="Uge 20 2036" nd="1"/>
              <i n="[Kalender].[K: Uge og år].&amp;[Uge 21 2036]" c="Uge 21 2036" nd="1"/>
              <i n="[Kalender].[K: Uge og år].&amp;[Uge 22 2036]" c="Uge 22 2036" nd="1"/>
              <i n="[Kalender].[K: Uge og år].&amp;[Uge 23 2036]" c="Uge 23 2036" nd="1"/>
              <i n="[Kalender].[K: Uge og år].&amp;[Uge 24 2036]" c="Uge 24 2036" nd="1"/>
              <i n="[Kalender].[K: Uge og år].&amp;[Uge 25 2036]" c="Uge 25 2036" nd="1"/>
              <i n="[Kalender].[K: Uge og år].&amp;[Uge 27 2036]" c="Uge 27 2036" nd="1"/>
              <i n="[Kalender].[K: Uge og år].&amp;[Uge 28 2036]" c="Uge 28 2036" nd="1"/>
              <i n="[Kalender].[K: Uge og år].&amp;[Uge 29 2036]" c="Uge 29 2036" nd="1"/>
              <i n="[Kalender].[K: Uge og år].&amp;[Uge 30 2036]" c="Uge 30 2036" nd="1"/>
              <i n="[Kalender].[K: Uge og år].&amp;[Uge 31 2036]" c="Uge 31 2036" nd="1"/>
              <i n="[Kalender].[K: Uge og år].&amp;[Uge 32 2036]" c="Uge 32 2036" nd="1"/>
              <i n="[Kalender].[K: Uge og år].&amp;[Uge 33 2036]" c="Uge 33 2036" nd="1"/>
              <i n="[Kalender].[K: Uge og år].&amp;[Uge 34 2036]" c="Uge 34 2036" nd="1"/>
              <i n="[Kalender].[K: Uge og år].&amp;[Uge 35 2036]" c="Uge 35 2036" nd="1"/>
              <i n="[Kalender].[K: Uge og år].&amp;[Uge 36 2036]" c="Uge 36 2036" nd="1"/>
              <i n="[Kalender].[K: Uge og år].&amp;[Uge 37 2036]" c="Uge 37 2036" nd="1"/>
              <i n="[Kalender].[K: Uge og år].&amp;[Uge 38 2036]" c="Uge 38 2036" nd="1"/>
              <i n="[Kalender].[K: Uge og år].&amp;[Uge 39 2036]" c="Uge 39 2036" nd="1"/>
              <i n="[Kalender].[K: Uge og år].&amp;[Uge 40 2036]" c="Uge 40 2036" nd="1"/>
              <i n="[Kalender].[K: Uge og år].&amp;[Uge 41 2036]" c="Uge 41 2036" nd="1"/>
              <i n="[Kalender].[K: Uge og år].&amp;[Uge 42 2036]" c="Uge 42 2036" nd="1"/>
              <i n="[Kalender].[K: Uge og år].&amp;[Uge 43 2036]" c="Uge 43 2036" nd="1"/>
              <i n="[Kalender].[K: Uge og år].&amp;[Uge 44 2036]" c="Uge 44 2036" nd="1"/>
              <i n="[Kalender].[K: Uge og år].&amp;[Uge 45 2036]" c="Uge 45 2036" nd="1"/>
              <i n="[Kalender].[K: Uge og år].&amp;[Uge 46 2036]" c="Uge 46 2036" nd="1"/>
              <i n="[Kalender].[K: Uge og år].&amp;[Uge 47 2036]" c="Uge 47 2036" nd="1"/>
              <i n="[Kalender].[K: Uge og år].&amp;[Uge 48 2036]" c="Uge 48 2036" nd="1"/>
              <i n="[Kalender].[K: Uge og år].&amp;[Uge 49 2036]" c="Uge 49 2036" nd="1"/>
              <i n="[Kalender].[K: Uge og år].&amp;[Uge 50 2036]" c="Uge 50 2036" nd="1"/>
              <i n="[Kalender].[K: Uge og år].&amp;[Uge 51 2036]" c="Uge 51 2036" nd="1"/>
              <i n="[Kalender].[K: Uge og år].&amp;[Uge 52 2036]" c="Uge 52 2036" nd="1"/>
              <i n="[Kalender].[K: Uge og år].&amp;[Uge 27 2037]" c="Uge 27 2037" nd="1"/>
              <i n="[Kalender].[K: Uge og år].&amp;[Uge 2 2037]" c="Uge 2 2037" nd="1"/>
              <i n="[Kalender].[K: Uge og år].&amp;[Uge 3 2037]" c="Uge 3 2037" nd="1"/>
              <i n="[Kalender].[K: Uge og år].&amp;[Uge 4 2037]" c="Uge 4 2037" nd="1"/>
              <i n="[Kalender].[K: Uge og år].&amp;[Uge 5 2037]" c="Uge 5 2037" nd="1"/>
              <i n="[Kalender].[K: Uge og år].&amp;[Uge 6 2037]" c="Uge 6 2037" nd="1"/>
            </range>
          </ranges>
        </level>
      </levels>
      <selections count="1">
        <selection n="[Kalender].[K: Uge og år].[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13"/>
        <pivotTable tabId="4294967295" name="PivotChartTable9"/>
      </x15:slicerCachePivotTables>
    </x:ext>
    <x:ext xmlns:x15="http://schemas.microsoft.com/office/spreadsheetml/2010/11/main" uri="{470722E0-AACD-4C17-9CDC-17EF765DBC7E}">
      <x15:slicerCacheHideItemsWithNoData count="1">
        <x15:slicerCacheOlapLevelName uniqueName="[Kalender].[K: Uge og år].[K: Uge og år]" count="1663"/>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Klokkeslætsinterval" xr10:uid="{5C4933BF-E57F-4A70-8C87-8B0F92119FFE}" sourceName="[Klokkeslætsinterval_d1].[K: Klokkeslætsinterval]">
  <pivotTables>
    <pivotTable tabId="42" name="PT - KPI"/>
    <pivotTable tabId="42" name="PT - Tilmeldinger"/>
  </pivotTables>
  <data>
    <olap pivotCacheId="932217471">
      <levels count="2">
        <level uniqueName="[Klokkeslætsinterval_d1].[K: Klokkeslætsinterval].[(All)]" sourceCaption="(All)" count="0"/>
        <level uniqueName="[Klokkeslætsinterval_d1].[K: Klokkeslætsinterval].[K: Klokkeslætsinterval]" sourceCaption="K: Klokkeslætsinterval" count="2">
          <ranges>
            <range startItem="0">
              <i n="[Klokkeslætsinterval_d1].[K: Klokkeslætsinterval].&amp;[[&gt;=18]] Aften]" c="[&gt;=18] Aften"/>
              <i n="[Klokkeslætsinterval_d1].[K: Klokkeslætsinterval].&amp;[[&gt;=00]] Øvrig]" c="[&gt;=00] Øvrig"/>
            </range>
          </ranges>
        </level>
      </levels>
      <selections count="1">
        <selection n="[Klokkeslætsinterval_d1].[K: Klokkeslætsinterval].[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År" xr10:uid="{83F96EFD-0618-4EB9-AF52-0638E52357E3}" sourceName="[Kalender].[K: År]">
  <pivotTables>
    <pivotTable tabId="42" name="PT - KPI"/>
    <pivotTable tabId="42" name="PT - Tilmeldinger"/>
  </pivotTables>
  <data>
    <olap pivotCacheId="932217471">
      <levels count="2">
        <level uniqueName="[Kalender].[K: År].[(All)]" sourceCaption="(All)" count="0"/>
        <level uniqueName="[Kalender].[K: År].[K: År]" sourceCaption="K: År" count="32" sortOrder="descending">
          <ranges>
            <range startItem="0">
              <i n="[Kalender].[K: År].&amp;[2022]" c="2022"/>
              <i n="[Kalender].[K: År].&amp;[2021]" c="2021"/>
              <i n="[Kalender].[K: År].&amp;[2049]" c="2049" nd="1"/>
              <i n="[Kalender].[K: År].&amp;[2048]" c="2048" nd="1"/>
              <i n="[Kalender].[K: År].&amp;[2047]" c="2047" nd="1"/>
              <i n="[Kalender].[K: År].&amp;[2046]" c="2046" nd="1"/>
              <i n="[Kalender].[K: År].&amp;[2045]" c="2045" nd="1"/>
              <i n="[Kalender].[K: År].&amp;[2044]" c="2044" nd="1"/>
              <i n="[Kalender].[K: År].&amp;[2043]" c="2043" nd="1"/>
              <i n="[Kalender].[K: År].&amp;[2042]" c="2042" nd="1"/>
              <i n="[Kalender].[K: År].&amp;[2041]" c="2041" nd="1"/>
              <i n="[Kalender].[K: År].&amp;[2040]" c="2040" nd="1"/>
              <i n="[Kalender].[K: År].&amp;[2039]" c="2039" nd="1"/>
              <i n="[Kalender].[K: År].&amp;[2038]" c="2038" nd="1"/>
              <i n="[Kalender].[K: År].&amp;[2037]" c="2037" nd="1"/>
              <i n="[Kalender].[K: År].&amp;[2036]" c="2036" nd="1"/>
              <i n="[Kalender].[K: År].&amp;[2035]" c="2035" nd="1"/>
              <i n="[Kalender].[K: År].&amp;[2034]" c="2034" nd="1"/>
              <i n="[Kalender].[K: År].&amp;[2033]" c="2033" nd="1"/>
              <i n="[Kalender].[K: År].&amp;[2032]" c="2032" nd="1"/>
              <i n="[Kalender].[K: År].&amp;[2031]" c="2031" nd="1"/>
              <i n="[Kalender].[K: År].&amp;[2030]" c="2030" nd="1"/>
              <i n="[Kalender].[K: År].&amp;[2029]" c="2029" nd="1"/>
              <i n="[Kalender].[K: År].&amp;[2028]" c="2028" nd="1"/>
              <i n="[Kalender].[K: År].&amp;[2027]" c="2027" nd="1"/>
              <i n="[Kalender].[K: År].&amp;[2026]" c="2026" nd="1"/>
              <i n="[Kalender].[K: År].&amp;[2025]" c="2025" nd="1"/>
              <i n="[Kalender].[K: År].&amp;[2024]" c="2024" nd="1"/>
              <i n="[Kalender].[K: År].&amp;[2023]" c="2023" nd="1"/>
              <i n="[Kalender].[K: År].&amp;[2020]" c="2020" nd="1"/>
              <i n="[Kalender].[K: År].&amp;[2019]" c="2019" nd="1"/>
              <i n="[Kalender].[K: År].&amp;[2018]" c="2018" nd="1"/>
            </range>
          </ranges>
        </level>
      </levels>
      <selections count="1">
        <selection n="[Kalender].[K: År].&amp;[2022]"/>
      </selections>
    </olap>
  </data>
  <extLst>
    <x:ext xmlns:x15="http://schemas.microsoft.com/office/spreadsheetml/2010/11/main" uri="{03082B11-2C62-411c-B77F-237D8FCFBE4C}">
      <x15:slicerCachePivotTables>
        <pivotTable tabId="4294967295" name="PivotChartTable3"/>
        <pivotTable tabId="4294967295" name="PivotChartTable1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9"/>
      </x15:slicerCachePivotTables>
    </x:ext>
    <x:ext xmlns:x15="http://schemas.microsoft.com/office/spreadsheetml/2010/11/main" uri="{470722E0-AACD-4C17-9CDC-17EF765DBC7E}">
      <x15:slicerCacheHideItemsWithNoData count="1">
        <x15:slicerCacheOlapLevelName uniqueName="[Kalender].[K: År].[K: År]" count="30"/>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Tilmeldingsstatus" xr10:uid="{66D434C3-CB45-4A95-A283-3F47875C7270}" sourceName="[Tilmeldingsstatus_d1].[K: Tilmeldingsstatus]">
  <pivotTables>
    <pivotTable tabId="42" name="PT - KPI"/>
    <pivotTable tabId="42" name="PT - Tilmeldinger"/>
  </pivotTables>
  <data>
    <olap pivotCacheId="932217471">
      <levels count="2">
        <level uniqueName="[Tilmeldingsstatus_d1].[K: Tilmeldingsstatus].[(All)]" sourceCaption="(All)" count="0"/>
        <level uniqueName="[Tilmeldingsstatus_d1].[K: Tilmeldingsstatus].[K: Tilmeldingsstatus]" sourceCaption="K: Tilmeldingsstatus" count="3">
          <ranges>
            <range startItem="0">
              <i n="[Tilmeldingsstatus_d1].[K: Tilmeldingsstatus].&amp;[✔️💲👍 Tilmeldt inkl. betaling]" c="✔️💲👍 Tilmeldt inkl. betaling"/>
              <i n="[Tilmeldingsstatus_d1].[K: Tilmeldingsstatus].&amp;[❌💸👍 Afbud inkl. refusion]" c="❌💸👍 Afbud inkl. refusion"/>
              <i n="[Tilmeldingsstatus_d1].[K: Tilmeldingsstatus].&amp;[❌💸👎 Afbud ekskl. refusion]" c="❌💸👎 Afbud ekskl. refusion"/>
            </range>
          </ranges>
        </level>
      </levels>
      <selections count="1">
        <selection n="[Tilmeldingsstatus_d1].[K: Tilmeldingsstatus].[All]"/>
      </selections>
    </olap>
  </data>
  <extLst>
    <x:ext xmlns:x15="http://schemas.microsoft.com/office/spreadsheetml/2010/11/main" uri="{03082B11-2C62-411c-B77F-237D8FCFBE4C}">
      <x15:slicerCachePivotTables>
        <pivotTable tabId="4294967295" name="PivotChartTable15"/>
        <pivotTable tabId="4294967295" name="PivotChartTable2"/>
        <pivotTable tabId="4294967295" name="PivotChartTable8"/>
        <pivotTable tabId="4294967295" name="PivotChartTable4"/>
        <pivotTable tabId="4294967295" name="PivotChartTable7"/>
        <pivotTable tabId="4294967295" name="PivotChartTable12"/>
        <pivotTable tabId="4294967295" name="PivotChartTable5"/>
        <pivotTable tabId="4294967295" name="PivotChartTable13"/>
        <pivotTable tabId="4294967295" name="PivotChartTable3"/>
        <pivotTable tabId="4294967295" name="PivotChartTable10"/>
        <pivotTable tabId="4294967295" name="PivotChartTable1"/>
        <pivotTable tabId="4294967295" name="PivotChartTable11"/>
        <pivotTable tabId="4294967295" name="PivotChartTable6"/>
        <pivotTable tabId="4294967295" name="PivotChartTable9"/>
      </x15:slicerCachePivotTables>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Gentilmeldinger" xr10:uid="{75A7370B-7A1A-4AEF-B268-F764F29BFB46}" sourceName="[Gentilmeldinger_d1].[K: Gentilmeldinger]">
  <pivotTables>
    <pivotTable tabId="42" name="PT - KPI"/>
    <pivotTable tabId="42" name="PT - Tilmeldinger"/>
  </pivotTables>
  <data>
    <olap pivotCacheId="932217471">
      <levels count="2">
        <level uniqueName="[Gentilmeldinger_d1].[K: Gentilmeldinger].[(All)]" sourceCaption="(All)" count="0"/>
        <level uniqueName="[Gentilmeldinger_d1].[K: Gentilmeldinger].[K: Gentilmeldinger]" sourceCaption="K: Gentilmeldinger" count="2">
          <ranges>
            <range startItem="0">
              <i n="[Gentilmeldinger_d1].[K: Gentilmeldinger].&amp;[🆕 Ny]" c="🆕 Ny"/>
              <i n="[Gentilmeldinger_d1].[K: Gentilmeldinger].&amp;[🔃 Tidligere]" c="🔃 Tidligere"/>
            </range>
          </ranges>
        </level>
      </levels>
      <selections count="1">
        <selection n="[Gentilmeldinger_d1].[K: Gentilmeldinger].[All]"/>
      </selections>
    </olap>
  </data>
  <extLst>
    <x:ext xmlns:x15="http://schemas.microsoft.com/office/spreadsheetml/2010/11/main" uri="{03082B11-2C62-411c-B77F-237D8FCFBE4C}">
      <x15:slicerCachePivotTables>
        <pivotTable tabId="4294967295" name="PivotChartTable15"/>
        <pivotTable tabId="4294967295" name="PivotChartTable2"/>
        <pivotTable tabId="4294967295" name="PivotChartTable8"/>
        <pivotTable tabId="4294967295" name="PivotChartTable4"/>
        <pivotTable tabId="4294967295" name="PivotChartTable7"/>
        <pivotTable tabId="4294967295" name="PivotChartTable12"/>
        <pivotTable tabId="4294967295" name="PivotChartTable5"/>
        <pivotTable tabId="4294967295" name="PivotChartTable13"/>
        <pivotTable tabId="4294967295" name="PivotChartTable3"/>
        <pivotTable tabId="4294967295" name="PivotChartTable10"/>
        <pivotTable tabId="4294967295" name="PivotChartTable1"/>
        <pivotTable tabId="4294967295" name="PivotChartTable11"/>
        <pivotTable tabId="4294967295" name="PivotChartTable6"/>
        <pivotTable tabId="4294967295" name="PivotChartTable9"/>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 Bordtennisklub" xr10:uid="{3D94BB05-6C44-43AC-AF4B-E360A6C09F49}" cache="Udsnit_K__Bordtennisklub" caption="🛖 Bordtennisklub" level="1" rowHeight="234950"/>
  <slicer name="K: Region" xr10:uid="{140635FD-9562-4BBB-9EB0-70317F2E2691}" cache="Udsnit_K__Region" caption="🏛️ Region" level="1" lockedPosition="1" rowHeight="234950"/>
  <slicer name="K: Deltager-ID" xr10:uid="{ACC61BA8-F4E4-4CB1-8E96-A0EA47F8FAA8}" cache="Udsnit_K__Deltager_ID" caption="👥 Deltager-ID" level="1" lockedPosition="1" rowHeight="234950"/>
  <slicer name="K: Landsdel" xr10:uid="{77C3EB58-C2FA-4F43-81DE-2546CE4F5F36}" cache="Udsnit_K__Landsdel" caption="🏛️ Landsdel" level="1" lockedPosition="1" rowHeight="234950"/>
  <slicer name="K: Køn" xr10:uid="{063274C9-574E-45C6-AD57-6D5C2446CA31}" cache="Udsnit_K__Køn" caption="👥 Køn" level="1" lockedPosition="1" rowHeight="234950"/>
  <slicer name="K: Spillertype" xr10:uid="{5EB879C2-677B-43F5-A1D3-9E1E069846AF}" cache="Udsnit_K__Spillertype" caption="👥 Spillertype" level="1" lockedPosition="1" rowHeight="234950"/>
  <slicer name="K: Aldersgruppe" xr10:uid="{9DC97272-975A-4B53-BFD0-76B1C2CEDB6E}" cache="Udsnit_K__Alder_interval" caption="📅 Aldersgruppe" level="1" lockedPosition="1" rowHeight="234950"/>
  <slicer name="K: Ratinggruppe" xr10:uid="{A4874272-B7AB-46F9-A7EB-6588173118FF}" cache="Udsnit_K__Rating_interval" caption="💪 Ratinggruppe" level="1" lockedPosition="1" rowHeight="234950"/>
  <slicer name="K: Billettype" xr10:uid="{AC3BF735-CD42-4638-B090-D4D107F8AAA5}" cache="Udsnit_K__Billettype" caption="🎫 Billettype" level="1" style="Udsnitstypografi 3" lockedPosition="1" rowHeight="234950"/>
  <slicer name="K: Tilmeldingstype" xr10:uid="{47AEA276-71CB-456D-9210-A650300C8374}" cache="Udsnit_K__Tilmeldingskanal" caption="🎫 Tilmeldingstype" level="1" style="Udsnitstypografi 3" lockedPosition="1" rowHeight="234950"/>
  <slicer name="K: Billetsalg pr. tilmelding" xr10:uid="{35FA16F3-289D-460E-B4C7-F1AD834FC458}" cache="Udsnit_K__Billetantal_pr._tilmelding" caption="🎫 Billetsalg pr. tilmelding" level="1" style="Udsnitstypografi 3" lockedPosition="1" rowHeight="234950"/>
  <slicer name="K: Måned og år" xr10:uid="{ADA37915-B100-44A4-84AB-E116856A4BE4}" cache="Udsnit_K__Måned_og_år" caption="📅 Måned og år" level="1" style="Udsnitstypografi 3" lockedPosition="1" rowHeight="234950"/>
  <slicer name="K: Uge 1" xr10:uid="{D866543A-3F7F-4CC6-89BC-9921287945EF}" cache="Udsnit_K__Uge1" caption="📅 Uge og år" level="1" style="Udsnitstypografi 3" lockedPosition="1" rowHeight="234950"/>
  <slicer name="K: Klokkeslætsinterval" xr10:uid="{123377D6-147B-4791-81FB-CAB1996429EB}" cache="Udsnit_K__Klokkeslætsinterval" caption="⌚ Klokkeslætsinterval" level="1" style="Udsnitstypografi 3" lockedPosition="1" rowHeight="234950"/>
  <slicer name="K: År" xr10:uid="{D9CDE0ED-9165-41BC-8505-2219BEFC642C}" cache="Udsnit_K__År" caption="📅 År" level="1" style="Udsnitstypografi 3" lockedPosition="1" rowHeight="234950"/>
  <slicer name="K: Tilmeldingsstatus" xr10:uid="{E29C2601-5B37-43EC-A450-A448ACA058E2}" cache="Udsnit_K__Tilmeldingsstatus" caption="🎫 Tilmeldingsstatus" level="1" style="Udsnitstypografi 3" lockedPosition="1" rowHeight="234950"/>
  <slicer name="K: Gentilmeldinger" xr10:uid="{35B49487-B8D1-457C-B148-B252835B007E}" cache="Udsnit_K__Gentilmeldinger" caption="🔃 Gentilmeldinger" level="1" style="Udsnitstypografi 3" lockedPosition="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0E7AF2-33B5-4690-AF8A-D7404148E3DA}" name="Billettype_d2" displayName="Billettype_d2" ref="U11:X13" totalsRowShown="0" headerRowDxfId="222">
  <autoFilter ref="U11:X13" xr:uid="{9CC615D8-7294-42D4-8ABE-3BAB4CFDC38A}">
    <filterColumn colId="0" hiddenButton="1"/>
    <filterColumn colId="1" hiddenButton="1"/>
    <filterColumn colId="2" hiddenButton="1"/>
    <filterColumn colId="3" hiddenButton="1"/>
  </autoFilter>
  <tableColumns count="4">
    <tableColumn id="5" xr3:uid="{3639EAF4-CE8B-429F-BCF8-0153823A5664}" name="Nr." dataDxfId="221">
      <calculatedColumnFormula array="1">ROW()-ROW(Billettype_d2[#Headers])</calculatedColumnFormula>
    </tableColumn>
    <tableColumn id="1" xr3:uid="{A46255B1-FC2C-4932-8D85-0A77EB6CFCCA}" name="K: Billettype" dataDxfId="220"/>
    <tableColumn id="2" xr3:uid="{CC596BFB-D583-4449-9C5C-C21175493E36}" name="K: Billetantal maks." dataDxfId="219"/>
    <tableColumn id="3" xr3:uid="{78F62B29-27C4-4802-BF16-92EF2F9943CE}" name="K: Billetpris" dataDxfId="218"/>
  </tableColumns>
  <tableStyleInfo name="Gul"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37FA88-8198-44BB-A651-6668463066EF}" name="Tilvalg_d2" displayName="Tilvalg_d2" ref="U17:V18" totalsRowShown="0" headerRowDxfId="217">
  <autoFilter ref="U17:V18" xr:uid="{31EDFCF1-08BA-4561-8A24-B4DF2F172C69}">
    <filterColumn colId="0" hiddenButton="1"/>
    <filterColumn colId="1" hiddenButton="1"/>
  </autoFilter>
  <tableColumns count="2">
    <tableColumn id="5" xr3:uid="{32920327-94E2-4372-8BE5-996E6CF279E4}" name="Nr." dataDxfId="216">
      <calculatedColumnFormula array="1">ROW()-ROW(Tilvalg_d2[#Headers])</calculatedColumnFormula>
    </tableColumn>
    <tableColumn id="1" xr3:uid="{DA66D07D-DF6F-4988-8072-3B31ACD120C7}" name="K: Tilvalg" dataDxfId="215"/>
  </tableColumns>
  <tableStyleInfo name="Gul"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D36412-D566-4FBB-9ED5-864385B4F67D}" name="Billettype_og_tilvalg_d1" displayName="Billettype_og_tilvalg_d1" ref="U5:X7" totalsRowShown="0" headerRowDxfId="214">
  <autoFilter ref="U5:X7" xr:uid="{82C1692A-C659-4842-BE90-96E03B1A01A7}">
    <filterColumn colId="0" hiddenButton="1"/>
    <filterColumn colId="1" hiddenButton="1"/>
    <filterColumn colId="2" hiddenButton="1"/>
    <filterColumn colId="3" hiddenButton="1"/>
  </autoFilter>
  <tableColumns count="4">
    <tableColumn id="3" xr3:uid="{63B2EFBA-BD8C-4015-A2C0-B3AAC6178D65}" name="Nr." dataDxfId="213">
      <calculatedColumnFormula array="1">ROW()-ROW(Billettype_og_tilvalg_d1[#Headers])</calculatedColumnFormula>
    </tableColumn>
    <tableColumn id="6" xr3:uid="{84EAEC38-079B-4F72-833B-781FF6F54735}" name="K: Billettype" dataDxfId="212"/>
    <tableColumn id="1" xr3:uid="{39B5FD2B-763B-4EED-AB14-5573D0DA4142}" name="K: Tilvalg" dataDxfId="211"/>
    <tableColumn id="2" xr3:uid="{27EA6281-5C12-4D25-84BF-266D12159745}" name="K: Arrangørpris" dataDxfId="210"/>
  </tableColumns>
  <tableStyleInfo name="Gul"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6B358AB-871E-47A0-A961-513A88D533A0}" name="Aldersgruppe_d2" displayName="Aldersgruppe_d2" ref="O55:P58" totalsRowShown="0" headerRowDxfId="209">
  <autoFilter ref="O55:P58" xr:uid="{EA991B26-A361-4ABC-92C0-092274ADD64C}">
    <filterColumn colId="0" hiddenButton="1"/>
    <filterColumn colId="1" hiddenButton="1"/>
  </autoFilter>
  <tableColumns count="2">
    <tableColumn id="5" xr3:uid="{CC499480-BB44-4B56-B449-D3392B090B60}" name="Nr." dataDxfId="208">
      <calculatedColumnFormula array="1">ROW()-ROW(Aldersgruppe_d2[#Headers])</calculatedColumnFormula>
    </tableColumn>
    <tableColumn id="1" xr3:uid="{3E3A731F-0E41-467F-A4E9-B0CEE6021E03}" name="K: Aldersgruppe" dataDxfId="207"/>
  </tableColumns>
  <tableStyleInfo name="Grøn"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FEE76BE-3346-4056-B513-43D077206456}" name="Landsdel_d3" displayName="Landsdel_d3" ref="O68:P73" totalsRowShown="0" headerRowDxfId="206">
  <autoFilter ref="O68:P73" xr:uid="{B68E62EE-137A-4B20-8A53-DEFC109325EB}">
    <filterColumn colId="0" hiddenButton="1"/>
    <filterColumn colId="1" hiddenButton="1"/>
  </autoFilter>
  <tableColumns count="2">
    <tableColumn id="5" xr3:uid="{34BDFBF2-8804-45A0-BDCD-F65F8D5FA134}" name="Nr." dataDxfId="205">
      <calculatedColumnFormula array="1">ROW()-ROW(Landsdel_d3[#Headers])</calculatedColumnFormula>
    </tableColumn>
    <tableColumn id="1" xr3:uid="{E155FC1A-EE5B-4D0B-A5CB-4C02EAAAD9A9}" name="K: Landsdel" dataDxfId="204"/>
  </tableColumns>
  <tableStyleInfo name="Grøn"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2AF88B-67BF-4F1F-9C05-B7BD22339C86}" name="Bordtennisklub_d2" displayName="Bordtennisklub_d2" ref="O5:S39" totalsRowShown="0" headerRowDxfId="203">
  <autoFilter ref="O5:S39" xr:uid="{7C3FDDD7-889D-436A-BDDA-16D93CB955E6}">
    <filterColumn colId="0" hiddenButton="1"/>
    <filterColumn colId="1" hiddenButton="1"/>
    <filterColumn colId="2" hiddenButton="1"/>
    <filterColumn colId="3" hiddenButton="1"/>
    <filterColumn colId="4" hiddenButton="1"/>
  </autoFilter>
  <sortState xmlns:xlrd2="http://schemas.microsoft.com/office/spreadsheetml/2017/richdata2" ref="O6:S38">
    <sortCondition ref="P15:P38"/>
  </sortState>
  <tableColumns count="5">
    <tableColumn id="5" xr3:uid="{967D2CDF-A959-4453-BC63-63C3587A1983}" name="Nr." dataDxfId="202">
      <calculatedColumnFormula array="1">ROW()-ROW(Bordtennisklub_d2[#Headers])</calculatedColumnFormula>
    </tableColumn>
    <tableColumn id="2" xr3:uid="{50E593F2-22CF-45E5-A73B-5E400D6C181A}" name="K: Bordtennisklub" dataDxfId="201"/>
    <tableColumn id="3" xr3:uid="{C3A88C16-4DEF-4A50-AA81-AA3E05721FA3}" name="K: Postnr." dataDxfId="200"/>
    <tableColumn id="4" xr3:uid="{C30DCD09-6AE0-409D-9CCB-9CC7B517D3ED}" name="K: By" dataDxfId="199"/>
    <tableColumn id="1" xr3:uid="{5CE06508-50BE-403B-9AC8-FE5884266FFC}" name="K: Mail" dataDxfId="198"/>
  </tableColumns>
  <tableStyleInfo name="Grøn"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BEBE96-96BB-47A7-8EC9-93E6A5B0CF96}" name="Køn_d2" displayName="Køn_d2" ref="O43:P45" totalsRowShown="0" headerRowDxfId="197">
  <autoFilter ref="O43:P45" xr:uid="{075C7E5A-7140-43A2-9A6C-310AA6FBD333}">
    <filterColumn colId="0" hiddenButton="1"/>
    <filterColumn colId="1" hiddenButton="1"/>
  </autoFilter>
  <tableColumns count="2">
    <tableColumn id="5" xr3:uid="{532EF60A-C37B-41A0-BEFF-EAB992579E1D}" name="Nr." dataDxfId="196">
      <calculatedColumnFormula array="1">ROW()-ROW(Køn_d2[#Headers])</calculatedColumnFormula>
    </tableColumn>
    <tableColumn id="1" xr3:uid="{10C3CADD-1542-4FFA-B623-265322898E70}" name="K: Køn" dataDxfId="195"/>
  </tableColumns>
  <tableStyleInfo name="Grøn"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59D6074-0B40-455B-8E2E-A1958B025F79}" name="Tilmeldingstype_d1" displayName="Tilmeldingstype_d1" ref="U35:V38" totalsRowShown="0" headerRowDxfId="194">
  <autoFilter ref="U35:V38" xr:uid="{2A62C5BA-8EBC-44C1-97F4-DE2F2D3DBC2C}">
    <filterColumn colId="0" hiddenButton="1"/>
    <filterColumn colId="1" hiddenButton="1"/>
  </autoFilter>
  <tableColumns count="2">
    <tableColumn id="1" xr3:uid="{6B68F869-DC08-4B56-81B2-2A0D419FE4A9}" name="Nr." dataDxfId="193">
      <calculatedColumnFormula array="1">ROW()-ROW(Tilmeldingstype_d1[#Headers])</calculatedColumnFormula>
    </tableColumn>
    <tableColumn id="2" xr3:uid="{4A7721A4-14FF-4EAE-A1ED-80A3ADB4AE01}" name="K: Tilmeldingstype" dataDxfId="192"/>
  </tableColumns>
  <tableStyleInfo name="Gul"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71D10-87DE-403E-8192-C83F50521E6A}" name="Ratinggruppe_d2" displayName="Ratinggruppe_d2" ref="O62:P64" totalsRowShown="0" headerRowDxfId="191">
  <autoFilter ref="O62:P64" xr:uid="{CE571D10-87DE-403E-8192-C83F50521E6A}">
    <filterColumn colId="0" hiddenButton="1"/>
    <filterColumn colId="1" hiddenButton="1"/>
  </autoFilter>
  <tableColumns count="2">
    <tableColumn id="5" xr3:uid="{F4E33A3B-7D80-45A5-9ADE-054098F8BCA4}" name="Nr." dataDxfId="190">
      <calculatedColumnFormula array="1">ROW()-ROW(Ratinggruppe_d2[#Headers])</calculatedColumnFormula>
    </tableColumn>
    <tableColumn id="1" xr3:uid="{9E2B2E22-F39F-49ED-9FA5-4BD7F91EE559}" name="K: Ratinggruppe" dataDxfId="189"/>
  </tableColumns>
  <tableStyleInfo name="Grøn"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8B9AB83-57BD-484C-86E6-6B9F0A427FBF}" name="Spillertype_d2" displayName="Spillertype_d2" ref="O49:P51" totalsRowShown="0" headerRowDxfId="188">
  <autoFilter ref="O49:P51" xr:uid="{D8B9AB83-57BD-484C-86E6-6B9F0A427FBF}">
    <filterColumn colId="0" hiddenButton="1"/>
    <filterColumn colId="1" hiddenButton="1"/>
  </autoFilter>
  <tableColumns count="2">
    <tableColumn id="1" xr3:uid="{3B6F0A18-161F-4938-A6D5-0B6E656E06DF}" name="Nr." dataDxfId="187">
      <calculatedColumnFormula array="1">ROW()-ROW(Spillertype_d2[#Headers])</calculatedColumnFormula>
    </tableColumn>
    <tableColumn id="2" xr3:uid="{DA956683-D17A-4F61-A300-DE8679F5917D}" name="K: Spillertype" dataDxfId="186"/>
  </tableColumns>
  <tableStyleInfo name="Grøn"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544A231-00C0-4656-977D-CC4B4992C57C}" name="Region_d3" displayName="Region_d3" ref="O77:P83" totalsRowShown="0" headerRowDxfId="185">
  <autoFilter ref="O77:P83" xr:uid="{D544A231-00C0-4656-977D-CC4B4992C57C}">
    <filterColumn colId="0" hiddenButton="1"/>
    <filterColumn colId="1" hiddenButton="1"/>
  </autoFilter>
  <tableColumns count="2">
    <tableColumn id="5" xr3:uid="{8DB5453F-020F-4762-A339-EC3B4C0F48DF}" name="Nr." dataDxfId="184">
      <calculatedColumnFormula array="1">ROW()-ROW(Region_d3[#Headers])</calculatedColumnFormula>
    </tableColumn>
    <tableColumn id="1" xr3:uid="{5A21716B-0C56-4307-8C46-64013A2C28FE}" name="K: Region" dataDxfId="183"/>
  </tableColumns>
  <tableStyleInfo name="Grøn"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36E2FD8-060F-49EF-BD4D-F9C875E3B0B5}" name="Billetsalg_pr_tilmelding_d1" displayName="Billetsalg_pr_tilmelding_d1" ref="U29:V31" totalsRowShown="0" headerRowDxfId="182">
  <autoFilter ref="U29:V31" xr:uid="{536E2FD8-060F-49EF-BD4D-F9C875E3B0B5}">
    <filterColumn colId="0" hiddenButton="1"/>
    <filterColumn colId="1" hiddenButton="1"/>
  </autoFilter>
  <tableColumns count="2">
    <tableColumn id="1" xr3:uid="{4C5D5E6B-C0DC-418B-B80A-B15521B371A0}" name="Nr." dataDxfId="181">
      <calculatedColumnFormula array="1">ROW()-ROW(Billetsalg_pr_tilmelding_d1[#Headers])</calculatedColumnFormula>
    </tableColumn>
    <tableColumn id="2" xr3:uid="{BFE0A22F-3D5E-4D99-839A-690D20A0CD92}" name="K: Billetsalg pr. tilmelding" dataDxfId="180"/>
  </tableColumns>
  <tableStyleInfo name="Gul"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AF22CFF-291E-47A9-B271-D1981BFF43E7}" name="Klokkeslætsinterval_d1" displayName="Klokkeslætsinterval_d1" ref="U48:V50" totalsRowShown="0" headerRowDxfId="179">
  <autoFilter ref="U48:V50" xr:uid="{BAF22CFF-291E-47A9-B271-D1981BFF43E7}">
    <filterColumn colId="0" hiddenButton="1"/>
    <filterColumn colId="1" hiddenButton="1"/>
  </autoFilter>
  <tableColumns count="2">
    <tableColumn id="1" xr3:uid="{2F09A83C-C3F5-4F29-9A1C-69436E8FD11E}" name="Nr." dataDxfId="178">
      <calculatedColumnFormula array="1">ROW()-ROW(Klokkeslætsinterval_d1[#Headers])</calculatedColumnFormula>
    </tableColumn>
    <tableColumn id="2" xr3:uid="{D536EEC5-853E-4C30-93E9-2C65B7D94761}" name="K: Klokkeslætsinterval" dataDxfId="177"/>
  </tableColumns>
  <tableStyleInfo name="Gul"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7FF4766-6507-42E7-B52E-D5B5A8B9D4DC}" name="Tilmeldinger" displayName="Tilmeldinger" ref="A5:D98" totalsRowShown="0">
  <autoFilter ref="A5:D98" xr:uid="{27FF4766-6507-42E7-B52E-D5B5A8B9D4DC}"/>
  <sortState xmlns:xlrd2="http://schemas.microsoft.com/office/spreadsheetml/2017/richdata2" ref="A6:D98">
    <sortCondition descending="1" ref="B5:B98"/>
  </sortState>
  <tableColumns count="4">
    <tableColumn id="4" xr3:uid="{1E9D5604-F8EF-4595-A892-DF2DABA3AA90}" name="K: Deltager" dataDxfId="176"/>
    <tableColumn id="1" xr3:uid="{0785FDFB-7B0E-4A05-B955-7D5E531E4A12}" name="K: Ordredato" dataDxfId="175"/>
    <tableColumn id="2" xr3:uid="{9D0F278E-742F-482C-A4DD-6BE7EF36E92F}" name="🏓 DM I PING PONG" dataDxfId="174"/>
    <tableColumn id="3" xr3:uid="{10E94542-FE51-477D-AC06-33E5468B1934}" name="🥳 FEST OM AFTENEN" dataDxfId="173"/>
  </tableColumns>
  <tableStyleInfo name="Blå"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408CAA1-B40B-4D90-A5DB-FF8D44D61523}" name="Deltagere" displayName="Deltagere" ref="F5:M88" totalsRowShown="0" headerRowDxfId="172" dataDxfId="171">
  <autoFilter ref="F5:M88" xr:uid="{E408CAA1-B40B-4D90-A5DB-FF8D44D61523}"/>
  <sortState xmlns:xlrd2="http://schemas.microsoft.com/office/spreadsheetml/2017/richdata2" ref="F6:M88">
    <sortCondition ref="M5:M88"/>
  </sortState>
  <tableColumns count="8">
    <tableColumn id="1" xr3:uid="{75A494DF-CC95-47A4-BF61-0CBE1D6606DB}" name="K: Spiller-ID/fødselsdato (ddmmåå)" dataDxfId="170"/>
    <tableColumn id="2" xr3:uid="{3BC78121-F6C0-4EAA-BB65-E3558A36C57A}" name="K: Navn" dataDxfId="169"/>
    <tableColumn id="3" xr3:uid="{9AA107EA-B3E1-4921-89B1-2CC26665C1A5}" name="K: Køn" dataDxfId="168"/>
    <tableColumn id="4" xr3:uid="{C24E705F-C2F7-4579-B011-927350DF0ADA}" name="K: Bordtennisklub" dataDxfId="167"/>
    <tableColumn id="5" xr3:uid="{6C44333E-62AB-4CB4-9A42-B5C16ED371E5}" name="K: Evt. rang (1)" dataDxfId="166"/>
    <tableColumn id="6" xr3:uid="{559AA0FE-D8E0-4235-B82F-C4CCE86697E2}" name="K: Evt. rating (2)" dataDxfId="165"/>
    <tableColumn id="7" xr3:uid="{EDC69A01-3DBB-47B1-876A-4C0E58C53C01}" name="K: Evt. rang (3)" dataDxfId="164"/>
    <tableColumn id="8" xr3:uid="{5B38F007-7208-4FE7-8AA8-16E24C495D53}" name="K: Deltager" dataDxfId="163">
      <calculatedColumnFormula array="1">IF(OR(ISBLANK(Deltagere[[#This Row],[K: Spiller-ID/fødselsdato (ddmmåå)]:[K: Navn]])),"",Deltagere[[#This Row],[K: Navn]]&amp;" ("&amp;Deltagere[[#This Row],[K: Spiller-ID/fødselsdato (ddmmåå)]]&amp;")")</calculatedColumnFormula>
    </tableColumn>
  </tableColumns>
  <tableStyleInfo name="Grøn"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37BF6995-7374-44AB-AA88-C7AB6BDEB3DB}" name="Tilmeldingsstatus_d1" displayName="Tilmeldingsstatus_d1" ref="U22:V25" totalsRowShown="0" headerRowDxfId="162">
  <autoFilter ref="U22:V25" xr:uid="{37BF6995-7374-44AB-AA88-C7AB6BDEB3DB}">
    <filterColumn colId="0" hiddenButton="1"/>
    <filterColumn colId="1" hiddenButton="1"/>
  </autoFilter>
  <tableColumns count="2">
    <tableColumn id="2" xr3:uid="{35161E48-7B3C-47CC-8CDE-B7F5B08F877B}" name="Nr." dataDxfId="161">
      <calculatedColumnFormula array="1">ROW()-ROW(Tilmeldingsstatus_d1[#Headers])</calculatedColumnFormula>
    </tableColumn>
    <tableColumn id="1" xr3:uid="{B92F4224-0F2E-42BB-BE2E-68CB4DAE2157}" name="K: Tilmeldingsstatus" dataDxfId="160"/>
  </tableColumns>
  <tableStyleInfo name="Gul"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FB34333-0368-4825-B1EF-9E8D45F644FE}" name="Gentilmeldinger_d1" displayName="Gentilmeldinger_d1" ref="U42:V44" totalsRowShown="0" headerRowDxfId="159">
  <autoFilter ref="U42:V44" xr:uid="{CFB34333-0368-4825-B1EF-9E8D45F644FE}">
    <filterColumn colId="0" hiddenButton="1"/>
    <filterColumn colId="1" hiddenButton="1"/>
  </autoFilter>
  <tableColumns count="2">
    <tableColumn id="2" xr3:uid="{D9F5604F-C0DD-4906-9B77-F339FFA9A114}" name="Nr." dataDxfId="158">
      <calculatedColumnFormula array="1">ROW()-ROW(Gentilmeldinger_d1[#Headers])</calculatedColumnFormula>
    </tableColumn>
    <tableColumn id="1" xr3:uid="{85ECBF69-CF84-44CE-AC8A-6D65B4AB9F23}" name="K: Gentilmeldinger" dataDxfId="157"/>
  </tableColumns>
  <tableStyleInfo name="Gul"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9D61926-6D6C-4E7A-8445-A3BE41FF7AA8}" name="Tilmeldingsstatus" displayName="Tilmeldingsstatus" ref="U21:AC122" tableType="queryTable" totalsRowShown="0">
  <tableColumns count="9">
    <tableColumn id="1" xr3:uid="{8FEEFC06-A103-488A-AD0B-28C9C3703E3A}" uniqueName="1" name="Nr." queryTableFieldId="9" dataDxfId="156"/>
    <tableColumn id="25" xr3:uid="{860FB654-E7A8-4CED-A75A-017D8FD745BE}" uniqueName="25" name="Navn" queryTableFieldId="1" dataDxfId="155"/>
    <tableColumn id="26" xr3:uid="{A1332EF1-3BD5-4EC6-84FF-57A5670D2EA4}" uniqueName="26" name="Bordtennisklub" queryTableFieldId="2" dataDxfId="154"/>
    <tableColumn id="27" xr3:uid="{BF104B8F-0D75-412B-B827-5045DACC08B7}" uniqueName="27" name="Alder" queryTableFieldId="3" dataDxfId="153"/>
    <tableColumn id="2" xr3:uid="{219A880C-9CDE-4C1E-B9B6-E5B6C39746F5}" uniqueName="2" name="Køn" queryTableFieldId="11" dataDxfId="152"/>
    <tableColumn id="3" xr3:uid="{9DE34DC1-8BE4-4D36-A0B5-2598BE9D9F78}" uniqueName="3" name="Ordredato med tid" queryTableFieldId="13" dataDxfId="151"/>
    <tableColumn id="31" xr3:uid="{1C029ED4-0CA9-41B0-B285-2B16DAE9B12B}" uniqueName="31" name="Billettype" queryTableFieldId="7" dataDxfId="150"/>
    <tableColumn id="32" xr3:uid="{436DB36F-2FDA-46B4-B250-662E490E5F64}" uniqueName="32" name="Status" queryTableFieldId="8" dataDxfId="149"/>
    <tableColumn id="4" xr3:uid="{FC47B4B1-2E77-49C9-B708-1E16BB1D476F}" uniqueName="4" name="Billetpris" queryTableFieldId="15" dataDxfId="148"/>
  </tableColumns>
  <tableStyleInfo name="Grå"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C35EB05-9D67-434A-B736-A54C0347A623}" name="Tilmeldinger_billettype_2_alder" displayName="Tilmeldinger_billettype_2_alder" ref="O33:S75" tableType="queryTable" totalsRowShown="0">
  <tableColumns count="5">
    <tableColumn id="1" xr3:uid="{84958A5A-2C34-497B-B447-FB33DE7CA1C7}" uniqueName="1" name="Nr." queryTableFieldId="4" dataDxfId="147"/>
    <tableColumn id="10" xr3:uid="{6EEC6182-7A39-461A-95ED-0FA4279699FE}" uniqueName="10" name="Navn og bordtennisklub" queryTableFieldId="1" dataDxfId="146"/>
    <tableColumn id="11" xr3:uid="{C8BBC31C-CB50-425D-8171-07CE480A2A39}" uniqueName="11" name="Alder" queryTableFieldId="2" dataDxfId="145"/>
    <tableColumn id="2" xr3:uid="{3173205B-F1A6-4458-80E4-05C98310623F}" uniqueName="2" name="Køn" queryTableFieldId="6" dataDxfId="144"/>
    <tableColumn id="12" xr3:uid="{1C13D952-AB0E-4001-A87E-DA0AFD4F76E0}" uniqueName="12" name="Billettype" queryTableFieldId="3" dataDxfId="143"/>
  </tableColumns>
  <tableStyleInfo name="Orang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017CB78-05BA-42DF-9EB1-902180C2DFB0}" name="Foreløbige_tilmeldinger" displayName="Foreløbige_tilmeldinger" ref="C58:D118" tableType="queryTable" totalsRowShown="0">
  <autoFilter ref="C58:D118" xr:uid="{D017CB78-05BA-42DF-9EB1-902180C2DFB0}">
    <filterColumn colId="0" hiddenButton="1"/>
    <filterColumn colId="1" hiddenButton="1"/>
  </autoFilter>
  <tableColumns count="2">
    <tableColumn id="1" xr3:uid="{691F3936-ED47-442D-84DA-3DD55A5CA8C9}" uniqueName="1" name="Nr." queryTableFieldId="1" dataDxfId="142"/>
    <tableColumn id="2" xr3:uid="{2A1EC8A4-E654-48B1-8930-086BBB3FBE50}" uniqueName="2" name="Foreløbige tilmeldinger" queryTableFieldId="2" dataDxfId="141"/>
  </tableColumns>
  <tableStyleInfo name="Gul"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65CD04B-B45D-4643-9F1C-B4A6C237CED0}" name="Endelige_tilmeldinger" displayName="Endelige_tilmeldinger" ref="F49:G109" tableType="queryTable" totalsRowShown="0">
  <autoFilter ref="F49:G109" xr:uid="{B65CD04B-B45D-4643-9F1C-B4A6C237CED0}">
    <filterColumn colId="0" hiddenButton="1"/>
  </autoFilter>
  <tableColumns count="2">
    <tableColumn id="1" xr3:uid="{07C66ED0-C518-44D5-A532-C4E03125AEFA}" uniqueName="1" name="Nr." queryTableFieldId="1" dataDxfId="140"/>
    <tableColumn id="2" xr3:uid="{5B25A058-76FB-4EFE-AD86-D31C02A7A6E8}" uniqueName="2" name="Tilmeldinger" queryTableFieldId="3" dataDxfId="139"/>
  </tableColumns>
  <tableStyleInfo name="Grøn"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32B2EEB-BED7-4BA7-89BD-2212D6701F5D}" name="Tilmeldinger_billettype_1_klub" displayName="Tilmeldinger_billettype_1_klub" ref="I108:L189" tableType="queryTable" totalsRowShown="0">
  <autoFilter ref="I108:L189" xr:uid="{832B2EEB-BED7-4BA7-89BD-2212D6701F5D}">
    <filterColumn colId="0" hiddenButton="1"/>
    <filterColumn colId="1" hiddenButton="1"/>
    <filterColumn colId="2" hiddenButton="1"/>
    <filterColumn colId="3" hiddenButton="1"/>
  </autoFilter>
  <tableColumns count="4">
    <tableColumn id="1" xr3:uid="{190FE29F-F73F-4FC6-86C7-A77714094C9D}" uniqueName="1" name="Ordredato" queryTableFieldId="35" dataDxfId="138"/>
    <tableColumn id="29" xr3:uid="{1A03BD3B-2FC1-49B2-B4FA-8A69DD2A65A2}" uniqueName="29" name="Deltager-ID" queryTableFieldId="29" dataDxfId="137"/>
    <tableColumn id="2" xr3:uid="{41DBA2A0-0B9E-42D5-82F6-B13F231B6B50}" uniqueName="2" name="Køn" queryTableFieldId="37" dataDxfId="136"/>
    <tableColumn id="28" xr3:uid="{93A8F081-72F9-4A08-BE3C-BAE97C5EC6C5}" uniqueName="28" name="Rating" queryTableFieldId="28" dataDxfId="135"/>
  </tableColumns>
  <tableStyleInfo name="Blå"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BBE70E-91A5-4D37-9AA7-08E9BF10EA45}" name="Tilmeldinger_billettype_1_seedning" displayName="Tilmeldinger_billettype_1_seedning" ref="I48:L96" tableType="queryTable" totalsRowShown="0">
  <autoFilter ref="I48:L96" xr:uid="{40BBE70E-91A5-4D37-9AA7-08E9BF10EA45}">
    <filterColumn colId="0" hiddenButton="1"/>
    <filterColumn colId="1" hiddenButton="1"/>
    <filterColumn colId="2" hiddenButton="1"/>
    <filterColumn colId="3" hiddenButton="1"/>
  </autoFilter>
  <tableColumns count="4">
    <tableColumn id="1" xr3:uid="{4737DCF8-2E1C-42B8-9D47-724CDC37A8C3}" uniqueName="1" name="Nr." queryTableFieldId="1" dataDxfId="134"/>
    <tableColumn id="2" xr3:uid="{ABF29075-ABEE-4D01-BACF-FCF09D6E6CAF}" uniqueName="2" name="Navn og bordtennisklub" queryTableFieldId="2" dataDxfId="133"/>
    <tableColumn id="3" xr3:uid="{4CC762B3-81F5-4A8D-8244-813BF7F3AF89}" uniqueName="3" name="Alder" queryTableFieldId="3" dataDxfId="132"/>
    <tableColumn id="4" xr3:uid="{E9480348-CE1A-4C68-B980-6A70B178E58B}" uniqueName="4" name="Rating" queryTableFieldId="4" dataDxfId="131"/>
  </tableColumns>
  <tableStyleInfo name="Blå"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6699C4E-1C72-4D17-9074-72E445E86CF7}" name="Seedningslag_4_mandspuljer" displayName="Seedningslag_4_mandspuljer" ref="F68:X80" tableType="queryTable" totalsRowShown="0">
  <autoFilter ref="F68:X80" xr:uid="{96699C4E-1C72-4D17-9074-72E445E86C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3759EF35-C516-4619-8D08-62AC04214740}" uniqueName="1" name="Nr.¹" queryTableFieldId="1" dataDxfId="130"/>
    <tableColumn id="2" xr3:uid="{04C9B779-8BA7-40FC-9C4E-9FCB6A15D9F4}" uniqueName="2" name="Navn og bordtennisklub¹" queryTableFieldId="2"/>
    <tableColumn id="3" xr3:uid="{3FF00B5E-4E9D-4F1B-B3DC-56E040BA8E52}" uniqueName="3" name="Alder¹" queryTableFieldId="3" dataDxfId="129"/>
    <tableColumn id="4" xr3:uid="{B09967F9-5D07-4010-9448-B9B1DAB6A282}" uniqueName="4" name="Rating¹" queryTableFieldId="4" dataDxfId="128"/>
    <tableColumn id="5" xr3:uid="{895E72D1-5F95-42D1-9F98-F73BB4BC569D}" uniqueName="5" name="Seedningslag 2" queryTableFieldId="5" dataDxfId="127"/>
    <tableColumn id="6" xr3:uid="{A991D087-FC2A-42E7-B721-176F213B393B}" uniqueName="6" name="Nr.²" queryTableFieldId="6" dataDxfId="126"/>
    <tableColumn id="7" xr3:uid="{6D1D1AE8-7477-44E8-98FD-957B2A8B5AE7}" uniqueName="7" name="Navn og bordtennisklub²" queryTableFieldId="7"/>
    <tableColumn id="8" xr3:uid="{91665930-EF4C-43A5-938A-9B4E657ACB4C}" uniqueName="8" name="Alder²" queryTableFieldId="8" dataDxfId="125"/>
    <tableColumn id="9" xr3:uid="{9EB0680B-CD86-41DE-A068-78EC9D2877A6}" uniqueName="9" name="Rating²" queryTableFieldId="9" dataDxfId="124"/>
    <tableColumn id="10" xr3:uid="{AF934ACD-AA26-4091-B572-B7899CD5BA6C}" uniqueName="10" name="Seedningslag 3" queryTableFieldId="10" dataDxfId="123"/>
    <tableColumn id="11" xr3:uid="{17CA309A-7D7F-487F-9B34-0CF6E854D443}" uniqueName="11" name="Nr.³" queryTableFieldId="11" dataDxfId="122"/>
    <tableColumn id="12" xr3:uid="{FCD0ED6E-3CE7-4D84-81E9-3E1C67AAAAE5}" uniqueName="12" name="Navn og bordtennisklub³" queryTableFieldId="12"/>
    <tableColumn id="13" xr3:uid="{29CF13C5-59C6-46FE-A450-FEBAC6EDCC5C}" uniqueName="13" name="Alder³" queryTableFieldId="13" dataDxfId="121"/>
    <tableColumn id="14" xr3:uid="{34226116-AB18-4131-9B5E-1700EBE3435F}" uniqueName="14" name="Rating³" queryTableFieldId="14" dataDxfId="120"/>
    <tableColumn id="15" xr3:uid="{223A36D9-F876-4893-85A8-01252CF845E7}" uniqueName="15" name="Seedningslag 4" queryTableFieldId="15" dataDxfId="119"/>
    <tableColumn id="16" xr3:uid="{0088AFAC-B2D5-4BFE-A7B8-DEBE2CA38157}" uniqueName="16" name="Nr.⁴" queryTableFieldId="16" dataDxfId="118"/>
    <tableColumn id="17" xr3:uid="{89A3F294-DD1B-4967-8F9D-F0A811DDD2EF}" uniqueName="17" name="Navn og bordtennisklub⁴" queryTableFieldId="17"/>
    <tableColumn id="18" xr3:uid="{F5B21146-2409-46E6-A8CA-AF5791DA9EF9}" uniqueName="18" name="Alder⁴" queryTableFieldId="18" dataDxfId="117"/>
    <tableColumn id="19" xr3:uid="{141E38E3-7E45-40B3-9FBF-49C691B679FC}" uniqueName="19" name="Rating⁴" queryTableFieldId="19" dataDxfId="116"/>
  </tableColumns>
  <tableStyleInfo name="Blå"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6BAF03-69F6-4036-9D8B-8DA893D83CC8}" name="Seedningslag_6_mandspuljer" displayName="Seedningslag_6_mandspuljer" ref="A7:AC15" tableType="queryTable" totalsRowShown="0">
  <autoFilter ref="A7:AC15" xr:uid="{2A6BAF03-69F6-4036-9D8B-8DA893D83C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48E7641D-3110-450D-825B-0110C85B2D34}" uniqueName="1" name="Nr.¹" queryTableFieldId="1" dataDxfId="115"/>
    <tableColumn id="2" xr3:uid="{1A82BB19-DEAA-473A-9127-8D31C812F6EF}" uniqueName="2" name="Navn og bordtennisklub¹" queryTableFieldId="2"/>
    <tableColumn id="3" xr3:uid="{8C5938BC-A430-4CD0-A696-9731D5D9D9BA}" uniqueName="3" name="Alder¹" queryTableFieldId="3" dataDxfId="114"/>
    <tableColumn id="4" xr3:uid="{F71977AC-C7C8-4441-91DB-C5953AF3C42C}" uniqueName="4" name="Rating¹" queryTableFieldId="4" dataDxfId="113"/>
    <tableColumn id="5" xr3:uid="{C4C74538-58D0-4608-8D72-34DBE55427C9}" uniqueName="5" name="Seedningslag 2" queryTableFieldId="5" dataDxfId="112"/>
    <tableColumn id="6" xr3:uid="{CD3A4BF8-CF2B-415F-9B30-B631E43B5F15}" uniqueName="6" name="Nr.²" queryTableFieldId="6" dataDxfId="111"/>
    <tableColumn id="7" xr3:uid="{4422CA17-CC88-4825-AAEC-3553738F214B}" uniqueName="7" name="Navn og bordtennisklub²" queryTableFieldId="7"/>
    <tableColumn id="8" xr3:uid="{D6C1F813-AEB1-46B8-AEE9-5EFDE4E339AB}" uniqueName="8" name="Alder²" queryTableFieldId="8" dataDxfId="110"/>
    <tableColumn id="9" xr3:uid="{AE31305F-3122-4869-8228-43AFA4BB7F27}" uniqueName="9" name="Rating²" queryTableFieldId="9" dataDxfId="109"/>
    <tableColumn id="10" xr3:uid="{A6FB48A5-AA24-46CD-928E-B8FEB26509CE}" uniqueName="10" name="Seedningslag 3" queryTableFieldId="10" dataDxfId="108"/>
    <tableColumn id="11" xr3:uid="{AFF8E0A9-6C08-45AA-A1EA-A89762B6F854}" uniqueName="11" name="Nr.³" queryTableFieldId="11" dataDxfId="107"/>
    <tableColumn id="12" xr3:uid="{DC961101-F911-4517-A509-1B5771450ED5}" uniqueName="12" name="Navn og bordtennisklub³" queryTableFieldId="12"/>
    <tableColumn id="13" xr3:uid="{A57EAF11-2728-4F06-A2F2-7895FE55DF96}" uniqueName="13" name="Alder³" queryTableFieldId="13" dataDxfId="106"/>
    <tableColumn id="14" xr3:uid="{A69D3FB2-DC2D-4212-8268-AA1BBF6EE6C5}" uniqueName="14" name="Rating³" queryTableFieldId="14" dataDxfId="105"/>
    <tableColumn id="15" xr3:uid="{CD5D7EAE-AF62-4632-B849-50E47519FC72}" uniqueName="15" name="Seedningslag 4" queryTableFieldId="15" dataDxfId="104"/>
    <tableColumn id="16" xr3:uid="{A34C98EE-DECC-46F5-BC0C-E57DA9A7120B}" uniqueName="16" name="Nr.⁴" queryTableFieldId="16" dataDxfId="103"/>
    <tableColumn id="17" xr3:uid="{63D9D999-3A90-4D1E-8C5E-924BC6E5FE58}" uniqueName="17" name="Navn og bordtennisklub⁴" queryTableFieldId="17"/>
    <tableColumn id="18" xr3:uid="{341ABA66-4843-49FF-BF3B-8C7BCB989BE2}" uniqueName="18" name="Alder⁴" queryTableFieldId="18" dataDxfId="102"/>
    <tableColumn id="19" xr3:uid="{8C022365-16EB-4C08-B8B1-3DFAF4A52F14}" uniqueName="19" name="Rating⁴" queryTableFieldId="19" dataDxfId="101"/>
    <tableColumn id="20" xr3:uid="{F28795AD-7612-491C-9963-90B8D0E5069D}" uniqueName="20" name="Seedningslag 5" queryTableFieldId="20" dataDxfId="100"/>
    <tableColumn id="21" xr3:uid="{A09D97DA-A15F-4DA8-8756-13FB4FF4DF48}" uniqueName="21" name="Nr.⁵" queryTableFieldId="21" dataDxfId="99"/>
    <tableColumn id="22" xr3:uid="{CC33B0F2-CD7C-4A81-ABB3-3419288F1D8E}" uniqueName="22" name="Navn og bordtennisklub⁵" queryTableFieldId="22"/>
    <tableColumn id="23" xr3:uid="{74461590-A101-40DE-BCB8-6E6C9AD7016B}" uniqueName="23" name="Alder⁵" queryTableFieldId="23" dataDxfId="98"/>
    <tableColumn id="24" xr3:uid="{CA401870-B72D-4AAF-9944-D0D5A4034A2A}" uniqueName="24" name="Rating⁵" queryTableFieldId="24" dataDxfId="97"/>
    <tableColumn id="25" xr3:uid="{B56244B1-1A1E-4392-ADFA-FF3D1C490745}" uniqueName="25" name="Seedningslag 6" queryTableFieldId="25" dataDxfId="96"/>
    <tableColumn id="26" xr3:uid="{0084C355-A09A-4015-8267-28150F812D24}" uniqueName="26" name="Nr.⁶" queryTableFieldId="26" dataDxfId="95"/>
    <tableColumn id="27" xr3:uid="{B884F7C0-07B9-4399-B4E8-823240270778}" uniqueName="27" name="Navn og bordtennisklub⁶" queryTableFieldId="27"/>
    <tableColumn id="28" xr3:uid="{EA410ADD-2E7C-4F6F-872C-83B1FB8F36E1}" uniqueName="28" name="Alder⁶" queryTableFieldId="28" dataDxfId="94"/>
    <tableColumn id="29" xr3:uid="{9E45D0DF-A9B0-4111-A117-803B6A4DD627}" uniqueName="29" name="Rating⁶" queryTableFieldId="29" dataDxfId="93"/>
  </tableColumns>
  <tableStyleInfo name="Blå"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18" Type="http://schemas.openxmlformats.org/officeDocument/2006/relationships/table" Target="../tables/table16.xml"/><Relationship Id="rId3" Type="http://schemas.openxmlformats.org/officeDocument/2006/relationships/table" Target="../tables/table1.xml"/><Relationship Id="rId7" Type="http://schemas.openxmlformats.org/officeDocument/2006/relationships/table" Target="../tables/table5.xml"/><Relationship Id="rId12" Type="http://schemas.openxmlformats.org/officeDocument/2006/relationships/table" Target="../tables/table10.xml"/><Relationship Id="rId17" Type="http://schemas.openxmlformats.org/officeDocument/2006/relationships/table" Target="../tables/table15.xml"/><Relationship Id="rId2" Type="http://schemas.openxmlformats.org/officeDocument/2006/relationships/image" Target="../media/image1.png"/><Relationship Id="rId16" Type="http://schemas.openxmlformats.org/officeDocument/2006/relationships/table" Target="../tables/table14.xml"/><Relationship Id="rId1" Type="http://schemas.openxmlformats.org/officeDocument/2006/relationships/printerSettings" Target="../printerSettings/printerSettings1.bin"/><Relationship Id="rId6" Type="http://schemas.openxmlformats.org/officeDocument/2006/relationships/table" Target="../tables/table4.xml"/><Relationship Id="rId11" Type="http://schemas.openxmlformats.org/officeDocument/2006/relationships/table" Target="../tables/table9.xml"/><Relationship Id="rId5" Type="http://schemas.openxmlformats.org/officeDocument/2006/relationships/table" Target="../tables/table3.xml"/><Relationship Id="rId15" Type="http://schemas.openxmlformats.org/officeDocument/2006/relationships/table" Target="../tables/table13.xml"/><Relationship Id="rId10" Type="http://schemas.openxmlformats.org/officeDocument/2006/relationships/table" Target="../tables/table8.xml"/><Relationship Id="rId19" Type="http://schemas.openxmlformats.org/officeDocument/2006/relationships/table" Target="../tables/table17.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2.xml"/><Relationship Id="rId3" Type="http://schemas.openxmlformats.org/officeDocument/2006/relationships/image" Target="../media/image1.png"/><Relationship Id="rId7" Type="http://schemas.openxmlformats.org/officeDocument/2006/relationships/table" Target="../tables/table21.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table" Target="../tables/table20.xml"/><Relationship Id="rId5" Type="http://schemas.openxmlformats.org/officeDocument/2006/relationships/table" Target="../tables/table19.xml"/><Relationship Id="rId4" Type="http://schemas.openxmlformats.org/officeDocument/2006/relationships/table" Target="../tables/table18.xml"/><Relationship Id="rId9" Type="http://schemas.openxmlformats.org/officeDocument/2006/relationships/table" Target="../tables/table2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image" Target="../media/image1.png"/><Relationship Id="rId1" Type="http://schemas.openxmlformats.org/officeDocument/2006/relationships/printerSettings" Target="../printerSettings/printerSettings3.bin"/><Relationship Id="rId4" Type="http://schemas.openxmlformats.org/officeDocument/2006/relationships/table" Target="../tables/table25.xml"/></Relationships>
</file>

<file path=xl/worksheets/_rels/sheet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image" Target="../media/image2.png"/><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FC004-7A29-48E0-8CDE-C1E79E4362A2}">
  <sheetPr codeName="Ark1">
    <tabColor theme="4" tint="0.79998168889431442"/>
    <pageSetUpPr fitToPage="1"/>
  </sheetPr>
  <dimension ref="A1:AA98"/>
  <sheetViews>
    <sheetView showGridLines="0" tabSelected="1" zoomScaleNormal="100" workbookViewId="0">
      <pane xSplit="1" ySplit="5" topLeftCell="B6" activePane="bottomRight" state="frozen"/>
      <selection sqref="A1:AA1"/>
      <selection pane="topRight" sqref="A1:AA1"/>
      <selection pane="bottomLeft" sqref="A1:AA1"/>
      <selection pane="bottomRight" activeCell="E8" sqref="E8"/>
    </sheetView>
  </sheetViews>
  <sheetFormatPr defaultColWidth="8.88671875" defaultRowHeight="14.4" x14ac:dyDescent="0.3"/>
  <cols>
    <col min="1" max="1" width="41.5546875" bestFit="1" customWidth="1"/>
    <col min="2" max="2" width="21.77734375" bestFit="1" customWidth="1"/>
    <col min="3" max="4" width="27.44140625" bestFit="1" customWidth="1"/>
    <col min="5" max="5" width="8.88671875" customWidth="1"/>
    <col min="6" max="6" width="33.44140625" bestFit="1" customWidth="1"/>
    <col min="7" max="7" width="26.44140625" style="167" bestFit="1" customWidth="1"/>
    <col min="8" max="8" width="10.88671875" style="167" bestFit="1" customWidth="1"/>
    <col min="9" max="9" width="18.21875" style="167" bestFit="1" customWidth="1"/>
    <col min="10" max="10" width="17.88671875" style="167" bestFit="1" customWidth="1"/>
    <col min="11" max="11" width="21.6640625" style="167" bestFit="1" customWidth="1"/>
    <col min="12" max="12" width="17.88671875" bestFit="1" customWidth="1"/>
    <col min="13" max="13" width="41.5546875" bestFit="1" customWidth="1"/>
    <col min="14" max="14" width="8.88671875" customWidth="1"/>
    <col min="15" max="15" width="3.5546875" style="47" bestFit="1" customWidth="1"/>
    <col min="16" max="16" width="22.88671875" style="16" bestFit="1" customWidth="1"/>
    <col min="17" max="17" width="14.33203125" style="16" bestFit="1" customWidth="1"/>
    <col min="18" max="18" width="12.88671875" style="14" bestFit="1" customWidth="1"/>
    <col min="19" max="19" width="30.77734375" bestFit="1" customWidth="1"/>
    <col min="20" max="20" width="8.88671875" customWidth="1"/>
    <col min="21" max="21" width="3.5546875" bestFit="1" customWidth="1"/>
    <col min="22" max="22" width="28.5546875" style="14" bestFit="1" customWidth="1"/>
    <col min="23" max="23" width="17" style="14" bestFit="1" customWidth="1"/>
    <col min="24" max="24" width="13.6640625" style="14" bestFit="1" customWidth="1"/>
    <col min="26" max="26" width="12.88671875" bestFit="1" customWidth="1"/>
    <col min="27" max="27" width="5.5546875" bestFit="1" customWidth="1"/>
    <col min="30" max="30" width="11.21875" customWidth="1"/>
  </cols>
  <sheetData>
    <row r="1" spans="1:27" ht="31.2" x14ac:dyDescent="0.6">
      <c r="A1" s="223" t="s">
        <v>198</v>
      </c>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row>
    <row r="2" spans="1:27" x14ac:dyDescent="0.3">
      <c r="R2"/>
      <c r="V2"/>
      <c r="W2"/>
      <c r="X2"/>
    </row>
    <row r="3" spans="1:27" x14ac:dyDescent="0.3">
      <c r="A3" s="166" t="s">
        <v>736</v>
      </c>
      <c r="B3" s="164" t="s">
        <v>796</v>
      </c>
      <c r="C3" s="217" t="s">
        <v>463</v>
      </c>
      <c r="F3" s="166" t="s">
        <v>735</v>
      </c>
      <c r="G3"/>
      <c r="H3"/>
      <c r="I3"/>
      <c r="J3"/>
      <c r="K3" s="95" t="s">
        <v>189</v>
      </c>
      <c r="O3" s="222" t="s">
        <v>155</v>
      </c>
      <c r="P3" s="222"/>
      <c r="Q3" s="222"/>
      <c r="R3" s="222"/>
      <c r="U3" s="222" t="s">
        <v>154</v>
      </c>
      <c r="V3" s="222"/>
      <c r="W3" s="222"/>
      <c r="X3"/>
    </row>
    <row r="4" spans="1:27" x14ac:dyDescent="0.3">
      <c r="A4" s="167" t="str" cm="1">
        <f t="array" ref="A4">COLUMNS(Tilmeldinger[])&amp;" · "&amp;ROWS(Tilmeldinger[])&amp;" = "&amp;SUMPRODUCT(COLUMNS(Tilmeldinger[]),ROWS(Tilmeldinger[]))
&amp;" ("&amp;IF(AND(COUNTIFS(Tilmeldinger[K: Deltager],Tilmeldinger[K: Deltager],Tilmeldinger[K: Ordredato],YEAR(Tilmeldinger[K: Ordredato]))&lt;2),"✓","X")&amp;")"</f>
        <v>4 · 93 = 372 (✓)</v>
      </c>
      <c r="B4" s="169">
        <v>2022</v>
      </c>
      <c r="C4" s="218">
        <v>44717</v>
      </c>
      <c r="F4" t="str" cm="1">
        <f t="array" ref="F4">COLUMNS(Deltagere[])&amp;" · "&amp;ROWS(Deltagere[])&amp;" = "&amp;SUMPRODUCT(COLUMNS(Deltagere[]),ROWS(Deltagere[]))
&amp;" ("&amp;IF(AND(COUNTIF(Deltagere[K: Deltager],Deltagere[K: Deltager])&lt;2),"✓","X")&amp;")"</f>
        <v>8 · 83 = 664 (✓)</v>
      </c>
      <c r="G4"/>
      <c r="H4"/>
      <c r="I4"/>
      <c r="J4"/>
      <c r="K4" s="98">
        <v>44708.5</v>
      </c>
      <c r="O4" s="221" t="str" cm="1">
        <f t="array" ref="O4">COLUMNS(Bordtennisklub_d2[])&amp;" · "&amp;ROWS(Bordtennisklub_d2[])&amp;" = "&amp;SUMPRODUCT(COLUMNS(Bordtennisklub_d2[]),ROWS(Bordtennisklub_d2[]))
&amp;" ("&amp;IF(AND(COUNTIF(Bordtennisklub_d2[K: Bordtennisklub],Bordtennisklub_d2[K: Bordtennisklub])&lt;2),"✓","X")&amp;")"</f>
        <v>5 · 34 = 170 (✓)</v>
      </c>
      <c r="P4" s="221"/>
      <c r="Q4" s="221"/>
      <c r="R4" s="221"/>
      <c r="U4" s="221" t="str" cm="1">
        <f t="array" ref="U4">COLUMNS(Billettype_og_tilvalg_d1[])&amp;" · "&amp;ROWS(Billettype_og_tilvalg_d1[])&amp;" = "&amp;SUMPRODUCT(COLUMNS(Billettype_og_tilvalg_d1[]),ROWS(Billettype_og_tilvalg_d1[]))
&amp;" ("&amp;IF(AND(COUNTIFS(Billettype_og_tilvalg_d1[K: Billettype],Billettype_og_tilvalg_d1[K: Billettype],Billettype_og_tilvalg_d1[K: Tilvalg],Billettype_og_tilvalg_d1[K: Tilvalg])&lt;2),"✓","X")&amp;")"</f>
        <v>4 · 2 = 8 (✓)</v>
      </c>
      <c r="V4" s="221"/>
      <c r="W4" s="221"/>
      <c r="X4"/>
    </row>
    <row r="5" spans="1:27" x14ac:dyDescent="0.3">
      <c r="A5" s="179" t="s">
        <v>657</v>
      </c>
      <c r="B5" s="182" t="s">
        <v>76</v>
      </c>
      <c r="C5" s="180" t="s">
        <v>737</v>
      </c>
      <c r="D5" s="180" t="s">
        <v>995</v>
      </c>
      <c r="F5" s="183" t="s">
        <v>185</v>
      </c>
      <c r="G5" s="183" t="s">
        <v>124</v>
      </c>
      <c r="H5" s="184" t="s">
        <v>43</v>
      </c>
      <c r="I5" s="185" t="s">
        <v>41</v>
      </c>
      <c r="J5" s="178" t="s">
        <v>77</v>
      </c>
      <c r="K5" s="186" t="s">
        <v>79</v>
      </c>
      <c r="L5" s="178" t="s">
        <v>78</v>
      </c>
      <c r="M5" s="194" t="s">
        <v>657</v>
      </c>
      <c r="O5" s="178" t="s">
        <v>0</v>
      </c>
      <c r="P5" s="179" t="s">
        <v>41</v>
      </c>
      <c r="Q5" s="181" t="s">
        <v>415</v>
      </c>
      <c r="R5" s="180" t="s">
        <v>58</v>
      </c>
      <c r="S5" s="180" t="s">
        <v>310</v>
      </c>
      <c r="U5" s="178" t="s">
        <v>0</v>
      </c>
      <c r="V5" s="179" t="s">
        <v>13</v>
      </c>
      <c r="W5" s="179" t="s">
        <v>14</v>
      </c>
      <c r="X5" s="189" t="s">
        <v>34</v>
      </c>
      <c r="Z5" s="190" t="s">
        <v>16</v>
      </c>
      <c r="AA5" s="191" t="s">
        <v>62</v>
      </c>
    </row>
    <row r="6" spans="1:27" x14ac:dyDescent="0.3">
      <c r="A6" s="179" t="s">
        <v>981</v>
      </c>
      <c r="B6" s="182">
        <v>44730.464444444442</v>
      </c>
      <c r="C6" s="180"/>
      <c r="D6" s="180" t="s">
        <v>816</v>
      </c>
      <c r="F6" s="168" t="s">
        <v>351</v>
      </c>
      <c r="G6" s="168" t="s">
        <v>352</v>
      </c>
      <c r="H6" s="126" t="s">
        <v>228</v>
      </c>
      <c r="I6" s="32" t="s">
        <v>8</v>
      </c>
      <c r="J6" s="7"/>
      <c r="K6" s="15">
        <v>1067</v>
      </c>
      <c r="L6" s="7"/>
      <c r="M6" s="195" t="str" cm="1">
        <f t="array" ref="M6">IF(OR(ISBLANK(Deltagere[[#This Row],[K: Spiller-ID/fødselsdato (ddmmåå)]:[K: Navn]])),"",Deltagere[[#This Row],[K: Navn]]&amp;" ("&amp;Deltagere[[#This Row],[K: Spiller-ID/fødselsdato (ddmmåå)]]&amp;")")</f>
        <v>Alfred Brøgger (230709-ALBR)</v>
      </c>
      <c r="O6" s="177" cm="1">
        <f t="array" ref="O6">ROW()-ROW(Bordtennisklub_d2[#Headers])</f>
        <v>1</v>
      </c>
      <c r="P6" s="40" t="s">
        <v>9</v>
      </c>
      <c r="Q6" s="31">
        <v>2770</v>
      </c>
      <c r="R6" s="2" t="s">
        <v>50</v>
      </c>
      <c r="S6" s="2" t="s">
        <v>295</v>
      </c>
      <c r="U6" s="188" cm="1">
        <f t="array" ref="U6">ROW()-ROW(Billettype_og_tilvalg_d1[#Headers])</f>
        <v>1</v>
      </c>
      <c r="V6" s="40" t="s">
        <v>737</v>
      </c>
      <c r="W6" s="40" t="s">
        <v>86</v>
      </c>
      <c r="X6" s="134">
        <v>100</v>
      </c>
      <c r="Z6" s="192" t="s">
        <v>17</v>
      </c>
      <c r="AA6" s="135">
        <v>17</v>
      </c>
    </row>
    <row r="7" spans="1:27" x14ac:dyDescent="0.3">
      <c r="A7" s="179" t="s">
        <v>956</v>
      </c>
      <c r="B7" s="182">
        <v>44729.473935185182</v>
      </c>
      <c r="C7" s="180" t="s">
        <v>816</v>
      </c>
      <c r="D7" s="180"/>
      <c r="F7" s="168" t="s">
        <v>87</v>
      </c>
      <c r="G7" s="168" t="s">
        <v>29</v>
      </c>
      <c r="H7" s="126" t="s">
        <v>229</v>
      </c>
      <c r="I7" s="32" t="s">
        <v>9</v>
      </c>
      <c r="J7" s="7"/>
      <c r="K7" s="15">
        <v>1494</v>
      </c>
      <c r="L7" s="127"/>
      <c r="M7" s="195" t="str" cm="1">
        <f t="array" ref="M7">IF(OR(ISBLANK(Deltagere[[#This Row],[K: Spiller-ID/fødselsdato (ddmmåå)]:[K: Navn]])),"",Deltagere[[#This Row],[K: Navn]]&amp;" ("&amp;Deltagere[[#This Row],[K: Spiller-ID/fødselsdato (ddmmåå)]]&amp;")")</f>
        <v>Amanda Mau (191003‑AMMA)</v>
      </c>
      <c r="O7" s="177" cm="1">
        <f t="array" ref="O7">ROW()-ROW(Bordtennisklub_d2[#Headers])</f>
        <v>2</v>
      </c>
      <c r="P7" s="40" t="s">
        <v>11</v>
      </c>
      <c r="Q7" s="31">
        <v>9850</v>
      </c>
      <c r="R7" s="2" t="s">
        <v>49</v>
      </c>
      <c r="S7" s="2" t="s">
        <v>309</v>
      </c>
      <c r="U7" s="188" cm="1">
        <f t="array" ref="U7">ROW()-ROW(Billettype_og_tilvalg_d1[#Headers])</f>
        <v>2</v>
      </c>
      <c r="V7" s="40" t="s">
        <v>995</v>
      </c>
      <c r="W7" s="40" t="s">
        <v>86</v>
      </c>
      <c r="X7" s="134">
        <v>150</v>
      </c>
      <c r="Z7" s="192" t="s">
        <v>18</v>
      </c>
      <c r="AA7" s="135">
        <f>COLUMNS(Tilmeldinger[])+
COLUMNS(Deltagere[])+
COLUMNS(Bordtennisklub_d2[])+
COLUMNS(Køn_d2[])+
COLUMNS(Spillertype_d2[])+
COLUMNS(Aldersgruppe_d2[])+
COLUMNS(Ratinggruppe_d2[])+
COLUMNS(Landsdel_d3[])+
COLUMNS(Region_d3[])+
COLUMNS(Billettype_og_tilvalg_d1[])+
COLUMNS(Billettype_d2[])+
COLUMNS(Tilvalg_d2[])+
COLUMNS(Tilmeldingsstatus_d1[])+
COLUMNS(Billetsalg_pr_tilmelding_d1[])+
COLUMNS(Tilmeldingstype_d1[])+
COLUMNS(Gentilmeldinger_d1[])+
COLUMNS(Klokkeslætsinterval_d1[])</f>
        <v>49</v>
      </c>
    </row>
    <row r="8" spans="1:27" x14ac:dyDescent="0.3">
      <c r="A8" s="40" t="s">
        <v>917</v>
      </c>
      <c r="B8" s="130">
        <v>44728.906967592593</v>
      </c>
      <c r="C8" s="2" t="s">
        <v>816</v>
      </c>
      <c r="D8" s="2"/>
      <c r="F8" s="168" t="s">
        <v>920</v>
      </c>
      <c r="G8" s="168" t="s">
        <v>921</v>
      </c>
      <c r="H8" s="126" t="s">
        <v>228</v>
      </c>
      <c r="I8" s="32" t="s">
        <v>8</v>
      </c>
      <c r="J8" s="7"/>
      <c r="K8" s="15">
        <v>914</v>
      </c>
      <c r="L8" s="7"/>
      <c r="M8" s="195" t="str" cm="1">
        <f t="array" ref="M8">IF(OR(ISBLANK(Deltagere[[#This Row],[K: Spiller-ID/fødselsdato (ddmmåå)]:[K: Navn]])),"",Deltagere[[#This Row],[K: Navn]]&amp;" ("&amp;Deltagere[[#This Row],[K: Spiller-ID/fødselsdato (ddmmåå)]]&amp;")")</f>
        <v>Amin Saad Al-Zayadi (050612-AMAL)</v>
      </c>
      <c r="O8" s="177" cm="1">
        <f t="array" ref="O8">ROW()-ROW(Bordtennisklub_d2[#Headers])</f>
        <v>3</v>
      </c>
      <c r="P8" s="40" t="s">
        <v>330</v>
      </c>
      <c r="Q8" s="31">
        <v>2605</v>
      </c>
      <c r="R8" s="2" t="s">
        <v>331</v>
      </c>
      <c r="S8" s="2" t="s">
        <v>335</v>
      </c>
      <c r="Z8" s="192" t="s">
        <v>19</v>
      </c>
      <c r="AA8" s="135">
        <f>ROWS(Tilmeldinger[])+
ROWS(Deltagere[])+
ROWS(Bordtennisklub_d2[])+
ROWS(Køn_d2[])+
ROWS(Spillertype_d2[])+
ROWS(Aldersgruppe_d2[])+
ROWS(Ratinggruppe_d2[])+
ROWS(Landsdel_d3[])+
ROWS(Region_d3[])+
ROWS(Billettype_og_tilvalg_d1[])+
ROWS(Billettype_d2[])+
ROWS(Tilvalg_d2[])+
ROWS(Tilmeldingsstatus_d1[])+
ROWS(Billetsalg_pr_tilmelding_d1[])+
ROWS(Tilmeldingstype_d1[])+
ROWS(Gentilmeldinger_d1[])+
ROWS(Klokkeslætsinterval_d1[])</f>
        <v>247</v>
      </c>
    </row>
    <row r="9" spans="1:27" x14ac:dyDescent="0.3">
      <c r="A9" s="40" t="s">
        <v>926</v>
      </c>
      <c r="B9" s="130">
        <v>44728.859155092592</v>
      </c>
      <c r="C9" s="2" t="s">
        <v>816</v>
      </c>
      <c r="D9" s="2"/>
      <c r="F9" s="168" t="s">
        <v>616</v>
      </c>
      <c r="G9" s="168" t="s">
        <v>617</v>
      </c>
      <c r="H9" s="126" t="s">
        <v>228</v>
      </c>
      <c r="I9" s="32" t="s">
        <v>618</v>
      </c>
      <c r="J9" s="7"/>
      <c r="K9" s="15">
        <v>1485</v>
      </c>
      <c r="L9" s="7"/>
      <c r="M9" s="195" t="str" cm="1">
        <f t="array" ref="M9">IF(OR(ISBLANK(Deltagere[[#This Row],[K: Spiller-ID/fødselsdato (ddmmåå)]:[K: Navn]])),"",Deltagere[[#This Row],[K: Navn]]&amp;" ("&amp;Deltagere[[#This Row],[K: Spiller-ID/fødselsdato (ddmmåå)]]&amp;")")</f>
        <v>Anders Holler (100906‑ANHO)</v>
      </c>
      <c r="O9" s="177" cm="1">
        <f t="array" ref="O9">ROW()-ROW(Bordtennisklub_d2[#Headers])</f>
        <v>4</v>
      </c>
      <c r="P9" s="40" t="s">
        <v>66</v>
      </c>
      <c r="Q9" s="31">
        <v>9700</v>
      </c>
      <c r="R9" s="2" t="s">
        <v>66</v>
      </c>
      <c r="S9" s="2" t="s">
        <v>296</v>
      </c>
      <c r="U9" s="224" t="s">
        <v>149</v>
      </c>
      <c r="V9" s="224"/>
      <c r="W9" s="224"/>
      <c r="X9" s="224"/>
      <c r="Z9" s="192" t="s">
        <v>20</v>
      </c>
      <c r="AA9" s="135">
        <f>SUMPRODUCT(COLUMNS(Tilmeldinger[]),ROWS(Tilmeldinger[]))+
SUMPRODUCT(COLUMNS(Deltagere[]),ROWS(Deltagere[]))+
SUMPRODUCT(COLUMNS(Bordtennisklub_d2[]),ROWS(Bordtennisklub_d2[]))+
SUMPRODUCT(COLUMNS(Køn_d2[]),ROWS(Køn_d2[]))+
SUMPRODUCT(COLUMNS(Spillertype_d2[]),ROWS(Spillertype_d2[]))+
SUMPRODUCT(COLUMNS(Aldersgruppe_d2[]),ROWS(Aldersgruppe_d2[]))+
SUMPRODUCT(COLUMNS(Ratinggruppe_d2[]),ROWS(Ratinggruppe_d2[]))+
SUMPRODUCT(COLUMNS(Landsdel_d3[]),ROWS(Landsdel_d3[]))+
SUMPRODUCT(COLUMNS(Region_d3[]),ROWS(Region_d3[]))+
SUMPRODUCT(COLUMNS(Billettype_og_tilvalg_d1[]),ROWS(Billettype_og_tilvalg_d1[]))+
SUMPRODUCT(COLUMNS(Billettype_d2[]),ROWS(Billettype_d2[]))+
SUMPRODUCT(COLUMNS(Tilvalg_d2[]),ROWS(Tilvalg_d2[]))+
SUMPRODUCT(COLUMNS(Tilmeldingsstatus_d1[]),ROWS(Tilmeldingsstatus_d1[]))+
SUMPRODUCT(COLUMNS(Billetsalg_pr_tilmelding_d1[]),ROWS(Billetsalg_pr_tilmelding_d1[]))+
SUMPRODUCT(COLUMNS(Tilmeldingstype_d1[]),ROWS(Tilmeldingstype_d1[]))+
SUMPRODUCT(COLUMNS(Gentilmeldinger_d1[]),ROWS(Gentilmeldinger_d1[]))+
SUMPRODUCT(COLUMNS(Klokkeslætsinterval_d1[]),ROWS(Klokkeslætsinterval_d1[]))</f>
        <v>1288</v>
      </c>
    </row>
    <row r="10" spans="1:27" x14ac:dyDescent="0.3">
      <c r="A10" s="40" t="s">
        <v>924</v>
      </c>
      <c r="B10" s="130">
        <v>44728.73814814815</v>
      </c>
      <c r="C10" s="2" t="s">
        <v>816</v>
      </c>
      <c r="D10" s="2"/>
      <c r="F10" s="168" t="s">
        <v>400</v>
      </c>
      <c r="G10" s="168" t="s">
        <v>401</v>
      </c>
      <c r="H10" s="126" t="s">
        <v>228</v>
      </c>
      <c r="I10" s="32" t="s">
        <v>411</v>
      </c>
      <c r="J10" s="7"/>
      <c r="K10" s="15">
        <v>2803</v>
      </c>
      <c r="L10" s="7"/>
      <c r="M10" s="195" t="str" cm="1">
        <f t="array" ref="M10">IF(OR(ISBLANK(Deltagere[[#This Row],[K: Spiller-ID/fødselsdato (ddmmåå)]:[K: Navn]])),"",Deltagere[[#This Row],[K: Navn]]&amp;" ("&amp;Deltagere[[#This Row],[K: Spiller-ID/fødselsdato (ddmmåå)]]&amp;")")</f>
        <v>Anders Lind (141298‑ANLI)</v>
      </c>
      <c r="O10" s="177" cm="1">
        <f t="array" ref="O10">ROW()-ROW(Bordtennisklub_d2[#Headers])</f>
        <v>5</v>
      </c>
      <c r="P10" s="40" t="s">
        <v>411</v>
      </c>
      <c r="Q10" s="31">
        <v>2400</v>
      </c>
      <c r="R10" s="2" t="s">
        <v>323</v>
      </c>
      <c r="S10" s="2" t="s">
        <v>324</v>
      </c>
      <c r="U10" s="225" t="str" cm="1">
        <f t="array" ref="U10">COLUMNS(Billettype_d2[])&amp;" · "&amp;ROWS(Billettype_d2[])&amp;" = "&amp;SUMPRODUCT(COLUMNS(Billettype_d2[]),ROWS(Billettype_d2[]))
&amp;" ("&amp;IF(AND(COUNTIF(Billettype_d2[K: Billettype],Billettype_d2[K: Billettype])&lt;2),"✓","X")&amp;")"</f>
        <v>4 · 2 = 8 (✓)</v>
      </c>
      <c r="V10" s="225"/>
      <c r="W10" s="225"/>
      <c r="X10" s="225"/>
      <c r="Z10" s="193" t="s">
        <v>21</v>
      </c>
      <c r="AA10" s="136" t="str" cm="1">
        <f t="array" ref="AA10">IF(AND(
COUNTIFS(Tilmeldinger[K: Deltager],Tilmeldinger[K: Deltager],Tilmeldinger[K: Ordredato],Tilmeldinger[K: Ordredato])&lt;2,
COUNTIF(Deltagere[K: Deltager],Deltagere[K: Deltager])&lt;2,
COUNTIF(Bordtennisklub_d2[K: Bordtennisklub],Bordtennisklub_d2[K: Bordtennisklub])&lt;2,
COUNTIF(Køn_d2[K: Køn],Køn_d2[K: Køn])&lt;2,
COUNTIF(Spillertype_d2[K: Spillertype],Spillertype_d2[K: Spillertype])&lt;2,
COUNTIF(Aldersgruppe_d2[K: Aldersgruppe],Aldersgruppe_d2[K: Aldersgruppe])&lt;2,
COUNTIF(Ratinggruppe_d2[K: Ratinggruppe],Ratinggruppe_d2[K: Ratinggruppe])&lt;2,
COUNTIF(Landsdel_d3[K: Landsdel],Landsdel_d3[K: Landsdel])&lt;2,
COUNTIF(Region_d3[K: Region],Region_d3[K: Region])&lt;2,
COUNTIFS(Billettype_og_tilvalg_d1[K: Billettype],Billettype_og_tilvalg_d1[K: Billettype],Billettype_og_tilvalg_d1[K: Tilvalg],Billettype_og_tilvalg_d1[K: Tilvalg])&lt;2,
COUNTIF(Billettype_d2[K: Billettype],Billettype_d2[K: Billettype])&lt;2,
COUNTIF(Tilvalg_d2[K: Tilvalg],Tilvalg_d2[K: Tilvalg])&lt;2,
COUNTIF(Tilmeldingsstatus_d1[K: Tilmeldingsstatus],Tilmeldingsstatus_d1[K: Tilmeldingsstatus])&lt;2,
COUNTIF(Billetsalg_pr_tilmelding_d1[K: Billetsalg pr. tilmelding],Billetsalg_pr_tilmelding_d1[K: Billetsalg pr. tilmelding])&lt;2,
COUNTIF(Tilmeldingstype_d1[K: Tilmeldingstype],Tilmeldingstype_d1[K: Tilmeldingstype])&lt;2,
COUNTIF(Tilmeldingsstatus_d1[K: Tilmeldingsstatus],Tilmeldingsstatus_d1[K: Tilmeldingsstatus])&lt;2,
COUNTIF(Klokkeslætsinterval_d1[],Klokkeslætsinterval_d1[])&lt;2),
"✓","X")</f>
        <v>✓</v>
      </c>
    </row>
    <row r="11" spans="1:27" x14ac:dyDescent="0.3">
      <c r="A11" s="40" t="s">
        <v>925</v>
      </c>
      <c r="B11" s="130">
        <v>44728.725439814814</v>
      </c>
      <c r="C11" s="2" t="s">
        <v>816</v>
      </c>
      <c r="D11" s="2"/>
      <c r="F11" s="168" t="s">
        <v>122</v>
      </c>
      <c r="G11" s="168" t="s">
        <v>638</v>
      </c>
      <c r="H11" s="126" t="s">
        <v>228</v>
      </c>
      <c r="I11" s="32" t="s">
        <v>81</v>
      </c>
      <c r="J11" s="7"/>
      <c r="K11" s="15"/>
      <c r="L11" s="127"/>
      <c r="M11" s="195" t="str" cm="1">
        <f t="array" ref="M11">IF(OR(ISBLANK(Deltagere[[#This Row],[K: Spiller-ID/fødselsdato (ddmmåå)]:[K: Navn]])),"",Deltagere[[#This Row],[K: Navn]]&amp;" ("&amp;Deltagere[[#This Row],[K: Spiller-ID/fødselsdato (ddmmåå)]]&amp;")")</f>
        <v>Andreas Bjørnholdt (231093)</v>
      </c>
      <c r="O11" s="177" cm="1">
        <f t="array" ref="O11">ROW()-ROW(Bordtennisklub_d2[#Headers])</f>
        <v>6</v>
      </c>
      <c r="P11" s="40" t="s">
        <v>430</v>
      </c>
      <c r="Q11" s="31">
        <v>8500</v>
      </c>
      <c r="R11" s="2" t="s">
        <v>431</v>
      </c>
      <c r="S11" s="2" t="s">
        <v>432</v>
      </c>
      <c r="U11" s="186" t="s">
        <v>0</v>
      </c>
      <c r="V11" s="179" t="s">
        <v>13</v>
      </c>
      <c r="W11" s="178" t="s">
        <v>421</v>
      </c>
      <c r="X11" s="189" t="s">
        <v>422</v>
      </c>
    </row>
    <row r="12" spans="1:27" x14ac:dyDescent="0.3">
      <c r="A12" s="179" t="s">
        <v>905</v>
      </c>
      <c r="B12" s="182">
        <v>44728.307789351849</v>
      </c>
      <c r="C12" s="180" t="s">
        <v>816</v>
      </c>
      <c r="D12" s="180"/>
      <c r="F12" s="168" t="s">
        <v>467</v>
      </c>
      <c r="G12" s="168" t="s">
        <v>469</v>
      </c>
      <c r="H12" s="126" t="s">
        <v>229</v>
      </c>
      <c r="I12" s="32" t="s">
        <v>81</v>
      </c>
      <c r="J12" s="7"/>
      <c r="K12" s="15"/>
      <c r="L12" s="7"/>
      <c r="M12" s="195" t="str" cm="1">
        <f t="array" ref="M12">IF(OR(ISBLANK(Deltagere[[#This Row],[K: Spiller-ID/fødselsdato (ddmmåå)]:[K: Navn]])),"",Deltagere[[#This Row],[K: Navn]]&amp;" ("&amp;Deltagere[[#This Row],[K: Spiller-ID/fødselsdato (ddmmåå)]]&amp;")")</f>
        <v>Annsofie Sommer (030894)</v>
      </c>
      <c r="O12" s="177" cm="1">
        <f t="array" ref="O12">ROW()-ROW(Bordtennisklub_d2[#Headers])</f>
        <v>7</v>
      </c>
      <c r="P12" s="40" t="s">
        <v>339</v>
      </c>
      <c r="Q12" s="31">
        <v>7400</v>
      </c>
      <c r="R12" s="2" t="s">
        <v>340</v>
      </c>
      <c r="S12" s="2" t="s">
        <v>338</v>
      </c>
      <c r="U12" s="71" cm="1">
        <f t="array" ref="U12">ROW()-ROW(Billettype_d2[#Headers])</f>
        <v>1</v>
      </c>
      <c r="V12" s="40" t="s">
        <v>737</v>
      </c>
      <c r="W12" s="7">
        <v>72</v>
      </c>
      <c r="X12" s="134">
        <v>125</v>
      </c>
    </row>
    <row r="13" spans="1:27" x14ac:dyDescent="0.3">
      <c r="A13" s="179" t="s">
        <v>727</v>
      </c>
      <c r="B13" s="182">
        <v>44725.526423611111</v>
      </c>
      <c r="C13" s="180" t="s">
        <v>816</v>
      </c>
      <c r="D13" s="180"/>
      <c r="F13" s="168" t="s">
        <v>786</v>
      </c>
      <c r="G13" s="168" t="s">
        <v>787</v>
      </c>
      <c r="H13" s="126" t="s">
        <v>228</v>
      </c>
      <c r="I13" s="32" t="s">
        <v>314</v>
      </c>
      <c r="J13" s="7"/>
      <c r="K13" s="15"/>
      <c r="L13" s="7">
        <v>4</v>
      </c>
      <c r="M13" s="195" t="str" cm="1">
        <f t="array" ref="M13">IF(OR(ISBLANK(Deltagere[[#This Row],[K: Spiller-ID/fødselsdato (ddmmåå)]:[K: Navn]])),"",Deltagere[[#This Row],[K: Navn]]&amp;" ("&amp;Deltagere[[#This Row],[K: Spiller-ID/fødselsdato (ddmmåå)]]&amp;")")</f>
        <v>Anton Andersson (030197‑ANAN)</v>
      </c>
      <c r="O13" s="177" cm="1">
        <f t="array" ref="O13">ROW()-ROW(Bordtennisklub_d2[#Headers])</f>
        <v>8</v>
      </c>
      <c r="P13" s="40" t="s">
        <v>618</v>
      </c>
      <c r="Q13" s="31">
        <v>9000</v>
      </c>
      <c r="R13" s="2" t="s">
        <v>619</v>
      </c>
      <c r="S13" s="2" t="s">
        <v>620</v>
      </c>
      <c r="U13" s="71" cm="1">
        <f t="array" ref="U13">ROW()-ROW(Billettype_d2[#Headers])</f>
        <v>2</v>
      </c>
      <c r="V13" s="40" t="s">
        <v>995</v>
      </c>
      <c r="W13" s="7">
        <v>120</v>
      </c>
      <c r="X13" s="134">
        <v>150</v>
      </c>
    </row>
    <row r="14" spans="1:27" x14ac:dyDescent="0.3">
      <c r="A14" s="40" t="s">
        <v>788</v>
      </c>
      <c r="B14" s="130">
        <v>44723.749178240738</v>
      </c>
      <c r="C14" s="180" t="s">
        <v>816</v>
      </c>
      <c r="D14" s="2" t="s">
        <v>816</v>
      </c>
      <c r="F14" s="168" t="s">
        <v>363</v>
      </c>
      <c r="G14" s="168" t="s">
        <v>364</v>
      </c>
      <c r="H14" s="126" t="s">
        <v>228</v>
      </c>
      <c r="I14" s="32" t="s">
        <v>8</v>
      </c>
      <c r="J14" s="7"/>
      <c r="K14" s="15">
        <v>1790</v>
      </c>
      <c r="L14" s="7"/>
      <c r="M14" s="195" t="str" cm="1">
        <f t="array" ref="M14">IF(OR(ISBLANK(Deltagere[[#This Row],[K: Spiller-ID/fødselsdato (ddmmåå)]:[K: Navn]])),"",Deltagere[[#This Row],[K: Navn]]&amp;" ("&amp;Deltagere[[#This Row],[K: Spiller-ID/fødselsdato (ddmmåå)]]&amp;")")</f>
        <v>Bastian Diness (201005‑BADI)</v>
      </c>
      <c r="O14" s="177" cm="1">
        <f t="array" ref="O14">ROW()-ROW(Bordtennisklub_d2[#Headers])</f>
        <v>9</v>
      </c>
      <c r="P14" s="40" t="s">
        <v>4</v>
      </c>
      <c r="Q14" s="31">
        <v>8260</v>
      </c>
      <c r="R14" s="2" t="s">
        <v>51</v>
      </c>
      <c r="S14" s="2" t="s">
        <v>297</v>
      </c>
      <c r="X14"/>
    </row>
    <row r="15" spans="1:27" x14ac:dyDescent="0.3">
      <c r="A15" s="40" t="s">
        <v>778</v>
      </c>
      <c r="B15" s="130">
        <v>44722.859247685185</v>
      </c>
      <c r="C15" s="180" t="s">
        <v>816</v>
      </c>
      <c r="D15" s="2" t="s">
        <v>816</v>
      </c>
      <c r="F15" s="168" t="s">
        <v>252</v>
      </c>
      <c r="G15" s="168" t="s">
        <v>253</v>
      </c>
      <c r="H15" s="126" t="s">
        <v>228</v>
      </c>
      <c r="I15" s="32" t="s">
        <v>8</v>
      </c>
      <c r="J15" s="7"/>
      <c r="K15" s="15">
        <v>2094</v>
      </c>
      <c r="L15" s="7"/>
      <c r="M15" s="195" t="str" cm="1">
        <f t="array" ref="M15">IF(OR(ISBLANK(Deltagere[[#This Row],[K: Spiller-ID/fødselsdato (ddmmåå)]:[K: Navn]])),"",Deltagere[[#This Row],[K: Navn]]&amp;" ("&amp;Deltagere[[#This Row],[K: Spiller-ID/fødselsdato (ddmmåå)]]&amp;")")</f>
        <v>Benjamin Lillelund (060598‑BELI)</v>
      </c>
      <c r="O15" s="177" cm="1">
        <f t="array" ref="O15">ROW()-ROW(Bordtennisklub_d2[#Headers])</f>
        <v>10</v>
      </c>
      <c r="P15" s="40" t="s">
        <v>33</v>
      </c>
      <c r="Q15" s="31">
        <v>6700</v>
      </c>
      <c r="R15" s="2" t="s">
        <v>46</v>
      </c>
      <c r="S15" s="2" t="s">
        <v>298</v>
      </c>
      <c r="U15" s="222" t="s">
        <v>156</v>
      </c>
      <c r="V15" s="222"/>
      <c r="W15"/>
      <c r="X15"/>
    </row>
    <row r="16" spans="1:27" x14ac:dyDescent="0.3">
      <c r="A16" s="40" t="s">
        <v>777</v>
      </c>
      <c r="B16" s="130">
        <v>44722.759363425925</v>
      </c>
      <c r="C16" s="2" t="s">
        <v>814</v>
      </c>
      <c r="D16" s="2"/>
      <c r="F16" s="168" t="s">
        <v>126</v>
      </c>
      <c r="G16" s="168" t="s">
        <v>22</v>
      </c>
      <c r="H16" s="126" t="s">
        <v>228</v>
      </c>
      <c r="I16" s="32" t="s">
        <v>5</v>
      </c>
      <c r="J16" s="7">
        <v>1</v>
      </c>
      <c r="K16" s="15">
        <v>2551</v>
      </c>
      <c r="L16" s="127"/>
      <c r="M16" s="195" t="str" cm="1">
        <f t="array" ref="M16">IF(OR(ISBLANK(Deltagere[[#This Row],[K: Spiller-ID/fødselsdato (ddmmåå)]:[K: Navn]])),"",Deltagere[[#This Row],[K: Navn]]&amp;" ("&amp;Deltagere[[#This Row],[K: Spiller-ID/fødselsdato (ddmmåå)]]&amp;")")</f>
        <v>Benjamin Sørensen (080294‑BESØ)</v>
      </c>
      <c r="O16" s="177" cm="1">
        <f t="array" ref="O16">ROW()-ROW(Bordtennisklub_d2[#Headers])</f>
        <v>11</v>
      </c>
      <c r="P16" s="40" t="s">
        <v>341</v>
      </c>
      <c r="Q16" s="31">
        <v>2000</v>
      </c>
      <c r="R16" s="2" t="s">
        <v>342</v>
      </c>
      <c r="S16" s="2" t="s">
        <v>343</v>
      </c>
      <c r="U16" s="221" t="str" cm="1">
        <f t="array" ref="U16">COLUMNS(Tilvalg_d2[])&amp;" · "&amp;ROWS(Tilvalg_d2[])&amp;" = "&amp;SUMPRODUCT(COLUMNS(Tilvalg_d2[]),ROWS(Tilvalg_d2[]))
&amp;" ("&amp;IF(AND(COUNTIF(Tilvalg_d2[K: Tilvalg],Tilvalg_d2[K: Tilvalg])&lt;2),"✓","X")&amp;")"</f>
        <v>2 · 1 = 2 (✓)</v>
      </c>
      <c r="V16" s="221"/>
      <c r="W16"/>
      <c r="X16"/>
    </row>
    <row r="17" spans="1:24" x14ac:dyDescent="0.3">
      <c r="A17" s="40" t="s">
        <v>731</v>
      </c>
      <c r="B17" s="130">
        <v>44719.869155092594</v>
      </c>
      <c r="C17" s="180" t="s">
        <v>816</v>
      </c>
      <c r="D17" s="2"/>
      <c r="F17" s="168" t="s">
        <v>221</v>
      </c>
      <c r="G17" s="168" t="s">
        <v>224</v>
      </c>
      <c r="H17" s="126" t="s">
        <v>228</v>
      </c>
      <c r="I17" s="32" t="s">
        <v>8</v>
      </c>
      <c r="J17" s="7"/>
      <c r="K17" s="15">
        <v>1647</v>
      </c>
      <c r="L17" s="127"/>
      <c r="M17" s="195" t="str" cm="1">
        <f t="array" ref="M17">IF(OR(ISBLANK(Deltagere[[#This Row],[K: Spiller-ID/fødselsdato (ddmmåå)]:[K: Navn]])),"",Deltagere[[#This Row],[K: Navn]]&amp;" ("&amp;Deltagere[[#This Row],[K: Spiller-ID/fødselsdato (ddmmåå)]]&amp;")")</f>
        <v>Bent O. Jakobsen (080950‑BEJA)</v>
      </c>
      <c r="O17" s="177" cm="1">
        <f t="array" ref="O17">ROW()-ROW(Bordtennisklub_d2[#Headers])</f>
        <v>12</v>
      </c>
      <c r="P17" s="40" t="s">
        <v>65</v>
      </c>
      <c r="Q17" s="31">
        <v>8464</v>
      </c>
      <c r="R17" s="2" t="s">
        <v>64</v>
      </c>
      <c r="S17" s="2" t="s">
        <v>299</v>
      </c>
      <c r="U17" s="186" t="s">
        <v>0</v>
      </c>
      <c r="V17" s="179" t="s">
        <v>14</v>
      </c>
      <c r="W17"/>
      <c r="X17"/>
    </row>
    <row r="18" spans="1:24" x14ac:dyDescent="0.3">
      <c r="A18" s="40" t="s">
        <v>658</v>
      </c>
      <c r="B18" s="130">
        <v>44717.959594907406</v>
      </c>
      <c r="C18" s="180" t="s">
        <v>816</v>
      </c>
      <c r="D18" s="2" t="s">
        <v>816</v>
      </c>
      <c r="F18" s="168" t="s">
        <v>90</v>
      </c>
      <c r="G18" s="168" t="s">
        <v>25</v>
      </c>
      <c r="H18" s="126" t="s">
        <v>228</v>
      </c>
      <c r="I18" s="32" t="s">
        <v>11</v>
      </c>
      <c r="J18" s="7">
        <v>4</v>
      </c>
      <c r="K18" s="15">
        <v>2378</v>
      </c>
      <c r="L18" s="127"/>
      <c r="M18" s="195" t="str" cm="1">
        <f t="array" ref="M18">IF(OR(ISBLANK(Deltagere[[#This Row],[K: Spiller-ID/fødselsdato (ddmmåå)]:[K: Navn]])),"",Deltagere[[#This Row],[K: Navn]]&amp;" ("&amp;Deltagere[[#This Row],[K: Spiller-ID/fødselsdato (ddmmåå)]]&amp;")")</f>
        <v>Bjarke Krog (281101‑BJKR)</v>
      </c>
      <c r="O18" s="177" cm="1">
        <f t="array" ref="O18">ROW()-ROW(Bordtennisklub_d2[#Headers])</f>
        <v>13</v>
      </c>
      <c r="P18" s="40" t="s">
        <v>332</v>
      </c>
      <c r="Q18" s="31">
        <v>2670</v>
      </c>
      <c r="R18" s="2" t="s">
        <v>333</v>
      </c>
      <c r="S18" s="2" t="s">
        <v>419</v>
      </c>
      <c r="U18" s="71" cm="1">
        <f t="array" ref="U18">ROW()-ROW(Tilvalg_d2[#Headers])</f>
        <v>1</v>
      </c>
      <c r="V18" s="40" t="s">
        <v>86</v>
      </c>
      <c r="W18"/>
      <c r="X18"/>
    </row>
    <row r="19" spans="1:24" x14ac:dyDescent="0.3">
      <c r="A19" s="40" t="s">
        <v>659</v>
      </c>
      <c r="B19" s="130">
        <v>44717.945937500001</v>
      </c>
      <c r="C19" s="180" t="s">
        <v>816</v>
      </c>
      <c r="D19" s="2" t="s">
        <v>816</v>
      </c>
      <c r="F19" s="168" t="s">
        <v>222</v>
      </c>
      <c r="G19" s="168" t="s">
        <v>223</v>
      </c>
      <c r="H19" s="126" t="s">
        <v>228</v>
      </c>
      <c r="I19" s="32" t="s">
        <v>8</v>
      </c>
      <c r="J19" s="7"/>
      <c r="K19" s="15">
        <v>2119</v>
      </c>
      <c r="L19" s="127"/>
      <c r="M19" s="195" t="str" cm="1">
        <f t="array" ref="M19">IF(OR(ISBLANK(Deltagere[[#This Row],[K: Spiller-ID/fødselsdato (ddmmåå)]:[K: Navn]])),"",Deltagere[[#This Row],[K: Navn]]&amp;" ("&amp;Deltagere[[#This Row],[K: Spiller-ID/fødselsdato (ddmmåå)]]&amp;")")</f>
        <v>Casper Staal (040282‑CAST)</v>
      </c>
      <c r="O19" s="177" cm="1">
        <f t="array" ref="O19">ROW()-ROW(Bordtennisklub_d2[#Headers])</f>
        <v>14</v>
      </c>
      <c r="P19" s="40" t="s">
        <v>254</v>
      </c>
      <c r="Q19" s="31">
        <v>3790</v>
      </c>
      <c r="R19" s="2" t="s">
        <v>255</v>
      </c>
      <c r="S19" s="2" t="s">
        <v>300</v>
      </c>
    </row>
    <row r="20" spans="1:24" x14ac:dyDescent="0.3">
      <c r="A20" s="40" t="s">
        <v>660</v>
      </c>
      <c r="B20" s="130">
        <v>44717.940034722225</v>
      </c>
      <c r="C20" s="180" t="s">
        <v>814</v>
      </c>
      <c r="D20" s="2" t="s">
        <v>814</v>
      </c>
      <c r="F20" s="168" t="s">
        <v>232</v>
      </c>
      <c r="G20" s="168" t="s">
        <v>233</v>
      </c>
      <c r="H20" s="126" t="s">
        <v>228</v>
      </c>
      <c r="I20" s="32" t="s">
        <v>8</v>
      </c>
      <c r="J20" s="7"/>
      <c r="K20" s="15">
        <v>1942</v>
      </c>
      <c r="L20" s="7"/>
      <c r="M20" s="195" t="str" cm="1">
        <f t="array" ref="M20">IF(OR(ISBLANK(Deltagere[[#This Row],[K: Spiller-ID/fødselsdato (ddmmåå)]:[K: Navn]])),"",Deltagere[[#This Row],[K: Navn]]&amp;" ("&amp;Deltagere[[#This Row],[K: Spiller-ID/fødselsdato (ddmmåå)]]&amp;")")</f>
        <v>Christian H. Andersen (200792‑CHAN)</v>
      </c>
      <c r="O20" s="177" cm="1">
        <f t="array" ref="O20">ROW()-ROW(Bordtennisklub_d2[#Headers])</f>
        <v>15</v>
      </c>
      <c r="P20" s="40" t="s">
        <v>314</v>
      </c>
      <c r="Q20" s="31">
        <v>3400</v>
      </c>
      <c r="R20" s="2" t="s">
        <v>315</v>
      </c>
      <c r="S20" s="2" t="s">
        <v>316</v>
      </c>
      <c r="U20" s="222" t="s">
        <v>797</v>
      </c>
      <c r="V20" s="222"/>
    </row>
    <row r="21" spans="1:24" x14ac:dyDescent="0.3">
      <c r="A21" s="40" t="s">
        <v>661</v>
      </c>
      <c r="B21" s="130">
        <v>44717.93822916667</v>
      </c>
      <c r="C21" s="180" t="s">
        <v>814</v>
      </c>
      <c r="D21" s="2" t="s">
        <v>816</v>
      </c>
      <c r="F21" s="168" t="s">
        <v>108</v>
      </c>
      <c r="G21" s="168" t="s">
        <v>28</v>
      </c>
      <c r="H21" s="126" t="s">
        <v>228</v>
      </c>
      <c r="I21" s="32" t="s">
        <v>8</v>
      </c>
      <c r="J21" s="7"/>
      <c r="K21" s="15">
        <v>2067</v>
      </c>
      <c r="L21" s="127"/>
      <c r="M21" s="195" t="str" cm="1">
        <f t="array" ref="M21">IF(OR(ISBLANK(Deltagere[[#This Row],[K: Spiller-ID/fødselsdato (ddmmåå)]:[K: Navn]])),"",Deltagere[[#This Row],[K: Navn]]&amp;" ("&amp;Deltagere[[#This Row],[K: Spiller-ID/fødselsdato (ddmmåå)]]&amp;")")</f>
        <v>Daniel Wolf (300496‑DAWO)</v>
      </c>
      <c r="O21" s="177" cm="1">
        <f t="array" ref="O21">ROW()-ROW(Bordtennisklub_d2[#Headers])</f>
        <v>16</v>
      </c>
      <c r="P21" s="40" t="s">
        <v>345</v>
      </c>
      <c r="Q21" s="31">
        <v>4300</v>
      </c>
      <c r="R21" s="2" t="s">
        <v>347</v>
      </c>
      <c r="S21" s="2" t="s">
        <v>348</v>
      </c>
      <c r="U21" s="221" t="str" cm="1">
        <f t="array" ref="U21">COLUMNS(Tilmeldingsstatus_d1[])&amp;" · "&amp;ROWS(Tilmeldingsstatus_d1[])&amp;" = "&amp;SUMPRODUCT(COLUMNS(Tilmeldingsstatus_d1[]),ROWS(Tilmeldingsstatus_d1[]))
&amp;" ("&amp;IF(AND(COUNTIF(Tilmeldingsstatus_d1[K: Tilmeldingsstatus],Tilmeldingsstatus_d1[K: Tilmeldingsstatus])&lt;2),"✓","X")&amp;")"</f>
        <v>2 · 3 = 6 (✓)</v>
      </c>
      <c r="V21" s="221"/>
    </row>
    <row r="22" spans="1:24" x14ac:dyDescent="0.3">
      <c r="A22" s="40" t="s">
        <v>662</v>
      </c>
      <c r="B22" s="130">
        <v>44717.919664351852</v>
      </c>
      <c r="C22" s="180" t="s">
        <v>816</v>
      </c>
      <c r="D22" s="2"/>
      <c r="F22" s="168" t="s">
        <v>584</v>
      </c>
      <c r="G22" s="168" t="s">
        <v>585</v>
      </c>
      <c r="H22" s="126" t="s">
        <v>228</v>
      </c>
      <c r="I22" s="32" t="s">
        <v>587</v>
      </c>
      <c r="J22" s="7"/>
      <c r="K22" s="15">
        <v>2068</v>
      </c>
      <c r="L22" s="7"/>
      <c r="M22" s="195" t="str" cm="1">
        <f t="array" ref="M22">IF(OR(ISBLANK(Deltagere[[#This Row],[K: Spiller-ID/fødselsdato (ddmmåå)]:[K: Navn]])),"",Deltagere[[#This Row],[K: Navn]]&amp;" ("&amp;Deltagere[[#This Row],[K: Spiller-ID/fødselsdato (ddmmåå)]]&amp;")")</f>
        <v>Dennis K. Nielsen (020686‑DENI)</v>
      </c>
      <c r="O22" s="177" cm="1">
        <f t="array" ref="O22">ROW()-ROW(Bordtennisklub_d2[#Headers])</f>
        <v>17</v>
      </c>
      <c r="P22" s="40" t="s">
        <v>336</v>
      </c>
      <c r="Q22" s="31">
        <v>2650</v>
      </c>
      <c r="R22" s="2" t="s">
        <v>337</v>
      </c>
      <c r="S22" s="2" t="s">
        <v>334</v>
      </c>
      <c r="U22" s="186" t="s">
        <v>0</v>
      </c>
      <c r="V22" s="179" t="s">
        <v>782</v>
      </c>
    </row>
    <row r="23" spans="1:24" x14ac:dyDescent="0.3">
      <c r="A23" s="40" t="s">
        <v>663</v>
      </c>
      <c r="B23" s="130">
        <v>44717.880127314813</v>
      </c>
      <c r="C23" s="180" t="s">
        <v>816</v>
      </c>
      <c r="D23" s="2" t="s">
        <v>816</v>
      </c>
      <c r="F23" s="168" t="s">
        <v>593</v>
      </c>
      <c r="G23" s="168" t="s">
        <v>594</v>
      </c>
      <c r="H23" s="126" t="s">
        <v>228</v>
      </c>
      <c r="I23" s="32" t="s">
        <v>9</v>
      </c>
      <c r="J23" s="7"/>
      <c r="K23" s="15">
        <v>2376</v>
      </c>
      <c r="L23" s="7"/>
      <c r="M23" s="195" t="str" cm="1">
        <f t="array" ref="M23">IF(OR(ISBLANK(Deltagere[[#This Row],[K: Spiller-ID/fødselsdato (ddmmåå)]:[K: Navn]])),"",Deltagere[[#This Row],[K: Navn]]&amp;" ("&amp;Deltagere[[#This Row],[K: Spiller-ID/fødselsdato (ddmmåå)]]&amp;")")</f>
        <v>Emil Lynge Sørensen (070802‑EMSØ)</v>
      </c>
      <c r="O23" s="177" cm="1">
        <f t="array" ref="O23">ROW()-ROW(Bordtennisklub_d2[#Headers])</f>
        <v>18</v>
      </c>
      <c r="P23" s="40" t="s">
        <v>5</v>
      </c>
      <c r="Q23" s="31">
        <v>8362</v>
      </c>
      <c r="R23" s="2" t="s">
        <v>47</v>
      </c>
      <c r="S23" s="2" t="s">
        <v>301</v>
      </c>
      <c r="U23" s="71" cm="1">
        <f t="array" ref="U23">ROW()-ROW(Tilmeldingsstatus_d1[#Headers])</f>
        <v>1</v>
      </c>
      <c r="V23" s="40" t="s">
        <v>816</v>
      </c>
      <c r="X23"/>
    </row>
    <row r="24" spans="1:24" x14ac:dyDescent="0.3">
      <c r="A24" s="40" t="s">
        <v>664</v>
      </c>
      <c r="B24" s="130">
        <v>44717.87872685185</v>
      </c>
      <c r="C24" s="180" t="s">
        <v>816</v>
      </c>
      <c r="D24" s="2" t="s">
        <v>816</v>
      </c>
      <c r="F24" s="168" t="s">
        <v>99</v>
      </c>
      <c r="G24" s="168" t="s">
        <v>113</v>
      </c>
      <c r="H24" s="126" t="s">
        <v>228</v>
      </c>
      <c r="I24" s="32" t="s">
        <v>5</v>
      </c>
      <c r="J24" s="7">
        <v>3</v>
      </c>
      <c r="K24" s="15">
        <v>2553</v>
      </c>
      <c r="L24" s="127"/>
      <c r="M24" s="195" t="str" cm="1">
        <f t="array" ref="M24">IF(OR(ISBLANK(Deltagere[[#This Row],[K: Spiller-ID/fødselsdato (ddmmåå)]:[K: Navn]])),"",Deltagere[[#This Row],[K: Navn]]&amp;" ("&amp;Deltagere[[#This Row],[K: Spiller-ID/fødselsdato (ddmmåå)]]&amp;")")</f>
        <v>Emil Madsen (290593‑EMMA)</v>
      </c>
      <c r="O24" s="177" cm="1">
        <f t="array" ref="O24">ROW()-ROW(Bordtennisklub_d2[#Headers])</f>
        <v>19</v>
      </c>
      <c r="P24" s="40" t="s">
        <v>10</v>
      </c>
      <c r="Q24" s="31">
        <v>2100</v>
      </c>
      <c r="R24" s="2" t="s">
        <v>52</v>
      </c>
      <c r="S24" s="2" t="s">
        <v>302</v>
      </c>
      <c r="U24" s="71" cm="1">
        <f t="array" ref="U24">ROW()-ROW(Tilmeldingsstatus_d1[#Headers])</f>
        <v>2</v>
      </c>
      <c r="V24" s="40" t="s">
        <v>814</v>
      </c>
    </row>
    <row r="25" spans="1:24" x14ac:dyDescent="0.3">
      <c r="A25" s="40" t="s">
        <v>665</v>
      </c>
      <c r="B25" s="130">
        <v>44717.86986111111</v>
      </c>
      <c r="C25" s="180" t="s">
        <v>816</v>
      </c>
      <c r="D25" s="2" t="s">
        <v>816</v>
      </c>
      <c r="F25" s="168" t="s">
        <v>293</v>
      </c>
      <c r="G25" s="168" t="s">
        <v>294</v>
      </c>
      <c r="H25" s="126" t="s">
        <v>228</v>
      </c>
      <c r="I25" s="32" t="s">
        <v>5</v>
      </c>
      <c r="J25" s="7"/>
      <c r="K25" s="15">
        <v>1166</v>
      </c>
      <c r="L25" s="7"/>
      <c r="M25" s="195" t="str" cm="1">
        <f t="array" ref="M25">IF(OR(ISBLANK(Deltagere[[#This Row],[K: Spiller-ID/fødselsdato (ddmmåå)]:[K: Navn]])),"",Deltagere[[#This Row],[K: Navn]]&amp;" ("&amp;Deltagere[[#This Row],[K: Spiller-ID/fødselsdato (ddmmåå)]]&amp;")")</f>
        <v>Frederik Kjeldgaard (100510‑FRKJ)</v>
      </c>
      <c r="O25" s="177" cm="1">
        <f t="array" ref="O25">ROW()-ROW(Bordtennisklub_d2[#Headers])</f>
        <v>20</v>
      </c>
      <c r="P25" s="40" t="s">
        <v>276</v>
      </c>
      <c r="Q25" s="31">
        <v>5800</v>
      </c>
      <c r="R25" s="2" t="s">
        <v>277</v>
      </c>
      <c r="S25" s="2" t="s">
        <v>303</v>
      </c>
      <c r="U25" s="71" cm="1">
        <f t="array" ref="U25">ROW()-ROW(Tilmeldingsstatus_d1[#Headers])</f>
        <v>3</v>
      </c>
      <c r="V25" s="40" t="s">
        <v>815</v>
      </c>
    </row>
    <row r="26" spans="1:24" x14ac:dyDescent="0.3">
      <c r="A26" s="40" t="s">
        <v>666</v>
      </c>
      <c r="B26" s="130">
        <v>44717.86146990741</v>
      </c>
      <c r="C26" s="180" t="s">
        <v>816</v>
      </c>
      <c r="D26" s="2" t="s">
        <v>816</v>
      </c>
      <c r="F26" s="168" t="s">
        <v>89</v>
      </c>
      <c r="G26" s="168" t="s">
        <v>31</v>
      </c>
      <c r="H26" s="126" t="s">
        <v>228</v>
      </c>
      <c r="I26" s="32" t="s">
        <v>9</v>
      </c>
      <c r="J26" s="7"/>
      <c r="K26" s="15">
        <v>1346</v>
      </c>
      <c r="L26" s="127"/>
      <c r="M26" s="195" t="str" cm="1">
        <f t="array" ref="M26">IF(OR(ISBLANK(Deltagere[[#This Row],[K: Spiller-ID/fødselsdato (ddmmåå)]:[K: Navn]])),"",Deltagere[[#This Row],[K: Navn]]&amp;" ("&amp;Deltagere[[#This Row],[K: Spiller-ID/fødselsdato (ddmmåå)]]&amp;")")</f>
        <v>Gabriel Berthelsen (041007‑GABE)</v>
      </c>
      <c r="O26" s="177" cm="1">
        <f t="array" ref="O26">ROW()-ROW(Bordtennisklub_d2[#Headers])</f>
        <v>21</v>
      </c>
      <c r="P26" s="40" t="s">
        <v>321</v>
      </c>
      <c r="Q26" s="31">
        <v>4684</v>
      </c>
      <c r="R26" s="2" t="s">
        <v>322</v>
      </c>
      <c r="S26" s="2" t="s">
        <v>320</v>
      </c>
    </row>
    <row r="27" spans="1:24" x14ac:dyDescent="0.3">
      <c r="A27" s="40" t="s">
        <v>667</v>
      </c>
      <c r="B27" s="130">
        <v>44717.824456018519</v>
      </c>
      <c r="C27" s="2"/>
      <c r="D27" s="2" t="s">
        <v>816</v>
      </c>
      <c r="F27" s="168" t="s">
        <v>280</v>
      </c>
      <c r="G27" s="168" t="s">
        <v>771</v>
      </c>
      <c r="H27" s="126" t="s">
        <v>228</v>
      </c>
      <c r="I27" s="32" t="s">
        <v>4</v>
      </c>
      <c r="J27" s="7"/>
      <c r="K27" s="15">
        <v>2042</v>
      </c>
      <c r="L27" s="7"/>
      <c r="M27" s="195" t="str" cm="1">
        <f t="array" ref="M27">IF(OR(ISBLANK(Deltagere[[#This Row],[K: Spiller-ID/fødselsdato (ddmmåå)]:[K: Navn]])),"",Deltagere[[#This Row],[K: Navn]]&amp;" ("&amp;Deltagere[[#This Row],[K: Spiller-ID/fødselsdato (ddmmåå)]]&amp;")")</f>
        <v>Hans Herluf Boisen (160878‑HABO)</v>
      </c>
      <c r="O27" s="177" cm="1">
        <f t="array" ref="O27">ROW()-ROW(Bordtennisklub_d2[#Headers])</f>
        <v>22</v>
      </c>
      <c r="P27" s="40" t="s">
        <v>54</v>
      </c>
      <c r="Q27" s="31">
        <v>5000</v>
      </c>
      <c r="R27" s="2" t="s">
        <v>53</v>
      </c>
      <c r="S27" s="2" t="s">
        <v>317</v>
      </c>
      <c r="U27" s="222" t="s">
        <v>449</v>
      </c>
      <c r="V27" s="222"/>
      <c r="X27"/>
    </row>
    <row r="28" spans="1:24" x14ac:dyDescent="0.3">
      <c r="A28" s="40" t="s">
        <v>668</v>
      </c>
      <c r="B28" s="130">
        <v>44717.819930555554</v>
      </c>
      <c r="C28" s="2"/>
      <c r="D28" s="2" t="s">
        <v>816</v>
      </c>
      <c r="F28" s="168" t="s">
        <v>580</v>
      </c>
      <c r="G28" s="168" t="s">
        <v>579</v>
      </c>
      <c r="H28" s="126" t="s">
        <v>229</v>
      </c>
      <c r="I28" s="32" t="s">
        <v>8</v>
      </c>
      <c r="J28" s="7"/>
      <c r="K28" s="15">
        <v>1516</v>
      </c>
      <c r="L28" s="7"/>
      <c r="M28" s="195" t="str" cm="1">
        <f t="array" ref="M28">IF(OR(ISBLANK(Deltagere[[#This Row],[K: Spiller-ID/fødselsdato (ddmmåå)]:[K: Navn]])),"",Deltagere[[#This Row],[K: Navn]]&amp;" ("&amp;Deltagere[[#This Row],[K: Spiller-ID/fødselsdato (ddmmåå)]]&amp;")")</f>
        <v>Ida Nielsen (090391‑IDNI)</v>
      </c>
      <c r="O28" s="177" cm="1">
        <f t="array" ref="O28">ROW()-ROW(Bordtennisklub_d2[#Headers])</f>
        <v>23</v>
      </c>
      <c r="P28" s="40" t="s">
        <v>6</v>
      </c>
      <c r="Q28" s="31">
        <v>6950</v>
      </c>
      <c r="R28" s="2" t="s">
        <v>6</v>
      </c>
      <c r="S28" s="2" t="s">
        <v>304</v>
      </c>
      <c r="U28" s="221" t="str" cm="1">
        <f t="array" ref="U28">COLUMNS(Billetsalg_pr_tilmelding_d1[])&amp;" · "&amp;ROWS(Billetsalg_pr_tilmelding_d1[])&amp;" = "&amp;SUMPRODUCT(COLUMNS(Billetsalg_pr_tilmelding_d1[]),ROWS(Billetsalg_pr_tilmelding_d1[]))
&amp;" ("&amp;IF(AND(COUNTIF(Billetsalg_pr_tilmelding_d1[K: Billetsalg pr. tilmelding],Billetsalg_pr_tilmelding_d1[K: Billetsalg pr. tilmelding])&lt;2),"✓","X")&amp;")"</f>
        <v>2 · 2 = 4 (✓)</v>
      </c>
      <c r="V28" s="221"/>
      <c r="W28"/>
      <c r="X28"/>
    </row>
    <row r="29" spans="1:24" x14ac:dyDescent="0.3">
      <c r="A29" s="40" t="s">
        <v>669</v>
      </c>
      <c r="B29" s="130">
        <v>44717.660567129627</v>
      </c>
      <c r="C29" s="180" t="s">
        <v>816</v>
      </c>
      <c r="D29" s="2" t="s">
        <v>816</v>
      </c>
      <c r="F29" s="168" t="s">
        <v>409</v>
      </c>
      <c r="G29" s="168" t="s">
        <v>410</v>
      </c>
      <c r="H29" s="126" t="s">
        <v>229</v>
      </c>
      <c r="I29" s="32" t="s">
        <v>336</v>
      </c>
      <c r="J29" s="7"/>
      <c r="K29" s="15">
        <v>2187</v>
      </c>
      <c r="L29" s="7"/>
      <c r="M29" s="195" t="str" cm="1">
        <f t="array" ref="M29">IF(OR(ISBLANK(Deltagere[[#This Row],[K: Spiller-ID/fødselsdato (ddmmåå)]:[K: Navn]])),"",Deltagere[[#This Row],[K: Navn]]&amp;" ("&amp;Deltagere[[#This Row],[K: Spiller-ID/fødselsdato (ddmmåå)]]&amp;")")</f>
        <v>Izabell Nørlem (151090‑IZNØ)</v>
      </c>
      <c r="O29" s="177" cm="1">
        <f t="array" ref="O29">ROW()-ROW(Bordtennisklub_d2[#Headers])</f>
        <v>24</v>
      </c>
      <c r="P29" s="40" t="s">
        <v>412</v>
      </c>
      <c r="Q29" s="31">
        <v>4000</v>
      </c>
      <c r="R29" s="2" t="s">
        <v>318</v>
      </c>
      <c r="S29" s="2" t="s">
        <v>319</v>
      </c>
      <c r="U29" s="186" t="s">
        <v>0</v>
      </c>
      <c r="V29" s="187" t="s">
        <v>448</v>
      </c>
      <c r="W29"/>
      <c r="X29"/>
    </row>
    <row r="30" spans="1:24" x14ac:dyDescent="0.3">
      <c r="A30" s="40" t="s">
        <v>670</v>
      </c>
      <c r="B30" s="130">
        <v>44717.537245370368</v>
      </c>
      <c r="C30" s="2"/>
      <c r="D30" s="2" t="s">
        <v>816</v>
      </c>
      <c r="F30" s="168" t="s">
        <v>107</v>
      </c>
      <c r="G30" s="168" t="s">
        <v>59</v>
      </c>
      <c r="H30" s="126" t="s">
        <v>228</v>
      </c>
      <c r="I30" s="32" t="s">
        <v>7</v>
      </c>
      <c r="J30" s="7"/>
      <c r="K30" s="15">
        <v>2521</v>
      </c>
      <c r="L30" s="127"/>
      <c r="M30" s="195" t="str" cm="1">
        <f t="array" ref="M30">IF(OR(ISBLANK(Deltagere[[#This Row],[K: Spiller-ID/fødselsdato (ddmmåå)]:[K: Navn]])),"",Deltagere[[#This Row],[K: Navn]]&amp;" ("&amp;Deltagere[[#This Row],[K: Spiller-ID/fødselsdato (ddmmåå)]]&amp;")")</f>
        <v>Jakub Dorocinski (080892‑JADO)</v>
      </c>
      <c r="O30" s="177" cm="1">
        <f t="array" ref="O30">ROW()-ROW(Bordtennisklub_d2[#Headers])</f>
        <v>25</v>
      </c>
      <c r="P30" s="40" t="s">
        <v>7</v>
      </c>
      <c r="Q30" s="31">
        <v>8200</v>
      </c>
      <c r="R30" s="2" t="s">
        <v>55</v>
      </c>
      <c r="S30" s="2" t="s">
        <v>350</v>
      </c>
      <c r="U30" s="71" cm="1">
        <f t="array" ref="U30">ROW()-ROW(Billetsalg_pr_tilmelding_d1[#Headers])</f>
        <v>1</v>
      </c>
      <c r="V30" s="39" t="s">
        <v>446</v>
      </c>
      <c r="W30"/>
      <c r="X30"/>
    </row>
    <row r="31" spans="1:24" x14ac:dyDescent="0.3">
      <c r="A31" s="40" t="s">
        <v>671</v>
      </c>
      <c r="B31" s="130">
        <v>44716.843877314815</v>
      </c>
      <c r="C31" s="180" t="s">
        <v>816</v>
      </c>
      <c r="D31" s="2" t="s">
        <v>816</v>
      </c>
      <c r="F31" s="168" t="s">
        <v>525</v>
      </c>
      <c r="G31" s="168" t="s">
        <v>526</v>
      </c>
      <c r="H31" s="126" t="s">
        <v>228</v>
      </c>
      <c r="I31" s="32" t="s">
        <v>336</v>
      </c>
      <c r="J31" s="7"/>
      <c r="K31" s="15">
        <v>2269</v>
      </c>
      <c r="L31" s="7"/>
      <c r="M31" s="195" t="str" cm="1">
        <f t="array" ref="M31">IF(OR(ISBLANK(Deltagere[[#This Row],[K: Spiller-ID/fødselsdato (ddmmåå)]:[K: Navn]])),"",Deltagere[[#This Row],[K: Navn]]&amp;" ("&amp;Deltagere[[#This Row],[K: Spiller-ID/fødselsdato (ddmmåå)]]&amp;")")</f>
        <v>Jan Nordhøj (300470‑JANO)</v>
      </c>
      <c r="O31" s="177" cm="1">
        <f t="array" ref="O31">ROW()-ROW(Bordtennisklub_d2[#Headers])</f>
        <v>26</v>
      </c>
      <c r="P31" s="40" t="s">
        <v>42</v>
      </c>
      <c r="Q31" s="31">
        <v>8600</v>
      </c>
      <c r="R31" s="2" t="s">
        <v>48</v>
      </c>
      <c r="S31" s="2" t="s">
        <v>305</v>
      </c>
      <c r="U31" s="71" cm="1">
        <f t="array" ref="U31">ROW()-ROW(Billetsalg_pr_tilmelding_d1[#Headers])</f>
        <v>2</v>
      </c>
      <c r="V31" s="39" t="s">
        <v>447</v>
      </c>
      <c r="W31"/>
    </row>
    <row r="32" spans="1:24" x14ac:dyDescent="0.3">
      <c r="A32" s="40" t="s">
        <v>672</v>
      </c>
      <c r="B32" s="130">
        <v>44716.841921296298</v>
      </c>
      <c r="C32" s="180" t="s">
        <v>816</v>
      </c>
      <c r="D32" s="2" t="s">
        <v>816</v>
      </c>
      <c r="F32" s="168" t="s">
        <v>105</v>
      </c>
      <c r="G32" s="168" t="s">
        <v>574</v>
      </c>
      <c r="H32" s="126" t="s">
        <v>228</v>
      </c>
      <c r="I32" s="32" t="s">
        <v>5</v>
      </c>
      <c r="J32" s="7"/>
      <c r="K32" s="15">
        <v>1176</v>
      </c>
      <c r="L32" s="127"/>
      <c r="M32" s="195" t="str" cm="1">
        <f t="array" ref="M32">IF(OR(ISBLANK(Deltagere[[#This Row],[K: Spiller-ID/fødselsdato (ddmmåå)]:[K: Navn]])),"",Deltagere[[#This Row],[K: Navn]]&amp;" ("&amp;Deltagere[[#This Row],[K: Spiller-ID/fødselsdato (ddmmåå)]]&amp;")")</f>
        <v>Jannick Helbo Wagner (290171‑JAHE)</v>
      </c>
      <c r="O32" s="177" cm="1">
        <f t="array" ref="O32">ROW()-ROW(Bordtennisklub_d2[#Headers])</f>
        <v>27</v>
      </c>
      <c r="P32" s="40" t="s">
        <v>8</v>
      </c>
      <c r="Q32" s="31">
        <v>8000</v>
      </c>
      <c r="R32" s="2" t="s">
        <v>56</v>
      </c>
      <c r="S32" s="2" t="s">
        <v>306</v>
      </c>
      <c r="V32"/>
      <c r="W32"/>
    </row>
    <row r="33" spans="1:24" x14ac:dyDescent="0.3">
      <c r="A33" s="40" t="s">
        <v>673</v>
      </c>
      <c r="B33" s="130">
        <v>44716.684238841131</v>
      </c>
      <c r="C33" s="2"/>
      <c r="D33" s="2" t="s">
        <v>816</v>
      </c>
      <c r="F33" s="168" t="s">
        <v>93</v>
      </c>
      <c r="G33" s="168" t="s">
        <v>44</v>
      </c>
      <c r="H33" s="126" t="s">
        <v>228</v>
      </c>
      <c r="I33" s="32" t="s">
        <v>54</v>
      </c>
      <c r="J33" s="7"/>
      <c r="K33" s="15">
        <v>1169</v>
      </c>
      <c r="L33" s="127"/>
      <c r="M33" s="195" t="str" cm="1">
        <f t="array" ref="M33">IF(OR(ISBLANK(Deltagere[[#This Row],[K: Spiller-ID/fødselsdato (ddmmåå)]:[K: Navn]])),"",Deltagere[[#This Row],[K: Navn]]&amp;" ("&amp;Deltagere[[#This Row],[K: Spiller-ID/fødselsdato (ddmmåå)]]&amp;")")</f>
        <v>Jeff Tølbøll (180209‑JETØ)</v>
      </c>
      <c r="O33" s="177" cm="1">
        <f t="array" ref="O33">ROW()-ROW(Bordtennisklub_d2[#Headers])</f>
        <v>28</v>
      </c>
      <c r="P33" s="40" t="s">
        <v>3</v>
      </c>
      <c r="Q33" s="31">
        <v>7700</v>
      </c>
      <c r="R33" s="2" t="s">
        <v>57</v>
      </c>
      <c r="S33" s="2" t="s">
        <v>307</v>
      </c>
      <c r="U33" s="222" t="s">
        <v>450</v>
      </c>
      <c r="V33" s="222"/>
      <c r="W33"/>
    </row>
    <row r="34" spans="1:24" x14ac:dyDescent="0.3">
      <c r="A34" s="40" t="s">
        <v>674</v>
      </c>
      <c r="B34" s="130">
        <v>44715.844490740739</v>
      </c>
      <c r="C34" s="2"/>
      <c r="D34" s="2" t="s">
        <v>816</v>
      </c>
      <c r="F34" s="168" t="s">
        <v>98</v>
      </c>
      <c r="G34" s="168" t="s">
        <v>472</v>
      </c>
      <c r="H34" s="126" t="s">
        <v>228</v>
      </c>
      <c r="I34" s="32" t="s">
        <v>65</v>
      </c>
      <c r="J34" s="7"/>
      <c r="K34" s="15">
        <v>2339</v>
      </c>
      <c r="L34" s="127"/>
      <c r="M34" s="195" t="str" cm="1">
        <f t="array" ref="M34">IF(OR(ISBLANK(Deltagere[[#This Row],[K: Spiller-ID/fødselsdato (ddmmåå)]:[K: Navn]])),"",Deltagere[[#This Row],[K: Navn]]&amp;" ("&amp;Deltagere[[#This Row],[K: Spiller-ID/fødselsdato (ddmmåå)]]&amp;")")</f>
        <v>Jesper Nedergård (090775‑JENE)</v>
      </c>
      <c r="O34" s="177" cm="1">
        <f t="array" ref="O34">ROW()-ROW(Bordtennisklub_d2[#Headers])</f>
        <v>29</v>
      </c>
      <c r="P34" s="40" t="s">
        <v>587</v>
      </c>
      <c r="Q34" s="31">
        <v>8850</v>
      </c>
      <c r="R34" s="2" t="s">
        <v>588</v>
      </c>
      <c r="S34" s="2" t="s">
        <v>589</v>
      </c>
      <c r="U34" s="221" t="str" cm="1">
        <f t="array" ref="U34">COLUMNS(Tilmeldingstype_d1[])&amp;" · "&amp;ROWS(Tilmeldingstype_d1[])&amp;" = "&amp;SUMPRODUCT(COLUMNS(Tilmeldingstype_d1[]),ROWS(Tilmeldingstype_d1[]))
&amp;" ("&amp;IF(AND(COUNTIF(Tilmeldingstype_d1[K: Tilmeldingstype],Tilmeldingstype_d1[K: Tilmeldingstype])&lt;2),"✓","X")&amp;")"</f>
        <v>2 · 3 = 6 (✓)</v>
      </c>
      <c r="V34" s="221"/>
    </row>
    <row r="35" spans="1:24" x14ac:dyDescent="0.3">
      <c r="A35" s="40" t="s">
        <v>675</v>
      </c>
      <c r="B35" s="130">
        <v>44715.844467592593</v>
      </c>
      <c r="C35" s="2"/>
      <c r="D35" s="2" t="s">
        <v>816</v>
      </c>
      <c r="F35" s="168" t="s">
        <v>216</v>
      </c>
      <c r="G35" s="168" t="s">
        <v>217</v>
      </c>
      <c r="H35" s="126" t="s">
        <v>228</v>
      </c>
      <c r="I35" s="32" t="s">
        <v>42</v>
      </c>
      <c r="J35" s="7"/>
      <c r="K35" s="15">
        <v>1547</v>
      </c>
      <c r="L35" s="127"/>
      <c r="M35" s="195" t="str" cm="1">
        <f t="array" ref="M35">IF(OR(ISBLANK(Deltagere[[#This Row],[K: Spiller-ID/fødselsdato (ddmmåå)]:[K: Navn]])),"",Deltagere[[#This Row],[K: Navn]]&amp;" ("&amp;Deltagere[[#This Row],[K: Spiller-ID/fødselsdato (ddmmåå)]]&amp;")")</f>
        <v>Jesper Skivesen (250372‑JESK)</v>
      </c>
      <c r="O35" s="177" cm="1">
        <f t="array" ref="O35">ROW()-ROW(Bordtennisklub_d2[#Headers])</f>
        <v>30</v>
      </c>
      <c r="P35" s="40" t="s">
        <v>418</v>
      </c>
      <c r="Q35" s="31">
        <v>5230</v>
      </c>
      <c r="R35" s="2" t="s">
        <v>328</v>
      </c>
      <c r="S35" s="2" t="s">
        <v>329</v>
      </c>
      <c r="U35" s="186" t="s">
        <v>0</v>
      </c>
      <c r="V35" s="187" t="s">
        <v>451</v>
      </c>
      <c r="W35"/>
    </row>
    <row r="36" spans="1:24" x14ac:dyDescent="0.3">
      <c r="A36" s="40" t="s">
        <v>676</v>
      </c>
      <c r="B36" s="130">
        <v>44715.703310185185</v>
      </c>
      <c r="C36" s="180" t="s">
        <v>816</v>
      </c>
      <c r="D36" s="2" t="s">
        <v>816</v>
      </c>
      <c r="F36" s="168" t="s">
        <v>281</v>
      </c>
      <c r="G36" s="168" t="s">
        <v>571</v>
      </c>
      <c r="H36" s="126" t="s">
        <v>228</v>
      </c>
      <c r="I36" s="32" t="s">
        <v>8</v>
      </c>
      <c r="J36" s="7"/>
      <c r="K36" s="15">
        <v>2048</v>
      </c>
      <c r="L36" s="7"/>
      <c r="M36" s="195" t="str" cm="1">
        <f t="array" ref="M36">IF(OR(ISBLANK(Deltagere[[#This Row],[K: Spiller-ID/fødselsdato (ddmmåå)]:[K: Navn]])),"",Deltagere[[#This Row],[K: Navn]]&amp;" ("&amp;Deltagere[[#This Row],[K: Spiller-ID/fødselsdato (ddmmåå)]]&amp;")")</f>
        <v>Jesper Steffensen (220475-JEST)</v>
      </c>
      <c r="O36" s="177" cm="1">
        <f t="array" ref="O36">ROW()-ROW(Bordtennisklub_d2[#Headers])</f>
        <v>31</v>
      </c>
      <c r="P36" s="40" t="s">
        <v>250</v>
      </c>
      <c r="Q36" s="31">
        <v>7100</v>
      </c>
      <c r="R36" s="2" t="s">
        <v>251</v>
      </c>
      <c r="S36" s="2" t="s">
        <v>308</v>
      </c>
      <c r="U36" s="71" cm="1">
        <f t="array" ref="U36">ROW()-ROW(Tilmeldingstype_d1[#Headers])</f>
        <v>1</v>
      </c>
      <c r="V36" s="39" t="s">
        <v>1081</v>
      </c>
      <c r="W36"/>
      <c r="X36"/>
    </row>
    <row r="37" spans="1:24" x14ac:dyDescent="0.3">
      <c r="A37" s="40" t="s">
        <v>677</v>
      </c>
      <c r="B37" s="130">
        <v>44715.603831018518</v>
      </c>
      <c r="C37" s="180" t="s">
        <v>816</v>
      </c>
      <c r="D37" s="2" t="s">
        <v>816</v>
      </c>
      <c r="F37" s="168" t="s">
        <v>279</v>
      </c>
      <c r="G37" s="168" t="s">
        <v>524</v>
      </c>
      <c r="H37" s="126" t="s">
        <v>228</v>
      </c>
      <c r="I37" s="32" t="s">
        <v>8</v>
      </c>
      <c r="J37" s="7"/>
      <c r="K37" s="15">
        <v>2092</v>
      </c>
      <c r="L37" s="7"/>
      <c r="M37" s="195" t="str" cm="1">
        <f t="array" ref="M37">IF(OR(ISBLANK(Deltagere[[#This Row],[K: Spiller-ID/fødselsdato (ddmmåå)]:[K: Navn]])),"",Deltagere[[#This Row],[K: Navn]]&amp;" ("&amp;Deltagere[[#This Row],[K: Spiller-ID/fødselsdato (ddmmåå)]]&amp;")")</f>
        <v>Johan Grønhøj (230403‑JOGR)</v>
      </c>
      <c r="O37" s="177" cm="1">
        <f t="array" ref="O37">ROW()-ROW(Bordtennisklub_d2[#Headers])</f>
        <v>32</v>
      </c>
      <c r="P37" s="40" t="s">
        <v>774</v>
      </c>
      <c r="Q37" s="31">
        <v>8800</v>
      </c>
      <c r="R37" s="2" t="s">
        <v>775</v>
      </c>
      <c r="S37" s="2" t="s">
        <v>776</v>
      </c>
      <c r="U37" s="71" cm="1">
        <f t="array" ref="U37">ROW()-ROW(Tilmeldingstype_d1[#Headers])</f>
        <v>2</v>
      </c>
      <c r="V37" s="39" t="s">
        <v>463</v>
      </c>
      <c r="W37"/>
      <c r="X37"/>
    </row>
    <row r="38" spans="1:24" x14ac:dyDescent="0.3">
      <c r="A38" s="40" t="s">
        <v>678</v>
      </c>
      <c r="B38" s="130">
        <v>44715.603194444448</v>
      </c>
      <c r="C38" s="2"/>
      <c r="D38" s="2" t="s">
        <v>816</v>
      </c>
      <c r="F38" s="168" t="s">
        <v>630</v>
      </c>
      <c r="G38" s="168" t="s">
        <v>631</v>
      </c>
      <c r="H38" s="126" t="s">
        <v>228</v>
      </c>
      <c r="I38" s="32" t="s">
        <v>8</v>
      </c>
      <c r="J38" s="7"/>
      <c r="K38" s="15">
        <v>2164</v>
      </c>
      <c r="L38" s="7"/>
      <c r="M38" s="195" t="str" cm="1">
        <f t="array" ref="M38">IF(OR(ISBLANK(Deltagere[[#This Row],[K: Spiller-ID/fødselsdato (ddmmåå)]:[K: Navn]])),"",Deltagere[[#This Row],[K: Navn]]&amp;" ("&amp;Deltagere[[#This Row],[K: Spiller-ID/fødselsdato (ddmmåå)]]&amp;")")</f>
        <v>Johannes Messick Mortensen (311002-JOMO)</v>
      </c>
      <c r="O38" s="177" cm="1">
        <f t="array" ref="O38">ROW()-ROW(Bordtennisklub_d2[#Headers])</f>
        <v>33</v>
      </c>
      <c r="P38" s="40" t="s">
        <v>325</v>
      </c>
      <c r="Q38" s="31">
        <v>2830</v>
      </c>
      <c r="R38" s="2" t="s">
        <v>326</v>
      </c>
      <c r="S38" s="2" t="s">
        <v>327</v>
      </c>
      <c r="U38" s="71" cm="1">
        <f t="array" ref="U38">ROW()-ROW(Tilmeldingstype_d1[#Headers])</f>
        <v>3</v>
      </c>
      <c r="V38" s="39" t="s">
        <v>1069</v>
      </c>
      <c r="W38"/>
      <c r="X38"/>
    </row>
    <row r="39" spans="1:24" x14ac:dyDescent="0.3">
      <c r="A39" s="40" t="s">
        <v>679</v>
      </c>
      <c r="B39" s="130">
        <v>44715.602465277778</v>
      </c>
      <c r="C39" s="180" t="s">
        <v>816</v>
      </c>
      <c r="D39" s="2" t="s">
        <v>816</v>
      </c>
      <c r="F39" s="168" t="s">
        <v>104</v>
      </c>
      <c r="G39" s="168" t="s">
        <v>23</v>
      </c>
      <c r="H39" s="126" t="s">
        <v>228</v>
      </c>
      <c r="I39" s="32" t="s">
        <v>7</v>
      </c>
      <c r="J39" s="7"/>
      <c r="K39" s="15">
        <v>2455</v>
      </c>
      <c r="L39" s="127"/>
      <c r="M39" s="195" t="str" cm="1">
        <f t="array" ref="M39">IF(OR(ISBLANK(Deltagere[[#This Row],[K: Spiller-ID/fødselsdato (ddmmåå)]:[K: Navn]])),"",Deltagere[[#This Row],[K: Navn]]&amp;" ("&amp;Deltagere[[#This Row],[K: Spiller-ID/fødselsdato (ddmmåå)]]&amp;")")</f>
        <v>John Sabalic (180365‑JOSA)</v>
      </c>
      <c r="O39" s="177" cm="1">
        <f t="array" ref="O39">ROW()-ROW(Bordtennisklub_d2[#Headers])</f>
        <v>34</v>
      </c>
      <c r="P39" s="40" t="s">
        <v>81</v>
      </c>
      <c r="Q39" s="31" t="s">
        <v>416</v>
      </c>
      <c r="R39" s="2" t="s">
        <v>85</v>
      </c>
      <c r="S39" s="2" t="s">
        <v>417</v>
      </c>
      <c r="W39"/>
      <c r="X39"/>
    </row>
    <row r="40" spans="1:24" x14ac:dyDescent="0.3">
      <c r="A40" s="40" t="s">
        <v>680</v>
      </c>
      <c r="B40" s="130">
        <v>44713.955868055556</v>
      </c>
      <c r="C40" s="180" t="s">
        <v>814</v>
      </c>
      <c r="D40" s="2"/>
      <c r="F40" s="183" t="s">
        <v>979</v>
      </c>
      <c r="G40" s="183" t="s">
        <v>980</v>
      </c>
      <c r="H40" s="184" t="s">
        <v>228</v>
      </c>
      <c r="I40" s="185" t="s">
        <v>42</v>
      </c>
      <c r="J40" s="178"/>
      <c r="K40" s="186"/>
      <c r="L40" s="178"/>
      <c r="M40" s="194" t="str" cm="1">
        <f t="array" ref="M40">IF(OR(ISBLANK(Deltagere[[#This Row],[K: Spiller-ID/fødselsdato (ddmmåå)]:[K: Navn]])),"",Deltagere[[#This Row],[K: Navn]]&amp;" ("&amp;Deltagere[[#This Row],[K: Spiller-ID/fødselsdato (ddmmåå)]]&amp;")")</f>
        <v>Jonas Brandt (161098-JOBR)</v>
      </c>
      <c r="O40" s="16"/>
      <c r="Q40" s="14"/>
      <c r="R40"/>
      <c r="U40" s="222" t="s">
        <v>783</v>
      </c>
      <c r="V40" s="222"/>
      <c r="W40"/>
      <c r="X40"/>
    </row>
    <row r="41" spans="1:24" x14ac:dyDescent="0.3">
      <c r="A41" s="40" t="s">
        <v>681</v>
      </c>
      <c r="B41" s="130">
        <v>44713.909178240741</v>
      </c>
      <c r="C41" s="180" t="s">
        <v>816</v>
      </c>
      <c r="D41" s="2"/>
      <c r="F41" s="168" t="s">
        <v>278</v>
      </c>
      <c r="G41" s="168" t="s">
        <v>534</v>
      </c>
      <c r="H41" s="126" t="s">
        <v>228</v>
      </c>
      <c r="I41" s="32" t="s">
        <v>42</v>
      </c>
      <c r="J41" s="7"/>
      <c r="K41" s="15">
        <v>2050</v>
      </c>
      <c r="L41" s="7"/>
      <c r="M41" s="195" t="str" cm="1">
        <f t="array" ref="M41">IF(OR(ISBLANK(Deltagere[[#This Row],[K: Spiller-ID/fødselsdato (ddmmåå)]:[K: Navn]])),"",Deltagere[[#This Row],[K: Navn]]&amp;" ("&amp;Deltagere[[#This Row],[K: Spiller-ID/fødselsdato (ddmmåå)]]&amp;")")</f>
        <v>Jonas Overgaard (010297‑JOOV)</v>
      </c>
      <c r="O41" s="222" t="s">
        <v>157</v>
      </c>
      <c r="P41" s="222"/>
      <c r="R41"/>
      <c r="U41" s="221" t="str" cm="1">
        <f t="array" ref="U41">COLUMNS(Gentilmeldinger_d1[])&amp;" · "&amp;ROWS(Gentilmeldinger_d1[])&amp;" = "&amp;SUMPRODUCT(COLUMNS(Gentilmeldinger_d1[]),ROWS(Gentilmeldinger_d1[]))
&amp;" ("&amp;IF(AND(COUNTIF(Gentilmeldinger_d1[K: Gentilmeldinger],Gentilmeldinger_d1[K: Gentilmeldinger])&lt;2),"✓","X")&amp;")"</f>
        <v>2 · 2 = 4 (✓)</v>
      </c>
      <c r="V41" s="221"/>
    </row>
    <row r="42" spans="1:24" x14ac:dyDescent="0.3">
      <c r="A42" s="40" t="s">
        <v>682</v>
      </c>
      <c r="B42" s="130">
        <v>44713.765788598277</v>
      </c>
      <c r="C42" s="180" t="s">
        <v>816</v>
      </c>
      <c r="D42" s="2" t="s">
        <v>816</v>
      </c>
      <c r="F42" s="168" t="s">
        <v>918</v>
      </c>
      <c r="G42" s="168" t="s">
        <v>919</v>
      </c>
      <c r="H42" s="126" t="s">
        <v>228</v>
      </c>
      <c r="I42" s="32" t="s">
        <v>7</v>
      </c>
      <c r="J42" s="7"/>
      <c r="K42" s="15">
        <v>2380</v>
      </c>
      <c r="L42" s="7"/>
      <c r="M42" s="195" t="str" cm="1">
        <f t="array" ref="M42">IF(OR(ISBLANK(Deltagere[[#This Row],[K: Spiller-ID/fødselsdato (ddmmåå)]:[K: Navn]])),"",Deltagere[[#This Row],[K: Navn]]&amp;" ("&amp;Deltagere[[#This Row],[K: Spiller-ID/fødselsdato (ddmmåå)]]&amp;")")</f>
        <v>Jonas Ring Agerholm (280389‑JOAG)</v>
      </c>
      <c r="O42" s="221" t="str" cm="1">
        <f t="array" ref="O42">COLUMNS(Køn_d2[])&amp;" · "&amp;ROWS(Køn_d2[])&amp;" = "&amp;SUMPRODUCT(COLUMNS(Køn_d2[]),ROWS(Køn_d2[]))
&amp;" ("&amp;IF(AND(COUNTIF(Køn_d2[K: Køn],Køn_d2[K: Køn])&lt;2),"✓","X")&amp;")"</f>
        <v>2 · 2 = 4 (✓)</v>
      </c>
      <c r="P42" s="221"/>
      <c r="R42"/>
      <c r="U42" s="186" t="s">
        <v>0</v>
      </c>
      <c r="V42" s="187" t="s">
        <v>785</v>
      </c>
    </row>
    <row r="43" spans="1:24" x14ac:dyDescent="0.3">
      <c r="A43" s="40" t="s">
        <v>972</v>
      </c>
      <c r="B43" s="130">
        <v>44711.989490740743</v>
      </c>
      <c r="C43" s="180" t="s">
        <v>815</v>
      </c>
      <c r="D43" s="2"/>
      <c r="F43" s="168" t="s">
        <v>263</v>
      </c>
      <c r="G43" s="168" t="s">
        <v>264</v>
      </c>
      <c r="H43" s="126" t="s">
        <v>228</v>
      </c>
      <c r="I43" s="32" t="s">
        <v>8</v>
      </c>
      <c r="J43" s="7"/>
      <c r="K43" s="15">
        <v>2468</v>
      </c>
      <c r="L43" s="7"/>
      <c r="M43" s="195" t="str" cm="1">
        <f t="array" ref="M43">IF(OR(ISBLANK(Deltagere[[#This Row],[K: Spiller-ID/fødselsdato (ddmmåå)]:[K: Navn]])),"",Deltagere[[#This Row],[K: Navn]]&amp;" ("&amp;Deltagere[[#This Row],[K: Spiller-ID/fødselsdato (ddmmåå)]]&amp;")")</f>
        <v>Jonathan Abildgaard Hansen (120297‑JOHA)</v>
      </c>
      <c r="O43" s="186" t="s">
        <v>0</v>
      </c>
      <c r="P43" s="187" t="s">
        <v>43</v>
      </c>
      <c r="R43"/>
      <c r="U43" s="71" cm="1">
        <f t="array" ref="U43">ROW()-ROW(Gentilmeldinger_d1[#Headers])</f>
        <v>1</v>
      </c>
      <c r="V43" s="39" t="s">
        <v>800</v>
      </c>
    </row>
    <row r="44" spans="1:24" x14ac:dyDescent="0.3">
      <c r="A44" s="40" t="s">
        <v>683</v>
      </c>
      <c r="B44" s="130">
        <v>44710.816824531343</v>
      </c>
      <c r="C44" s="2"/>
      <c r="D44" s="2" t="s">
        <v>816</v>
      </c>
      <c r="F44" s="168" t="s">
        <v>922</v>
      </c>
      <c r="G44" s="168" t="s">
        <v>923</v>
      </c>
      <c r="H44" s="126" t="s">
        <v>228</v>
      </c>
      <c r="I44" s="32" t="s">
        <v>8</v>
      </c>
      <c r="J44" s="7"/>
      <c r="K44" s="15">
        <v>2057</v>
      </c>
      <c r="L44" s="7"/>
      <c r="M44" s="195" t="str" cm="1">
        <f t="array" ref="M44">IF(OR(ISBLANK(Deltagere[[#This Row],[K: Spiller-ID/fødselsdato (ddmmåå)]:[K: Navn]])),"",Deltagere[[#This Row],[K: Navn]]&amp;" ("&amp;Deltagere[[#This Row],[K: Spiller-ID/fødselsdato (ddmmåå)]]&amp;")")</f>
        <v>Jonathan Weiss (030302‑JOWE)</v>
      </c>
      <c r="O44" s="70" cm="1">
        <f t="array" ref="O44">ROW()-ROW(Køn_d2[#Headers])</f>
        <v>1</v>
      </c>
      <c r="P44" s="39" t="s">
        <v>228</v>
      </c>
      <c r="R44"/>
      <c r="U44" s="71" cm="1">
        <f t="array" ref="U44">ROW()-ROW(Gentilmeldinger_d1[#Headers])</f>
        <v>2</v>
      </c>
      <c r="V44" s="39" t="s">
        <v>801</v>
      </c>
    </row>
    <row r="45" spans="1:24" x14ac:dyDescent="0.3">
      <c r="A45" s="40" t="s">
        <v>684</v>
      </c>
      <c r="B45" s="130">
        <v>44710.639080272224</v>
      </c>
      <c r="C45" s="2"/>
      <c r="D45" s="2" t="s">
        <v>816</v>
      </c>
      <c r="F45" s="168" t="s">
        <v>94</v>
      </c>
      <c r="G45" s="168" t="s">
        <v>45</v>
      </c>
      <c r="H45" s="126" t="s">
        <v>228</v>
      </c>
      <c r="I45" s="32" t="s">
        <v>54</v>
      </c>
      <c r="J45" s="7"/>
      <c r="K45" s="15">
        <v>2048</v>
      </c>
      <c r="L45" s="127"/>
      <c r="M45" s="195" t="str" cm="1">
        <f t="array" ref="M45">IF(OR(ISBLANK(Deltagere[[#This Row],[K: Spiller-ID/fødselsdato (ddmmåå)]:[K: Navn]])),"",Deltagere[[#This Row],[K: Navn]]&amp;" ("&amp;Deltagere[[#This Row],[K: Spiller-ID/fødselsdato (ddmmåå)]]&amp;")")</f>
        <v>Kresten Christensen (060206‑KRCH)</v>
      </c>
      <c r="O45" s="70" cm="1">
        <f t="array" ref="O45">ROW()-ROW(Køn_d2[#Headers])</f>
        <v>2</v>
      </c>
      <c r="P45" s="39" t="s">
        <v>229</v>
      </c>
      <c r="R45"/>
    </row>
    <row r="46" spans="1:24" x14ac:dyDescent="0.3">
      <c r="A46" s="40" t="s">
        <v>685</v>
      </c>
      <c r="B46" s="130">
        <v>44709.567499999997</v>
      </c>
      <c r="C46" s="180" t="s">
        <v>814</v>
      </c>
      <c r="D46" s="2" t="s">
        <v>814</v>
      </c>
      <c r="F46" s="168" t="s">
        <v>97</v>
      </c>
      <c r="G46" s="168" t="s">
        <v>36</v>
      </c>
      <c r="H46" s="126" t="s">
        <v>228</v>
      </c>
      <c r="I46" s="32" t="s">
        <v>33</v>
      </c>
      <c r="J46" s="7"/>
      <c r="K46" s="15">
        <v>1000</v>
      </c>
      <c r="L46" s="127"/>
      <c r="M46" s="195" t="str" cm="1">
        <f t="array" ref="M46">IF(OR(ISBLANK(Deltagere[[#This Row],[K: Spiller-ID/fødselsdato (ddmmåå)]:[K: Navn]])),"",Deltagere[[#This Row],[K: Navn]]&amp;" ("&amp;Deltagere[[#This Row],[K: Spiller-ID/fødselsdato (ddmmåå)]]&amp;")")</f>
        <v>Lars Hartvig Bruun Severinsen (190382‑LASE)</v>
      </c>
      <c r="O46"/>
      <c r="P46" s="14"/>
      <c r="Q46" s="14"/>
      <c r="R46"/>
      <c r="U46" s="222" t="s">
        <v>647</v>
      </c>
      <c r="V46" s="222"/>
    </row>
    <row r="47" spans="1:24" x14ac:dyDescent="0.3">
      <c r="A47" s="40" t="s">
        <v>686</v>
      </c>
      <c r="B47" s="130">
        <v>44708.784812015889</v>
      </c>
      <c r="C47" s="180" t="s">
        <v>816</v>
      </c>
      <c r="D47" s="2"/>
      <c r="F47" s="168" t="s">
        <v>903</v>
      </c>
      <c r="G47" s="168" t="s">
        <v>904</v>
      </c>
      <c r="H47" s="126" t="s">
        <v>228</v>
      </c>
      <c r="I47" s="32" t="s">
        <v>42</v>
      </c>
      <c r="J47" s="7"/>
      <c r="K47" s="15">
        <v>1643</v>
      </c>
      <c r="L47" s="127"/>
      <c r="M47" s="195" t="str" cm="1">
        <f t="array" ref="M47">IF(OR(ISBLANK(Deltagere[[#This Row],[K: Spiller-ID/fødselsdato (ddmmåå)]:[K: Navn]])),"",Deltagere[[#This Row],[K: Navn]]&amp;" ("&amp;Deltagere[[#This Row],[K: Spiller-ID/fødselsdato (ddmmåå)]]&amp;")")</f>
        <v>Lars Jørgensen (280466‑LAJØ)</v>
      </c>
      <c r="O47" s="222" t="s">
        <v>158</v>
      </c>
      <c r="P47" s="222"/>
      <c r="Q47" s="14"/>
      <c r="R47"/>
      <c r="U47" s="221" t="str" cm="1">
        <f t="array" ref="U47">COLUMNS(Klokkeslætsinterval_d1[])&amp;" · "&amp;ROWS(Klokkeslætsinterval_d1[])&amp;" = "&amp;SUMPRODUCT(COLUMNS(Klokkeslætsinterval_d1[]),ROWS(Klokkeslætsinterval_d1[]))
&amp;" ("&amp;IF(AND(COUNTIF(Klokkeslætsinterval_d1[K: Klokkeslætsinterval],Klokkeslætsinterval_d1[K: Klokkeslætsinterval])&lt;2),"✓","X")&amp;")"</f>
        <v>2 · 2 = 4 (✓)</v>
      </c>
      <c r="V47" s="221"/>
    </row>
    <row r="48" spans="1:24" x14ac:dyDescent="0.3">
      <c r="A48" s="40" t="s">
        <v>687</v>
      </c>
      <c r="B48" s="130">
        <v>44708.527773175811</v>
      </c>
      <c r="C48" s="180" t="s">
        <v>816</v>
      </c>
      <c r="D48" s="2"/>
      <c r="F48" s="168" t="s">
        <v>265</v>
      </c>
      <c r="G48" s="168" t="s">
        <v>266</v>
      </c>
      <c r="H48" s="126" t="s">
        <v>228</v>
      </c>
      <c r="I48" s="32" t="s">
        <v>81</v>
      </c>
      <c r="J48" s="7"/>
      <c r="K48" s="15"/>
      <c r="L48" s="7">
        <v>1</v>
      </c>
      <c r="M48" s="195" t="str" cm="1">
        <f t="array" ref="M48">IF(OR(ISBLANK(Deltagere[[#This Row],[K: Spiller-ID/fødselsdato (ddmmåå)]:[K: Navn]])),"",Deltagere[[#This Row],[K: Navn]]&amp;" ("&amp;Deltagere[[#This Row],[K: Spiller-ID/fødselsdato (ddmmåå)]]&amp;")")</f>
        <v>Lasse Frølich Rasmussen (091184)</v>
      </c>
      <c r="O48" s="221" t="str" cm="1">
        <f t="array" ref="O48">COLUMNS(Spillertype_d2[])&amp;" · "&amp;ROWS(Spillertype_d2[])&amp;" = "&amp;SUMPRODUCT(COLUMNS(Spillertype_d2[]),ROWS(Spillertype_d2[]))
&amp;" ("&amp;IF(AND(COUNTIF(Spillertype_d2[K: Spillertype],Spillertype_d2[K: Spillertype])&lt;2),"✓","X")&amp;")"</f>
        <v>2 · 2 = 4 (✓)</v>
      </c>
      <c r="P48" s="221"/>
      <c r="Q48" s="14"/>
      <c r="R48"/>
      <c r="U48" s="186" t="s">
        <v>0</v>
      </c>
      <c r="V48" s="187" t="s">
        <v>646</v>
      </c>
    </row>
    <row r="49" spans="1:24" x14ac:dyDescent="0.3">
      <c r="A49" s="40" t="s">
        <v>688</v>
      </c>
      <c r="B49" s="130">
        <v>44708.52459327133</v>
      </c>
      <c r="C49" s="180" t="s">
        <v>816</v>
      </c>
      <c r="D49" s="2"/>
      <c r="F49" s="168" t="s">
        <v>100</v>
      </c>
      <c r="G49" s="168" t="s">
        <v>629</v>
      </c>
      <c r="H49" s="126" t="s">
        <v>228</v>
      </c>
      <c r="I49" s="32" t="s">
        <v>5</v>
      </c>
      <c r="J49" s="7"/>
      <c r="K49" s="15">
        <v>1928</v>
      </c>
      <c r="L49" s="127"/>
      <c r="M49" s="195" t="str" cm="1">
        <f t="array" ref="M49">IF(OR(ISBLANK(Deltagere[[#This Row],[K: Spiller-ID/fødselsdato (ddmmåå)]:[K: Navn]])),"",Deltagere[[#This Row],[K: Navn]]&amp;" ("&amp;Deltagere[[#This Row],[K: Spiller-ID/fødselsdato (ddmmåå)]]&amp;")")</f>
        <v>Lasse Kardel Larsen (210798‑LALA)</v>
      </c>
      <c r="O49" s="186" t="s">
        <v>0</v>
      </c>
      <c r="P49" s="187" t="s">
        <v>111</v>
      </c>
      <c r="Q49" s="14"/>
      <c r="R49"/>
      <c r="U49" s="71" cm="1">
        <f t="array" ref="U49">ROW()-ROW(Klokkeslætsinterval_d1[#Headers])</f>
        <v>1</v>
      </c>
      <c r="V49" s="39" t="s">
        <v>649</v>
      </c>
    </row>
    <row r="50" spans="1:24" x14ac:dyDescent="0.3">
      <c r="A50" s="40" t="s">
        <v>689</v>
      </c>
      <c r="B50" s="130">
        <v>44708.5222589966</v>
      </c>
      <c r="C50" s="180" t="s">
        <v>816</v>
      </c>
      <c r="D50" s="2"/>
      <c r="F50" s="168" t="s">
        <v>729</v>
      </c>
      <c r="G50" s="168" t="s">
        <v>730</v>
      </c>
      <c r="H50" s="126" t="s">
        <v>228</v>
      </c>
      <c r="I50" s="32" t="s">
        <v>4</v>
      </c>
      <c r="J50" s="7"/>
      <c r="K50" s="15">
        <v>2025</v>
      </c>
      <c r="L50" s="7"/>
      <c r="M50" s="195" t="str" cm="1">
        <f t="array" ref="M50">IF(OR(ISBLANK(Deltagere[[#This Row],[K: Spiller-ID/fødselsdato (ddmmåå)]:[K: Navn]])),"",Deltagere[[#This Row],[K: Navn]]&amp;" ("&amp;Deltagere[[#This Row],[K: Spiller-ID/fødselsdato (ddmmåå)]]&amp;")")</f>
        <v>Laust Ravn Johansen (230706‑LAJO)</v>
      </c>
      <c r="O50" s="70" cm="1">
        <f t="array" ref="O50">ROW()-ROW(Spillertype_d2[#Headers])</f>
        <v>1</v>
      </c>
      <c r="P50" s="39" t="s">
        <v>465</v>
      </c>
      <c r="Q50" s="14"/>
      <c r="R50"/>
      <c r="U50" s="71" cm="1">
        <f t="array" ref="U50">ROW()-ROW(Klokkeslætsinterval_d1[#Headers])</f>
        <v>2</v>
      </c>
      <c r="V50" s="39" t="s">
        <v>648</v>
      </c>
    </row>
    <row r="51" spans="1:24" x14ac:dyDescent="0.3">
      <c r="A51" s="40" t="s">
        <v>690</v>
      </c>
      <c r="B51" s="130">
        <v>44704.75811411671</v>
      </c>
      <c r="C51" s="180" t="s">
        <v>816</v>
      </c>
      <c r="D51" s="2"/>
      <c r="F51" s="168" t="s">
        <v>106</v>
      </c>
      <c r="G51" s="168" t="s">
        <v>61</v>
      </c>
      <c r="H51" s="126" t="s">
        <v>228</v>
      </c>
      <c r="I51" s="32" t="s">
        <v>54</v>
      </c>
      <c r="J51" s="7"/>
      <c r="K51" s="15">
        <v>1325</v>
      </c>
      <c r="L51" s="127"/>
      <c r="M51" s="195" t="str" cm="1">
        <f t="array" ref="M51">IF(OR(ISBLANK(Deltagere[[#This Row],[K: Spiller-ID/fødselsdato (ddmmåå)]:[K: Navn]])),"",Deltagere[[#This Row],[K: Navn]]&amp;" ("&amp;Deltagere[[#This Row],[K: Spiller-ID/fødselsdato (ddmmåå)]]&amp;")")</f>
        <v>Mads Harbo Jensen (160975‑MAHA)</v>
      </c>
      <c r="O51" s="70" cm="1">
        <f t="array" ref="O51">ROW()-ROW(Spillertype_d2[#Headers])</f>
        <v>2</v>
      </c>
      <c r="P51" s="39" t="s">
        <v>464</v>
      </c>
      <c r="Q51" s="14"/>
      <c r="R51"/>
    </row>
    <row r="52" spans="1:24" x14ac:dyDescent="0.3">
      <c r="A52" s="40" t="s">
        <v>691</v>
      </c>
      <c r="B52" s="130">
        <v>44702.732521809361</v>
      </c>
      <c r="C52" s="180" t="s">
        <v>816</v>
      </c>
      <c r="D52" s="2"/>
      <c r="F52" s="168" t="s">
        <v>261</v>
      </c>
      <c r="G52" s="168" t="s">
        <v>262</v>
      </c>
      <c r="H52" s="126" t="s">
        <v>228</v>
      </c>
      <c r="I52" s="32" t="s">
        <v>42</v>
      </c>
      <c r="J52" s="7"/>
      <c r="K52" s="15">
        <v>2352</v>
      </c>
      <c r="L52" s="7"/>
      <c r="M52" s="195" t="str" cm="1">
        <f t="array" ref="M52">IF(OR(ISBLANK(Deltagere[[#This Row],[K: Spiller-ID/fødselsdato (ddmmåå)]:[K: Navn]])),"",Deltagere[[#This Row],[K: Navn]]&amp;" ("&amp;Deltagere[[#This Row],[K: Spiller-ID/fødselsdato (ddmmåå)]]&amp;")")</f>
        <v>Mads Larsen (050993‑MALA)</v>
      </c>
      <c r="O52"/>
      <c r="P52" s="14"/>
      <c r="Q52" s="14"/>
      <c r="R52"/>
    </row>
    <row r="53" spans="1:24" x14ac:dyDescent="0.3">
      <c r="A53" s="40" t="s">
        <v>692</v>
      </c>
      <c r="B53" s="130">
        <v>44702.537544051644</v>
      </c>
      <c r="C53" s="180" t="s">
        <v>816</v>
      </c>
      <c r="D53" s="2" t="s">
        <v>816</v>
      </c>
      <c r="F53" s="168" t="s">
        <v>101</v>
      </c>
      <c r="G53" s="168" t="s">
        <v>27</v>
      </c>
      <c r="H53" s="126" t="s">
        <v>229</v>
      </c>
      <c r="I53" s="32" t="s">
        <v>10</v>
      </c>
      <c r="J53" s="7"/>
      <c r="K53" s="15">
        <v>1139</v>
      </c>
      <c r="L53" s="127"/>
      <c r="M53" s="195" t="str" cm="1">
        <f t="array" ref="M53">IF(OR(ISBLANK(Deltagere[[#This Row],[K: Spiller-ID/fødselsdato (ddmmåå)]:[K: Navn]])),"",Deltagere[[#This Row],[K: Navn]]&amp;" ("&amp;Deltagere[[#This Row],[K: Spiller-ID/fødselsdato (ddmmåå)]]&amp;")")</f>
        <v>Mai Jensen (220465‑MAJE)</v>
      </c>
      <c r="O53" s="222" t="s">
        <v>513</v>
      </c>
      <c r="P53" s="222"/>
      <c r="Q53" s="14"/>
      <c r="R53"/>
    </row>
    <row r="54" spans="1:24" x14ac:dyDescent="0.3">
      <c r="A54" s="40" t="s">
        <v>693</v>
      </c>
      <c r="B54" s="130">
        <v>44701.755543475447</v>
      </c>
      <c r="C54" s="180" t="s">
        <v>816</v>
      </c>
      <c r="D54" s="2" t="s">
        <v>816</v>
      </c>
      <c r="F54" s="168" t="s">
        <v>92</v>
      </c>
      <c r="G54" s="168" t="s">
        <v>32</v>
      </c>
      <c r="H54" s="126" t="s">
        <v>229</v>
      </c>
      <c r="I54" s="32" t="s">
        <v>54</v>
      </c>
      <c r="J54" s="7"/>
      <c r="K54" s="15">
        <v>2001</v>
      </c>
      <c r="L54" s="127"/>
      <c r="M54" s="195" t="str" cm="1">
        <f t="array" ref="M54">IF(OR(ISBLANK(Deltagere[[#This Row],[K: Spiller-ID/fødselsdato (ddmmåå)]:[K: Navn]])),"",Deltagere[[#This Row],[K: Navn]]&amp;" ("&amp;Deltagere[[#This Row],[K: Spiller-ID/fødselsdato (ddmmåå)]]&amp;")")</f>
        <v>Maja Helene Hansen (130407‑MAHA)</v>
      </c>
      <c r="O54" s="221" t="str" cm="1">
        <f t="array" ref="O54">COLUMNS(Aldersgruppe_d2[])&amp;" · "&amp;ROWS(Aldersgruppe_d2[])&amp;" = "&amp;SUMPRODUCT(COLUMNS(Aldersgruppe_d2[]),ROWS(Aldersgruppe_d2[]))
&amp;" ("&amp;IF(AND(COUNTIF(Aldersgruppe_d2[K: Aldersgruppe],Aldersgruppe_d2[K: Aldersgruppe])&lt;2),"✓","X")&amp;")"</f>
        <v>2 · 3 = 6 (✓)</v>
      </c>
      <c r="P54" s="221"/>
      <c r="Q54" s="14"/>
    </row>
    <row r="55" spans="1:24" x14ac:dyDescent="0.3">
      <c r="A55" s="40" t="s">
        <v>694</v>
      </c>
      <c r="B55" s="130">
        <v>44701.75009996767</v>
      </c>
      <c r="C55" s="180" t="s">
        <v>816</v>
      </c>
      <c r="D55" s="2" t="s">
        <v>816</v>
      </c>
      <c r="F55" s="168" t="s">
        <v>96</v>
      </c>
      <c r="G55" s="168" t="s">
        <v>35</v>
      </c>
      <c r="H55" s="126" t="s">
        <v>228</v>
      </c>
      <c r="I55" s="32" t="s">
        <v>33</v>
      </c>
      <c r="J55" s="7"/>
      <c r="K55" s="15">
        <v>1723</v>
      </c>
      <c r="L55" s="127"/>
      <c r="M55" s="195" t="str" cm="1">
        <f t="array" ref="M55">IF(OR(ISBLANK(Deltagere[[#This Row],[K: Spiller-ID/fødselsdato (ddmmåå)]:[K: Navn]])),"",Deltagere[[#This Row],[K: Navn]]&amp;" ("&amp;Deltagere[[#This Row],[K: Spiller-ID/fødselsdato (ddmmåå)]]&amp;")")</f>
        <v>Malik Hartvig Bruun Severinsen (200210‑MASE)</v>
      </c>
      <c r="O55" s="186" t="s">
        <v>0</v>
      </c>
      <c r="P55" s="187" t="s">
        <v>369</v>
      </c>
      <c r="Q55" s="14"/>
    </row>
    <row r="56" spans="1:24" x14ac:dyDescent="0.3">
      <c r="A56" s="40" t="s">
        <v>695</v>
      </c>
      <c r="B56" s="130">
        <v>44696.912035584457</v>
      </c>
      <c r="C56" s="180" t="s">
        <v>816</v>
      </c>
      <c r="D56" s="2" t="s">
        <v>816</v>
      </c>
      <c r="F56" s="168" t="s">
        <v>273</v>
      </c>
      <c r="G56" s="168" t="s">
        <v>274</v>
      </c>
      <c r="H56" s="126" t="s">
        <v>228</v>
      </c>
      <c r="I56" s="32" t="s">
        <v>4</v>
      </c>
      <c r="J56" s="7"/>
      <c r="K56" s="15">
        <v>2381</v>
      </c>
      <c r="L56" s="7"/>
      <c r="M56" s="195" t="str" cm="1">
        <f t="array" ref="M56">IF(OR(ISBLANK(Deltagere[[#This Row],[K: Spiller-ID/fødselsdato (ddmmåå)]:[K: Navn]])),"",Deltagere[[#This Row],[K: Navn]]&amp;" ("&amp;Deltagere[[#This Row],[K: Spiller-ID/fødselsdato (ddmmåå)]]&amp;")")</f>
        <v>Marc Kynde (160897‑MAKY)</v>
      </c>
      <c r="O56" s="70" cm="1">
        <f t="array" ref="O56">ROW()-ROW(Aldersgruppe_d2[#Headers])</f>
        <v>1</v>
      </c>
      <c r="P56" s="39" t="s">
        <v>388</v>
      </c>
      <c r="Q56"/>
    </row>
    <row r="57" spans="1:24" x14ac:dyDescent="0.3">
      <c r="A57" s="40" t="s">
        <v>696</v>
      </c>
      <c r="B57" s="130">
        <v>44693.758270420229</v>
      </c>
      <c r="C57" s="180" t="s">
        <v>816</v>
      </c>
      <c r="D57" s="2" t="s">
        <v>816</v>
      </c>
      <c r="F57" s="168" t="s">
        <v>259</v>
      </c>
      <c r="G57" s="168" t="s">
        <v>260</v>
      </c>
      <c r="H57" s="126" t="s">
        <v>228</v>
      </c>
      <c r="I57" s="32" t="s">
        <v>4</v>
      </c>
      <c r="J57" s="7"/>
      <c r="K57" s="15">
        <v>2369</v>
      </c>
      <c r="L57" s="7"/>
      <c r="M57" s="195" t="str" cm="1">
        <f t="array" ref="M57">IF(OR(ISBLANK(Deltagere[[#This Row],[K: Spiller-ID/fødselsdato (ddmmåå)]:[K: Navn]])),"",Deltagere[[#This Row],[K: Navn]]&amp;" ("&amp;Deltagere[[#This Row],[K: Spiller-ID/fødselsdato (ddmmåå)]]&amp;")")</f>
        <v>Marius Dam (121000‑MADA)</v>
      </c>
      <c r="O57" s="70" cm="1">
        <f t="array" ref="O57">ROW()-ROW(Aldersgruppe_d2[#Headers])</f>
        <v>2</v>
      </c>
      <c r="P57" s="39" t="s">
        <v>389</v>
      </c>
      <c r="Q57"/>
    </row>
    <row r="58" spans="1:24" x14ac:dyDescent="0.3">
      <c r="A58" s="40" t="s">
        <v>697</v>
      </c>
      <c r="B58" s="130">
        <v>44691.591918090853</v>
      </c>
      <c r="C58" s="180" t="s">
        <v>816</v>
      </c>
      <c r="D58" s="2"/>
      <c r="F58" s="168" t="s">
        <v>344</v>
      </c>
      <c r="G58" s="168" t="s">
        <v>346</v>
      </c>
      <c r="H58" s="126" t="s">
        <v>228</v>
      </c>
      <c r="I58" s="32" t="s">
        <v>345</v>
      </c>
      <c r="J58" s="7"/>
      <c r="K58" s="15">
        <v>1491</v>
      </c>
      <c r="L58" s="7"/>
      <c r="M58" s="195" t="str" cm="1">
        <f t="array" ref="M58">IF(OR(ISBLANK(Deltagere[[#This Row],[K: Spiller-ID/fødselsdato (ddmmåå)]:[K: Navn]])),"",Deltagere[[#This Row],[K: Navn]]&amp;" ("&amp;Deltagere[[#This Row],[K: Spiller-ID/fødselsdato (ddmmåå)]]&amp;")")</f>
        <v>Martin Svendsen (250662‑MASV)</v>
      </c>
      <c r="O58" s="70" cm="1">
        <f t="array" ref="O58">ROW()-ROW(Aldersgruppe_d2[#Headers])</f>
        <v>3</v>
      </c>
      <c r="P58" s="39" t="s">
        <v>390</v>
      </c>
      <c r="Q58"/>
    </row>
    <row r="59" spans="1:24" x14ac:dyDescent="0.3">
      <c r="A59" s="40" t="s">
        <v>698</v>
      </c>
      <c r="B59" s="130">
        <v>44684.892289773932</v>
      </c>
      <c r="C59" s="180" t="s">
        <v>816</v>
      </c>
      <c r="D59" s="2" t="s">
        <v>816</v>
      </c>
      <c r="F59" s="168" t="s">
        <v>235</v>
      </c>
      <c r="G59" s="168" t="s">
        <v>218</v>
      </c>
      <c r="H59" s="126" t="s">
        <v>228</v>
      </c>
      <c r="I59" s="32" t="s">
        <v>42</v>
      </c>
      <c r="J59" s="7"/>
      <c r="K59" s="15">
        <v>2100</v>
      </c>
      <c r="L59" s="127"/>
      <c r="M59" s="195" t="str" cm="1">
        <f t="array" ref="M59">IF(OR(ISBLANK(Deltagere[[#This Row],[K: Spiller-ID/fødselsdato (ddmmåå)]:[K: Navn]])),"",Deltagere[[#This Row],[K: Navn]]&amp;" ("&amp;Deltagere[[#This Row],[K: Spiller-ID/fødselsdato (ddmmåå)]]&amp;")")</f>
        <v>Mathias Christensen (190594‑MACH)</v>
      </c>
      <c r="O59"/>
      <c r="P59" s="14"/>
      <c r="Q59"/>
      <c r="X59"/>
    </row>
    <row r="60" spans="1:24" x14ac:dyDescent="0.3">
      <c r="A60" s="40" t="s">
        <v>699</v>
      </c>
      <c r="B60" s="130">
        <v>44681.845998317687</v>
      </c>
      <c r="C60" s="180" t="s">
        <v>816</v>
      </c>
      <c r="D60" s="2" t="s">
        <v>816</v>
      </c>
      <c r="F60" s="168" t="s">
        <v>256</v>
      </c>
      <c r="G60" s="168" t="s">
        <v>257</v>
      </c>
      <c r="H60" s="126" t="s">
        <v>228</v>
      </c>
      <c r="I60" s="32" t="s">
        <v>8</v>
      </c>
      <c r="J60" s="7"/>
      <c r="K60" s="15">
        <v>1944</v>
      </c>
      <c r="L60" s="7"/>
      <c r="M60" s="195" t="str" cm="1">
        <f t="array" ref="M60">IF(OR(ISBLANK(Deltagere[[#This Row],[K: Spiller-ID/fødselsdato (ddmmåå)]:[K: Navn]])),"",Deltagere[[#This Row],[K: Navn]]&amp;" ("&amp;Deltagere[[#This Row],[K: Spiller-ID/fødselsdato (ddmmåå)]]&amp;")")</f>
        <v>Mathias Heidmann (010883‑MAHE)</v>
      </c>
      <c r="O60" s="222" t="s">
        <v>512</v>
      </c>
      <c r="P60" s="222"/>
      <c r="Q60"/>
      <c r="X60"/>
    </row>
    <row r="61" spans="1:24" x14ac:dyDescent="0.3">
      <c r="A61" s="40" t="s">
        <v>700</v>
      </c>
      <c r="B61" s="130">
        <v>44680.864305959331</v>
      </c>
      <c r="C61" s="2" t="s">
        <v>814</v>
      </c>
      <c r="D61" s="2" t="s">
        <v>814</v>
      </c>
      <c r="F61" s="168" t="s">
        <v>575</v>
      </c>
      <c r="G61" s="168" t="s">
        <v>586</v>
      </c>
      <c r="H61" s="126" t="s">
        <v>229</v>
      </c>
      <c r="I61" s="32" t="s">
        <v>8</v>
      </c>
      <c r="J61" s="7"/>
      <c r="K61" s="15">
        <v>1531</v>
      </c>
      <c r="L61" s="7"/>
      <c r="M61" s="195" t="str" cm="1">
        <f t="array" ref="M61">IF(OR(ISBLANK(Deltagere[[#This Row],[K: Spiller-ID/fødselsdato (ddmmåå)]:[K: Navn]])),"",Deltagere[[#This Row],[K: Navn]]&amp;" ("&amp;Deltagere[[#This Row],[K: Spiller-ID/fødselsdato (ddmmåå)]]&amp;")")</f>
        <v>Mette Kristensen (080289‑MEKR)</v>
      </c>
      <c r="O61" s="221" t="str" cm="1">
        <f t="array" ref="O61">COLUMNS(Ratinggruppe_d2[])&amp;" · "&amp;ROWS(Ratinggruppe_d2[])&amp;" = "&amp;SUMPRODUCT(COLUMNS(Ratinggruppe_d2[]),ROWS(Ratinggruppe_d2[]))
&amp;" ("&amp;IF(AND(COUNTIF(Ratinggruppe_d2[K: Ratinggruppe],Ratinggruppe_d2[K: Ratinggruppe])&lt;2),"✓","X")&amp;")"</f>
        <v>2 · 2 = 4 (✓)</v>
      </c>
      <c r="P61" s="221"/>
      <c r="Q61" s="14"/>
      <c r="X61"/>
    </row>
    <row r="62" spans="1:24" x14ac:dyDescent="0.3">
      <c r="A62" s="40" t="s">
        <v>701</v>
      </c>
      <c r="B62" s="130">
        <v>44677.940368301883</v>
      </c>
      <c r="C62" s="180" t="s">
        <v>816</v>
      </c>
      <c r="D62" s="2" t="s">
        <v>816</v>
      </c>
      <c r="F62" s="168" t="s">
        <v>103</v>
      </c>
      <c r="G62" s="168" t="s">
        <v>473</v>
      </c>
      <c r="H62" s="126" t="s">
        <v>228</v>
      </c>
      <c r="I62" s="32" t="s">
        <v>7</v>
      </c>
      <c r="J62" s="7"/>
      <c r="K62" s="15">
        <v>2501</v>
      </c>
      <c r="L62" s="127"/>
      <c r="M62" s="195" t="str" cm="1">
        <f t="array" ref="M62">IF(OR(ISBLANK(Deltagere[[#This Row],[K: Spiller-ID/fødselsdato (ddmmåå)]:[K: Navn]])),"",Deltagere[[#This Row],[K: Navn]]&amp;" ("&amp;Deltagere[[#This Row],[K: Spiller-ID/fødselsdato (ddmmåå)]]&amp;")")</f>
        <v>Michael Hegelund Knudsen (231195‑MIKN)</v>
      </c>
      <c r="O62" s="186" t="s">
        <v>0</v>
      </c>
      <c r="P62" s="187" t="s">
        <v>441</v>
      </c>
      <c r="Q62" s="14"/>
      <c r="R62"/>
      <c r="W62"/>
      <c r="X62"/>
    </row>
    <row r="63" spans="1:24" x14ac:dyDescent="0.3">
      <c r="A63" s="40" t="s">
        <v>702</v>
      </c>
      <c r="B63" s="130">
        <v>44677.732768312548</v>
      </c>
      <c r="C63" s="2" t="s">
        <v>814</v>
      </c>
      <c r="D63" s="2"/>
      <c r="F63" s="168" t="s">
        <v>102</v>
      </c>
      <c r="G63" s="168" t="s">
        <v>26</v>
      </c>
      <c r="H63" s="126" t="s">
        <v>228</v>
      </c>
      <c r="I63" s="32" t="s">
        <v>6</v>
      </c>
      <c r="J63" s="7"/>
      <c r="K63" s="15">
        <v>1646</v>
      </c>
      <c r="L63" s="127"/>
      <c r="M63" s="195" t="str" cm="1">
        <f t="array" ref="M63">IF(OR(ISBLANK(Deltagere[[#This Row],[K: Spiller-ID/fødselsdato (ddmmåå)]:[K: Navn]])),"",Deltagere[[#This Row],[K: Navn]]&amp;" ("&amp;Deltagere[[#This Row],[K: Spiller-ID/fødselsdato (ddmmåå)]]&amp;")")</f>
        <v>Michel Christensen (140989‑MICH)</v>
      </c>
      <c r="O63" s="70" cm="1">
        <f t="array" ref="O63">ROW()-ROW(Ratinggruppe_d2[#Headers])</f>
        <v>1</v>
      </c>
      <c r="P63" s="39" t="s">
        <v>569</v>
      </c>
      <c r="Q63" s="14"/>
      <c r="R63"/>
      <c r="W63"/>
      <c r="X63"/>
    </row>
    <row r="64" spans="1:24" x14ac:dyDescent="0.3">
      <c r="A64" s="40" t="s">
        <v>703</v>
      </c>
      <c r="B64" s="130">
        <v>44676.414171389857</v>
      </c>
      <c r="C64" s="180" t="s">
        <v>816</v>
      </c>
      <c r="D64" s="2"/>
      <c r="F64" s="168" t="s">
        <v>249</v>
      </c>
      <c r="G64" s="168" t="s">
        <v>592</v>
      </c>
      <c r="H64" s="126" t="s">
        <v>228</v>
      </c>
      <c r="I64" s="32" t="s">
        <v>250</v>
      </c>
      <c r="J64" s="7"/>
      <c r="K64" s="15">
        <v>2265</v>
      </c>
      <c r="L64" s="127"/>
      <c r="M64" s="195" t="str" cm="1">
        <f t="array" ref="M64">IF(OR(ISBLANK(Deltagere[[#This Row],[K: Spiller-ID/fødselsdato (ddmmåå)]:[K: Navn]])),"",Deltagere[[#This Row],[K: Navn]]&amp;" ("&amp;Deltagere[[#This Row],[K: Spiller-ID/fødselsdato (ddmmåå)]]&amp;")")</f>
        <v>Mickey Elsborg (250901‑MIEL)</v>
      </c>
      <c r="O64" s="70" cm="1">
        <f t="array" ref="O64">ROW()-ROW(Ratinggruppe_d2[#Headers])</f>
        <v>2</v>
      </c>
      <c r="P64" s="39" t="s">
        <v>570</v>
      </c>
      <c r="Q64" s="14"/>
      <c r="R64"/>
      <c r="W64"/>
      <c r="X64"/>
    </row>
    <row r="65" spans="1:24" x14ac:dyDescent="0.3">
      <c r="A65" s="40" t="s">
        <v>704</v>
      </c>
      <c r="B65" s="130">
        <v>44674.414848481101</v>
      </c>
      <c r="C65" s="180" t="s">
        <v>816</v>
      </c>
      <c r="D65" s="2" t="s">
        <v>816</v>
      </c>
      <c r="F65" s="168" t="s">
        <v>270</v>
      </c>
      <c r="G65" s="168" t="s">
        <v>271</v>
      </c>
      <c r="H65" s="126" t="s">
        <v>229</v>
      </c>
      <c r="I65" s="32" t="s">
        <v>8</v>
      </c>
      <c r="J65" s="7"/>
      <c r="K65" s="15">
        <v>2295</v>
      </c>
      <c r="L65" s="7"/>
      <c r="M65" s="195" t="str" cm="1">
        <f t="array" ref="M65">IF(OR(ISBLANK(Deltagere[[#This Row],[K: Spiller-ID/fødselsdato (ddmmåå)]:[K: Navn]])),"",Deltagere[[#This Row],[K: Navn]]&amp;" ("&amp;Deltagere[[#This Row],[K: Spiller-ID/fødselsdato (ddmmåå)]]&amp;")")</f>
        <v>Mie Binnerup Jacobsen (051192‑MIJA)</v>
      </c>
      <c r="O65"/>
      <c r="P65" s="14"/>
      <c r="Q65" s="14"/>
      <c r="R65"/>
      <c r="U65" s="14"/>
      <c r="W65"/>
      <c r="X65"/>
    </row>
    <row r="66" spans="1:24" x14ac:dyDescent="0.3">
      <c r="A66" s="40" t="s">
        <v>705</v>
      </c>
      <c r="B66" s="130">
        <v>44672.628060781448</v>
      </c>
      <c r="C66" s="180" t="s">
        <v>816</v>
      </c>
      <c r="D66" s="2" t="s">
        <v>816</v>
      </c>
      <c r="F66" s="168" t="s">
        <v>915</v>
      </c>
      <c r="G66" s="168" t="s">
        <v>916</v>
      </c>
      <c r="H66" s="126" t="s">
        <v>228</v>
      </c>
      <c r="I66" s="32" t="s">
        <v>5</v>
      </c>
      <c r="J66" s="7"/>
      <c r="K66" s="15">
        <v>1220</v>
      </c>
      <c r="L66" s="7"/>
      <c r="M66" s="195" t="str" cm="1">
        <f t="array" ref="M66">IF(OR(ISBLANK(Deltagere[[#This Row],[K: Spiller-ID/fødselsdato (ddmmåå)]:[K: Navn]])),"",Deltagere[[#This Row],[K: Navn]]&amp;" ("&amp;Deltagere[[#This Row],[K: Spiller-ID/fødselsdato (ddmmåå)]]&amp;")")</f>
        <v>Milosz Miszczuk (030882‑MIMI)</v>
      </c>
      <c r="O66" s="222" t="s">
        <v>150</v>
      </c>
      <c r="P66" s="222"/>
      <c r="Q66" s="14"/>
      <c r="R66"/>
      <c r="U66" s="14"/>
      <c r="W66"/>
      <c r="X66"/>
    </row>
    <row r="67" spans="1:24" x14ac:dyDescent="0.3">
      <c r="A67" s="40" t="s">
        <v>706</v>
      </c>
      <c r="B67" s="130">
        <v>44672.620914004263</v>
      </c>
      <c r="C67" s="180" t="s">
        <v>816</v>
      </c>
      <c r="D67" s="2" t="s">
        <v>816</v>
      </c>
      <c r="F67" s="168" t="s">
        <v>639</v>
      </c>
      <c r="G67" s="168" t="s">
        <v>640</v>
      </c>
      <c r="H67" s="126" t="s">
        <v>228</v>
      </c>
      <c r="I67" s="32" t="s">
        <v>587</v>
      </c>
      <c r="J67" s="7"/>
      <c r="K67" s="15">
        <v>2547</v>
      </c>
      <c r="L67" s="7"/>
      <c r="M67" s="195" t="str" cm="1">
        <f t="array" ref="M67">IF(OR(ISBLANK(Deltagere[[#This Row],[K: Spiller-ID/fødselsdato (ddmmåå)]:[K: Navn]])),"",Deltagere[[#This Row],[K: Navn]]&amp;" ("&amp;Deltagere[[#This Row],[K: Spiller-ID/fødselsdato (ddmmåå)]]&amp;")")</f>
        <v>Nichlas Middelhede (311292‑NIMI)</v>
      </c>
      <c r="O67" s="221" t="str" cm="1">
        <f t="array" ref="O67">COLUMNS(Landsdel_d3[])&amp;" · "&amp;ROWS(Landsdel_d3[])&amp;" = "&amp;SUMPRODUCT(COLUMNS(Landsdel_d3[]),ROWS(Landsdel_d3[]))
&amp;" ("&amp;IF(AND(COUNTIF(Landsdel_d3[K: Landsdel],Landsdel_d3[K: Landsdel])&lt;2),"✓","X")&amp;")"</f>
        <v>2 · 5 = 10 (✓)</v>
      </c>
      <c r="P67" s="221"/>
      <c r="Q67" s="14"/>
      <c r="R67"/>
      <c r="U67" s="14"/>
      <c r="X67"/>
    </row>
    <row r="68" spans="1:24" x14ac:dyDescent="0.3">
      <c r="A68" s="40" t="s">
        <v>707</v>
      </c>
      <c r="B68" s="130">
        <v>44669.447282538793</v>
      </c>
      <c r="C68" s="180" t="s">
        <v>816</v>
      </c>
      <c r="D68" s="2" t="s">
        <v>816</v>
      </c>
      <c r="F68" s="168" t="s">
        <v>590</v>
      </c>
      <c r="G68" s="168" t="s">
        <v>591</v>
      </c>
      <c r="H68" s="126" t="s">
        <v>228</v>
      </c>
      <c r="I68" s="32" t="s">
        <v>587</v>
      </c>
      <c r="J68" s="7"/>
      <c r="K68" s="15">
        <v>2229</v>
      </c>
      <c r="L68" s="7"/>
      <c r="M68" s="195" t="str" cm="1">
        <f t="array" ref="M68">IF(OR(ISBLANK(Deltagere[[#This Row],[K: Spiller-ID/fødselsdato (ddmmåå)]:[K: Navn]])),"",Deltagere[[#This Row],[K: Navn]]&amp;" ("&amp;Deltagere[[#This Row],[K: Spiller-ID/fødselsdato (ddmmåå)]]&amp;")")</f>
        <v>Nick Sommer (070387‑NISO)</v>
      </c>
      <c r="O68" s="186" t="s">
        <v>0</v>
      </c>
      <c r="P68" s="187" t="s">
        <v>37</v>
      </c>
      <c r="Q68" s="14"/>
      <c r="R68"/>
      <c r="U68" s="14"/>
      <c r="X68"/>
    </row>
    <row r="69" spans="1:24" x14ac:dyDescent="0.3">
      <c r="A69" s="40" t="s">
        <v>708</v>
      </c>
      <c r="B69" s="130">
        <v>44669.405239579894</v>
      </c>
      <c r="C69" s="180" t="s">
        <v>816</v>
      </c>
      <c r="D69" s="2" t="s">
        <v>816</v>
      </c>
      <c r="F69" s="168" t="s">
        <v>772</v>
      </c>
      <c r="G69" s="168" t="s">
        <v>773</v>
      </c>
      <c r="H69" s="126" t="s">
        <v>228</v>
      </c>
      <c r="I69" s="32" t="s">
        <v>774</v>
      </c>
      <c r="J69" s="7"/>
      <c r="K69" s="15">
        <v>1788</v>
      </c>
      <c r="L69" s="7"/>
      <c r="M69" s="195" t="str" cm="1">
        <f t="array" ref="M69">IF(OR(ISBLANK(Deltagere[[#This Row],[K: Spiller-ID/fødselsdato (ddmmåå)]:[K: Navn]])),"",Deltagere[[#This Row],[K: Navn]]&amp;" ("&amp;Deltagere[[#This Row],[K: Spiller-ID/fødselsdato (ddmmåå)]]&amp;")")</f>
        <v>Nicklas Martti Johnsen (020496‑NIJO)</v>
      </c>
      <c r="O69" s="70" cm="1">
        <f t="array" ref="O69">ROW()-ROW(Landsdel_d3[#Headers])</f>
        <v>1</v>
      </c>
      <c r="P69" s="39" t="s">
        <v>38</v>
      </c>
      <c r="Q69" s="14"/>
      <c r="R69"/>
      <c r="U69" s="14"/>
      <c r="X69"/>
    </row>
    <row r="70" spans="1:24" x14ac:dyDescent="0.3">
      <c r="A70" s="40" t="s">
        <v>709</v>
      </c>
      <c r="B70" s="130">
        <v>44668.746527777781</v>
      </c>
      <c r="C70" s="180" t="s">
        <v>816</v>
      </c>
      <c r="D70" s="2" t="s">
        <v>816</v>
      </c>
      <c r="F70" s="168" t="s">
        <v>291</v>
      </c>
      <c r="G70" s="168" t="s">
        <v>292</v>
      </c>
      <c r="H70" s="126" t="s">
        <v>228</v>
      </c>
      <c r="I70" s="32" t="s">
        <v>5</v>
      </c>
      <c r="J70" s="7"/>
      <c r="K70" s="15">
        <v>1363</v>
      </c>
      <c r="L70" s="7"/>
      <c r="M70" s="195" t="str" cm="1">
        <f t="array" ref="M70">IF(OR(ISBLANK(Deltagere[[#This Row],[K: Spiller-ID/fødselsdato (ddmmåå)]:[K: Navn]])),"",Deltagere[[#This Row],[K: Navn]]&amp;" ("&amp;Deltagere[[#This Row],[K: Spiller-ID/fødselsdato (ddmmåå)]]&amp;")")</f>
        <v>Oliver Kjeldgaard Johansson (221206‑OLJO)</v>
      </c>
      <c r="O70" s="70" cm="1">
        <f t="array" ref="O70">ROW()-ROW(Landsdel_d3[#Headers])</f>
        <v>2</v>
      </c>
      <c r="P70" s="39" t="s">
        <v>39</v>
      </c>
      <c r="Q70" s="14"/>
      <c r="R70"/>
      <c r="U70" s="14"/>
      <c r="X70"/>
    </row>
    <row r="71" spans="1:24" x14ac:dyDescent="0.3">
      <c r="A71" s="40" t="s">
        <v>710</v>
      </c>
      <c r="B71" s="130">
        <v>44668.722916666666</v>
      </c>
      <c r="C71" s="2"/>
      <c r="D71" s="2" t="s">
        <v>816</v>
      </c>
      <c r="F71" s="168" t="s">
        <v>275</v>
      </c>
      <c r="G71" s="168" t="s">
        <v>632</v>
      </c>
      <c r="H71" s="126" t="s">
        <v>228</v>
      </c>
      <c r="I71" s="32" t="s">
        <v>4</v>
      </c>
      <c r="J71" s="7"/>
      <c r="K71" s="15">
        <v>2374</v>
      </c>
      <c r="L71" s="7"/>
      <c r="M71" s="195" t="str" cm="1">
        <f t="array" ref="M71">IF(OR(ISBLANK(Deltagere[[#This Row],[K: Spiller-ID/fødselsdato (ddmmåå)]:[K: Navn]])),"",Deltagere[[#This Row],[K: Navn]]&amp;" ("&amp;Deltagere[[#This Row],[K: Spiller-ID/fødselsdato (ddmmåå)]]&amp;")")</f>
        <v>Oscar Hovmøller (230702‑OSHO)</v>
      </c>
      <c r="O71" s="70" cm="1">
        <f t="array" ref="O71">ROW()-ROW(Landsdel_d3[#Headers])</f>
        <v>3</v>
      </c>
      <c r="P71" s="39" t="s">
        <v>40</v>
      </c>
      <c r="Q71" s="14"/>
      <c r="R71"/>
      <c r="U71" s="14"/>
      <c r="X71"/>
    </row>
    <row r="72" spans="1:24" x14ac:dyDescent="0.3">
      <c r="A72" s="40" t="s">
        <v>711</v>
      </c>
      <c r="B72" s="130">
        <v>44668.500332007869</v>
      </c>
      <c r="C72" s="180" t="s">
        <v>816</v>
      </c>
      <c r="D72" s="2" t="s">
        <v>816</v>
      </c>
      <c r="F72" s="168" t="s">
        <v>954</v>
      </c>
      <c r="G72" s="168" t="s">
        <v>955</v>
      </c>
      <c r="H72" s="126" t="s">
        <v>228</v>
      </c>
      <c r="I72" s="32" t="s">
        <v>8</v>
      </c>
      <c r="J72" s="7"/>
      <c r="K72" s="15">
        <v>1117</v>
      </c>
      <c r="L72" s="7"/>
      <c r="M72" s="195" t="str" cm="1">
        <f t="array" ref="M72">IF(OR(ISBLANK(Deltagere[[#This Row],[K: Spiller-ID/fødselsdato (ddmmåå)]:[K: Navn]])),"",Deltagere[[#This Row],[K: Navn]]&amp;" ("&amp;Deltagere[[#This Row],[K: Spiller-ID/fødselsdato (ddmmåå)]]&amp;")")</f>
        <v>Otto Svindt (050512‑OTSV)</v>
      </c>
      <c r="O72" s="70" cm="1">
        <f t="array" ref="O72">ROW()-ROW(Landsdel_d3[#Headers])</f>
        <v>4</v>
      </c>
      <c r="P72" s="39" t="s">
        <v>114</v>
      </c>
      <c r="Q72" s="14"/>
      <c r="R72"/>
      <c r="U72" s="14"/>
      <c r="X72"/>
    </row>
    <row r="73" spans="1:24" x14ac:dyDescent="0.3">
      <c r="A73" s="40" t="s">
        <v>712</v>
      </c>
      <c r="B73" s="130">
        <v>44537.340162037035</v>
      </c>
      <c r="C73" s="180" t="s">
        <v>816</v>
      </c>
      <c r="D73" s="2"/>
      <c r="F73" s="168" t="s">
        <v>95</v>
      </c>
      <c r="G73" s="168" t="s">
        <v>67</v>
      </c>
      <c r="H73" s="126" t="s">
        <v>228</v>
      </c>
      <c r="I73" s="32" t="s">
        <v>66</v>
      </c>
      <c r="J73" s="7"/>
      <c r="K73" s="15">
        <v>2284</v>
      </c>
      <c r="L73" s="127"/>
      <c r="M73" s="195" t="str" cm="1">
        <f t="array" ref="M73">IF(OR(ISBLANK(Deltagere[[#This Row],[K: Spiller-ID/fødselsdato (ddmmåå)]:[K: Navn]])),"",Deltagere[[#This Row],[K: Navn]]&amp;" ("&amp;Deltagere[[#This Row],[K: Spiller-ID/fødselsdato (ddmmåå)]]&amp;")")</f>
        <v>Peter Bruhn (230961‑PEBR)</v>
      </c>
      <c r="O73" s="70" cm="1">
        <f t="array" ref="O73">ROW()-ROW(Landsdel_d3[#Headers])</f>
        <v>5</v>
      </c>
      <c r="P73" s="39" t="s">
        <v>83</v>
      </c>
      <c r="Q73" s="14"/>
      <c r="R73"/>
      <c r="U73" s="14"/>
      <c r="X73"/>
    </row>
    <row r="74" spans="1:24" x14ac:dyDescent="0.3">
      <c r="A74" s="40" t="s">
        <v>713</v>
      </c>
      <c r="B74" s="130">
        <v>44535.942731481482</v>
      </c>
      <c r="C74" s="180" t="s">
        <v>816</v>
      </c>
      <c r="D74" s="2"/>
      <c r="F74" s="168" t="s">
        <v>109</v>
      </c>
      <c r="G74" s="168" t="s">
        <v>60</v>
      </c>
      <c r="H74" s="126" t="s">
        <v>228</v>
      </c>
      <c r="I74" s="32" t="s">
        <v>8</v>
      </c>
      <c r="J74" s="7"/>
      <c r="K74" s="15">
        <v>2042</v>
      </c>
      <c r="L74" s="127"/>
      <c r="M74" s="195" t="str" cm="1">
        <f t="array" ref="M74">IF(OR(ISBLANK(Deltagere[[#This Row],[K: Spiller-ID/fødselsdato (ddmmåå)]:[K: Navn]])),"",Deltagere[[#This Row],[K: Navn]]&amp;" ("&amp;Deltagere[[#This Row],[K: Spiller-ID/fødselsdato (ddmmåå)]]&amp;")")</f>
        <v>Peter Skalborg Jensen (080790‑PEJE)</v>
      </c>
      <c r="O74"/>
      <c r="P74"/>
      <c r="Q74" s="14"/>
      <c r="R74"/>
      <c r="X74"/>
    </row>
    <row r="75" spans="1:24" x14ac:dyDescent="0.3">
      <c r="A75" s="40" t="s">
        <v>714</v>
      </c>
      <c r="B75" s="130">
        <v>44527.731064814812</v>
      </c>
      <c r="C75" s="180" t="s">
        <v>816</v>
      </c>
      <c r="D75" s="2" t="s">
        <v>814</v>
      </c>
      <c r="F75" s="168" t="s">
        <v>311</v>
      </c>
      <c r="G75" s="168" t="s">
        <v>312</v>
      </c>
      <c r="H75" s="126" t="s">
        <v>228</v>
      </c>
      <c r="I75" s="32" t="s">
        <v>81</v>
      </c>
      <c r="J75" s="7"/>
      <c r="K75" s="15"/>
      <c r="L75" s="7">
        <v>2</v>
      </c>
      <c r="M75" s="195" t="str" cm="1">
        <f t="array" ref="M75">IF(OR(ISBLANK(Deltagere[[#This Row],[K: Spiller-ID/fødselsdato (ddmmåå)]:[K: Navn]])),"",Deltagere[[#This Row],[K: Navn]]&amp;" ("&amp;Deltagere[[#This Row],[K: Spiller-ID/fødselsdato (ddmmåå)]]&amp;")")</f>
        <v>Poul B. Pedersen (291252)</v>
      </c>
      <c r="O75" s="222" t="s">
        <v>151</v>
      </c>
      <c r="P75" s="222"/>
      <c r="Q75" s="14"/>
      <c r="R75"/>
      <c r="X75"/>
    </row>
    <row r="76" spans="1:24" x14ac:dyDescent="0.3">
      <c r="A76" s="40" t="s">
        <v>715</v>
      </c>
      <c r="B76" s="130">
        <v>44526.679803240739</v>
      </c>
      <c r="C76" s="180" t="s">
        <v>816</v>
      </c>
      <c r="D76" s="2"/>
      <c r="F76" s="168" t="s">
        <v>521</v>
      </c>
      <c r="G76" s="168" t="s">
        <v>522</v>
      </c>
      <c r="H76" s="126" t="s">
        <v>228</v>
      </c>
      <c r="I76" s="32" t="s">
        <v>8</v>
      </c>
      <c r="J76" s="7"/>
      <c r="K76" s="15">
        <v>1913</v>
      </c>
      <c r="L76" s="7"/>
      <c r="M76" s="195" t="str" cm="1">
        <f t="array" ref="M76">IF(OR(ISBLANK(Deltagere[[#This Row],[K: Spiller-ID/fødselsdato (ddmmåå)]:[K: Navn]])),"",Deltagere[[#This Row],[K: Navn]]&amp;" ("&amp;Deltagere[[#This Row],[K: Spiller-ID/fødselsdato (ddmmåå)]]&amp;")")</f>
        <v>Rasmus Damkjær Hansen (110696‑RAHA)</v>
      </c>
      <c r="O76" s="221" t="str" cm="1">
        <f t="array" ref="O76">COLUMNS(Region_d3[])&amp;" · "&amp;ROWS(Region_d3[])&amp;" = "&amp;SUMPRODUCT(COLUMNS(Region_d3[]),ROWS(Region_d3[]))
&amp;" ("&amp;IF(AND(COUNTIF(Region_d3[K: Region],Region_d3[K: Region])&lt;2),"✓","X")&amp;")"</f>
        <v>2 · 6 = 12 (✓)</v>
      </c>
      <c r="P76" s="221"/>
      <c r="Q76" s="14"/>
      <c r="R76"/>
      <c r="X76"/>
    </row>
    <row r="77" spans="1:24" x14ac:dyDescent="0.3">
      <c r="A77" s="40" t="s">
        <v>716</v>
      </c>
      <c r="B77" s="130">
        <v>44526.667245370372</v>
      </c>
      <c r="C77" s="2" t="s">
        <v>814</v>
      </c>
      <c r="D77" s="2" t="s">
        <v>814</v>
      </c>
      <c r="F77" s="168">
        <v>280501</v>
      </c>
      <c r="G77" s="168" t="s">
        <v>452</v>
      </c>
      <c r="H77" s="126" t="s">
        <v>228</v>
      </c>
      <c r="I77" s="32" t="s">
        <v>81</v>
      </c>
      <c r="J77" s="7"/>
      <c r="K77" s="15"/>
      <c r="L77" s="7">
        <v>3</v>
      </c>
      <c r="M77" s="195" t="str" cm="1">
        <f t="array" ref="M77">IF(OR(ISBLANK(Deltagere[[#This Row],[K: Spiller-ID/fødselsdato (ddmmåå)]:[K: Navn]])),"",Deltagere[[#This Row],[K: Navn]]&amp;" ("&amp;Deltagere[[#This Row],[K: Spiller-ID/fødselsdato (ddmmåå)]]&amp;")")</f>
        <v>Rasmus Hansen (280501)</v>
      </c>
      <c r="O77" s="186" t="s">
        <v>0</v>
      </c>
      <c r="P77" s="187" t="s">
        <v>115</v>
      </c>
      <c r="Q77" s="14"/>
      <c r="R77"/>
      <c r="X77"/>
    </row>
    <row r="78" spans="1:24" x14ac:dyDescent="0.3">
      <c r="A78" s="40" t="s">
        <v>717</v>
      </c>
      <c r="B78" s="130">
        <v>44525.69939814815</v>
      </c>
      <c r="C78" s="180" t="s">
        <v>816</v>
      </c>
      <c r="D78" s="2"/>
      <c r="F78" s="168" t="s">
        <v>466</v>
      </c>
      <c r="G78" s="168" t="s">
        <v>468</v>
      </c>
      <c r="H78" s="126" t="s">
        <v>229</v>
      </c>
      <c r="I78" s="32" t="s">
        <v>81</v>
      </c>
      <c r="J78" s="7"/>
      <c r="K78" s="15"/>
      <c r="L78" s="7"/>
      <c r="M78" s="195" t="str" cm="1">
        <f t="array" ref="M78">IF(OR(ISBLANK(Deltagere[[#This Row],[K: Spiller-ID/fødselsdato (ddmmåå)]:[K: Navn]])),"",Deltagere[[#This Row],[K: Navn]]&amp;" ("&amp;Deltagere[[#This Row],[K: Spiller-ID/fødselsdato (ddmmåå)]]&amp;")")</f>
        <v>Sarah Svendsen (291095)</v>
      </c>
      <c r="O78" s="70" cm="1">
        <f t="array" ref="O78">ROW()-ROW(Region_d3[#Headers])</f>
        <v>1</v>
      </c>
      <c r="P78" s="39" t="s">
        <v>117</v>
      </c>
      <c r="Q78" s="14"/>
      <c r="R78"/>
      <c r="X78"/>
    </row>
    <row r="79" spans="1:24" x14ac:dyDescent="0.3">
      <c r="A79" s="40" t="s">
        <v>718</v>
      </c>
      <c r="B79" s="130">
        <v>44523.898101851853</v>
      </c>
      <c r="C79" s="2" t="s">
        <v>814</v>
      </c>
      <c r="D79" s="2"/>
      <c r="F79" s="168" t="s">
        <v>429</v>
      </c>
      <c r="G79" s="168" t="s">
        <v>970</v>
      </c>
      <c r="H79" s="126" t="s">
        <v>228</v>
      </c>
      <c r="I79" s="32" t="s">
        <v>81</v>
      </c>
      <c r="J79" s="7"/>
      <c r="K79" s="15"/>
      <c r="L79" s="7">
        <v>5</v>
      </c>
      <c r="M79" s="195" t="str" cm="1">
        <f t="array" ref="M79">IF(OR(ISBLANK(Deltagere[[#This Row],[K: Spiller-ID/fødselsdato (ddmmåå)]:[K: Navn]])),"",Deltagere[[#This Row],[K: Navn]]&amp;" ("&amp;Deltagere[[#This Row],[K: Spiller-ID/fødselsdato (ddmmåå)]]&amp;")")</f>
        <v>Sebastian Karlsmose (300503-KIBE)</v>
      </c>
      <c r="O79" s="70" cm="1">
        <f t="array" ref="O79">ROW()-ROW(Region_d3[#Headers])</f>
        <v>2</v>
      </c>
      <c r="P79" s="39" t="s">
        <v>118</v>
      </c>
      <c r="Q79" s="14"/>
      <c r="R79"/>
    </row>
    <row r="80" spans="1:24" x14ac:dyDescent="0.3">
      <c r="A80" s="40" t="s">
        <v>719</v>
      </c>
      <c r="B80" s="130">
        <v>44517.49114583333</v>
      </c>
      <c r="C80" s="180" t="s">
        <v>816</v>
      </c>
      <c r="D80" s="2"/>
      <c r="F80" s="168" t="s">
        <v>110</v>
      </c>
      <c r="G80" s="168" t="s">
        <v>63</v>
      </c>
      <c r="H80" s="126" t="s">
        <v>228</v>
      </c>
      <c r="I80" s="32" t="s">
        <v>3</v>
      </c>
      <c r="J80" s="7"/>
      <c r="K80" s="15">
        <v>2064</v>
      </c>
      <c r="L80" s="127"/>
      <c r="M80" s="195" t="str" cm="1">
        <f t="array" ref="M80">IF(OR(ISBLANK(Deltagere[[#This Row],[K: Spiller-ID/fødselsdato (ddmmåå)]:[K: Navn]])),"",Deltagere[[#This Row],[K: Navn]]&amp;" ("&amp;Deltagere[[#This Row],[K: Spiller-ID/fødselsdato (ddmmåå)]]&amp;")")</f>
        <v>Sebastian Kjær Jensen (100595‑SEJE)</v>
      </c>
      <c r="O80" s="70" cm="1">
        <f t="array" ref="O80">ROW()-ROW(Region_d3[#Headers])</f>
        <v>3</v>
      </c>
      <c r="P80" s="39" t="s">
        <v>119</v>
      </c>
      <c r="Q80" s="14"/>
      <c r="R80"/>
    </row>
    <row r="81" spans="1:18" x14ac:dyDescent="0.3">
      <c r="A81" s="40" t="s">
        <v>720</v>
      </c>
      <c r="B81" s="130">
        <v>44517.488541666666</v>
      </c>
      <c r="C81" s="180" t="s">
        <v>816</v>
      </c>
      <c r="D81" s="2"/>
      <c r="F81" s="168" t="s">
        <v>454</v>
      </c>
      <c r="G81" s="168" t="s">
        <v>455</v>
      </c>
      <c r="H81" s="126" t="s">
        <v>228</v>
      </c>
      <c r="I81" s="32" t="s">
        <v>33</v>
      </c>
      <c r="J81" s="7"/>
      <c r="K81" s="15">
        <v>1685</v>
      </c>
      <c r="L81" s="7"/>
      <c r="M81" s="195" t="str" cm="1">
        <f t="array" ref="M81">IF(OR(ISBLANK(Deltagere[[#This Row],[K: Spiller-ID/fødselsdato (ddmmåå)]:[K: Navn]])),"",Deltagere[[#This Row],[K: Navn]]&amp;" ("&amp;Deltagere[[#This Row],[K: Spiller-ID/fødselsdato (ddmmåå)]]&amp;")")</f>
        <v>Sebastian Sørensen (110501-SESØ)</v>
      </c>
      <c r="O81" s="70" cm="1">
        <f t="array" ref="O81">ROW()-ROW(Region_d3[#Headers])</f>
        <v>4</v>
      </c>
      <c r="P81" s="39" t="s">
        <v>120</v>
      </c>
      <c r="Q81" s="14"/>
      <c r="R81"/>
    </row>
    <row r="82" spans="1:18" x14ac:dyDescent="0.3">
      <c r="A82" s="40" t="s">
        <v>721</v>
      </c>
      <c r="B82" s="130">
        <v>44516.886423611111</v>
      </c>
      <c r="C82" s="180" t="s">
        <v>816</v>
      </c>
      <c r="D82" s="2"/>
      <c r="F82" s="168" t="s">
        <v>456</v>
      </c>
      <c r="G82" s="168" t="s">
        <v>453</v>
      </c>
      <c r="H82" s="126" t="s">
        <v>228</v>
      </c>
      <c r="I82" s="32" t="s">
        <v>81</v>
      </c>
      <c r="J82" s="7"/>
      <c r="K82" s="15"/>
      <c r="L82" s="7"/>
      <c r="M82" s="195" t="str" cm="1">
        <f t="array" ref="M82">IF(OR(ISBLANK(Deltagere[[#This Row],[K: Spiller-ID/fødselsdato (ddmmåå)]:[K: Navn]])),"",Deltagere[[#This Row],[K: Navn]]&amp;" ("&amp;Deltagere[[#This Row],[K: Spiller-ID/fødselsdato (ddmmåå)]]&amp;")")</f>
        <v>Simon Egebæk (030201)</v>
      </c>
      <c r="O82" s="70" cm="1">
        <f t="array" ref="O82">ROW()-ROW(Region_d3[#Headers])</f>
        <v>5</v>
      </c>
      <c r="P82" s="39" t="s">
        <v>121</v>
      </c>
    </row>
    <row r="83" spans="1:18" x14ac:dyDescent="0.3">
      <c r="A83" s="40" t="s">
        <v>660</v>
      </c>
      <c r="B83" s="130">
        <v>44514.676898148151</v>
      </c>
      <c r="C83" s="2" t="s">
        <v>814</v>
      </c>
      <c r="D83" s="2" t="s">
        <v>814</v>
      </c>
      <c r="F83" s="168" t="s">
        <v>91</v>
      </c>
      <c r="G83" s="168" t="s">
        <v>24</v>
      </c>
      <c r="H83" s="126" t="s">
        <v>228</v>
      </c>
      <c r="I83" s="32" t="s">
        <v>4</v>
      </c>
      <c r="J83" s="7">
        <v>2</v>
      </c>
      <c r="K83" s="15">
        <v>2362</v>
      </c>
      <c r="L83" s="127"/>
      <c r="M83" s="195" t="str" cm="1">
        <f t="array" ref="M83">IF(OR(ISBLANK(Deltagere[[#This Row],[K: Spiller-ID/fødselsdato (ddmmåå)]:[K: Navn]])),"",Deltagere[[#This Row],[K: Navn]]&amp;" ("&amp;Deltagere[[#This Row],[K: Spiller-ID/fødselsdato (ddmmåå)]]&amp;")")</f>
        <v>Simon Larsen (250501‑SILA)</v>
      </c>
      <c r="O83" s="70" cm="1">
        <f t="array" ref="O83">ROW()-ROW(Region_d3[#Headers])</f>
        <v>6</v>
      </c>
      <c r="P83" s="39" t="s">
        <v>116</v>
      </c>
    </row>
    <row r="84" spans="1:18" x14ac:dyDescent="0.3">
      <c r="A84" s="40" t="s">
        <v>722</v>
      </c>
      <c r="B84" s="130">
        <v>44510.789131944446</v>
      </c>
      <c r="C84" s="180" t="s">
        <v>816</v>
      </c>
      <c r="D84" s="2"/>
      <c r="F84" s="168" t="s">
        <v>272</v>
      </c>
      <c r="G84" s="168" t="s">
        <v>460</v>
      </c>
      <c r="H84" s="126" t="s">
        <v>228</v>
      </c>
      <c r="I84" s="32" t="s">
        <v>4</v>
      </c>
      <c r="J84" s="7"/>
      <c r="K84" s="15">
        <v>2587</v>
      </c>
      <c r="L84" s="7"/>
      <c r="M84" s="195" t="str" cm="1">
        <f t="array" ref="M84">IF(OR(ISBLANK(Deltagere[[#This Row],[K: Spiller-ID/fødselsdato (ddmmåå)]:[K: Navn]])),"",Deltagere[[#This Row],[K: Navn]]&amp;" ("&amp;Deltagere[[#This Row],[K: Spiller-ID/fødselsdato (ddmmåå)]]&amp;")")</f>
        <v>Simon Nykjær-Fisher (150888‑SINY)</v>
      </c>
    </row>
    <row r="85" spans="1:18" x14ac:dyDescent="0.3">
      <c r="A85" s="40" t="s">
        <v>723</v>
      </c>
      <c r="B85" s="130">
        <v>44510.787210648145</v>
      </c>
      <c r="C85" s="180" t="s">
        <v>816</v>
      </c>
      <c r="D85" s="2"/>
      <c r="F85" s="168" t="s">
        <v>442</v>
      </c>
      <c r="G85" s="168" t="s">
        <v>443</v>
      </c>
      <c r="H85" s="126" t="s">
        <v>228</v>
      </c>
      <c r="I85" s="32" t="s">
        <v>339</v>
      </c>
      <c r="J85" s="7"/>
      <c r="K85" s="15">
        <v>1717</v>
      </c>
      <c r="L85" s="7"/>
      <c r="M85" s="195" t="str" cm="1">
        <f t="array" ref="M85">IF(OR(ISBLANK(Deltagere[[#This Row],[K: Spiller-ID/fødselsdato (ddmmåå)]:[K: Navn]])),"",Deltagere[[#This Row],[K: Navn]]&amp;" ("&amp;Deltagere[[#This Row],[K: Spiller-ID/fødselsdato (ddmmåå)]]&amp;")")</f>
        <v>Thomas B. Petersen (040791‑THPE)</v>
      </c>
    </row>
    <row r="86" spans="1:18" x14ac:dyDescent="0.3">
      <c r="A86" s="40" t="s">
        <v>724</v>
      </c>
      <c r="B86" s="130">
        <v>44510.574826388889</v>
      </c>
      <c r="C86" s="180" t="s">
        <v>816</v>
      </c>
      <c r="D86" s="2"/>
      <c r="F86" s="168" t="s">
        <v>435</v>
      </c>
      <c r="G86" s="168" t="s">
        <v>436</v>
      </c>
      <c r="H86" s="126" t="s">
        <v>228</v>
      </c>
      <c r="I86" s="32" t="s">
        <v>339</v>
      </c>
      <c r="J86" s="7"/>
      <c r="K86" s="15">
        <v>1867</v>
      </c>
      <c r="L86" s="7"/>
      <c r="M86" s="195" t="str" cm="1">
        <f t="array" ref="M86">IF(OR(ISBLANK(Deltagere[[#This Row],[K: Spiller-ID/fødselsdato (ddmmåå)]:[K: Navn]])),"",Deltagere[[#This Row],[K: Navn]]&amp;" ("&amp;Deltagere[[#This Row],[K: Spiller-ID/fødselsdato (ddmmåå)]]&amp;")")</f>
        <v>Thomas Bjerregaard (230578‑THBJ)</v>
      </c>
    </row>
    <row r="87" spans="1:18" x14ac:dyDescent="0.3">
      <c r="A87" s="40" t="s">
        <v>696</v>
      </c>
      <c r="B87" s="130">
        <v>44509.911087962966</v>
      </c>
      <c r="C87" s="180" t="s">
        <v>816</v>
      </c>
      <c r="D87" s="2" t="s">
        <v>816</v>
      </c>
      <c r="F87" s="168" t="s">
        <v>289</v>
      </c>
      <c r="G87" s="168" t="s">
        <v>290</v>
      </c>
      <c r="H87" s="126" t="s">
        <v>228</v>
      </c>
      <c r="I87" s="32" t="s">
        <v>5</v>
      </c>
      <c r="J87" s="7"/>
      <c r="K87" s="15">
        <v>2413</v>
      </c>
      <c r="L87" s="7"/>
      <c r="M87" s="195" t="str" cm="1">
        <f t="array" ref="M87">IF(OR(ISBLANK(Deltagere[[#This Row],[K: Spiller-ID/fødselsdato (ddmmåå)]:[K: Navn]])),"",Deltagere[[#This Row],[K: Navn]]&amp;" ("&amp;Deltagere[[#This Row],[K: Spiller-ID/fødselsdato (ddmmåå)]]&amp;")")</f>
        <v>Thomas Kjeldgård (300678‑THKJ)</v>
      </c>
    </row>
    <row r="88" spans="1:18" x14ac:dyDescent="0.3">
      <c r="A88" s="40" t="s">
        <v>693</v>
      </c>
      <c r="B88" s="130">
        <v>44509.888206018521</v>
      </c>
      <c r="C88" s="180" t="s">
        <v>816</v>
      </c>
      <c r="D88" s="2" t="s">
        <v>816</v>
      </c>
      <c r="F88" s="168" t="s">
        <v>88</v>
      </c>
      <c r="G88" s="168" t="s">
        <v>30</v>
      </c>
      <c r="H88" s="126" t="s">
        <v>229</v>
      </c>
      <c r="I88" s="32" t="s">
        <v>9</v>
      </c>
      <c r="J88" s="7"/>
      <c r="K88" s="15">
        <v>1252</v>
      </c>
      <c r="L88" s="127"/>
      <c r="M88" s="195" t="str" cm="1">
        <f t="array" ref="M88">IF(OR(ISBLANK(Deltagere[[#This Row],[K: Spiller-ID/fødselsdato (ddmmåå)]:[K: Navn]])),"",Deltagere[[#This Row],[K: Navn]]&amp;" ("&amp;Deltagere[[#This Row],[K: Spiller-ID/fødselsdato (ddmmåå)]]&amp;")")</f>
        <v>Victoria Berthelsen (261205‑VIBE)</v>
      </c>
    </row>
    <row r="89" spans="1:18" x14ac:dyDescent="0.3">
      <c r="A89" s="40" t="s">
        <v>706</v>
      </c>
      <c r="B89" s="130">
        <v>44505.520682870374</v>
      </c>
      <c r="C89" s="2" t="s">
        <v>814</v>
      </c>
      <c r="D89" s="2" t="s">
        <v>814</v>
      </c>
    </row>
    <row r="90" spans="1:18" x14ac:dyDescent="0.3">
      <c r="A90" s="40" t="s">
        <v>705</v>
      </c>
      <c r="B90" s="130">
        <v>44505.517743055556</v>
      </c>
      <c r="C90" s="180" t="s">
        <v>816</v>
      </c>
      <c r="D90" s="2" t="s">
        <v>814</v>
      </c>
    </row>
    <row r="91" spans="1:18" x14ac:dyDescent="0.3">
      <c r="A91" s="40" t="s">
        <v>725</v>
      </c>
      <c r="B91" s="130">
        <v>44504.853472222225</v>
      </c>
      <c r="C91" s="180" t="s">
        <v>816</v>
      </c>
      <c r="D91" s="2" t="s">
        <v>816</v>
      </c>
    </row>
    <row r="92" spans="1:18" x14ac:dyDescent="0.3">
      <c r="A92" s="40" t="s">
        <v>702</v>
      </c>
      <c r="B92" s="130">
        <v>44503.481504629628</v>
      </c>
      <c r="C92" s="180" t="s">
        <v>816</v>
      </c>
      <c r="D92" s="2"/>
    </row>
    <row r="93" spans="1:18" x14ac:dyDescent="0.3">
      <c r="A93" s="40" t="s">
        <v>726</v>
      </c>
      <c r="B93" s="130">
        <v>44485.552858796298</v>
      </c>
      <c r="C93" s="180" t="s">
        <v>816</v>
      </c>
      <c r="D93" s="2" t="s">
        <v>816</v>
      </c>
    </row>
    <row r="94" spans="1:18" x14ac:dyDescent="0.3">
      <c r="A94" s="40" t="s">
        <v>695</v>
      </c>
      <c r="B94" s="130">
        <v>44485.464583333334</v>
      </c>
      <c r="C94" s="180" t="s">
        <v>816</v>
      </c>
      <c r="D94" s="2" t="s">
        <v>816</v>
      </c>
    </row>
    <row r="95" spans="1:18" x14ac:dyDescent="0.3">
      <c r="A95" s="40" t="s">
        <v>727</v>
      </c>
      <c r="B95" s="130">
        <v>44462.901516203703</v>
      </c>
      <c r="C95" s="2" t="s">
        <v>814</v>
      </c>
      <c r="D95" s="2"/>
    </row>
    <row r="96" spans="1:18" x14ac:dyDescent="0.3">
      <c r="A96" s="40" t="s">
        <v>697</v>
      </c>
      <c r="B96" s="130">
        <v>44462.900787037041</v>
      </c>
      <c r="C96" s="180" t="s">
        <v>816</v>
      </c>
      <c r="D96" s="2" t="s">
        <v>816</v>
      </c>
    </row>
    <row r="97" spans="1:4" x14ac:dyDescent="0.3">
      <c r="A97" s="40" t="s">
        <v>728</v>
      </c>
      <c r="B97" s="130">
        <v>44462.510300925926</v>
      </c>
      <c r="C97" s="180" t="s">
        <v>816</v>
      </c>
      <c r="D97" s="2"/>
    </row>
    <row r="98" spans="1:4" x14ac:dyDescent="0.3">
      <c r="A98" s="40" t="s">
        <v>711</v>
      </c>
      <c r="B98" s="130">
        <v>44462.421701388892</v>
      </c>
      <c r="C98" s="180" t="s">
        <v>816</v>
      </c>
      <c r="D98" s="2" t="s">
        <v>816</v>
      </c>
    </row>
  </sheetData>
  <sheetProtection selectLockedCells="1" autoFilter="0"/>
  <mergeCells count="31">
    <mergeCell ref="O76:P76"/>
    <mergeCell ref="O53:P53"/>
    <mergeCell ref="O54:P54"/>
    <mergeCell ref="O66:P66"/>
    <mergeCell ref="O67:P67"/>
    <mergeCell ref="O75:P75"/>
    <mergeCell ref="O60:P60"/>
    <mergeCell ref="O61:P61"/>
    <mergeCell ref="U47:V47"/>
    <mergeCell ref="O42:P42"/>
    <mergeCell ref="O47:P47"/>
    <mergeCell ref="U20:V20"/>
    <mergeCell ref="U21:V21"/>
    <mergeCell ref="U40:V40"/>
    <mergeCell ref="U41:V41"/>
    <mergeCell ref="O48:P48"/>
    <mergeCell ref="O41:P41"/>
    <mergeCell ref="A1:AA1"/>
    <mergeCell ref="U33:V33"/>
    <mergeCell ref="U34:V34"/>
    <mergeCell ref="U3:W3"/>
    <mergeCell ref="U4:W4"/>
    <mergeCell ref="O3:R3"/>
    <mergeCell ref="O4:R4"/>
    <mergeCell ref="U27:V27"/>
    <mergeCell ref="U28:V28"/>
    <mergeCell ref="U9:X9"/>
    <mergeCell ref="U10:X10"/>
    <mergeCell ref="U15:V15"/>
    <mergeCell ref="U16:V16"/>
    <mergeCell ref="U46:V46"/>
  </mergeCells>
  <phoneticPr fontId="18" type="noConversion"/>
  <dataValidations count="15">
    <dataValidation type="list" allowBlank="1" showInputMessage="1" showErrorMessage="1" sqref="W6:W7" xr:uid="{292DC97C-AB0B-4AC2-9667-BF9586BDD2AC}">
      <formula1>tbl_Tilvalg_d2_Tilvalg</formula1>
    </dataValidation>
    <dataValidation type="whole" operator="greaterThan" allowBlank="1" showInputMessage="1" showErrorMessage="1" sqref="X12:X13 K6:L88" xr:uid="{A6F476D3-34A6-4564-B977-3EC6F8027514}">
      <formula1>0</formula1>
    </dataValidation>
    <dataValidation type="list" allowBlank="1" showInputMessage="1" showErrorMessage="1" sqref="V6:V7" xr:uid="{2D21A18E-6226-40E6-A142-EDA5E789840A}">
      <formula1>tbl_Billettype_d2_Billettype</formula1>
    </dataValidation>
    <dataValidation type="decimal" operator="greaterThan" allowBlank="1" showInputMessage="1" showErrorMessage="1" sqref="X6:X7" xr:uid="{9DD8EDCF-078E-43AF-BD35-F30C55EDB260}">
      <formula1>0</formula1>
    </dataValidation>
    <dataValidation type="list" operator="lessThanOrEqual" allowBlank="1" showInputMessage="1" showErrorMessage="1" sqref="B4" xr:uid="{31AEDFA7-A731-4739-9323-B9299B154448}">
      <formula1>"2022,2021"</formula1>
    </dataValidation>
    <dataValidation type="date" operator="lessThanOrEqual" allowBlank="1" showInputMessage="1" showErrorMessage="1" sqref="K4" xr:uid="{68083CAB-669D-4DE1-9C32-A976EE330E46}">
      <formula1>TODAY()</formula1>
    </dataValidation>
    <dataValidation type="custom" operator="equal" allowBlank="1" showInputMessage="1" showErrorMessage="1" sqref="Q6:Q39" xr:uid="{D0D8FAA3-E30F-4225-BF34-3E954C56276F}">
      <formula1>OR(AND(LEN(Q6)=4,ISNUMBER(Q6)),Q6="(Ukendt postnr.)")</formula1>
    </dataValidation>
    <dataValidation type="list" allowBlank="1" showInputMessage="1" showErrorMessage="1" sqref="J6:J88" xr:uid="{0255797E-4E81-4544-9E2C-D20936C81EEA}">
      <formula1>"1,2,3,4"</formula1>
    </dataValidation>
    <dataValidation type="list" allowBlank="1" showInputMessage="1" showErrorMessage="1" sqref="I6:I88" xr:uid="{CBC35E08-8F2F-4FB1-9A03-74B97E17AF2D}">
      <formula1>tbl_Bordtennisklub_d2_Bordtennisklub</formula1>
    </dataValidation>
    <dataValidation type="list" allowBlank="1" showInputMessage="1" showErrorMessage="1" sqref="H6:H88" xr:uid="{C7D62BCA-6D60-42CE-9BC6-E5DEA3F592D3}">
      <formula1>tbl_Køn_d2_Køn</formula1>
    </dataValidation>
    <dataValidation type="custom" allowBlank="1" showInputMessage="1" showErrorMessage="1" sqref="F6:F88" xr:uid="{3D4AA6C5-8E70-45B1-BD14-DA14449EE338}">
      <formula1>OR(LEN(F6)=11,AND(LEN(F6)=6,ISNUMBER(VALUE(F6))))</formula1>
    </dataValidation>
    <dataValidation type="date" operator="greaterThanOrEqual" allowBlank="1" showInputMessage="1" showErrorMessage="1" sqref="C4" xr:uid="{995515D0-D0FA-4310-9DEF-89E55AC8612E}">
      <formula1>TODAY()</formula1>
    </dataValidation>
    <dataValidation type="date" operator="lessThanOrEqual" allowBlank="1" showInputMessage="1" showErrorMessage="1" sqref="B6:B98" xr:uid="{B8078C6E-79E7-481C-A314-7352BB610FF3}">
      <formula1>NOW()</formula1>
    </dataValidation>
    <dataValidation type="list" allowBlank="1" showInputMessage="1" showErrorMessage="1" sqref="C6:D98" xr:uid="{37448FD3-2493-4F82-92A5-A1EB8776A481}">
      <formula1>tbl_Tilmeldingsstatus</formula1>
    </dataValidation>
    <dataValidation type="list" allowBlank="1" showInputMessage="1" showErrorMessage="1" sqref="A6:A98" xr:uid="{B5BDA242-14AC-4D12-AE5B-61FFB718D04E}">
      <formula1>tbl_Deltagere_deltager</formula1>
    </dataValidation>
  </dataValidations>
  <printOptions horizontalCentered="1"/>
  <pageMargins left="0.70866141732283472" right="0.70866141732283472" top="1.1811023622047245" bottom="0.74803149606299213" header="0.31496062992125984" footer="0.31496062992125984"/>
  <pageSetup paperSize="8" scale="37" orientation="landscape" r:id="rId1"/>
  <headerFooter>
    <oddHeader>&amp;C&amp;D
&amp;F</oddHeader>
    <oddFooter>&amp;CSide &amp;"-,Fed"&amp;P&amp;"-,Normal" af &amp;"-,Fed"&amp;N</oddFooter>
  </headerFooter>
  <picture r:id="rId2"/>
  <tableParts count="17">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CB4BC-225F-497A-B224-E61D0EEF76A2}">
  <sheetPr codeName="Ark1">
    <tabColor theme="4" tint="-0.499984740745262"/>
    <pageSetUpPr fitToPage="1"/>
  </sheetPr>
  <dimension ref="A1:AQ2595"/>
  <sheetViews>
    <sheetView showGridLines="0" zoomScaleNormal="100" zoomScaleSheetLayoutView="100" workbookViewId="0">
      <pane ySplit="2" topLeftCell="A3" activePane="bottomLeft" state="frozen"/>
      <selection sqref="A1:AA1"/>
      <selection pane="bottomLeft"/>
    </sheetView>
  </sheetViews>
  <sheetFormatPr defaultColWidth="8.88671875" defaultRowHeight="14.4" x14ac:dyDescent="0.3"/>
  <cols>
    <col min="1" max="1" width="62.88671875" style="87" bestFit="1" customWidth="1"/>
    <col min="3" max="3" width="6" bestFit="1" customWidth="1"/>
    <col min="4" max="4" width="89.21875" bestFit="1" customWidth="1"/>
    <col min="6" max="6" width="6" bestFit="1" customWidth="1"/>
    <col min="7" max="7" width="113.44140625" bestFit="1" customWidth="1"/>
    <col min="9" max="9" width="12" style="57" bestFit="1" customWidth="1"/>
    <col min="10" max="10" width="51.33203125" style="57" bestFit="1" customWidth="1"/>
    <col min="11" max="11" width="16.5546875" style="57" bestFit="1" customWidth="1"/>
    <col min="12" max="12" width="16.44140625" style="57" bestFit="1" customWidth="1"/>
    <col min="13" max="13" width="16.5546875" style="57" bestFit="1" customWidth="1"/>
    <col min="15" max="15" width="3.5546875" bestFit="1" customWidth="1"/>
    <col min="16" max="16" width="34" bestFit="1" customWidth="1"/>
    <col min="17" max="17" width="5.44140625" bestFit="1" customWidth="1"/>
    <col min="18" max="18" width="9.77734375" bestFit="1" customWidth="1"/>
    <col min="19" max="19" width="19.77734375" bestFit="1" customWidth="1"/>
    <col min="21" max="21" width="3.5546875" style="5" bestFit="1" customWidth="1"/>
    <col min="22" max="22" width="25.109375" style="5" bestFit="1" customWidth="1"/>
    <col min="23" max="23" width="13.88671875" style="5" bestFit="1" customWidth="1"/>
    <col min="24" max="24" width="5.44140625" style="5" bestFit="1" customWidth="1"/>
    <col min="25" max="25" width="9" style="5" bestFit="1" customWidth="1"/>
    <col min="26" max="26" width="16.6640625" style="33" bestFit="1" customWidth="1"/>
    <col min="27" max="27" width="19.77734375" style="5" bestFit="1" customWidth="1"/>
    <col min="28" max="28" width="27.44140625" style="165" bestFit="1" customWidth="1"/>
    <col min="29" max="29" width="8.109375" style="5" bestFit="1" customWidth="1"/>
    <col min="30" max="33" width="8.88671875" style="5"/>
    <col min="34" max="34" width="3.5546875" style="5" bestFit="1" customWidth="1"/>
    <col min="35" max="35" width="25.109375" style="5" bestFit="1" customWidth="1"/>
    <col min="36" max="36" width="13.88671875" style="5" bestFit="1" customWidth="1"/>
    <col min="37" max="37" width="5.44140625" style="5" bestFit="1" customWidth="1"/>
    <col min="38" max="38" width="9" style="5" bestFit="1" customWidth="1"/>
    <col min="39" max="39" width="16.6640625" style="5" bestFit="1" customWidth="1"/>
    <col min="40" max="40" width="19.77734375" style="5" bestFit="1" customWidth="1"/>
    <col min="41" max="41" width="27.44140625" style="5" bestFit="1" customWidth="1"/>
    <col min="42" max="42" width="8.109375" style="215" bestFit="1" customWidth="1"/>
    <col min="43" max="43" width="27.44140625" style="5" bestFit="1" customWidth="1"/>
    <col min="44" max="16384" width="8.88671875" style="5"/>
  </cols>
  <sheetData>
    <row r="1" spans="1:43" ht="31.2" x14ac:dyDescent="0.6">
      <c r="A1" s="86" t="s">
        <v>186</v>
      </c>
      <c r="C1" s="223" t="s">
        <v>192</v>
      </c>
      <c r="D1" s="223"/>
      <c r="F1" s="255" t="s">
        <v>187</v>
      </c>
      <c r="G1" s="255"/>
      <c r="I1" s="223" t="s">
        <v>241</v>
      </c>
      <c r="J1" s="223"/>
      <c r="K1" s="223"/>
      <c r="L1" s="223"/>
      <c r="M1" s="223"/>
      <c r="O1" s="223" t="s">
        <v>1057</v>
      </c>
      <c r="P1" s="223"/>
      <c r="Q1" s="223"/>
      <c r="R1" s="223"/>
      <c r="S1" s="223"/>
      <c r="U1" s="223" t="s">
        <v>153</v>
      </c>
      <c r="V1" s="223"/>
      <c r="W1" s="223"/>
      <c r="X1" s="223"/>
      <c r="Y1" s="223"/>
      <c r="Z1" s="223"/>
      <c r="AA1" s="223"/>
      <c r="AB1" s="223"/>
      <c r="AC1" s="223"/>
    </row>
    <row r="2" spans="1:43" customFormat="1" x14ac:dyDescent="0.3">
      <c r="A2" s="87"/>
      <c r="C2" s="257" t="str">
        <f>'🗂️ Filtre nøgletal'!$A$2</f>
        <v>🔃 Opdateret 05-08-2022 kl. 15:28</v>
      </c>
      <c r="D2" s="257"/>
      <c r="F2" s="257" t="str">
        <f>'🗂️ Filtre nøgletal'!$A$2</f>
        <v>🔃 Opdateret 05-08-2022 kl. 15:28</v>
      </c>
      <c r="G2" s="257"/>
      <c r="I2" s="257" t="str">
        <f>'🗂️ Filtre nøgletal'!$A$2</f>
        <v>🔃 Opdateret 05-08-2022 kl. 15:28</v>
      </c>
      <c r="J2" s="257"/>
      <c r="K2" s="257"/>
      <c r="L2" s="257"/>
      <c r="M2" s="257"/>
      <c r="O2" s="257" t="str">
        <f>'🗂️ Filtre nøgletal'!$A$2</f>
        <v>🔃 Opdateret 05-08-2022 kl. 15:28</v>
      </c>
      <c r="P2" s="257"/>
      <c r="Q2" s="257"/>
      <c r="R2" s="257"/>
      <c r="S2" s="257"/>
      <c r="U2" s="257" t="str">
        <f>'🗂️ Filtre nøgletal'!$A$2</f>
        <v>🔃 Opdateret 05-08-2022 kl. 15:28</v>
      </c>
      <c r="V2" s="257"/>
      <c r="W2" s="257"/>
      <c r="X2" s="257"/>
      <c r="Y2" s="257"/>
      <c r="Z2" s="257"/>
      <c r="AA2" s="257"/>
      <c r="AB2" s="257"/>
      <c r="AC2" s="257"/>
      <c r="AP2" s="215"/>
    </row>
    <row r="3" spans="1:43" customFormat="1" x14ac:dyDescent="0.3">
      <c r="A3" s="87"/>
      <c r="I3" s="256" t="s">
        <v>197</v>
      </c>
      <c r="J3" s="256"/>
      <c r="K3" s="256"/>
      <c r="L3" s="256"/>
      <c r="M3" s="256"/>
      <c r="O3" s="260" t="s">
        <v>1058</v>
      </c>
      <c r="P3" s="260"/>
      <c r="Q3" s="260"/>
      <c r="R3" s="260"/>
      <c r="S3" s="260"/>
      <c r="U3" s="260" t="s">
        <v>398</v>
      </c>
      <c r="V3" s="260"/>
      <c r="W3" s="260"/>
      <c r="X3" s="260"/>
      <c r="Y3" s="260"/>
      <c r="Z3" s="260"/>
      <c r="AA3" s="260"/>
      <c r="AB3" s="260"/>
      <c r="AP3" s="215"/>
    </row>
    <row r="4" spans="1:43" x14ac:dyDescent="0.3">
      <c r="D4" s="253" t="s">
        <v>215</v>
      </c>
      <c r="F4" s="96"/>
      <c r="G4" s="97" t="s">
        <v>205</v>
      </c>
      <c r="I4" s="256"/>
      <c r="J4" s="256"/>
      <c r="K4" s="256"/>
      <c r="L4" s="256"/>
      <c r="M4" s="256"/>
      <c r="O4" s="260"/>
      <c r="P4" s="260"/>
      <c r="Q4" s="260"/>
      <c r="R4" s="260"/>
      <c r="S4" s="260"/>
      <c r="U4" s="260"/>
      <c r="V4" s="260"/>
      <c r="W4" s="260"/>
      <c r="X4" s="260"/>
      <c r="Y4" s="260"/>
      <c r="Z4" s="260"/>
      <c r="AA4" s="260"/>
      <c r="AB4" s="260"/>
    </row>
    <row r="5" spans="1:43" customFormat="1" x14ac:dyDescent="0.3">
      <c r="A5" s="87"/>
      <c r="D5" s="254"/>
      <c r="G5" s="80" t="s">
        <v>184</v>
      </c>
      <c r="I5" s="258" t="s">
        <v>210</v>
      </c>
      <c r="J5" s="258"/>
      <c r="K5" s="258"/>
      <c r="L5" s="258"/>
      <c r="M5" s="258"/>
      <c r="O5" s="258" t="str">
        <f>$I$5</f>
        <v>Input:</v>
      </c>
      <c r="P5" s="258"/>
      <c r="Q5" s="258"/>
      <c r="R5" s="258"/>
      <c r="S5" s="258"/>
      <c r="U5" s="258" t="s">
        <v>397</v>
      </c>
      <c r="V5" s="258"/>
      <c r="W5" s="258"/>
      <c r="X5" s="258"/>
      <c r="Y5" s="258"/>
      <c r="Z5" s="258"/>
      <c r="AA5" s="258"/>
      <c r="AB5" s="258"/>
      <c r="AP5" s="215"/>
    </row>
    <row r="6" spans="1:43" customFormat="1" x14ac:dyDescent="0.3">
      <c r="A6" s="87"/>
      <c r="D6" s="123" t="s">
        <v>209</v>
      </c>
      <c r="F6" s="124"/>
      <c r="G6" s="125" t="str">
        <f>"🕥 Der kan foretages drive-in helt frem til check-in-tidspunktet på stævnedagen, som er kl. 10:00, op til max "&amp;$M$6&amp;" deltagere, her på siden."</f>
        <v>🕥 Der kan foretages drive-in helt frem til check-in-tidspunktet på stævnedagen, som er kl. 10:00, op til max 72 deltagere, her på siden.</v>
      </c>
      <c r="I6" s="245" t="s">
        <v>423</v>
      </c>
      <c r="J6" s="245"/>
      <c r="K6" s="245"/>
      <c r="L6" s="245"/>
      <c r="M6" s="49" vm="6">
        <f>CUBEVALUE("ThisWorkbookDataModel",
CUBEMEMBER("ThisWorkbookDataModel","[Billettype_d2].[K: Billettype emoji].&amp;[🏓]"),
CUBEMEMBER("ThisWorkbookDataModel","[Measures].[🎫 Billetantal maks.]"))</f>
        <v>72</v>
      </c>
      <c r="O6" s="259" t="str">
        <f>$I$6</f>
        <v>👥 Billetantal maks.</v>
      </c>
      <c r="P6" s="259"/>
      <c r="Q6" s="259"/>
      <c r="R6" s="259"/>
      <c r="S6" s="49" vm="14">
        <f>CUBEVALUE("ThisWorkbookDataModel",
CUBEMEMBER("ThisWorkbookDataModel","[Billettype_d2].[K: Billettype emoji].&amp;[🥳]"),
CUBEMEMBER("ThisWorkbookDataModel","[Measures].[🎫 Billetantal maks.]"))</f>
        <v>120</v>
      </c>
      <c r="U6" s="275"/>
      <c r="V6" s="276"/>
      <c r="W6" s="276"/>
      <c r="X6" s="277"/>
      <c r="Y6" s="287" t="s">
        <v>404</v>
      </c>
      <c r="Z6" s="287"/>
      <c r="AA6" s="287"/>
      <c r="AB6" s="287" t="s">
        <v>405</v>
      </c>
      <c r="AC6" s="287"/>
      <c r="AI6" s="5"/>
      <c r="AJ6" s="5"/>
      <c r="AK6" s="5"/>
      <c r="AL6" s="5"/>
      <c r="AM6" s="5"/>
      <c r="AN6" s="5"/>
      <c r="AO6" s="5"/>
      <c r="AP6" s="215"/>
      <c r="AQ6" s="5"/>
    </row>
    <row r="7" spans="1:43" x14ac:dyDescent="0.3">
      <c r="D7" s="254" t="s">
        <v>206</v>
      </c>
      <c r="G7" s="85" t="str">
        <f>'🗂️ Filtre nøgletal'!$A$2</f>
        <v>🔃 Opdateret 05-08-2022 kl. 15:28</v>
      </c>
      <c r="I7" s="245" t="s">
        <v>202</v>
      </c>
      <c r="J7" s="245"/>
      <c r="K7" s="245"/>
      <c r="L7" s="245"/>
      <c r="M7" s="49" vm="7">
        <f>CUBEVALUE("ThisWorkbookDataModel",
CUBEMEMBER("ThisWorkbookDataModel","[Billettype_d2].[K: Billettype emoji].&amp;[🏓]"),
CUBEMEMBER("ThisWorkbookDataModel","[Measures].[👥 Aktuel tilmeldingsantal]"))</f>
        <v>48</v>
      </c>
      <c r="O7" s="259" t="str">
        <f>$I$7</f>
        <v>👥 Tilmeldingsantal aktuel</v>
      </c>
      <c r="P7" s="259"/>
      <c r="Q7" s="259"/>
      <c r="R7" s="259"/>
      <c r="S7" s="49" vm="13">
        <f>CUBEVALUE("ThisWorkbookDataModel",
CUBEMEMBER("ThisWorkbookDataModel","[Billettype_d2].[K: Billettype emoji].&amp;[🥳]"),
CUBEMEMBER("ThisWorkbookDataModel","[Measures].[👥 Aktuel tilmeldingsantal]"))</f>
        <v>42</v>
      </c>
      <c r="U7" s="278" t="s">
        <v>420</v>
      </c>
      <c r="V7" s="279"/>
      <c r="W7" s="279"/>
      <c r="X7" s="280"/>
      <c r="Y7" s="264" t="str">
        <f>TEXT(N($M$7),"#.##0")&amp;" × "&amp;TEXT(N($M$10),"kr. -#.##0")&amp;" = "&amp;TEXT(N($K$26),"kr. -#.##0")
&amp;" ("&amp;TEXT(N($K$26)/N(SUM($K$26,$M$33,$R$17,$R$19)),"0%")&amp;")"</f>
        <v>48 × kr. -100 = kr. -4.800 (39%)</v>
      </c>
      <c r="Z7" s="264"/>
      <c r="AA7" s="264"/>
      <c r="AB7" s="264" t="str">
        <f>TEXT(N($M$6),"#.##0")&amp;" × "&amp;TEXT(N($M$10),"kr. -#.##0")&amp;" = "&amp;TEXT(N($M$26),"kr. -#.##0")
&amp;" ("&amp;TEXT(N($M$26)/N(SUM($M$26,$M$34,$S$17,$S$19)),"0%")&amp;")"</f>
        <v>72 × kr. -100 = kr. -7.200 (27%)</v>
      </c>
      <c r="AC7" s="264"/>
    </row>
    <row r="8" spans="1:43" x14ac:dyDescent="0.3">
      <c r="D8" s="254"/>
      <c r="F8" s="84"/>
      <c r="G8" s="84"/>
      <c r="I8" s="245" t="s">
        <v>424</v>
      </c>
      <c r="J8" s="245"/>
      <c r="K8" s="245"/>
      <c r="L8" s="245"/>
      <c r="M8" s="121" vm="5">
        <f>CUBEVALUE("ThisWorkbookDataModel",CUBEMEMBER("ThisWorkbookDataModel",
"[Billettype_d2].[K: Billettype emoji].&amp;[🏓]"),
CUBEMEMBER("ThisWorkbookDataModel","[Measures].[💲 Billetpris]"))</f>
        <v>125</v>
      </c>
      <c r="O8" s="259" t="str">
        <f>$I$8</f>
        <v>💲 Billetpris</v>
      </c>
      <c r="P8" s="259"/>
      <c r="Q8" s="259"/>
      <c r="R8" s="259"/>
      <c r="S8" s="121" vm="12">
        <f>CUBEVALUE("ThisWorkbookDataModel",CUBEMEMBER("ThisWorkbookDataModel",
"[Billettype_d2].[K: Billettype emoji].&amp;[🥳]"),
CUBEMEMBER("ThisWorkbookDataModel","[Measures].[💲 Billetpris]"))</f>
        <v>150</v>
      </c>
      <c r="U8" s="281" t="s">
        <v>399</v>
      </c>
      <c r="V8" s="282"/>
      <c r="W8" s="282"/>
      <c r="X8" s="283"/>
      <c r="Y8" s="265" t="str">
        <f>TEXT(N($M$7),"#.##0")&amp;" × "&amp;TEXT(N($M$11),"kr. -#.##0")&amp;" = "&amp;TEXT(N($M$33),"kr. -#.##0")
&amp;" ("&amp;TEXT(N($M$33)/N(SUM($K$26,$M$33,$R$17,$R$19)),"0%")&amp;")"</f>
        <v>48 × kr. -25 = kr. -1.200 (10%)</v>
      </c>
      <c r="Z8" s="265"/>
      <c r="AA8" s="265"/>
      <c r="AB8" s="265" t="str">
        <f>TEXT(N($M$6),"#.##0")&amp;" × "&amp;TEXT(N($M$11),"kr. -#.##0")&amp;" = "&amp;TEXT(N($M$34),"kr. -#.##0")
&amp;" ("&amp;TEXT(N($M$34)/N(SUM($M$26,$M$34,$S$17,$S$19)),"0%")&amp;")"</f>
        <v>72 × kr. -25 = kr. -1.800 (7%)</v>
      </c>
      <c r="AC8" s="265"/>
    </row>
    <row r="9" spans="1:43" x14ac:dyDescent="0.3">
      <c r="D9" s="116" t="s">
        <v>207</v>
      </c>
      <c r="F9" s="234"/>
      <c r="G9" s="238" t="s">
        <v>196</v>
      </c>
      <c r="I9" s="245" t="s">
        <v>201</v>
      </c>
      <c r="J9" s="245"/>
      <c r="K9" s="245"/>
      <c r="L9" s="245"/>
      <c r="M9" s="122">
        <v>0.8</v>
      </c>
      <c r="O9" s="259" t="s">
        <v>237</v>
      </c>
      <c r="P9" s="259"/>
      <c r="Q9" s="259"/>
      <c r="R9" s="259"/>
      <c r="S9" s="196">
        <v>70</v>
      </c>
      <c r="U9" s="275" t="s">
        <v>403</v>
      </c>
      <c r="V9" s="276"/>
      <c r="W9" s="276"/>
      <c r="X9" s="277"/>
      <c r="Y9" s="269" t="str">
        <f>TEXT(N($M$7),"#.##0")&amp;" × "&amp;TEXT(N($M$8),"kr. -#.##0")&amp;" = "&amp;TEXT(N(SUM($K$26,$M$33)),"kr. -#.##0")
&amp;" ("&amp;TEXT(N(SUM($K$26,$M$33))/N(SUM($K$26,$M$33,$R$17,$R$19)),"0%")&amp;")"</f>
        <v>48 × kr. -125 = kr. -6.000 (49%)</v>
      </c>
      <c r="Z9" s="269"/>
      <c r="AA9" s="269"/>
      <c r="AB9" s="266" t="str">
        <f>TEXT(N($M$6),"#.##0")&amp;" × "&amp;TEXT(N($M$8),"kr. -#.##0")&amp;" = "&amp;TEXT(N(SUM($M$26,$M$34)),"kr. -#.##0")
&amp;" ("&amp;TEXT(N(SUM($M$26,$M$34))/N(SUM($M$26,$M$34,$S$17,$S$19)),"0%")&amp;")"</f>
        <v>72 × kr. -125 = kr. -9.000 (33%)</v>
      </c>
      <c r="AC9" s="266"/>
    </row>
    <row r="10" spans="1:43" x14ac:dyDescent="0.3">
      <c r="D10" s="119" t="s">
        <v>127</v>
      </c>
      <c r="F10" s="234"/>
      <c r="G10" s="246"/>
      <c r="I10" s="245" t="s">
        <v>134</v>
      </c>
      <c r="J10" s="245"/>
      <c r="K10" s="245"/>
      <c r="L10" s="245"/>
      <c r="M10" s="63">
        <f>ABS($M$8*$M$9)</f>
        <v>100</v>
      </c>
      <c r="O10" s="259" t="s">
        <v>240</v>
      </c>
      <c r="P10" s="259"/>
      <c r="Q10" s="259"/>
      <c r="R10" s="259"/>
      <c r="S10" s="196">
        <v>76</v>
      </c>
      <c r="U10" s="278" t="s">
        <v>1059</v>
      </c>
      <c r="V10" s="279"/>
      <c r="W10" s="279"/>
      <c r="X10" s="280"/>
      <c r="Y10" s="270" t="str">
        <f>TEXT(N($S$7),"#.##0")&amp;" × "&amp;TEXT(N(SUM($S$9,$S$10)),"kr. -#.##0")&amp;" = "&amp;TEXT(N($R$17),"kr. -#.##0")
&amp;" ("&amp;TEXT(N($R$17)/N(SUM($K$26,$M$33,$R$17,$R$19)),"0%")&amp;")"</f>
        <v>42 × kr. -146 = kr. -6.132 (50%)</v>
      </c>
      <c r="Z10" s="271"/>
      <c r="AA10" s="272"/>
      <c r="AB10" s="270" t="str">
        <f>TEXT(N($S$6),"#.##0")&amp;" × "&amp;TEXT(N(SUM($S$9,$S$10)),"kr. -#.##0")&amp;" = "&amp;TEXT(N($S$17),"kr. -#.##0")
&amp;" ("&amp;TEXT(N($S$17)/N(SUM($K$26,$M$33,$S$17,$S$19)),"0%")&amp;")"</f>
        <v>120 × kr. -146 = kr. -17.520 (73%)</v>
      </c>
      <c r="AC10" s="272"/>
    </row>
    <row r="11" spans="1:43" x14ac:dyDescent="0.3">
      <c r="F11" s="99" t="str">
        <f>$C$20</f>
        <v>Punkt</v>
      </c>
      <c r="G11" s="100" t="str">
        <f>$D$20</f>
        <v>Tidsplan</v>
      </c>
      <c r="I11" s="245" t="s">
        <v>135</v>
      </c>
      <c r="J11" s="245"/>
      <c r="K11" s="245"/>
      <c r="L11" s="245"/>
      <c r="M11" s="63">
        <f>ABS($M$8-$M$10)</f>
        <v>25</v>
      </c>
      <c r="O11" s="259" t="s">
        <v>811</v>
      </c>
      <c r="P11" s="259"/>
      <c r="Q11" s="259"/>
      <c r="R11" s="259"/>
      <c r="S11" s="196">
        <v>4</v>
      </c>
      <c r="U11" s="281" t="s">
        <v>811</v>
      </c>
      <c r="V11" s="282"/>
      <c r="W11" s="282"/>
      <c r="X11" s="283"/>
      <c r="Y11" s="261" t="str">
        <f>TEXT(N($S$7),"#.##0")&amp;" × "&amp;TEXT(N($S$11),"kr. -#.##0")&amp;" = "&amp;TEXT(N($R$19),"kr. -#.##0")
&amp;" ("&amp;TEXT(N($R$19)/N(SUM($K$26,$M$33,$R$17,$R$19)),"0%")&amp;")"</f>
        <v>42 × kr. -4 = kr. -168 (1%)</v>
      </c>
      <c r="Z11" s="262"/>
      <c r="AA11" s="263"/>
      <c r="AB11" s="261" t="str">
        <f>TEXT(N($S$6),"#.##0")&amp;" × "&amp;TEXT(N($S$11),"kr. -#.##0")&amp;" = "&amp;TEXT(N($S$19),"kr. -#.##0")
&amp;" ("&amp;TEXT(N($S$19)/N(SUM($K$26,$M$33,$S$17,$S$19)),"0%")&amp;")"</f>
        <v>120 × kr. -4 = kr. -480 (2%)</v>
      </c>
      <c r="AC11" s="263"/>
    </row>
    <row r="12" spans="1:43" x14ac:dyDescent="0.3">
      <c r="D12" s="118" t="s">
        <v>203</v>
      </c>
      <c r="F12" s="101" t="s">
        <v>179</v>
      </c>
      <c r="G12" s="102" t="s">
        <v>798</v>
      </c>
      <c r="U12" s="275" t="s">
        <v>1060</v>
      </c>
      <c r="V12" s="276"/>
      <c r="W12" s="276"/>
      <c r="X12" s="277"/>
      <c r="Y12" s="269" t="str">
        <f>TEXT(N($S$7),"#.##0")&amp;" × "&amp;TEXT(N($S$8),"kr. -#.##0")&amp;" = "&amp;TEXT(N(SUM($R$17,$R$19)),"kr. -#.##0")
&amp;" ("&amp;TEXT(N(SUM($R$17,$R$19))/N(SUM($K$26,$M$33,$R$17,$R$19)),"0%")&amp;")"</f>
        <v>42 × kr. -150 = kr. -6.300 (51%)</v>
      </c>
      <c r="Z12" s="269"/>
      <c r="AA12" s="269"/>
      <c r="AB12" s="266" t="str">
        <f>TEXT(N($S$6),"#.##0")&amp;" × "&amp;TEXT(N($S$8),"kr. -#.##0")&amp;" = "&amp;TEXT(N(SUM($S$17,$S$19)),"kr. -#.##0")
&amp;" ("&amp;TEXT(N(SUM($S$17,$S$19))/N(SUM($K$26,$M$33,$S$17,$S$19)),"0%")&amp;")"</f>
        <v>120 × kr. -150 = kr. -18.000 (75%)</v>
      </c>
      <c r="AC12" s="266"/>
    </row>
    <row r="13" spans="1:43" x14ac:dyDescent="0.3">
      <c r="C13" s="117"/>
      <c r="D13" s="118" t="str">
        <f>$D$10</f>
        <v>🏃 Meld dig gerne til først som sidst så andre kan se, at DU skal med (først til mølle-princip) 🙌</v>
      </c>
      <c r="F13" s="103" t="s">
        <v>179</v>
      </c>
      <c r="G13" s="104" t="s">
        <v>974</v>
      </c>
      <c r="I13" s="221" t="s">
        <v>213</v>
      </c>
      <c r="J13" s="221"/>
      <c r="K13" s="221"/>
      <c r="L13" s="221"/>
      <c r="M13" s="221"/>
      <c r="O13" s="273" t="str">
        <f>"💲🥳 Arrangørpris for fest om aftenen på "&amp;TEXT($R$17,"kr. #.##0")&amp;" fordeles som følger:"</f>
        <v>💲🥳 Arrangørpris for fest om aftenen på kr. 6.132 fordeles som følger:</v>
      </c>
      <c r="P13" s="273"/>
      <c r="Q13" s="273"/>
      <c r="R13" s="273"/>
      <c r="S13" s="273"/>
      <c r="U13" s="284" t="s">
        <v>402</v>
      </c>
      <c r="V13" s="285"/>
      <c r="W13" s="285"/>
      <c r="X13" s="286"/>
      <c r="Y13" s="269" t="str">
        <f>TEXT(N(SUM($K$26,$M$33)),"kr. -#.##0")
&amp;" + "&amp;TEXT(N(SUM($R$17,$R$19)),"kr. -#.##0")
&amp;" = "&amp;TEXT(N(SUM($K$26,$M$33,$R$17,$R$19)),"kr. -#.##0")</f>
        <v>kr. -6.000 + kr. -6.300 = kr. -12.300</v>
      </c>
      <c r="Z13" s="269"/>
      <c r="AA13" s="269"/>
      <c r="AB13" s="269" t="str">
        <f>TEXT(N(SUM($M$26,$M$34)),"kr. -#.##0")
&amp;" + "&amp;TEXT(N(SUM($S$17,$S$19)),"kr. -#.##0")
&amp;" = "&amp;TEXT(N(SUM($M$26,$M$34,$S$17,$S$19)),"kr. -#.##0")</f>
        <v>kr. -9.000 + kr. -18.000 = kr. -27.000</v>
      </c>
      <c r="AC13" s="269"/>
    </row>
    <row r="14" spans="1:43" x14ac:dyDescent="0.3">
      <c r="C14" s="96"/>
      <c r="D14" s="97" t="s">
        <v>204</v>
      </c>
      <c r="F14" s="101" t="s">
        <v>179</v>
      </c>
      <c r="G14" s="102" t="s">
        <v>975</v>
      </c>
      <c r="I14" s="241" t="s">
        <v>212</v>
      </c>
      <c r="J14" s="241"/>
      <c r="K14" s="241"/>
      <c r="L14" s="241"/>
      <c r="M14" s="241"/>
      <c r="O14" s="267"/>
      <c r="P14" s="267"/>
      <c r="Q14" s="267"/>
      <c r="R14" s="131" t="s">
        <v>391</v>
      </c>
      <c r="S14" s="132" t="s">
        <v>392</v>
      </c>
      <c r="U14" s="142"/>
      <c r="V14" s="142"/>
      <c r="W14" s="142"/>
      <c r="X14" s="142"/>
      <c r="Y14" s="142"/>
      <c r="Z14" s="142"/>
      <c r="AA14"/>
    </row>
    <row r="15" spans="1:43" x14ac:dyDescent="0.3">
      <c r="D15" s="97" t="str">
        <f>'🗂️ Filtre nøgletal'!$A$2</f>
        <v>🔃 Opdateret 05-08-2022 kl. 15:28</v>
      </c>
      <c r="F15" s="103" t="s">
        <v>179</v>
      </c>
      <c r="G15" s="104" t="s">
        <v>191</v>
      </c>
      <c r="I15" s="221" t="str">
        <f>"💸 Af spillergebyret på kr. "&amp;TEXT($M$8,"#.##0")&amp;" går kr. "&amp;TEXT($M$10,"#.##0")&amp;" til præmiepenge og kr. "&amp;TEXT($M$11,"#.##0")&amp;" til stævnearrangøren."</f>
        <v>💸 Af spillergebyret på kr. 125 går kr. 100 til præmiepenge og kr. 25 til stævnearrangøren.</v>
      </c>
      <c r="J15" s="221"/>
      <c r="K15" s="221"/>
      <c r="L15" s="221"/>
      <c r="M15" s="221"/>
      <c r="O15" s="268" t="s">
        <v>245</v>
      </c>
      <c r="P15" s="268"/>
      <c r="Q15" s="268"/>
      <c r="R15" s="197">
        <f>$S$7*$S$9</f>
        <v>2940</v>
      </c>
      <c r="S15" s="199">
        <f>$S$6*$S$9</f>
        <v>8400</v>
      </c>
      <c r="U15" s="274" t="str">
        <f>"🏓 "&amp;COUNTIFS(Tilmeldingsstatus[Billettype],"*🏓*",Tilmeldingsstatus[Status],"*Tilmeldt*")&amp;" tilmeldinger og "
&amp;COUNTIFS(Tilmeldingsstatus[Billettype],"*🏓*",Tilmeldingsstatus[Status],"*Afbud*")&amp;" afbud ("
&amp;COUNTIF(Tilmeldingsstatus[Billettype],"*🏓*")&amp;" billetter)"</f>
        <v>🏓 48 tilmeldinger og 8 afbud (56 billetter)</v>
      </c>
      <c r="V15" s="274"/>
      <c r="W15" s="274"/>
      <c r="X15" s="274"/>
      <c r="Y15" s="274"/>
      <c r="Z15" s="274"/>
      <c r="AA15" s="274"/>
      <c r="AB15" s="274"/>
      <c r="AC15" s="274"/>
    </row>
    <row r="16" spans="1:43" x14ac:dyDescent="0.3">
      <c r="C16" s="84"/>
      <c r="D16" s="84"/>
      <c r="F16" s="101" t="s">
        <v>179</v>
      </c>
      <c r="G16" s="105" t="s">
        <v>1061</v>
      </c>
      <c r="I16" s="239" t="str">
        <f>"💰 Præmiesum på "&amp;TEXT($K$26,"kr. #.##0")&amp;" fordeles på seks placeringer som følger:"</f>
        <v>💰 Præmiesum på kr. 4.800 fordeles på seks placeringer som følger:</v>
      </c>
      <c r="J16" s="239"/>
      <c r="K16" s="239"/>
      <c r="L16" s="239"/>
      <c r="M16" s="239"/>
      <c r="O16" s="227" t="s">
        <v>246</v>
      </c>
      <c r="P16" s="227"/>
      <c r="Q16" s="227"/>
      <c r="R16" s="198">
        <f>$S$7*$S$10</f>
        <v>3192</v>
      </c>
      <c r="S16" s="200">
        <f>$S$6*$S$10</f>
        <v>9120</v>
      </c>
      <c r="U16" s="274" t="str">
        <f>"🥳 "&amp;COUNTIFS(Tilmeldingsstatus[Billettype],"*🥳*",Tilmeldingsstatus[Status],"*Tilmeldt*")&amp;" tilmeldinger og "
&amp;COUNTIFS(Tilmeldingsstatus[Billettype],"*🥳*",Tilmeldingsstatus[Status],"*Afbud*")&amp;" afbud ("
&amp;COUNTIF(Tilmeldingsstatus[Billettype],"*🥳*")&amp;" billetter)"</f>
        <v>🥳 42 tilmeldinger og 3 afbud (45 billetter)</v>
      </c>
      <c r="V16" s="274"/>
      <c r="W16" s="274"/>
      <c r="X16" s="274"/>
      <c r="Y16" s="274"/>
      <c r="Z16" s="274"/>
      <c r="AA16" s="274"/>
      <c r="AB16" s="274"/>
      <c r="AC16" s="274"/>
    </row>
    <row r="17" spans="3:29" x14ac:dyDescent="0.3">
      <c r="C17" s="96"/>
      <c r="D17" s="234" t="s">
        <v>193</v>
      </c>
      <c r="F17" s="103" t="s">
        <v>179</v>
      </c>
      <c r="G17" s="104" t="s">
        <v>1062</v>
      </c>
      <c r="I17" s="236"/>
      <c r="J17" s="237"/>
      <c r="K17" s="11" t="s">
        <v>395</v>
      </c>
      <c r="L17" s="12" t="s">
        <v>394</v>
      </c>
      <c r="M17" s="12" t="s">
        <v>393</v>
      </c>
      <c r="O17" s="228" t="s">
        <v>1063</v>
      </c>
      <c r="P17" s="228"/>
      <c r="Q17" s="228"/>
      <c r="R17" s="133" cm="1">
        <f t="array" ref="R17">_xlfn.IFS(EXACT($S$7*$S$8-$S$7*$S$11,SUM(R15:R16)),SUM(R15:R16))</f>
        <v>6132</v>
      </c>
      <c r="S17" s="133" cm="1">
        <f t="array" ref="S17">_xlfn.IFS(EXACT($S$6*$S$8-$S$6*$S$11,SUM(S15:S16)),SUM(S15:S16))</f>
        <v>17520</v>
      </c>
      <c r="U17" s="274" t="str">
        <f>"✔️💲 "&amp;COUNTIF(Tilmeldingsstatus[Status],"*Tilmeldt inkl. betaling*")&amp;" billetter som tilmeldt inkl. betaling og "
&amp;COUNTIF(Tilmeldingsstatus[Status],"*Tilmeldt ekskl. betaling*")&amp;" billetter som tilmeldt ekskl. betaling ("
&amp;COUNTIF(Tilmeldingsstatus[Status],"*Tilmeldt*")&amp;" billetter)"</f>
        <v>✔️💲 90 billetter som tilmeldt inkl. betaling og 0 billetter som tilmeldt ekskl. betaling (90 billetter)</v>
      </c>
      <c r="V17" s="274"/>
      <c r="W17" s="274"/>
      <c r="X17" s="274"/>
      <c r="Y17" s="274"/>
      <c r="Z17" s="274"/>
      <c r="AA17" s="274"/>
      <c r="AB17" s="274"/>
      <c r="AC17" s="274"/>
    </row>
    <row r="18" spans="3:29" x14ac:dyDescent="0.3">
      <c r="C18" s="96"/>
      <c r="D18" s="234"/>
      <c r="F18" s="84"/>
      <c r="G18" s="84"/>
      <c r="I18" s="230" t="s">
        <v>138</v>
      </c>
      <c r="J18" s="53" t="s">
        <v>128</v>
      </c>
      <c r="K18" s="145">
        <f t="shared" ref="K18:K24" si="0">$M$10*$M$7*$L18</f>
        <v>1800</v>
      </c>
      <c r="L18" s="59">
        <v>0.375</v>
      </c>
      <c r="M18" s="67">
        <f t="shared" ref="M18:M24" si="1">$M$10*$M$6*$L18</f>
        <v>2700</v>
      </c>
      <c r="U18" s="274" t="str">
        <f>"❌💸 "&amp;COUNTIF(Tilmeldingsstatus[Status],"*Afbud inkl. refusion*")&amp;" billetter som afbud inkl. refusion og "
&amp;COUNTIF(Tilmeldingsstatus[Status],"*Afbud ekskl. refusion*")&amp;" billetter som afbud ekskl. refusion ("
&amp;COUNTIF(Tilmeldingsstatus[Status],"*Afbud*")&amp;" billetter)"</f>
        <v>❌💸 10 billetter som afbud inkl. refusion og 1 billetter som afbud ekskl. refusion (11 billetter)</v>
      </c>
      <c r="V18" s="274"/>
      <c r="W18" s="274"/>
      <c r="X18" s="274"/>
      <c r="Y18" s="274"/>
      <c r="Z18" s="274"/>
      <c r="AA18" s="274"/>
      <c r="AB18" s="274"/>
      <c r="AC18" s="274"/>
    </row>
    <row r="19" spans="3:29" x14ac:dyDescent="0.3">
      <c r="D19" s="97" t="s">
        <v>199</v>
      </c>
      <c r="F19" s="234"/>
      <c r="G19" s="238" t="s">
        <v>197</v>
      </c>
      <c r="I19" s="231"/>
      <c r="J19" s="53" t="s">
        <v>129</v>
      </c>
      <c r="K19" s="145">
        <f t="shared" si="0"/>
        <v>1200</v>
      </c>
      <c r="L19" s="59">
        <v>0.25</v>
      </c>
      <c r="M19" s="67">
        <f t="shared" si="1"/>
        <v>1800</v>
      </c>
      <c r="O19" s="228" t="s">
        <v>811</v>
      </c>
      <c r="P19" s="228"/>
      <c r="Q19" s="228"/>
      <c r="R19" s="133">
        <f>$S$7*$S$11</f>
        <v>168</v>
      </c>
      <c r="S19" s="138">
        <f>$S$6*$S$11</f>
        <v>480</v>
      </c>
      <c r="U19" s="229" t="str">
        <f>"✔️❌ "&amp;COUNTIF(Tilmeldingsstatus[Status],"*Tilmeldt*")&amp;" billetter som tilmeldt og "
&amp;COUNTIF(Tilmeldingsstatus[Status],"*Afbud*")&amp;" billetter som afbud ("
&amp;ROWS(Tilmeldingsstatus[])&amp;" billetter)"</f>
        <v>✔️❌ 90 billetter som tilmeldt og 11 billetter som afbud (101 billetter)</v>
      </c>
      <c r="V19" s="229"/>
      <c r="W19" s="229"/>
      <c r="X19" s="229"/>
      <c r="Y19" s="229"/>
      <c r="Z19" s="229"/>
      <c r="AA19" s="229"/>
      <c r="AB19" s="229"/>
      <c r="AC19" s="229"/>
    </row>
    <row r="20" spans="3:29" x14ac:dyDescent="0.3">
      <c r="C20" s="110" t="s">
        <v>180</v>
      </c>
      <c r="D20" s="111" t="s">
        <v>183</v>
      </c>
      <c r="F20" s="234"/>
      <c r="G20" s="234"/>
      <c r="I20" s="231"/>
      <c r="J20" s="53" t="s">
        <v>130</v>
      </c>
      <c r="K20" s="145">
        <f t="shared" si="0"/>
        <v>720</v>
      </c>
      <c r="L20" s="59">
        <v>0.15</v>
      </c>
      <c r="M20" s="67">
        <f t="shared" si="1"/>
        <v>1080</v>
      </c>
      <c r="U20" s="226" t="s">
        <v>244</v>
      </c>
      <c r="V20" s="226"/>
      <c r="W20" s="226"/>
      <c r="X20" s="226"/>
      <c r="Y20" s="226"/>
      <c r="Z20" s="226"/>
      <c r="AA20" s="226"/>
      <c r="AB20" s="226"/>
      <c r="AC20" s="226"/>
    </row>
    <row r="21" spans="3:29" x14ac:dyDescent="0.3">
      <c r="C21" s="112" t="s">
        <v>179</v>
      </c>
      <c r="D21" s="113" t="s">
        <v>214</v>
      </c>
      <c r="G21" s="77" t="str">
        <f>$D$30</f>
        <v>📜 Diplomer uddeles til alle gave-/præmietagere.</v>
      </c>
      <c r="I21" s="231"/>
      <c r="J21" s="54" t="s">
        <v>131</v>
      </c>
      <c r="K21" s="146">
        <f t="shared" si="0"/>
        <v>480</v>
      </c>
      <c r="L21" s="60">
        <v>0.1</v>
      </c>
      <c r="M21" s="68">
        <f t="shared" si="1"/>
        <v>720</v>
      </c>
      <c r="U21" s="8" t="s">
        <v>0</v>
      </c>
      <c r="V21" s="1" t="s">
        <v>123</v>
      </c>
      <c r="W21" s="1" t="s">
        <v>82</v>
      </c>
      <c r="X21" s="8" t="s">
        <v>15</v>
      </c>
      <c r="Y21" s="8" t="s">
        <v>444</v>
      </c>
      <c r="Z21" s="8" t="s">
        <v>645</v>
      </c>
      <c r="AA21" s="1" t="s">
        <v>1</v>
      </c>
      <c r="AB21" s="1" t="s">
        <v>2</v>
      </c>
      <c r="AC21" s="220" t="s">
        <v>973</v>
      </c>
    </row>
    <row r="22" spans="3:29" x14ac:dyDescent="0.3">
      <c r="C22" s="114" t="s">
        <v>179</v>
      </c>
      <c r="D22" s="115" t="s">
        <v>208</v>
      </c>
      <c r="F22" s="151"/>
      <c r="G22" s="150" t="str">
        <f>$D$31</f>
        <v>🎁 Gave til den yngste- og ældste Ping Pong deltager.</v>
      </c>
      <c r="I22" s="232"/>
      <c r="J22" s="144" t="s">
        <v>406</v>
      </c>
      <c r="K22" s="65">
        <f>SUBTOTAL(109,$K$18:$K$21)</f>
        <v>4200</v>
      </c>
      <c r="L22" s="148">
        <f>SUBTOTAL(109,$L$18:$L$21)</f>
        <v>0.875</v>
      </c>
      <c r="M22" s="145">
        <f>SUBTOTAL(109,$M$18:$M$21)</f>
        <v>6300</v>
      </c>
      <c r="O22" s="260" t="s">
        <v>239</v>
      </c>
      <c r="P22" s="260"/>
      <c r="Q22" s="260"/>
      <c r="R22" s="260"/>
      <c r="U22" s="8">
        <v>1</v>
      </c>
      <c r="V22" s="41" t="s">
        <v>980</v>
      </c>
      <c r="W22" s="41" t="s">
        <v>42</v>
      </c>
      <c r="X22" s="8">
        <v>23</v>
      </c>
      <c r="Y22" s="48" t="s">
        <v>228</v>
      </c>
      <c r="Z22" s="176">
        <v>44730.464444444442</v>
      </c>
      <c r="AA22" s="1" t="s">
        <v>995</v>
      </c>
      <c r="AB22" s="1" t="s">
        <v>816</v>
      </c>
      <c r="AC22" s="216">
        <v>150</v>
      </c>
    </row>
    <row r="23" spans="3:29" x14ac:dyDescent="0.3">
      <c r="C23" s="112" t="s">
        <v>179</v>
      </c>
      <c r="D23" s="113" t="s">
        <v>190</v>
      </c>
      <c r="F23" s="151"/>
      <c r="G23" s="150" t="str">
        <f>$I$15</f>
        <v>💸 Af spillergebyret på kr. 125 går kr. 100 til præmiepenge og kr. 25 til stævnearrangøren.</v>
      </c>
      <c r="I23" s="230" t="s">
        <v>139</v>
      </c>
      <c r="J23" s="55" t="str">
        <f>$J$18</f>
        <v>🥇 1. plads</v>
      </c>
      <c r="K23" s="147">
        <f t="shared" si="0"/>
        <v>360</v>
      </c>
      <c r="L23" s="61">
        <v>7.4999999999999997E-2</v>
      </c>
      <c r="M23" s="69">
        <f t="shared" si="1"/>
        <v>540</v>
      </c>
      <c r="O23" s="260"/>
      <c r="P23" s="260"/>
      <c r="Q23" s="260"/>
      <c r="R23" s="260"/>
      <c r="U23" s="8">
        <v>2</v>
      </c>
      <c r="V23" s="1" t="s">
        <v>955</v>
      </c>
      <c r="W23" s="1" t="s">
        <v>8</v>
      </c>
      <c r="X23" s="8">
        <v>10</v>
      </c>
      <c r="Y23" s="48" t="s">
        <v>228</v>
      </c>
      <c r="Z23" s="176">
        <v>44729.473935185182</v>
      </c>
      <c r="AA23" s="1" t="s">
        <v>737</v>
      </c>
      <c r="AB23" s="1" t="s">
        <v>816</v>
      </c>
      <c r="AC23" s="216">
        <v>125</v>
      </c>
    </row>
    <row r="24" spans="3:29" x14ac:dyDescent="0.3">
      <c r="C24" s="114" t="s">
        <v>179</v>
      </c>
      <c r="D24" s="115" t="s">
        <v>191</v>
      </c>
      <c r="G24" s="76" t="str">
        <f>$I$16</f>
        <v>💰 Præmiesum på kr. 4.800 fordeles på seks placeringer som følger:</v>
      </c>
      <c r="I24" s="231"/>
      <c r="J24" s="54" t="str">
        <f>$J$19</f>
        <v>🥈 2. plads</v>
      </c>
      <c r="K24" s="146">
        <f t="shared" si="0"/>
        <v>240</v>
      </c>
      <c r="L24" s="60">
        <v>0.05</v>
      </c>
      <c r="M24" s="68">
        <f t="shared" si="1"/>
        <v>360</v>
      </c>
      <c r="O24" s="229" t="str">
        <f>"🥳 "&amp;TEXT(N($S$7),"#.##0")
&amp;" ud af "&amp;TEXT(N($S$6),"#.##0")&amp;" tilmeldinger"
&amp;" ("&amp;TEXT(N($S$7)/N($S$6),"0%")&amp;")"</f>
        <v>🥳 42 ud af 120 tilmeldinger (35%)</v>
      </c>
      <c r="P24" s="229"/>
      <c r="Q24" s="229"/>
      <c r="R24" s="229"/>
      <c r="S24" s="229"/>
      <c r="U24" s="8">
        <v>3</v>
      </c>
      <c r="V24" s="1" t="s">
        <v>916</v>
      </c>
      <c r="W24" s="1" t="s">
        <v>5</v>
      </c>
      <c r="X24" s="8">
        <v>40</v>
      </c>
      <c r="Y24" s="48" t="s">
        <v>228</v>
      </c>
      <c r="Z24" s="176">
        <v>44728.906967592593</v>
      </c>
      <c r="AA24" s="1" t="s">
        <v>737</v>
      </c>
      <c r="AB24" s="1" t="s">
        <v>816</v>
      </c>
      <c r="AC24" s="216">
        <v>125</v>
      </c>
    </row>
    <row r="25" spans="3:29" x14ac:dyDescent="0.3">
      <c r="C25" s="112" t="s">
        <v>179</v>
      </c>
      <c r="D25" s="113" t="s">
        <v>1064</v>
      </c>
      <c r="G25" s="72" t="str">
        <f>$D$34</f>
        <v>🏓 A-slutspil:</v>
      </c>
      <c r="I25" s="232"/>
      <c r="J25" s="144" t="s">
        <v>407</v>
      </c>
      <c r="K25" s="65">
        <f>SUBTOTAL(109,$K$23:$K$24)</f>
        <v>600</v>
      </c>
      <c r="L25" s="148">
        <f>SUBTOTAL(109,$L$23:$L$24)</f>
        <v>0.125</v>
      </c>
      <c r="M25" s="145">
        <f>SUBTOTAL(109,$M$23:$M$24)</f>
        <v>900</v>
      </c>
      <c r="O25" s="226" t="str">
        <f>"♂️ "&amp;TEXT(N(CUBEVALUE("ThisWorkbookDataModel",
CUBEMEMBER("ThisWorkbookDataModel",{"[Billettype_d2].[K: Billettype emoji].&amp;[🥳]","[Køn_d2].[K: Køn emoji].&amp;[♂]"}),
CUBEMEMBER("ThisWorkbookDataModel","[Measures].[👥 Aktuel tilmeldingsantal]"))),"#.##0")&amp;" herrer"
&amp;" ("&amp;TEXT(N(CUBEVALUE("ThisWorkbookDataModel",
CUBEMEMBER("ThisWorkbookDataModel",{"[Billettype_d2].[K: Billettype emoji].&amp;[🥳]","[Køn_d2].[K: Køn emoji].&amp;[♂]"}),
CUBEMEMBER("ThisWorkbookDataModel","[Measures].[👥 Aktuel tilmeldingsantal]")))/N($S$7),"0%")&amp;")"
&amp;" ∙ ♀️ "&amp;TEXT(N(CUBEVALUE("ThisWorkbookDataModel",
CUBEMEMBER("ThisWorkbookDataModel",{"[Billettype_d2].[K: Billettype emoji].&amp;[🥳]","[Køn_d2].[K: Køn emoji].&amp;[♀]"}),
CUBEMEMBER("ThisWorkbookDataModel","[Measures].[👥 Aktuel tilmeldingsantal]"))),"#.##0")&amp;" damer"
&amp;" ("&amp;TEXT(N(CUBEVALUE("ThisWorkbookDataModel",
CUBEMEMBER("ThisWorkbookDataModel",{"[Billettype_d2].[K: Billettype emoji].&amp;[🥳]","[Køn_d2].[K: Køn emoji].&amp;[♀]"}),
CUBEMEMBER("ThisWorkbookDataModel","[Measures].[👥 Aktuel tilmeldingsantal]")))/N($S$7),"0%")&amp;")"</f>
        <v>♂️ 36 herrer (86%) ∙ ♀️ 6 damer (14%)</v>
      </c>
      <c r="P25" s="226"/>
      <c r="Q25" s="226"/>
      <c r="R25" s="226"/>
      <c r="S25" s="226"/>
      <c r="U25" s="8">
        <v>4</v>
      </c>
      <c r="V25" s="1" t="s">
        <v>919</v>
      </c>
      <c r="W25" s="1" t="s">
        <v>7</v>
      </c>
      <c r="X25" s="8">
        <v>33</v>
      </c>
      <c r="Y25" s="48" t="s">
        <v>228</v>
      </c>
      <c r="Z25" s="176">
        <v>44728.859155092592</v>
      </c>
      <c r="AA25" s="1" t="s">
        <v>737</v>
      </c>
      <c r="AB25" s="1" t="s">
        <v>816</v>
      </c>
      <c r="AC25" s="216">
        <v>125</v>
      </c>
    </row>
    <row r="26" spans="3:29" x14ac:dyDescent="0.3">
      <c r="C26" s="114" t="s">
        <v>179</v>
      </c>
      <c r="D26" s="115" t="s">
        <v>1062</v>
      </c>
      <c r="F26" s="99" t="str">
        <f>$C$35</f>
        <v>Nr.</v>
      </c>
      <c r="G26" s="100" t="str">
        <f>$D$35</f>
        <v>Præmiepenge A-slutspil</v>
      </c>
      <c r="I26" s="240" t="s">
        <v>396</v>
      </c>
      <c r="J26" s="240"/>
      <c r="K26" s="66">
        <f>SUBTOTAL(109,$K$18:$K$25)</f>
        <v>4800</v>
      </c>
      <c r="L26" s="62">
        <f>SUBTOTAL(109,$L$18:$L$25)</f>
        <v>1</v>
      </c>
      <c r="M26" s="66">
        <f>SUBTOTAL(109,$M$18:$M$25)</f>
        <v>7200</v>
      </c>
      <c r="O26" s="226" t="str">
        <f>"👤 "&amp;TEXT(N(CUBEVALUE("ThisWorkbookDataModel",
CUBEMEMBER("ThisWorkbookDataModel",{"[Billettype_d2].[K: Billettype emoji].&amp;[🥳]","[Aldersgruppe_d2].[K: Aldersgruppe].&amp;[[&lt;=17]] Ungdom]"}),
CUBEMEMBER("ThisWorkbookDataModel","[Measures].[👥 Aktuel tilmeldingsantal]"))),"#.##0")
&amp;"  Ungdom ("&amp;TEXT(N(CUBEVALUE("ThisWorkbookDataModel",
CUBEMEMBER("ThisWorkbookDataModel",{"[Billettype_d2].[K: Billettype emoji].&amp;[🥳]","[Aldersgruppe_d2].[K: Aldersgruppe].&amp;[[&lt;=17]] Ungdom]"}),
CUBEMEMBER("ThisWorkbookDataModel","[Measures].[👥 Aktuel tilmeldingsantal]")))/N($S$7),"0%")&amp;")"
&amp;" ∙ 👤 "&amp;TEXT(N(CUBEVALUE("ThisWorkbookDataModel",
CUBEMEMBER("ThisWorkbookDataModel",{"[Billettype_d2].[K: Billettype emoji].&amp;[🥳]","[Aldersgruppe_d2].[K: Aldersgruppe].&amp;[[&lt;=39]] Senior]"}),
CUBEMEMBER("ThisWorkbookDataModel","[Measures].[👥 Aktuel tilmeldingsantal]"))),"#.##0")
&amp;"  Senior ("&amp;TEXT(N(CUBEVALUE("ThisWorkbookDataModel",
CUBEMEMBER("ThisWorkbookDataModel",{"[Billettype_d2].[K: Billettype emoji].&amp;[🥳]","[Aldersgruppe_d2].[K: Aldersgruppe].&amp;[[&lt;=39]] Senior]"}),
CUBEMEMBER("ThisWorkbookDataModel","[Measures].[👥 Aktuel tilmeldingsantal]")))/N($S$7),"0%")&amp;")"
&amp;" ∙ 👤 "&amp;TEXT(N(CUBEVALUE("ThisWorkbookDataModel",
CUBEMEMBER("ThisWorkbookDataModel",{"[Billettype_d2].[K: Billettype emoji].&amp;[🥳]","[Aldersgruppe_d2].[K: Aldersgruppe].&amp;[[&gt;=40]] Veteran]"}),
CUBEMEMBER("ThisWorkbookDataModel","[Measures].[👥 Aktuel tilmeldingsantal]"))),"#.##0")
&amp;"  Veteran ("&amp;TEXT(N(CUBEVALUE("ThisWorkbookDataModel",
CUBEMEMBER("ThisWorkbookDataModel",{"[Billettype_d2].[K: Billettype emoji].&amp;[🥳]","[Aldersgruppe_d2].[K: Aldersgruppe].&amp;[[&gt;=40]] Veteran]"}),
CUBEMEMBER("ThisWorkbookDataModel","[Measures].[👥 Aktuel tilmeldingsantal]")))/N($S$7),"0%")&amp;")"</f>
        <v>👤 0  Ungdom (0%) ∙ 👤 35  Senior (83%) ∙ 👤 7  Veteran (17%)</v>
      </c>
      <c r="P26" s="226"/>
      <c r="Q26" s="226"/>
      <c r="R26" s="226"/>
      <c r="S26" s="226"/>
      <c r="U26" s="8">
        <v>5</v>
      </c>
      <c r="V26" s="1" t="s">
        <v>921</v>
      </c>
      <c r="W26" s="1" t="s">
        <v>8</v>
      </c>
      <c r="X26" s="8">
        <v>10</v>
      </c>
      <c r="Y26" s="48" t="s">
        <v>228</v>
      </c>
      <c r="Z26" s="176">
        <v>44728.73814814815</v>
      </c>
      <c r="AA26" s="1" t="s">
        <v>737</v>
      </c>
      <c r="AB26" s="1" t="s">
        <v>816</v>
      </c>
      <c r="AC26" s="216">
        <v>125</v>
      </c>
    </row>
    <row r="27" spans="3:29" x14ac:dyDescent="0.3">
      <c r="C27" s="84"/>
      <c r="D27" s="84"/>
      <c r="F27" s="101">
        <f>$C$36</f>
        <v>1</v>
      </c>
      <c r="G27" s="102" t="str">
        <f>LEFT($J$18,1)&amp;" "&amp;TEXT($K$18,"kr. #.##0,00")&amp;" ("&amp;TEXT($L$18,"0,0%")&amp;")"</f>
        <v>🥇 kr. 1.800,00 (37,5%)</v>
      </c>
      <c r="O27" s="226" t="str">
        <f>"👤 Min. "&amp;TEXT(N(CUBEVALUE("ThisWorkbookDataModel",
CUBEMEMBER("ThisWorkbookDataModel","[Billettype_d2].[K: Billettype emoji].&amp;[🥳]"),
CUBEMEMBER("ThisWorkbookDataModel","[Measures].[👤 Aktuel alder min.]"))),"#.##0")&amp;" år"
&amp;" ∙ 👤 Gns. "&amp;TEXT(N(CUBEVALUE("ThisWorkbookDataModel",
CUBEMEMBER("ThisWorkbookDataModel","[Billettype_d2].[K: Billettype emoji].&amp;[🥳]"),
CUBEMEMBER("ThisWorkbookDataModel","[Measures].[👥 Aktuel alder gns.]"))),"#.##0")&amp;" år"
&amp;" ∙ 👤 Maks. "&amp;TEXT(N(CUBEVALUE("ThisWorkbookDataModel",
CUBEMEMBER("ThisWorkbookDataModel","[Billettype_d2].[K: Billettype emoji].&amp;[🥳]"),
CUBEMEMBER("ThisWorkbookDataModel","[Measures].[👤 Aktuel alder maks.]"))),"#.##0")&amp;" år"</f>
        <v>👤 Min. 19 år ∙ 👤 Gns. 31 år ∙ 👤 Maks. 71 år</v>
      </c>
      <c r="P27" s="226"/>
      <c r="Q27" s="226"/>
      <c r="R27" s="226"/>
      <c r="S27" s="226"/>
      <c r="U27" s="8">
        <v>6</v>
      </c>
      <c r="V27" s="1" t="s">
        <v>923</v>
      </c>
      <c r="W27" s="1" t="s">
        <v>8</v>
      </c>
      <c r="X27" s="8">
        <v>20</v>
      </c>
      <c r="Y27" s="48" t="s">
        <v>228</v>
      </c>
      <c r="Z27" s="176">
        <v>44728.725439814814</v>
      </c>
      <c r="AA27" s="1" t="s">
        <v>737</v>
      </c>
      <c r="AB27" s="1" t="s">
        <v>816</v>
      </c>
      <c r="AC27" s="216">
        <v>125</v>
      </c>
    </row>
    <row r="28" spans="3:29" x14ac:dyDescent="0.3">
      <c r="C28" s="234"/>
      <c r="D28" s="238" t="s">
        <v>194</v>
      </c>
      <c r="F28" s="103">
        <f>$C$37</f>
        <v>2</v>
      </c>
      <c r="G28" s="104" t="str">
        <f>LEFT($J$19,1)&amp;" "&amp;TEXT($K$19,"kr. #.##0,00")&amp;" ("&amp;TEXT($L$19,"0%")&amp;")"</f>
        <v>🥈 kr. 1.200,00 (25%)</v>
      </c>
      <c r="I28" s="233" t="str" vm="1">
        <f>CUBEMEMBER("ThisWorkbookDataModel","[Measures].[🎁 Yngst Ping Pong]")</f>
        <v>🎁 Yngst Ping Pong</v>
      </c>
      <c r="J28" s="233"/>
      <c r="K28" s="235" t="str" vm="2">
        <f>CUBEVALUE("ThisWorkbookDataModel",I$28)</f>
        <v>Amin Saad Al-Zayadi, Sisu/MBK [10 år, 05-06-2012] 🏓</v>
      </c>
      <c r="L28" s="235"/>
      <c r="M28" s="235"/>
      <c r="O28" s="226" t="str">
        <f>"🏛️ "&amp;TEXT(N(CUBEVALUE("ThisWorkbookDataModel",
CUBEMEMBER("ThisWorkbookDataModel",{"[Billettype_d2].[K: Billettype emoji].&amp;[🥳]","[Landsdel_d3].[K: Landsdel].&amp;[Jylland]"}),
CUBEMEMBER("ThisWorkbookDataModel","[Measures].[👥 Aktuel tilmeldingsantal (kun med klub)]"))),"0")
&amp;" Jylland ("&amp;TEXT(N(CUBEVALUE("ThisWorkbookDataModel",
CUBEMEMBER("ThisWorkbookDataModel",{"[Billettype_d2].[K: Billettype emoji].&amp;[🥳]","[Landsdel_d3].[K: Landsdel].&amp;[Jylland]"}),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Landsdel].&amp;[Fyn]"}),
CUBEMEMBER("ThisWorkbookDataModel","[Measures].[👥 Aktuel tilmeldingsantal (kun med klub)]"))),"0")
&amp;" Fyn ("&amp;TEXT(N(CUBEVALUE("ThisWorkbookDataModel",
CUBEMEMBER("ThisWorkbookDataModel",{"[Billettype_d2].[K: Billettype emoji].&amp;[🥳]","[Landsdel_d3].[K: Landsdel].&amp;[Fyn]"}),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Landsdel].&amp;[Sjælland]"}),
CUBEMEMBER("ThisWorkbookDataModel","[Measures].[👥 Aktuel tilmeldingsantal (kun med klub)]"))),"0")
&amp;" Sjælland ("&amp;TEXT(N(CUBEVALUE("ThisWorkbookDataModel",
CUBEMEMBER("ThisWorkbookDataModel",{"[Billettype_d2].[K: Billettype emoji].&amp;[🥳]","[Landsdel_d3].[K: Landsdel].&amp;[Sjælland]"}),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Landsdel].&amp;[Bornholm]"}),
CUBEMEMBER("ThisWorkbookDataModel","[Measures].[👥 Aktuel tilmeldingsantal (kun med klub)]"))),"0")
&amp;" Bornholm ("&amp;TEXT(N(CUBEVALUE("ThisWorkbookDataModel",
CUBEMEMBER("ThisWorkbookDataModel",{"[Billettype_d2].[K: Billettype emoji].&amp;[🥳]","[Landsdel_d3].[K: Landsdel].&amp;[Bornholm]"}),
CUBEMEMBER("ThisWorkbookDataModel","[Measures].[👥 Aktuel tilmeldingsantal (kun med klub)]")))
/N(CUBEVALUE("ThisWorkbookDataModel",
CUBEMEMBER("ThisWorkbookDataModel","[Billettype_d2].[K: Billettype emoji].&amp;[🥳]"),
CUBEMEMBER("ThisWorkbookDataModel","[Measures].[👥 Aktuel tilmeldingsantal (kun med klub)]"))),"0%")&amp;")"</f>
        <v>🏛️ 32 Jylland (89%) ∙ 🏛️ 0 Fyn (0%) ∙ 🏛️ 4 Sjælland (11%) ∙ 🏛️ 0 Bornholm (0%)</v>
      </c>
      <c r="P28" s="226"/>
      <c r="Q28" s="226"/>
      <c r="R28" s="226"/>
      <c r="S28" s="226"/>
      <c r="U28" s="8">
        <v>7</v>
      </c>
      <c r="V28" s="1" t="s">
        <v>904</v>
      </c>
      <c r="W28" s="1" t="s">
        <v>42</v>
      </c>
      <c r="X28" s="8">
        <v>56</v>
      </c>
      <c r="Y28" s="48" t="s">
        <v>228</v>
      </c>
      <c r="Z28" s="176">
        <v>44728.307789351849</v>
      </c>
      <c r="AA28" s="1" t="s">
        <v>737</v>
      </c>
      <c r="AB28" s="1" t="s">
        <v>816</v>
      </c>
      <c r="AC28" s="216">
        <v>125</v>
      </c>
    </row>
    <row r="29" spans="3:29" x14ac:dyDescent="0.3">
      <c r="C29" s="234"/>
      <c r="D29" s="234"/>
      <c r="F29" s="101">
        <f>$C$38</f>
        <v>3</v>
      </c>
      <c r="G29" s="102" t="str">
        <f>LEFT($J$20,1)&amp;" "&amp;TEXT($K$20,"kr. #.##0,00")&amp;" ("&amp;TEXT($L$20,"0%")&amp;")"</f>
        <v>🥉 kr. 720,00 (15%)</v>
      </c>
      <c r="I29" s="233" t="str" vm="3">
        <f>CUBEMEMBER("ThisWorkbookDataModel","[Measures].[🎁 Ældst Ping Pong]")</f>
        <v>🎁 Ældst Ping Pong</v>
      </c>
      <c r="J29" s="233"/>
      <c r="K29" s="235" t="str" vm="4">
        <f>CUBEVALUE("ThisWorkbookDataModel",I$29)</f>
        <v>Bent O. Jakobsen, Sisu/MBK [71 år, 08-09-1950] 🏓</v>
      </c>
      <c r="L29" s="235"/>
      <c r="M29" s="235"/>
      <c r="O29" s="226" t="str">
        <f>"👤 "&amp;TEXT(N(CUBEVALUE("ThisWorkbookDataModel",
CUBEMEMBER("ThisWorkbookDataModel",{"[Billettype_d2].[K: Billettype emoji].&amp;[🥳]","[Ratinggruppe_d2].[K: Ratinggruppe].&amp;[[&gt;=2000]] Elite]"}),
CUBEMEMBER("ThisWorkbookDataModel","[Measures].[👥 Aktuel tilmeldingsantal]"))),"#.##0")
&amp;" [&gt;=2000] Elite ("&amp;TEXT(N(CUBEVALUE("ThisWorkbookDataModel",
CUBEMEMBER("ThisWorkbookDataModel",{"[Billettype_d2].[K: Billettype emoji].&amp;[🥳]","[Ratinggruppe_d2].[K: Ratinggruppe].&amp;[[&gt;=2000]] Elite]"}),
CUBEMEMBER("ThisWorkbookDataModel","[Measures].[👥 Aktuel tilmeldingsantal]")))/N($S$7),"0%")&amp;")"
&amp;" ∙ 👤 "&amp;TEXT(N(CUBEVALUE("ThisWorkbookDataModel",
CUBEMEMBER("ThisWorkbookDataModel",{"[Billettype_d2].[K: Billettype emoji].&amp;[🥳]","[Ratinggruppe_d2].[K: Ratinggruppe].&amp;[[&lt;=1999]] Ikke-Elite]"}),
CUBEMEMBER("ThisWorkbookDataModel","[Measures].[👥 Aktuel tilmeldingsantal]"))),"#.##0")
&amp;" [&gt;=2000] Elite ("&amp;TEXT(N(CUBEVALUE("ThisWorkbookDataModel",
CUBEMEMBER("ThisWorkbookDataModel",{"[Billettype_d2].[K: Billettype emoji].&amp;[🥳]","[Ratinggruppe_d2].[K: Ratinggruppe].&amp;[[&lt;=1999]] Ikke-Elite]"}),
CUBEMEMBER("ThisWorkbookDataModel","[Measures].[👥 Aktuel tilmeldingsantal]")))/N($S$7),"0%")&amp;")"</f>
        <v>👤 26 [&gt;=2000] Elite (62%) ∙ 👤 16 [&gt;=2000] Elite (38%)</v>
      </c>
      <c r="P29" s="226"/>
      <c r="Q29" s="226"/>
      <c r="R29" s="226"/>
      <c r="S29" s="226"/>
      <c r="U29" s="8">
        <v>8</v>
      </c>
      <c r="V29" s="1" t="s">
        <v>67</v>
      </c>
      <c r="W29" s="1" t="s">
        <v>66</v>
      </c>
      <c r="X29" s="8">
        <v>60</v>
      </c>
      <c r="Y29" s="48" t="s">
        <v>228</v>
      </c>
      <c r="Z29" s="176">
        <v>44725.526423611111</v>
      </c>
      <c r="AA29" s="1" t="s">
        <v>737</v>
      </c>
      <c r="AB29" s="1" t="s">
        <v>816</v>
      </c>
      <c r="AC29" s="216">
        <v>125</v>
      </c>
    </row>
    <row r="30" spans="3:29" x14ac:dyDescent="0.3">
      <c r="D30" s="58" t="str">
        <f>$I$14</f>
        <v>📜 Diplomer uddeles til alle gave-/præmietagere.</v>
      </c>
      <c r="F30" s="103">
        <f>$C$39</f>
        <v>4</v>
      </c>
      <c r="G30" s="104" t="str">
        <f>LEFT($J$21,1)&amp;" "&amp;TEXT($K$21,"kr. #.##0,00")&amp;" ("&amp;TEXT($L$21,"0%")&amp;")"</f>
        <v>🏅 kr. 480,00 (10%)</v>
      </c>
      <c r="I30" s="233" t="str" vm="8">
        <f>CUBEMEMBER("ThisWorkbookDataModel","[Measures].[👤 Højeste rating Ping Pong]")</f>
        <v>👤 Højeste rating Ping Pong</v>
      </c>
      <c r="J30" s="233"/>
      <c r="K30" s="235" t="str" vm="10">
        <f>CUBEVALUE("ThisWorkbookDataModel",I$30)</f>
        <v>Simon Nykjær-Fisher, BTK Viby (2587 rating) 🏓</v>
      </c>
      <c r="L30" s="235"/>
      <c r="M30" s="235"/>
      <c r="O30" s="226" t="str">
        <f>"👤 Min. "&amp;TEXT(N(CUBEVALUE("ThisWorkbookDataModel",
CUBEMEMBER("ThisWorkbookDataModel","[Billettype_d2].[K: Billettype emoji].&amp;[🥳]"),
CUBEMEMBER("ThisWorkbookDataModel","[Measures].[👤 Rating min.]"))),"0")&amp;" rating"
&amp;" ∙ 👤 Gns. "&amp;TEXT(N(CUBEVALUE("ThisWorkbookDataModel",
CUBEMEMBER("ThisWorkbookDataModel","[Billettype_d2].[K: Billettype emoji].&amp;[🥳]"),
CUBEMEMBER("ThisWorkbookDataModel","[Measures].[👥 Aktuel rating gns.]"))),"0")&amp;" rating"
&amp;" ∙ 👤 Maks. "&amp;TEXT(N(CUBEVALUE("ThisWorkbookDataModel",
CUBEMEMBER("ThisWorkbookDataModel","[Billettype_d2].[K: Billettype emoji].&amp;[🥳]"),
CUBEMEMBER("ThisWorkbookDataModel","[Measures].[👤 Aktuel rating maks.]"))),"0")&amp;" rating"</f>
        <v>👤 Min. 1139 rating ∙ 👤 Gns. 2126 rating ∙ 👤 Maks. 2587 rating</v>
      </c>
      <c r="P30" s="226"/>
      <c r="Q30" s="226"/>
      <c r="R30" s="226"/>
      <c r="S30" s="226"/>
      <c r="U30" s="8">
        <v>9</v>
      </c>
      <c r="V30" s="1" t="s">
        <v>787</v>
      </c>
      <c r="W30" s="1" t="s">
        <v>314</v>
      </c>
      <c r="X30" s="8">
        <v>25</v>
      </c>
      <c r="Y30" s="48" t="s">
        <v>228</v>
      </c>
      <c r="Z30" s="176">
        <v>44723.749178240738</v>
      </c>
      <c r="AA30" s="1" t="s">
        <v>737</v>
      </c>
      <c r="AB30" s="1" t="s">
        <v>816</v>
      </c>
      <c r="AC30" s="216">
        <v>125</v>
      </c>
    </row>
    <row r="31" spans="3:29" x14ac:dyDescent="0.3">
      <c r="C31" s="151"/>
      <c r="D31" s="150" t="s">
        <v>445</v>
      </c>
      <c r="F31" s="74"/>
      <c r="G31" s="75"/>
      <c r="I31" s="233" t="str" vm="9">
        <f>CUBEMEMBER("ThisWorkbookDataModel","[Measures].[👤 Laveste rating Ping Pong]")</f>
        <v>👤 Laveste rating Ping Pong</v>
      </c>
      <c r="J31" s="233"/>
      <c r="K31" s="250" t="str" vm="11">
        <f>CUBEVALUE("ThisWorkbookDataModel",I$31)</f>
        <v>Amin Saad Al-Zayadi, Sisu/MBK (914 rating) 🏓</v>
      </c>
      <c r="L31" s="251"/>
      <c r="M31" s="252"/>
      <c r="O31" s="226" t="str">
        <f>"🛖 "&amp;TEXT(N(CUBEVALUE("ThisWorkbookDataModel",
CUBEMEMBER("ThisWorkbookDataModel","[Billettype_d2].[K: Billettype emoji].&amp;[🥳]"),
CUBEMEMBER("ThisWorkbookDataModel","[Measures].[🛖 Aktuel klubantal]"))),"#.##0")&amp;" klubber"</f>
        <v>🛖 11 klubber</v>
      </c>
      <c r="P31" s="226"/>
      <c r="Q31" s="226"/>
      <c r="R31" s="226"/>
      <c r="S31" s="226"/>
      <c r="U31" s="8">
        <v>9</v>
      </c>
      <c r="V31" s="1" t="s">
        <v>787</v>
      </c>
      <c r="W31" s="1" t="s">
        <v>314</v>
      </c>
      <c r="X31" s="8">
        <v>25</v>
      </c>
      <c r="Y31" s="48" t="s">
        <v>228</v>
      </c>
      <c r="Z31" s="176">
        <v>44723.749178240738</v>
      </c>
      <c r="AA31" s="1" t="s">
        <v>995</v>
      </c>
      <c r="AB31" s="1" t="s">
        <v>816</v>
      </c>
      <c r="AC31" s="216">
        <v>150</v>
      </c>
    </row>
    <row r="32" spans="3:29" x14ac:dyDescent="0.3">
      <c r="C32" s="151"/>
      <c r="D32" s="150" t="str">
        <f>$I$15</f>
        <v>💸 Af spillergebyret på kr. 125 går kr. 100 til præmiepenge og kr. 25 til stævnearrangøren.</v>
      </c>
      <c r="F32" s="74"/>
      <c r="G32" s="72" t="str">
        <f>$D$41</f>
        <v>🏓 B-slutspil:</v>
      </c>
      <c r="I32"/>
      <c r="J32"/>
      <c r="K32"/>
      <c r="L32"/>
      <c r="M32"/>
      <c r="O32" s="226" t="s">
        <v>243</v>
      </c>
      <c r="P32" s="226"/>
      <c r="Q32" s="226"/>
      <c r="R32" s="226"/>
      <c r="S32" s="226"/>
      <c r="U32" s="8">
        <v>10</v>
      </c>
      <c r="V32" s="1" t="s">
        <v>771</v>
      </c>
      <c r="W32" s="1" t="s">
        <v>4</v>
      </c>
      <c r="X32" s="8">
        <v>43</v>
      </c>
      <c r="Y32" s="48" t="s">
        <v>228</v>
      </c>
      <c r="Z32" s="176">
        <v>44722.859247685185</v>
      </c>
      <c r="AA32" s="1" t="s">
        <v>737</v>
      </c>
      <c r="AB32" s="1" t="s">
        <v>816</v>
      </c>
      <c r="AC32" s="216">
        <v>125</v>
      </c>
    </row>
    <row r="33" spans="1:29" x14ac:dyDescent="0.3">
      <c r="C33" s="46"/>
      <c r="D33" s="52" t="str">
        <f>IF($K$26=$M$26,$I$16,
"💰 Foreløbig præmiesum på "&amp;TEXT($K$26,"kr. #.##0")&amp;" ud af potentielt "&amp;TEXT($M$26,"kr. #.##0")&amp;" fordeles på seks placeringer som følger:")</f>
        <v>💰 Foreløbig præmiesum på kr. 4.800 ud af potentielt kr. 7.200 fordeles på seks placeringer som følger:</v>
      </c>
      <c r="F33" s="99" t="str">
        <f>$C$42</f>
        <v>Nr.</v>
      </c>
      <c r="G33" s="100" t="str">
        <f>$D$42</f>
        <v>Præmiepenge B-slutspil</v>
      </c>
      <c r="I33" s="242" t="s">
        <v>136</v>
      </c>
      <c r="J33" s="243"/>
      <c r="K33" s="243"/>
      <c r="L33" s="244"/>
      <c r="M33" s="120">
        <f>$M$11*$M$7</f>
        <v>1200</v>
      </c>
      <c r="O33" s="8" t="s">
        <v>0</v>
      </c>
      <c r="P33" s="1" t="s">
        <v>125</v>
      </c>
      <c r="Q33" s="8" t="s">
        <v>15</v>
      </c>
      <c r="R33" s="220" t="s">
        <v>444</v>
      </c>
      <c r="S33" s="1" t="s">
        <v>1</v>
      </c>
      <c r="U33" s="8">
        <v>10</v>
      </c>
      <c r="V33" s="1" t="s">
        <v>771</v>
      </c>
      <c r="W33" s="1" t="s">
        <v>4</v>
      </c>
      <c r="X33" s="8">
        <v>43</v>
      </c>
      <c r="Y33" s="48" t="s">
        <v>228</v>
      </c>
      <c r="Z33" s="176">
        <v>44722.859247685185</v>
      </c>
      <c r="AA33" s="1" t="s">
        <v>995</v>
      </c>
      <c r="AB33" s="1" t="s">
        <v>816</v>
      </c>
      <c r="AC33" s="216">
        <v>150</v>
      </c>
    </row>
    <row r="34" spans="1:29" s="6" customFormat="1" x14ac:dyDescent="0.3">
      <c r="A34" s="87"/>
      <c r="B34"/>
      <c r="C34" s="46"/>
      <c r="D34" s="50" t="s">
        <v>132</v>
      </c>
      <c r="E34"/>
      <c r="F34" s="101">
        <f>$C$43</f>
        <v>1</v>
      </c>
      <c r="G34" s="102" t="str">
        <f>LEFT($J$23,1)&amp;" "&amp;TEXT($K$23,"kr. #.##0,00")&amp;" ("&amp;TEXT($L$23,"0,0%")&amp;")"</f>
        <v>🥇 kr. 360,00 (7,5%)</v>
      </c>
      <c r="H34"/>
      <c r="I34" s="247" t="s">
        <v>137</v>
      </c>
      <c r="J34" s="248"/>
      <c r="K34" s="248"/>
      <c r="L34" s="249"/>
      <c r="M34" s="64">
        <f>$M$11*$M$6</f>
        <v>1800</v>
      </c>
      <c r="N34"/>
      <c r="O34" s="8">
        <v>1</v>
      </c>
      <c r="P34" s="41" t="s">
        <v>531</v>
      </c>
      <c r="Q34" s="48">
        <v>19</v>
      </c>
      <c r="R34" s="10" t="s">
        <v>228</v>
      </c>
      <c r="S34" s="41" t="s">
        <v>995</v>
      </c>
      <c r="T34"/>
      <c r="U34" s="8">
        <v>12</v>
      </c>
      <c r="V34" s="1" t="s">
        <v>730</v>
      </c>
      <c r="W34" s="1" t="s">
        <v>4</v>
      </c>
      <c r="X34" s="8">
        <v>16</v>
      </c>
      <c r="Y34" s="48" t="s">
        <v>228</v>
      </c>
      <c r="Z34" s="176">
        <v>44719.869155092594</v>
      </c>
      <c r="AA34" s="1" t="s">
        <v>737</v>
      </c>
      <c r="AB34" s="1" t="s">
        <v>816</v>
      </c>
      <c r="AC34" s="216">
        <v>125</v>
      </c>
    </row>
    <row r="35" spans="1:29" x14ac:dyDescent="0.3">
      <c r="C35" s="106" t="s">
        <v>0</v>
      </c>
      <c r="D35" s="93" t="s">
        <v>181</v>
      </c>
      <c r="F35" s="103">
        <f>$C$44</f>
        <v>2</v>
      </c>
      <c r="G35" s="104" t="str">
        <f>LEFT($J$24,1)&amp;" "&amp;TEXT($K$24,"kr. #.##0,00")&amp;" ("&amp;TEXT($L$24,"0%")&amp;")"</f>
        <v>🥈 kr. 240,00 (5%)</v>
      </c>
      <c r="I35"/>
      <c r="J35"/>
      <c r="K35"/>
      <c r="L35"/>
      <c r="M35"/>
      <c r="O35" s="8">
        <v>2</v>
      </c>
      <c r="P35" s="1" t="s">
        <v>637</v>
      </c>
      <c r="Q35" s="8">
        <v>19</v>
      </c>
      <c r="R35" s="10" t="s">
        <v>228</v>
      </c>
      <c r="S35" s="1" t="s">
        <v>995</v>
      </c>
      <c r="U35" s="8">
        <v>13</v>
      </c>
      <c r="V35" s="1" t="s">
        <v>640</v>
      </c>
      <c r="W35" s="1" t="s">
        <v>587</v>
      </c>
      <c r="X35" s="8">
        <v>29</v>
      </c>
      <c r="Y35" s="48" t="s">
        <v>228</v>
      </c>
      <c r="Z35" s="176">
        <v>44717.959594907406</v>
      </c>
      <c r="AA35" s="1" t="s">
        <v>995</v>
      </c>
      <c r="AB35" s="1" t="s">
        <v>816</v>
      </c>
      <c r="AC35" s="216">
        <v>150</v>
      </c>
    </row>
    <row r="36" spans="1:29" x14ac:dyDescent="0.3">
      <c r="C36" s="107">
        <v>1</v>
      </c>
      <c r="D36" s="94" t="str">
        <f>LEFT($J$18,1)&amp;" "&amp;TEXT($K$18,"kr. #.##0,00")
&amp;" ud af potentielt "&amp;TEXT($M$18,"kr. #.##0")
&amp;" ("&amp;TEXT($L$18,"0,0%")&amp;")"</f>
        <v>🥇 kr. 1.800,00 ud af potentielt kr. 2.700 (37,5%)</v>
      </c>
      <c r="F36" s="74"/>
      <c r="G36" s="73"/>
      <c r="I36" s="256" t="s">
        <v>238</v>
      </c>
      <c r="J36" s="256"/>
      <c r="K36" s="256"/>
      <c r="L36" s="256"/>
      <c r="M36"/>
      <c r="O36" s="8">
        <v>3</v>
      </c>
      <c r="P36" s="1" t="s">
        <v>601</v>
      </c>
      <c r="Q36" s="8">
        <v>19</v>
      </c>
      <c r="R36" s="10" t="s">
        <v>228</v>
      </c>
      <c r="S36" s="1" t="s">
        <v>995</v>
      </c>
      <c r="U36" s="8">
        <v>13</v>
      </c>
      <c r="V36" s="1" t="s">
        <v>640</v>
      </c>
      <c r="W36" s="1" t="s">
        <v>587</v>
      </c>
      <c r="X36" s="8">
        <v>29</v>
      </c>
      <c r="Y36" s="48" t="s">
        <v>228</v>
      </c>
      <c r="Z36" s="176">
        <v>44717.959594907406</v>
      </c>
      <c r="AA36" s="1" t="s">
        <v>737</v>
      </c>
      <c r="AB36" s="1" t="s">
        <v>816</v>
      </c>
      <c r="AC36" s="216">
        <v>125</v>
      </c>
    </row>
    <row r="37" spans="1:29" x14ac:dyDescent="0.3">
      <c r="C37" s="108">
        <v>2</v>
      </c>
      <c r="D37" s="115" t="str">
        <f>LEFT($J$19,1)&amp;" "&amp;TEXT($K$19,"kr. #.##0,00")
&amp;" ud af potentielt "&amp;TEXT($M$19,"kr. #.##0")
&amp;" ("&amp;TEXT($L$19,"0%")&amp;")"</f>
        <v>🥈 kr. 1.200,00 ud af potentielt kr. 1.800 (25%)</v>
      </c>
      <c r="F37" s="74"/>
      <c r="G37" s="77" t="str">
        <f>$D$46</f>
        <v>🎁 Yngst Ping Pong: Amin Saad Al-Zayadi, Sisu/MBK [10 år, 05-06-2012] 🏓</v>
      </c>
      <c r="I37" s="256"/>
      <c r="J37" s="256"/>
      <c r="K37" s="256"/>
      <c r="L37" s="256"/>
      <c r="M37"/>
      <c r="O37" s="8">
        <v>4</v>
      </c>
      <c r="P37" s="1" t="s">
        <v>635</v>
      </c>
      <c r="Q37" s="8">
        <v>20</v>
      </c>
      <c r="R37" s="10" t="s">
        <v>228</v>
      </c>
      <c r="S37" s="1" t="s">
        <v>995</v>
      </c>
      <c r="U37" s="8">
        <v>14</v>
      </c>
      <c r="V37" s="1" t="s">
        <v>632</v>
      </c>
      <c r="W37" s="1" t="s">
        <v>4</v>
      </c>
      <c r="X37" s="8">
        <v>20</v>
      </c>
      <c r="Y37" s="48" t="s">
        <v>228</v>
      </c>
      <c r="Z37" s="176">
        <v>44717.945937500001</v>
      </c>
      <c r="AA37" s="1" t="s">
        <v>995</v>
      </c>
      <c r="AB37" s="1" t="s">
        <v>816</v>
      </c>
      <c r="AC37" s="216">
        <v>150</v>
      </c>
    </row>
    <row r="38" spans="1:29" x14ac:dyDescent="0.3">
      <c r="C38" s="107">
        <v>3</v>
      </c>
      <c r="D38" s="94" t="str">
        <f>LEFT($J$20,1)&amp;" "&amp;TEXT($K$20,"kr. #.##0,00")
&amp;" ud af potentielt "&amp;TEXT($M$20,"kr. #.##0")
&amp;" ("&amp;TEXT($L$20,"0%")&amp;")"</f>
        <v>🥉 kr. 720,00 ud af potentielt kr. 1.080 (15%)</v>
      </c>
      <c r="F38" s="74"/>
      <c r="G38" s="97" t="str">
        <f>$D$47</f>
        <v>🎁 Ældst Ping Pong: Bent O. Jakobsen, Sisu/MBK [71 år, 08-09-1950] 🏓</v>
      </c>
      <c r="I38" s="226" t="str">
        <f>"🔃🏓 Rating opdateret pr. "&amp;TEXT('✍️ Input'!$K$4,"dd-mm-åååå")</f>
        <v>🔃🏓 Rating opdateret pr. 27-05-2022</v>
      </c>
      <c r="J38" s="226"/>
      <c r="K38" s="226"/>
      <c r="L38" s="226"/>
      <c r="M38"/>
      <c r="O38" s="8">
        <v>5</v>
      </c>
      <c r="P38" s="1" t="s">
        <v>603</v>
      </c>
      <c r="Q38" s="8">
        <v>20</v>
      </c>
      <c r="R38" s="10" t="s">
        <v>228</v>
      </c>
      <c r="S38" s="1" t="s">
        <v>995</v>
      </c>
      <c r="U38" s="8">
        <v>14</v>
      </c>
      <c r="V38" s="1" t="s">
        <v>632</v>
      </c>
      <c r="W38" s="1" t="s">
        <v>4</v>
      </c>
      <c r="X38" s="8">
        <v>20</v>
      </c>
      <c r="Y38" s="48" t="s">
        <v>228</v>
      </c>
      <c r="Z38" s="176">
        <v>44717.945937500001</v>
      </c>
      <c r="AA38" s="1" t="s">
        <v>737</v>
      </c>
      <c r="AB38" s="1" t="s">
        <v>816</v>
      </c>
      <c r="AC38" s="216">
        <v>125</v>
      </c>
    </row>
    <row r="39" spans="1:29" x14ac:dyDescent="0.3">
      <c r="C39" s="109">
        <v>4</v>
      </c>
      <c r="D39" s="115" t="str">
        <f>LEFT($J$21,1)&amp;" "&amp;TEXT($K$21,"kr. #.##0,00")
&amp;" ud af potentielt "&amp;TEXT($M$21,"kr. #.##0")
&amp;" ("&amp;TEXT($L$21,"0%")&amp;")"</f>
        <v>🏅 kr. 480,00 ud af potentielt kr. 720 (10%)</v>
      </c>
      <c r="F39" s="84"/>
      <c r="G39" s="84"/>
      <c r="I39" s="229" t="str">
        <f>"🏓 "&amp;TEXT(N($M$7),"#.##0")
&amp;" ud af "&amp;TEXT(N($M$6),"#.##0")&amp;" tilmeldinger"
&amp;" ("&amp;TEXT(N($M$7)/N($M$6),"0%")&amp;")"</f>
        <v>🏓 48 ud af 72 tilmeldinger (67%)</v>
      </c>
      <c r="J39" s="229" t="str">
        <f>"🏓 "&amp;$M$7&amp;" ud af "&amp;$M$6&amp;" ∙ 🎉 "&amp;$S$7&amp;" ud af "&amp;$S$6</f>
        <v>🏓 48 ud af 72 ∙ 🎉 42 ud af 120</v>
      </c>
      <c r="K39" s="229" t="str">
        <f>"🏓 "&amp;$M$7&amp;" ud af "&amp;$M$6&amp;" ∙ 🎉 "&amp;$S$7&amp;" ud af "&amp;$S$6</f>
        <v>🏓 48 ud af 72 ∙ 🎉 42 ud af 120</v>
      </c>
      <c r="L39" s="229" t="str">
        <f>"🏓 "&amp;$M$7&amp;" ud af "&amp;$M$6&amp;" ∙ 🎉 "&amp;$S$7&amp;" ud af "&amp;$S$6</f>
        <v>🏓 48 ud af 72 ∙ 🎉 42 ud af 120</v>
      </c>
      <c r="M39"/>
      <c r="O39" s="8">
        <v>6</v>
      </c>
      <c r="P39" s="1" t="s">
        <v>457</v>
      </c>
      <c r="Q39" s="8">
        <v>21</v>
      </c>
      <c r="R39" s="10" t="s">
        <v>228</v>
      </c>
      <c r="S39" s="1" t="s">
        <v>995</v>
      </c>
      <c r="U39" s="8">
        <v>16</v>
      </c>
      <c r="V39" s="1" t="s">
        <v>631</v>
      </c>
      <c r="W39" s="1" t="s">
        <v>8</v>
      </c>
      <c r="X39" s="8">
        <v>19</v>
      </c>
      <c r="Y39" s="48" t="s">
        <v>228</v>
      </c>
      <c r="Z39" s="176">
        <v>44717.93822916667</v>
      </c>
      <c r="AA39" s="1" t="s">
        <v>995</v>
      </c>
      <c r="AB39" s="1" t="s">
        <v>816</v>
      </c>
      <c r="AC39" s="216">
        <v>150</v>
      </c>
    </row>
    <row r="40" spans="1:29" x14ac:dyDescent="0.3">
      <c r="C40" s="46"/>
      <c r="D40" s="56"/>
      <c r="F40" s="234"/>
      <c r="G40" s="238" t="s">
        <v>200</v>
      </c>
      <c r="I40" s="226" t="str">
        <f>"♂️ "&amp;TEXT(N(CUBEVALUE("ThisWorkbookDataModel",
CUBEMEMBER("ThisWorkbookDataModel",{"[Billettype_d2].[K: Billettype emoji].&amp;[🏓]","[Køn_d2].[K: Køn emoji].&amp;[♂]"}),
CUBEMEMBER("ThisWorkbookDataModel","[Measures].[👥 Aktuel tilmeldingsantal]"))),"#.##0")&amp;" herrer"
&amp;" ("&amp;TEXT(N(CUBEVALUE("ThisWorkbookDataModel",
CUBEMEMBER("ThisWorkbookDataModel",{"[Billettype_d2].[K: Billettype emoji].&amp;[🏓]","[Køn_d2].[K: Køn emoji].&amp;[♂]"}),
CUBEMEMBER("ThisWorkbookDataModel","[Measures].[👥 Aktuel tilmeldingsantal]")))/N($M$7),"0%")&amp;")"
&amp;" ∙ ♀️ "&amp;TEXT(N(CUBEVALUE("ThisWorkbookDataModel",
CUBEMEMBER("ThisWorkbookDataModel",{"[Billettype_d2].[K: Billettype emoji].&amp;[🏓]","[Køn_d2].[K: Køn emoji].&amp;[♀]"}),
CUBEMEMBER("ThisWorkbookDataModel","[Measures].[👥 Aktuel tilmeldingsantal]"))),"#.##0")&amp;" damer"
&amp;" ("&amp;TEXT(N(CUBEVALUE("ThisWorkbookDataModel",
CUBEMEMBER("ThisWorkbookDataModel",{"[Billettype_d2].[K: Billettype emoji].&amp;[🏓]","[Køn_d2].[K: Køn emoji].&amp;[♀]"}),
CUBEMEMBER("ThisWorkbookDataModel","[Measures].[👥 Aktuel tilmeldingsantal]")))/N($M$7),"0%")&amp;")"</f>
        <v>♂️ 48 herrer (100%) ∙ ♀️ 0 damer (0%)</v>
      </c>
      <c r="J40" s="226"/>
      <c r="K40" s="226"/>
      <c r="L40" s="226"/>
      <c r="M40"/>
      <c r="O40" s="8">
        <v>7</v>
      </c>
      <c r="P40" s="1" t="s">
        <v>285</v>
      </c>
      <c r="Q40" s="8">
        <v>21</v>
      </c>
      <c r="R40" s="10" t="s">
        <v>228</v>
      </c>
      <c r="S40" s="1" t="s">
        <v>995</v>
      </c>
      <c r="U40" s="8">
        <v>17</v>
      </c>
      <c r="V40" s="1" t="s">
        <v>617</v>
      </c>
      <c r="W40" s="1" t="s">
        <v>618</v>
      </c>
      <c r="X40" s="8">
        <v>15</v>
      </c>
      <c r="Y40" s="48" t="s">
        <v>228</v>
      </c>
      <c r="Z40" s="176">
        <v>44717.919664351852</v>
      </c>
      <c r="AA40" s="1" t="s">
        <v>737</v>
      </c>
      <c r="AB40" s="1" t="s">
        <v>816</v>
      </c>
      <c r="AC40" s="216">
        <v>125</v>
      </c>
    </row>
    <row r="41" spans="1:29" x14ac:dyDescent="0.3">
      <c r="C41" s="46"/>
      <c r="D41" s="50" t="s">
        <v>133</v>
      </c>
      <c r="F41" s="234"/>
      <c r="G41" s="234"/>
      <c r="I41" s="226" t="str">
        <f>"👤 "&amp;TEXT(N(CUBEVALUE("ThisWorkbookDataModel",
CUBEMEMBER("ThisWorkbookDataModel",{"[Billettype_d2].[K: Billettype emoji].&amp;[🏓]","[Aldersgruppe_d2].[K: Aldersgruppe].&amp;[[&lt;=17]] Ungdom]"}),
CUBEMEMBER("ThisWorkbookDataModel","[Measures].[👥 Aktuel tilmeldingsantal]"))),"#.##0")
&amp;"  Ungdom ("&amp;TEXT(N(CUBEVALUE("ThisWorkbookDataModel",
CUBEMEMBER("ThisWorkbookDataModel",{"[Billettype_d2].[K: Billettype emoji].&amp;[🏓]","[Aldersgruppe_d2].[K: Aldersgruppe].&amp;[[&lt;=17]] Ungdom]"}),
CUBEMEMBER("ThisWorkbookDataModel","[Measures].[👥 Aktuel tilmeldingsantal]")))/N($M$7),"0%")&amp;")"
&amp;" ∙ 👤 "&amp;TEXT(N(CUBEVALUE("ThisWorkbookDataModel",
CUBEMEMBER("ThisWorkbookDataModel",{"[Billettype_d2].[K: Billettype emoji].&amp;[🏓]","[Aldersgruppe_d2].[K: Aldersgruppe].&amp;[[&lt;=39]] Senior]"}),
CUBEMEMBER("ThisWorkbookDataModel","[Measures].[👥 Aktuel tilmeldingsantal]"))),"#.##0")
&amp;"  Senior ("&amp;TEXT(N(CUBEVALUE("ThisWorkbookDataModel",
CUBEMEMBER("ThisWorkbookDataModel",{"[Billettype_d2].[K: Billettype emoji].&amp;[🏓]","[Aldersgruppe_d2].[K: Aldersgruppe].&amp;[[&lt;=39]] Senior]"}),
CUBEMEMBER("ThisWorkbookDataModel","[Measures].[👥 Aktuel tilmeldingsantal]")))/N($M$7),"0%")&amp;")"
&amp;" ∙ 👤 "&amp;TEXT(N(CUBEVALUE("ThisWorkbookDataModel",
CUBEMEMBER("ThisWorkbookDataModel",{"[Billettype_d2].[K: Billettype emoji].&amp;[🏓]","[Aldersgruppe_d2].[K: Aldersgruppe].&amp;[[&gt;=40]] Veteran]"}),
CUBEMEMBER("ThisWorkbookDataModel","[Measures].[👥 Aktuel tilmeldingsantal]"))),"#.##0")
&amp;"  Veteran ("&amp;TEXT(N(CUBEVALUE("ThisWorkbookDataModel",
CUBEMEMBER("ThisWorkbookDataModel",{"[Billettype_d2].[K: Billettype emoji].&amp;[🏓]","[Aldersgruppe_d2].[K: Aldersgruppe].&amp;[[&gt;=40]] Veteran]"}),
CUBEMEMBER("ThisWorkbookDataModel","[Measures].[👥 Aktuel tilmeldingsantal]")))/N($M$7),"0%")&amp;")"</f>
        <v>👤 8  Ungdom (17%) ∙ 👤 26  Senior (54%) ∙ 👤 14  Veteran (29%)</v>
      </c>
      <c r="J41" s="226" t="str">
        <f t="shared" ref="J41:L41" si="2">"👤 Ungdom "&amp;TEXT(N(CUBEVALUE("ThisWorkbookDataModel",
CUBEMEMBER("ThisWorkbookDataModel","[Aldersgruppe_d2].[K: Aldersgruppe].&amp;[[&lt;=17]] Ungdom]"),
CUBEMEMBER("ThisWorkbookDataModel","[Measures].[👥 Tilmeldingsantal]")))/
N(CUBEVALUE("ThisWorkbookDataModel",CUBEMEMBER("ThisWorkbookDataModel","[Measures].[👥 Tilmeldingsantal]"))),"0%")
&amp;" ∙ 👤 Senior "&amp;TEXT(N(CUBEVALUE("ThisWorkbookDataModel",
CUBEMEMBER("ThisWorkbookDataModel","[Aldersgruppe_d2].[K: Aldersgruppe].&amp;[[&lt;=39]] Senior]"),
CUBEMEMBER("ThisWorkbookDataModel","[Measures].[👥 Tilmeldingsantal]")))/
N(CUBEVALUE("ThisWorkbookDataModel",CUBEMEMBER("ThisWorkbookDataModel","[Measures].[👥 Tilmeldingsantal]"))),"0%")
&amp;" ∙ 👤 Veteran "&amp;TEXT(N(CUBEVALUE("ThisWorkbookDataModel",
CUBEMEMBER("ThisWorkbookDataModel","[Aldersgruppe_d2].[K: Aldersgruppe].&amp;[[&gt;=40]] Veteran]"),
CUBEMEMBER("ThisWorkbookDataModel","[Measures].[👥 Tilmeldingsantal]")))/
N(CUBEVALUE("ThisWorkbookDataModel",CUBEMEMBER("ThisWorkbookDataModel","[Measures].[👥 Tilmeldingsantal]"))),"0%")</f>
        <v>👤 Ungdom 19% ∙ 👤 Senior 57% ∙ 👤 Veteran 24%</v>
      </c>
      <c r="K41" s="226" t="str">
        <f t="shared" si="2"/>
        <v>👤 Ungdom 19% ∙ 👤 Senior 57% ∙ 👤 Veteran 24%</v>
      </c>
      <c r="L41" s="226" t="str">
        <f t="shared" si="2"/>
        <v>👤 Ungdom 19% ∙ 👤 Senior 57% ∙ 👤 Veteran 24%</v>
      </c>
      <c r="M41"/>
      <c r="O41" s="8">
        <v>8</v>
      </c>
      <c r="P41" s="1" t="s">
        <v>459</v>
      </c>
      <c r="Q41" s="8">
        <v>21</v>
      </c>
      <c r="R41" s="10" t="s">
        <v>228</v>
      </c>
      <c r="S41" s="1" t="s">
        <v>995</v>
      </c>
      <c r="U41" s="8">
        <v>18</v>
      </c>
      <c r="V41" s="1" t="s">
        <v>591</v>
      </c>
      <c r="W41" s="1" t="s">
        <v>587</v>
      </c>
      <c r="X41" s="8">
        <v>35</v>
      </c>
      <c r="Y41" s="48" t="s">
        <v>228</v>
      </c>
      <c r="Z41" s="176">
        <v>44717.880127314813</v>
      </c>
      <c r="AA41" s="1" t="s">
        <v>737</v>
      </c>
      <c r="AB41" s="1" t="s">
        <v>816</v>
      </c>
      <c r="AC41" s="216">
        <v>125</v>
      </c>
    </row>
    <row r="42" spans="1:29" x14ac:dyDescent="0.3">
      <c r="C42" s="89" t="s">
        <v>0</v>
      </c>
      <c r="D42" s="90" t="s">
        <v>182</v>
      </c>
      <c r="G42" s="140" t="str">
        <f>"🏓 "&amp;TEXT(N($M$7),"#.##0")&amp;" ∙ 🥳 "&amp;TEXT(N($S$7),"#.##0")</f>
        <v>🏓 48 ∙ 🥳 42</v>
      </c>
      <c r="I42" s="226" t="str">
        <f>"👤 Min. "&amp;TEXT(N(CUBEVALUE("ThisWorkbookDataModel",
CUBEMEMBER("ThisWorkbookDataModel","[Billettype_d2].[K: Billettype emoji].&amp;[🏓]"),
CUBEMEMBER("ThisWorkbookDataModel","[Measures].[👤 Aktuel alder min.]"))),"#.##0")&amp;" år"
&amp;" ∙ 👤 Gns. "&amp;TEXT(N(CUBEVALUE("ThisWorkbookDataModel",
CUBEMEMBER("ThisWorkbookDataModel","[Billettype_d2].[K: Billettype emoji].&amp;[🏓]"),
CUBEMEMBER("ThisWorkbookDataModel","[Measures].[👥 Aktuel alder gns.]"))),"#.##0")&amp;" år"
&amp;" ∙ 👤 Maks. "&amp;TEXT(N(CUBEVALUE("ThisWorkbookDataModel",
CUBEMEMBER("ThisWorkbookDataModel","[Billettype_d2].[K: Billettype emoji].&amp;[🏓]"),
CUBEMEMBER("ThisWorkbookDataModel","[Measures].[👤 Aktuel alder maks.]"))),"#.##0")&amp;" år"</f>
        <v>👤 Min. 10 år ∙ 👤 Gns. 32 år ∙ 👤 Maks. 71 år</v>
      </c>
      <c r="J42" s="226"/>
      <c r="K42" s="226"/>
      <c r="L42" s="226"/>
      <c r="M42"/>
      <c r="O42" s="8">
        <v>9</v>
      </c>
      <c r="P42" s="1" t="s">
        <v>458</v>
      </c>
      <c r="Q42" s="8">
        <v>21</v>
      </c>
      <c r="R42" s="10" t="s">
        <v>228</v>
      </c>
      <c r="S42" s="1" t="s">
        <v>995</v>
      </c>
      <c r="U42" s="8">
        <v>18</v>
      </c>
      <c r="V42" s="1" t="s">
        <v>591</v>
      </c>
      <c r="W42" s="1" t="s">
        <v>587</v>
      </c>
      <c r="X42" s="8">
        <v>35</v>
      </c>
      <c r="Y42" s="48" t="s">
        <v>228</v>
      </c>
      <c r="Z42" s="176">
        <v>44717.880127314813</v>
      </c>
      <c r="AA42" s="1" t="s">
        <v>995</v>
      </c>
      <c r="AB42" s="1" t="s">
        <v>816</v>
      </c>
      <c r="AC42" s="216">
        <v>150</v>
      </c>
    </row>
    <row r="43" spans="1:29" x14ac:dyDescent="0.3">
      <c r="C43" s="91">
        <v>1</v>
      </c>
      <c r="D43" s="94" t="str">
        <f>LEFT($J$23,1)&amp;" "&amp;TEXT($K$23,"kr. #.##0,00")
&amp;" ud af potentielt "&amp;TEXT($M$23,"kr. #.##0")
&amp;" ("&amp;TEXT($L$23,"0,0%")&amp;")"</f>
        <v>🥇 kr. 360,00 ud af potentielt kr. 540 (7,5%)</v>
      </c>
      <c r="G43" s="128" t="str">
        <f>$D$52</f>
        <v>♂️ 54 herrer (90%) ∙ ♀️ 6 damer (10%)</v>
      </c>
      <c r="I43" s="226" t="str">
        <f>"🏛️ "&amp;TEXT(N(CUBEVALUE("ThisWorkbookDataModel",
CUBEMEMBER("ThisWorkbookDataModel",{"[Billettype_d2].[K: Billettype emoji].&amp;[🏓]","[Landsdel_d3].[K: Landsdel].&amp;[Jylland]"}),
CUBEMEMBER("ThisWorkbookDataModel","[Measures].[👥 Aktuel tilmeldingsantal (kun med klub)]"))),"0")
&amp;" Jylland ("&amp;TEXT(N(CUBEVALUE("ThisWorkbookDataModel",
CUBEMEMBER("ThisWorkbookDataModel",{"[Billettype_d2].[K: Billettype emoji].&amp;[🏓]","[Landsdel_d3].[K: Landsdel].&amp;[Jylland]"}),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Landsdel].&amp;[Fyn]"}),
CUBEMEMBER("ThisWorkbookDataModel","[Measures].[👥 Aktuel tilmeldingsantal (kun med klub)]"))),"0")
&amp;" Fyn ("&amp;TEXT(N(CUBEVALUE("ThisWorkbookDataModel",
CUBEMEMBER("ThisWorkbookDataModel",{"[Billettype_d2].[K: Billettype emoji].&amp;[🏓]","[Landsdel_d3].[K: Landsdel].&amp;[Fyn]"}),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Landsdel].&amp;[Sjælland]"}),
CUBEMEMBER("ThisWorkbookDataModel","[Measures].[👥 Aktuel tilmeldingsantal (kun med klub)]"))),"0")
&amp;" Sjælland ("&amp;TEXT(N(CUBEVALUE("ThisWorkbookDataModel",
CUBEMEMBER("ThisWorkbookDataModel",{"[Billettype_d2].[K: Billettype emoji].&amp;[🏓]","[Landsdel_d3].[K: Landsdel].&amp;[Sjælland]"}),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Landsdel].&amp;[Bornholm]"}),
CUBEMEMBER("ThisWorkbookDataModel","[Measures].[👥 Aktuel tilmeldingsantal (kun med klub)]"))),"0")
&amp;" Bornholm ("&amp;TEXT(N(CUBEVALUE("ThisWorkbookDataModel",
CUBEMEMBER("ThisWorkbookDataModel",{"[Billettype_d2].[K: Billettype emoji].&amp;[🏓]","[Landsdel_d3].[K: Landsdel].&amp;[Bornholm]"}),
CUBEMEMBER("ThisWorkbookDataModel","[Measures].[👥 Aktuel tilmeldingsantal (kun med klub)]")))
/N(CUBEVALUE("ThisWorkbookDataModel",
CUBEMEMBER("ThisWorkbookDataModel","[Billettype_d2].[K: Billettype emoji].&amp;[🏓]"),
CUBEMEMBER("ThisWorkbookDataModel","[Measures].[👥 Aktuel tilmeldingsantal (kun med klub)]"))),"0%")&amp;")"</f>
        <v>🏛️ 41 Jylland (91%) ∙ 🏛️ 0 Fyn (0%) ∙ 🏛️ 4 Sjælland (9%) ∙ 🏛️ 0 Bornholm (0%)</v>
      </c>
      <c r="J43" s="226" t="str">
        <f t="shared" ref="J43:L43" si="3">"🏛️ Jylland "&amp;TEXT(N(CUBEVALUE("ThisWorkbookDataModel",
CUBEMEMBER("ThisWorkbookDataModel","[Landsdel_d3].[K: Landsdel].&amp;[Jylland]"),
CUBEMEMBER("ThisWorkbookDataModel","[Measures].[👥 Tilmeldingsantal (kun med klub)]")))
/N(CUBEVALUE("ThisWorkbookDataModel",
CUBEMEMBER("ThisWorkbookDataModel","[Measures].[👥 Tilmeldingsantal (kun med klub)]]"))),"0%")
&amp;" ∙ 🏛️ Fyn "&amp;TEXT(N(CUBEVALUE("ThisWorkbookDataModel",
CUBEMEMBER("ThisWorkbookDataModel","[Landsdel_d3].[K: Landsdel].&amp;[Fyn]"),
CUBEMEMBER("ThisWorkbookDataModel","[Measures].[👥 Tilmeldingsantal (kun med klub)]")))
/N(CUBEVALUE("ThisWorkbookDataModel",
CUBEMEMBER("ThisWorkbookDataModel","[Measures].[👥 Tilmeldingsantal (kun med klub)]]"))),"0%")
&amp;" ∙ 🏛️ Sjælland "&amp;TEXT(N(CUBEVALUE("ThisWorkbookDataModel",
CUBEMEMBER("ThisWorkbookDataModel","[Landsdel_d3].[K: Landsdel].&amp;[Sjælland]"),
CUBEMEMBER("ThisWorkbookDataModel","[Measures].[👥 Tilmeldingsantal (kun med klub)]")))
/N(CUBEVALUE("ThisWorkbookDataModel",
CUBEMEMBER("ThisWorkbookDataModel","[Measures].[👥 Tilmeldingsantal (kun med klub)]]"))),"0%")
&amp;" ∙ 🏛️ Bornholm "&amp;TEXT(N(CUBEVALUE("ThisWorkbookDataModel",
CUBEMEMBER("ThisWorkbookDataModel","[Landsdel_d3].[K: Landsdel].&amp;[Bornholm]"),
CUBEMEMBER("ThisWorkbookDataModel","[Measures].[👥 Tilmeldingsantal (kun med klub)]")))
/N(CUBEVALUE("ThisWorkbookDataModel",
CUBEMEMBER("ThisWorkbookDataModel","[Measures].[👥 Tilmeldingsantal (kun med klub)]]"))),"0%")</f>
        <v>🏛️ Jylland 81% ∙ 🏛️ Fyn 6% ∙ 🏛️ Sjælland 13% ∙ 🏛️ Bornholm 0%</v>
      </c>
      <c r="K43" s="226" t="str">
        <f t="shared" si="3"/>
        <v>🏛️ Jylland 81% ∙ 🏛️ Fyn 6% ∙ 🏛️ Sjælland 13% ∙ 🏛️ Bornholm 0%</v>
      </c>
      <c r="L43" s="226" t="str">
        <f t="shared" si="3"/>
        <v>🏛️ Jylland 81% ∙ 🏛️ Fyn 6% ∙ 🏛️ Sjælland 13% ∙ 🏛️ Bornholm 0%</v>
      </c>
      <c r="M43"/>
      <c r="O43" s="8">
        <v>10</v>
      </c>
      <c r="P43" s="1" t="s">
        <v>268</v>
      </c>
      <c r="Q43" s="8">
        <v>21</v>
      </c>
      <c r="R43" s="10" t="s">
        <v>228</v>
      </c>
      <c r="S43" s="1" t="s">
        <v>995</v>
      </c>
      <c r="U43" s="8">
        <v>19</v>
      </c>
      <c r="V43" s="1" t="s">
        <v>585</v>
      </c>
      <c r="W43" s="1" t="s">
        <v>587</v>
      </c>
      <c r="X43" s="8">
        <v>36</v>
      </c>
      <c r="Y43" s="48" t="s">
        <v>228</v>
      </c>
      <c r="Z43" s="176">
        <v>44717.87872685185</v>
      </c>
      <c r="AA43" s="1" t="s">
        <v>995</v>
      </c>
      <c r="AB43" s="1" t="s">
        <v>816</v>
      </c>
      <c r="AC43" s="216">
        <v>150</v>
      </c>
    </row>
    <row r="44" spans="1:29" x14ac:dyDescent="0.3">
      <c r="C44" s="92">
        <v>2</v>
      </c>
      <c r="D44" s="115" t="str">
        <f>LEFT($J$24,1)&amp;" "&amp;TEXT($K$24,"kr. #.##0,00")
&amp;" ud af potentielt "&amp;TEXT($M$24,"kr. #.##0")
&amp;" ("&amp;TEXT($L$24,"0%")&amp;")"</f>
        <v>🥈 kr. 240,00 ud af potentielt kr. 360 (5%)</v>
      </c>
      <c r="G44" s="143" t="str">
        <f>$D$53</f>
        <v>👤 8 Ungdom (13%) ∙ 👤 38 Senior (63%) ∙ 👤 14 Veteran (23%)</v>
      </c>
      <c r="I44" s="226" t="str">
        <f>"👤 "&amp;TEXT(N(CUBEVALUE("ThisWorkbookDataModel",
CUBEMEMBER("ThisWorkbookDataModel",{"[Billettype_d2].[K: Billettype emoji].&amp;[🏓]","[Ratinggruppe_d2].[K: Ratinggruppe].&amp;[[&gt;=2000]] Elite]"}),
CUBEMEMBER("ThisWorkbookDataModel","[Measures].[👥 Aktuel tilmeldingsantal]"))),"#.##0")
&amp;" [&gt;=2000] Elite ("&amp;TEXT(N(CUBEVALUE("ThisWorkbookDataModel",
CUBEMEMBER("ThisWorkbookDataModel",{"[Billettype_d2].[K: Billettype emoji].&amp;[🏓]","[Ratinggruppe_d2].[K: Ratinggruppe].&amp;[[&gt;=2000]] Elite]"}),
CUBEMEMBER("ThisWorkbookDataModel","[Measures].[👥 Aktuel tilmeldingsantal]")))/N($M$7),"0%")&amp;")"
&amp;" ∙ 👤 "&amp;TEXT(N(CUBEVALUE("ThisWorkbookDataModel",
CUBEMEMBER("ThisWorkbookDataModel",{"[Billettype_d2].[K: Billettype emoji].&amp;[🏓]","[Ratinggruppe_d2].[K: Ratinggruppe].&amp;[[&lt;=1999]] Ikke-Elite]"}),
CUBEMEMBER("ThisWorkbookDataModel","[Measures].[👥 Aktuel tilmeldingsantal]"))),"#.##0")
&amp;" [&gt;=2000] Elite ("&amp;TEXT(N(CUBEVALUE("ThisWorkbookDataModel",
CUBEMEMBER("ThisWorkbookDataModel",{"[Billettype_d2].[K: Billettype emoji].&amp;[🏓]","[Ratinggruppe_d2].[K: Ratinggruppe].&amp;[[&lt;=1999]] Ikke-Elite]"}),
CUBEMEMBER("ThisWorkbookDataModel","[Measures].[👥 Aktuel tilmeldingsantal]")))/N($M$7),"0%")&amp;")"</f>
        <v>👤 28 [&gt;=2000] Elite (58%) ∙ 👤 20 [&gt;=2000] Elite (42%)</v>
      </c>
      <c r="J44" s="226"/>
      <c r="K44" s="226"/>
      <c r="L44" s="226"/>
      <c r="M44"/>
      <c r="O44" s="8">
        <v>11</v>
      </c>
      <c r="P44" s="1" t="s">
        <v>984</v>
      </c>
      <c r="Q44" s="8">
        <v>23</v>
      </c>
      <c r="R44" s="10" t="s">
        <v>228</v>
      </c>
      <c r="S44" s="1" t="s">
        <v>995</v>
      </c>
      <c r="U44" s="8">
        <v>19</v>
      </c>
      <c r="V44" s="1" t="s">
        <v>585</v>
      </c>
      <c r="W44" s="1" t="s">
        <v>587</v>
      </c>
      <c r="X44" s="8">
        <v>36</v>
      </c>
      <c r="Y44" s="48" t="s">
        <v>228</v>
      </c>
      <c r="Z44" s="176">
        <v>44717.87872685185</v>
      </c>
      <c r="AA44" s="1" t="s">
        <v>737</v>
      </c>
      <c r="AB44" s="1" t="s">
        <v>816</v>
      </c>
      <c r="AC44" s="216">
        <v>125</v>
      </c>
    </row>
    <row r="45" spans="1:29" x14ac:dyDescent="0.3">
      <c r="D45" s="51"/>
      <c r="G45" s="139" t="str">
        <f>$D$54</f>
        <v>👤 Min. 10 år ∙ 👤 Gns. 32 år ∙ 👤 Maks. 71 år</v>
      </c>
      <c r="I45" s="226" t="str">
        <f>"👤 Min. "&amp;TEXT(N(CUBEVALUE("ThisWorkbookDataModel",
CUBEMEMBER("ThisWorkbookDataModel","[Billettype_d2].[K: Billettype emoji].&amp;[🏓]"),
CUBEMEMBER("ThisWorkbookDataModel","[Measures].[👤 Rating min.]"))),"0")&amp;" rating"
&amp;" ∙ 👤 Gns. "&amp;TEXT(N(CUBEVALUE("ThisWorkbookDataModel",
CUBEMEMBER("ThisWorkbookDataModel","[Billettype_d2].[K: Billettype emoji].&amp;[🏓]"),
CUBEMEMBER("ThisWorkbookDataModel","[Measures].[👥 Aktuel rating gns.]"))),"0")&amp;" rating"
&amp;" ∙ 👤 Maks. "&amp;TEXT(N(CUBEVALUE("ThisWorkbookDataModel",
CUBEMEMBER("ThisWorkbookDataModel","[Billettype_d2].[K: Billettype emoji].&amp;[🏓]"),
CUBEMEMBER("ThisWorkbookDataModel","[Measures].[👤 Aktuel rating maks.]"))),"0")&amp;" rating"</f>
        <v>👤 Min. 914 rating ∙ 👤 Gns. 1985 rating ∙ 👤 Maks. 2587 rating</v>
      </c>
      <c r="J45" s="226"/>
      <c r="K45" s="226"/>
      <c r="L45" s="226"/>
      <c r="M45"/>
      <c r="O45" s="8">
        <v>12</v>
      </c>
      <c r="P45" s="1" t="s">
        <v>287</v>
      </c>
      <c r="Q45" s="8">
        <v>24</v>
      </c>
      <c r="R45" s="10" t="s">
        <v>228</v>
      </c>
      <c r="S45" s="1" t="s">
        <v>995</v>
      </c>
      <c r="U45" s="8">
        <v>20</v>
      </c>
      <c r="V45" s="1" t="s">
        <v>592</v>
      </c>
      <c r="W45" s="1" t="s">
        <v>250</v>
      </c>
      <c r="X45" s="8">
        <v>20</v>
      </c>
      <c r="Y45" s="48" t="s">
        <v>228</v>
      </c>
      <c r="Z45" s="176">
        <v>44717.86986111111</v>
      </c>
      <c r="AA45" s="1" t="s">
        <v>995</v>
      </c>
      <c r="AB45" s="1" t="s">
        <v>816</v>
      </c>
      <c r="AC45" s="216">
        <v>150</v>
      </c>
    </row>
    <row r="46" spans="1:29" x14ac:dyDescent="0.3">
      <c r="C46" s="46"/>
      <c r="D46" s="42" t="str">
        <f>$I$28&amp;": "&amp;$K$28</f>
        <v>🎁 Yngst Ping Pong: Amin Saad Al-Zayadi, Sisu/MBK [10 år, 05-06-2012] 🏓</v>
      </c>
      <c r="G46" s="141" t="str">
        <f>$D$55</f>
        <v>🏛️ Jylland (91%) ∙ 🏛️ Fyn (0%) ∙ 🏛️ Sjælland (9%) ∙ 🏛️ Bornholm (0%)</v>
      </c>
      <c r="I46" s="226" t="str">
        <f>"🛖 "&amp;TEXT(N(CUBEVALUE("ThisWorkbookDataModel",
CUBEMEMBER("ThisWorkbookDataModel","[Billettype_d2].[K: Billettype emoji].&amp;[🏓]"),
CUBEMEMBER("ThisWorkbookDataModel","[Measures].[🛖 Aktuel klubantal]"))),"#.##0")&amp;" klubber"</f>
        <v>🛖 16 klubber</v>
      </c>
      <c r="J46" s="226"/>
      <c r="K46" s="226"/>
      <c r="L46" s="226"/>
      <c r="M46"/>
      <c r="O46" s="8">
        <v>13</v>
      </c>
      <c r="P46" s="1" t="s">
        <v>536</v>
      </c>
      <c r="Q46" s="8">
        <v>25</v>
      </c>
      <c r="R46" s="10" t="s">
        <v>228</v>
      </c>
      <c r="S46" s="1" t="s">
        <v>995</v>
      </c>
      <c r="U46" s="8">
        <v>20</v>
      </c>
      <c r="V46" s="1" t="s">
        <v>592</v>
      </c>
      <c r="W46" s="1" t="s">
        <v>250</v>
      </c>
      <c r="X46" s="8">
        <v>20</v>
      </c>
      <c r="Y46" s="48" t="s">
        <v>228</v>
      </c>
      <c r="Z46" s="176">
        <v>44717.86986111111</v>
      </c>
      <c r="AA46" s="1" t="s">
        <v>737</v>
      </c>
      <c r="AB46" s="1" t="s">
        <v>816</v>
      </c>
      <c r="AC46" s="216">
        <v>125</v>
      </c>
    </row>
    <row r="47" spans="1:29" x14ac:dyDescent="0.3">
      <c r="D47" s="58" t="str">
        <f>$I$29&amp;": "&amp;$K$29</f>
        <v>🎁 Ældst Ping Pong: Bent O. Jakobsen, Sisu/MBK [71 år, 08-09-1950] 🏓</v>
      </c>
      <c r="G47" s="78" t="str">
        <f>$D$56</f>
        <v>🛖 16 klubber</v>
      </c>
      <c r="I47" s="226" t="s">
        <v>242</v>
      </c>
      <c r="J47" s="226"/>
      <c r="K47" s="226"/>
      <c r="L47" s="226"/>
      <c r="M47"/>
      <c r="O47" s="8">
        <v>14</v>
      </c>
      <c r="P47" s="1" t="s">
        <v>790</v>
      </c>
      <c r="Q47" s="8">
        <v>25</v>
      </c>
      <c r="R47" s="10" t="s">
        <v>228</v>
      </c>
      <c r="S47" s="1" t="s">
        <v>995</v>
      </c>
      <c r="U47" s="8">
        <v>21</v>
      </c>
      <c r="V47" s="1" t="s">
        <v>594</v>
      </c>
      <c r="W47" s="1" t="s">
        <v>9</v>
      </c>
      <c r="X47" s="8">
        <v>19</v>
      </c>
      <c r="Y47" s="48" t="s">
        <v>228</v>
      </c>
      <c r="Z47" s="176">
        <v>44717.86146990741</v>
      </c>
      <c r="AA47" s="1" t="s">
        <v>737</v>
      </c>
      <c r="AB47" s="1" t="s">
        <v>816</v>
      </c>
      <c r="AC47" s="216">
        <v>125</v>
      </c>
    </row>
    <row r="48" spans="1:29" x14ac:dyDescent="0.3">
      <c r="C48" s="84"/>
      <c r="D48" s="84"/>
      <c r="G48" s="137" t="s">
        <v>242</v>
      </c>
      <c r="I48" s="8" t="s">
        <v>0</v>
      </c>
      <c r="J48" s="220" t="s">
        <v>125</v>
      </c>
      <c r="K48" s="8" t="s">
        <v>15</v>
      </c>
      <c r="L48" s="36" t="s">
        <v>84</v>
      </c>
      <c r="M48"/>
      <c r="O48" s="8">
        <v>15</v>
      </c>
      <c r="P48" s="1" t="s">
        <v>523</v>
      </c>
      <c r="Q48" s="8">
        <v>26</v>
      </c>
      <c r="R48" s="10" t="s">
        <v>228</v>
      </c>
      <c r="S48" s="1" t="s">
        <v>995</v>
      </c>
      <c r="U48" s="8">
        <v>21</v>
      </c>
      <c r="V48" s="1" t="s">
        <v>594</v>
      </c>
      <c r="W48" s="1" t="s">
        <v>9</v>
      </c>
      <c r="X48" s="8">
        <v>19</v>
      </c>
      <c r="Y48" s="48" t="s">
        <v>228</v>
      </c>
      <c r="Z48" s="176">
        <v>44717.86146990741</v>
      </c>
      <c r="AA48" s="1" t="s">
        <v>995</v>
      </c>
      <c r="AB48" s="1" t="s">
        <v>816</v>
      </c>
      <c r="AC48" s="216">
        <v>150</v>
      </c>
    </row>
    <row r="49" spans="3:29" x14ac:dyDescent="0.3">
      <c r="C49" s="234"/>
      <c r="D49" s="238" t="s">
        <v>195</v>
      </c>
      <c r="F49" s="8" t="s">
        <v>0</v>
      </c>
      <c r="G49" s="220" t="s">
        <v>12</v>
      </c>
      <c r="I49" s="8">
        <v>1</v>
      </c>
      <c r="J49" s="10" t="s">
        <v>80</v>
      </c>
      <c r="K49" s="8">
        <v>28</v>
      </c>
      <c r="L49" s="160" t="s">
        <v>372</v>
      </c>
      <c r="M49"/>
      <c r="O49" s="8">
        <v>16</v>
      </c>
      <c r="P49" s="1" t="s">
        <v>230</v>
      </c>
      <c r="Q49" s="8">
        <v>26</v>
      </c>
      <c r="R49" s="10" t="s">
        <v>228</v>
      </c>
      <c r="S49" s="1" t="s">
        <v>995</v>
      </c>
      <c r="U49" s="8">
        <v>22</v>
      </c>
      <c r="V49" s="1" t="s">
        <v>579</v>
      </c>
      <c r="W49" s="1" t="s">
        <v>8</v>
      </c>
      <c r="X49" s="8">
        <v>31</v>
      </c>
      <c r="Y49" s="48" t="s">
        <v>229</v>
      </c>
      <c r="Z49" s="176">
        <v>44717.824456018519</v>
      </c>
      <c r="AA49" s="1" t="s">
        <v>995</v>
      </c>
      <c r="AB49" s="1" t="s">
        <v>816</v>
      </c>
      <c r="AC49" s="216">
        <v>150</v>
      </c>
    </row>
    <row r="50" spans="3:29" x14ac:dyDescent="0.3">
      <c r="C50" s="234"/>
      <c r="D50" s="234"/>
      <c r="F50" s="8">
        <v>1</v>
      </c>
      <c r="G50" s="10" t="s">
        <v>1056</v>
      </c>
      <c r="I50" s="8">
        <v>2</v>
      </c>
      <c r="J50" s="10" t="s">
        <v>285</v>
      </c>
      <c r="K50" s="8">
        <v>21</v>
      </c>
      <c r="L50" s="160" t="s">
        <v>286</v>
      </c>
      <c r="M50"/>
      <c r="O50" s="8">
        <v>17</v>
      </c>
      <c r="P50" s="1" t="s">
        <v>470</v>
      </c>
      <c r="Q50" s="8">
        <v>26</v>
      </c>
      <c r="R50" s="10" t="s">
        <v>229</v>
      </c>
      <c r="S50" s="1" t="s">
        <v>995</v>
      </c>
      <c r="U50" s="8">
        <v>23</v>
      </c>
      <c r="V50" s="1" t="s">
        <v>586</v>
      </c>
      <c r="W50" s="1" t="s">
        <v>8</v>
      </c>
      <c r="X50" s="8">
        <v>33</v>
      </c>
      <c r="Y50" s="48" t="s">
        <v>229</v>
      </c>
      <c r="Z50" s="176">
        <v>44717.819930555554</v>
      </c>
      <c r="AA50" s="1" t="s">
        <v>995</v>
      </c>
      <c r="AB50" s="1" t="s">
        <v>816</v>
      </c>
      <c r="AC50" s="216">
        <v>150</v>
      </c>
    </row>
    <row r="51" spans="3:29" x14ac:dyDescent="0.3">
      <c r="D51" s="44" t="str">
        <f>"🏓 "&amp;TEXT(N($M$7),"#.##0")&amp;" ud af "&amp;TEXT(N($M$6),"#.##0")
&amp;" ("&amp;TEXT(N($M$7)/N($M$6),"0%")&amp;")"
&amp;" ∙ 🥳 "&amp;TEXT(N($S$7),"#.##0")&amp;" ud af "&amp;TEXT(N($S$6),"#.##0")
&amp;" ("&amp;TEXT(N($S$7)/N($S$6),"0%")&amp;")"</f>
        <v>🏓 48 ud af 72 (67%) ∙ 🥳 42 ud af 120 (35%)</v>
      </c>
      <c r="F51" s="8">
        <v>2</v>
      </c>
      <c r="G51" s="10" t="s">
        <v>1038</v>
      </c>
      <c r="I51" s="8">
        <v>3</v>
      </c>
      <c r="J51" s="10" t="s">
        <v>288</v>
      </c>
      <c r="K51" s="8">
        <v>29</v>
      </c>
      <c r="L51" s="160" t="s">
        <v>370</v>
      </c>
      <c r="M51"/>
      <c r="O51" s="8">
        <v>18</v>
      </c>
      <c r="P51" s="1" t="s">
        <v>231</v>
      </c>
      <c r="Q51" s="8">
        <v>27</v>
      </c>
      <c r="R51" s="10" t="s">
        <v>228</v>
      </c>
      <c r="S51" s="1" t="s">
        <v>995</v>
      </c>
      <c r="U51" s="8">
        <v>24</v>
      </c>
      <c r="V51" s="1" t="s">
        <v>571</v>
      </c>
      <c r="W51" s="1" t="s">
        <v>8</v>
      </c>
      <c r="X51" s="8">
        <v>47</v>
      </c>
      <c r="Y51" s="48" t="s">
        <v>228</v>
      </c>
      <c r="Z51" s="176">
        <v>44717.660567129627</v>
      </c>
      <c r="AA51" s="1" t="s">
        <v>737</v>
      </c>
      <c r="AB51" s="1" t="s">
        <v>816</v>
      </c>
      <c r="AC51" s="216">
        <v>125</v>
      </c>
    </row>
    <row r="52" spans="3:29" x14ac:dyDescent="0.3">
      <c r="D52" s="129" t="str">
        <f>"♂️ "&amp;TEXT(N(CUBEVALUE("ThisWorkbookDataModel",
CUBEMEMBER("ThisWorkbookDataModel","[Køn_d2].[K: Køn emoji].&amp;[♂]"),
CUBEMEMBER("ThisWorkbookDataModel","[Measures].[👥 Aktuel tilmeldingsantal]"))),"#.##0")&amp;" herrer"
&amp;" ("&amp;TEXT(N(CUBEVALUE("ThisWorkbookDataModel",
CUBEMEMBER("ThisWorkbookDataModel","[Køn_d2].[K: Køn emoji].&amp;[♂]"),
CUBEMEMBER("ThisWorkbookDataModel","[Measures].[👥 Aktuel tilmeldingsantal]")))
/N(CUBEVALUE("ThisWorkbookDataModel",CUBEMEMBER("ThisWorkbookDataModel","[Measures].[👥 Aktuel tilmeldingsantal]"))),"0%")&amp;")"
&amp;" ∙ ♀️ "&amp;TEXT(N(CUBEVALUE("ThisWorkbookDataModel",
CUBEMEMBER("ThisWorkbookDataModel","[Køn_d2].[K: Køn emoji].&amp;[♀]"),
CUBEMEMBER("ThisWorkbookDataModel","[Measures].[👥 Aktuel tilmeldingsantal]"))),"#.##0")&amp;" damer"
&amp;" ("&amp;TEXT(N(CUBEVALUE("ThisWorkbookDataModel",
CUBEMEMBER("ThisWorkbookDataModel","[Køn_d2].[K: Køn emoji].&amp;[♀]"),
CUBEMEMBER("ThisWorkbookDataModel","[Measures].[👥 Aktuel tilmeldingsantal]")))
/N(CUBEVALUE("ThisWorkbookDataModel",CUBEMEMBER("ThisWorkbookDataModel","[Measures].[👥 Aktuel tilmeldingsantal]"))),"0%")&amp;")"</f>
        <v>♂️ 54 herrer (90%) ∙ ♀️ 6 damer (10%)</v>
      </c>
      <c r="F52" s="8">
        <v>3</v>
      </c>
      <c r="G52" s="10" t="s">
        <v>1034</v>
      </c>
      <c r="I52" s="8">
        <v>4</v>
      </c>
      <c r="J52" s="10" t="s">
        <v>461</v>
      </c>
      <c r="K52" s="8">
        <v>33</v>
      </c>
      <c r="L52" s="160" t="s">
        <v>462</v>
      </c>
      <c r="M52"/>
      <c r="O52" s="8">
        <v>19</v>
      </c>
      <c r="P52" s="1" t="s">
        <v>471</v>
      </c>
      <c r="Q52" s="8">
        <v>28</v>
      </c>
      <c r="R52" s="10" t="s">
        <v>229</v>
      </c>
      <c r="S52" s="1" t="s">
        <v>995</v>
      </c>
      <c r="U52" s="8">
        <v>24</v>
      </c>
      <c r="V52" s="1" t="s">
        <v>571</v>
      </c>
      <c r="W52" s="1" t="s">
        <v>8</v>
      </c>
      <c r="X52" s="8">
        <v>47</v>
      </c>
      <c r="Y52" s="48" t="s">
        <v>228</v>
      </c>
      <c r="Z52" s="176">
        <v>44717.660567129627</v>
      </c>
      <c r="AA52" s="1" t="s">
        <v>995</v>
      </c>
      <c r="AB52" s="1" t="s">
        <v>816</v>
      </c>
      <c r="AC52" s="216">
        <v>150</v>
      </c>
    </row>
    <row r="53" spans="3:29" x14ac:dyDescent="0.3">
      <c r="D53" s="143" t="str">
        <f>"👤 "&amp;TEXT(N(CUBEVALUE("ThisWorkbookDataModel",
CUBEMEMBER("ThisWorkbookDataModel","[Aldersgruppe_d2].[K: Aldersgruppe].&amp;[[&lt;=17]] Ungdom]"),
CUBEMEMBER("ThisWorkbookDataModel","[Measures].[👥 Aktuel tilmeldingsantal]"))),"#.##0")
&amp;" Ungdom ("&amp;TEXT(N(CUBEVALUE("ThisWorkbookDataModel",
CUBEMEMBER("ThisWorkbookDataModel","[Aldersgruppe_d2].[K: Aldersgruppe].&amp;[[&lt;=17]] Ungdom]"),
CUBEMEMBER("ThisWorkbookDataModel","[Measures].[👥 Aktuel tilmeldingsantal]")))
/N(CUBEVALUE("ThisWorkbookDataModel",CUBEMEMBER("ThisWorkbookDataModel","[Measures].[👥 Aktuel tilmeldingsantal]"))),"0%")&amp;")"
&amp;" ∙ 👤 "&amp;TEXT(N(CUBEVALUE("ThisWorkbookDataModel",
CUBEMEMBER("ThisWorkbookDataModel","[Aldersgruppe_d2].[K: Aldersgruppe].&amp;[[&lt;=39]] Senior]"),
CUBEMEMBER("ThisWorkbookDataModel","[Measures].[👥 Aktuel tilmeldingsantal]"))),"#.##0")
&amp;" Senior ("&amp;TEXT(N(CUBEVALUE("ThisWorkbookDataModel",
CUBEMEMBER("ThisWorkbookDataModel","[Aldersgruppe_d2].[K: Aldersgruppe].&amp;[[&lt;=39]] Senior]"),
CUBEMEMBER("ThisWorkbookDataModel","[Measures].[👥 Aktuel tilmeldingsantal]")))
/N(CUBEVALUE("ThisWorkbookDataModel",CUBEMEMBER("ThisWorkbookDataModel","[Measures].[👥 Aktuel tilmeldingsantal]"))),"0%")&amp;")"
&amp;" ∙ 👤 "&amp;TEXT(N(CUBEVALUE("ThisWorkbookDataModel",
CUBEMEMBER("ThisWorkbookDataModel","[Aldersgruppe_d2].[K: Aldersgruppe].&amp;[[&gt;=40]] Veteran]"),
CUBEMEMBER("ThisWorkbookDataModel","[Measures].[👥 Aktuel tilmeldingsantal]"))),"#.##0")
&amp;" Veteran ("&amp;TEXT(N(CUBEVALUE("ThisWorkbookDataModel",
CUBEMEMBER("ThisWorkbookDataModel","[Aldersgruppe_d2].[K: Aldersgruppe].&amp;[[&gt;=40]] Veteran]"),
CUBEMEMBER("ThisWorkbookDataModel","[Measures].[👥 Aktuel tilmeldingsantal]")))
/N(CUBEVALUE("ThisWorkbookDataModel",CUBEMEMBER("ThisWorkbookDataModel","[Measures].[👥 Aktuel tilmeldingsantal]"))),"0%")&amp;")"</f>
        <v>👤 8 Ungdom (13%) ∙ 👤 38 Senior (63%) ∙ 👤 14 Veteran (23%)</v>
      </c>
      <c r="F53" s="8">
        <v>4</v>
      </c>
      <c r="G53" s="10" t="s">
        <v>1023</v>
      </c>
      <c r="I53" s="8">
        <v>5</v>
      </c>
      <c r="J53" s="10" t="s">
        <v>643</v>
      </c>
      <c r="K53" s="8">
        <v>29</v>
      </c>
      <c r="L53" s="160" t="s">
        <v>644</v>
      </c>
      <c r="M53"/>
      <c r="O53" s="8">
        <v>20</v>
      </c>
      <c r="P53" s="1" t="s">
        <v>219</v>
      </c>
      <c r="Q53" s="8">
        <v>28</v>
      </c>
      <c r="R53" s="10" t="s">
        <v>228</v>
      </c>
      <c r="S53" s="1" t="s">
        <v>995</v>
      </c>
      <c r="U53" s="8">
        <v>25</v>
      </c>
      <c r="V53" s="1" t="s">
        <v>534</v>
      </c>
      <c r="W53" s="1" t="s">
        <v>42</v>
      </c>
      <c r="X53" s="8">
        <v>25</v>
      </c>
      <c r="Y53" s="48" t="s">
        <v>228</v>
      </c>
      <c r="Z53" s="176">
        <v>44717.537245370368</v>
      </c>
      <c r="AA53" s="1" t="s">
        <v>995</v>
      </c>
      <c r="AB53" s="1" t="s">
        <v>816</v>
      </c>
      <c r="AC53" s="216">
        <v>150</v>
      </c>
    </row>
    <row r="54" spans="3:29" x14ac:dyDescent="0.3">
      <c r="D54" s="139" t="str">
        <f>"👤 Min. "&amp;TEXT(N(CUBEVALUE("ThisWorkbookDataModel",
CUBEMEMBER("ThisWorkbookDataModel","[Measures].[👤 Aktuel alder min.]"))),"#.##0")&amp;" år"
&amp;" ∙ 👤 Gns. "&amp;TEXT(N(CUBEVALUE("ThisWorkbookDataModel",
CUBEMEMBER("ThisWorkbookDataModel","[Measures].[👥 Aktuel alder gns.]"))),"#.##0")&amp;" år"
&amp;" ∙ 👤 Maks. "&amp;TEXT(N(CUBEVALUE("ThisWorkbookDataModel",
CUBEMEMBER("ThisWorkbookDataModel","[Measures].[👤 Aktuel alder maks.]"))),"#.##0")&amp;" år"</f>
        <v>👤 Min. 10 år ∙ 👤 Gns. 32 år ∙ 👤 Maks. 71 år</v>
      </c>
      <c r="F54" s="8">
        <v>5</v>
      </c>
      <c r="G54" s="10" t="s">
        <v>1001</v>
      </c>
      <c r="I54" s="8">
        <v>6</v>
      </c>
      <c r="J54" s="10" t="s">
        <v>282</v>
      </c>
      <c r="K54" s="8">
        <v>57</v>
      </c>
      <c r="L54" s="160" t="s">
        <v>377</v>
      </c>
      <c r="M54"/>
      <c r="O54" s="8">
        <v>21</v>
      </c>
      <c r="P54" s="1" t="s">
        <v>80</v>
      </c>
      <c r="Q54" s="8">
        <v>28</v>
      </c>
      <c r="R54" s="10" t="s">
        <v>228</v>
      </c>
      <c r="S54" s="1" t="s">
        <v>995</v>
      </c>
      <c r="U54" s="8">
        <v>26</v>
      </c>
      <c r="V54" s="1" t="s">
        <v>524</v>
      </c>
      <c r="W54" s="1" t="s">
        <v>8</v>
      </c>
      <c r="X54" s="8">
        <v>19</v>
      </c>
      <c r="Y54" s="48" t="s">
        <v>228</v>
      </c>
      <c r="Z54" s="176">
        <v>44716.843877314815</v>
      </c>
      <c r="AA54" s="1" t="s">
        <v>737</v>
      </c>
      <c r="AB54" s="1" t="s">
        <v>816</v>
      </c>
      <c r="AC54" s="216">
        <v>125</v>
      </c>
    </row>
    <row r="55" spans="3:29" x14ac:dyDescent="0.3">
      <c r="D55" s="141" t="str">
        <f>"🏛️ Jylland ("&amp;TEXT(N(CUBEVALUE("ThisWorkbookDataModel",
CUBEMEMBER("ThisWorkbookDataModel","[Landsdel_d3].[K: Landsdel].&amp;[Jylland]"),
CUBEMEMBER("ThisWorkbookDataModel","[Measures].[👥 Aktuel tilmeldingsantal (kun med klub)]")))
/N(CUBEVALUE("ThisWorkbookDataModel",
CUBEMEMBER("ThisWorkbookDataModel","[Measures].[👥 Aktuel tilmeldingsantal (kun med klub)]"))),"0%")&amp;")"
&amp;" ∙ 🏛️ Fyn ("&amp;TEXT(N(CUBEVALUE("ThisWorkbookDataModel",
CUBEMEMBER("ThisWorkbookDataModel","[Landsdel_d3].[K: Landsdel].&amp;[Fyn]"),
CUBEMEMBER("ThisWorkbookDataModel","[Measures].[👥 Aktuel tilmeldingsantal (kun med klub)]")))
/N(CUBEVALUE("ThisWorkbookDataModel",
CUBEMEMBER("ThisWorkbookDataModel","[Measures].[👥 Aktuel tilmeldingsantal (kun med klub)]"))),"0%")&amp;")"
&amp;" ∙ 🏛️ Sjælland ("&amp;TEXT(N(CUBEVALUE("ThisWorkbookDataModel",
CUBEMEMBER("ThisWorkbookDataModel","[Landsdel_d3].[K: Landsdel].&amp;[Sjælland]"),
CUBEMEMBER("ThisWorkbookDataModel","[Measures].[👥 Aktuel tilmeldingsantal (kun med klub)]")))
/N(CUBEVALUE("ThisWorkbookDataModel",
CUBEMEMBER("ThisWorkbookDataModel","[Measures].[👥 Aktuel tilmeldingsantal (kun med klub)]"))),"0%")&amp;")"
&amp;" ∙ 🏛️ Bornholm ("&amp;TEXT(N(CUBEVALUE("ThisWorkbookDataModel",
CUBEMEMBER("ThisWorkbookDataModel","[Landsdel_d3].[K: Landsdel].&amp;[Bornholm]"),
CUBEMEMBER("ThisWorkbookDataModel","[Measures].[👥 Aktuel tilmeldingsantal (kun med klub)]")))
/N(CUBEVALUE("ThisWorkbookDataModel",
CUBEMEMBER("ThisWorkbookDataModel","[Measures].[👥 Aktuel tilmeldingsantal (kun med klub)]"))),"0%")&amp;")"</f>
        <v>🏛️ Jylland (91%) ∙ 🏛️ Fyn (0%) ∙ 🏛️ Sjælland (9%) ∙ 🏛️ Bornholm (0%)</v>
      </c>
      <c r="F55" s="8">
        <v>6</v>
      </c>
      <c r="G55" s="10" t="s">
        <v>373</v>
      </c>
      <c r="I55" s="8">
        <v>7</v>
      </c>
      <c r="J55" s="10" t="s">
        <v>354</v>
      </c>
      <c r="K55" s="8">
        <v>44</v>
      </c>
      <c r="L55" s="160" t="s">
        <v>360</v>
      </c>
      <c r="M55"/>
      <c r="O55" s="8">
        <v>22</v>
      </c>
      <c r="P55" s="1" t="s">
        <v>433</v>
      </c>
      <c r="Q55" s="8">
        <v>28</v>
      </c>
      <c r="R55" s="10" t="s">
        <v>228</v>
      </c>
      <c r="S55" s="1" t="s">
        <v>995</v>
      </c>
      <c r="U55" s="8">
        <v>26</v>
      </c>
      <c r="V55" s="1" t="s">
        <v>524</v>
      </c>
      <c r="W55" s="1" t="s">
        <v>8</v>
      </c>
      <c r="X55" s="8">
        <v>19</v>
      </c>
      <c r="Y55" s="48" t="s">
        <v>228</v>
      </c>
      <c r="Z55" s="176">
        <v>44716.843877314815</v>
      </c>
      <c r="AA55" s="1" t="s">
        <v>995</v>
      </c>
      <c r="AB55" s="1" t="s">
        <v>816</v>
      </c>
      <c r="AC55" s="216">
        <v>150</v>
      </c>
    </row>
    <row r="56" spans="3:29" x14ac:dyDescent="0.3">
      <c r="D56" s="43" t="str">
        <f>"🛖 "&amp;TEXT(N(CUBEVALUE("ThisWorkbookDataModel",
CUBEMEMBER("ThisWorkbookDataModel","[Measures].[🛖 Aktuel klubantal]"))),"#.##0")&amp;" klubber"</f>
        <v>🛖 16 klubber</v>
      </c>
      <c r="F56" s="8">
        <v>7</v>
      </c>
      <c r="G56" s="10" t="s">
        <v>991</v>
      </c>
      <c r="I56" s="8">
        <v>8</v>
      </c>
      <c r="J56" s="10" t="s">
        <v>287</v>
      </c>
      <c r="K56" s="8">
        <v>24</v>
      </c>
      <c r="L56" s="160" t="s">
        <v>378</v>
      </c>
      <c r="M56"/>
      <c r="O56" s="8">
        <v>23</v>
      </c>
      <c r="P56" s="1" t="s">
        <v>288</v>
      </c>
      <c r="Q56" s="8">
        <v>29</v>
      </c>
      <c r="R56" s="10" t="s">
        <v>228</v>
      </c>
      <c r="S56" s="1" t="s">
        <v>995</v>
      </c>
      <c r="U56" s="8">
        <v>27</v>
      </c>
      <c r="V56" s="1" t="s">
        <v>526</v>
      </c>
      <c r="W56" s="1" t="s">
        <v>336</v>
      </c>
      <c r="X56" s="8">
        <v>52</v>
      </c>
      <c r="Y56" s="48" t="s">
        <v>228</v>
      </c>
      <c r="Z56" s="176">
        <v>44716.841921296298</v>
      </c>
      <c r="AA56" s="1" t="s">
        <v>737</v>
      </c>
      <c r="AB56" s="1" t="s">
        <v>816</v>
      </c>
      <c r="AC56" s="216">
        <v>125</v>
      </c>
    </row>
    <row r="57" spans="3:29" x14ac:dyDescent="0.3">
      <c r="D57" s="45" t="s">
        <v>533</v>
      </c>
      <c r="F57" s="8">
        <v>8</v>
      </c>
      <c r="G57" s="10" t="s">
        <v>1036</v>
      </c>
      <c r="I57" s="8">
        <v>9</v>
      </c>
      <c r="J57" s="10" t="s">
        <v>938</v>
      </c>
      <c r="K57" s="8">
        <v>33</v>
      </c>
      <c r="L57" s="160" t="s">
        <v>939</v>
      </c>
      <c r="M57"/>
      <c r="O57" s="8">
        <v>24</v>
      </c>
      <c r="P57" s="1" t="s">
        <v>643</v>
      </c>
      <c r="Q57" s="8">
        <v>29</v>
      </c>
      <c r="R57" s="10" t="s">
        <v>228</v>
      </c>
      <c r="S57" s="1" t="s">
        <v>995</v>
      </c>
      <c r="U57" s="8">
        <v>27</v>
      </c>
      <c r="V57" s="1" t="s">
        <v>526</v>
      </c>
      <c r="W57" s="1" t="s">
        <v>336</v>
      </c>
      <c r="X57" s="8">
        <v>52</v>
      </c>
      <c r="Y57" s="48" t="s">
        <v>228</v>
      </c>
      <c r="Z57" s="176">
        <v>44716.841921296298</v>
      </c>
      <c r="AA57" s="1" t="s">
        <v>995</v>
      </c>
      <c r="AB57" s="1" t="s">
        <v>816</v>
      </c>
      <c r="AC57" s="216">
        <v>150</v>
      </c>
    </row>
    <row r="58" spans="3:29" x14ac:dyDescent="0.3">
      <c r="C58" s="8" t="s">
        <v>0</v>
      </c>
      <c r="D58" s="220" t="s">
        <v>112</v>
      </c>
      <c r="F58" s="8">
        <v>9</v>
      </c>
      <c r="G58" s="10" t="s">
        <v>949</v>
      </c>
      <c r="I58" s="8">
        <v>10</v>
      </c>
      <c r="J58" s="10" t="s">
        <v>601</v>
      </c>
      <c r="K58" s="8">
        <v>19</v>
      </c>
      <c r="L58" s="160" t="s">
        <v>602</v>
      </c>
      <c r="M58"/>
      <c r="O58" s="8">
        <v>25</v>
      </c>
      <c r="P58" s="1" t="s">
        <v>408</v>
      </c>
      <c r="Q58" s="8">
        <v>29</v>
      </c>
      <c r="R58" s="10" t="s">
        <v>229</v>
      </c>
      <c r="S58" s="1" t="s">
        <v>995</v>
      </c>
      <c r="U58" s="8">
        <v>28</v>
      </c>
      <c r="V58" s="1" t="s">
        <v>522</v>
      </c>
      <c r="W58" s="1" t="s">
        <v>8</v>
      </c>
      <c r="X58" s="8">
        <v>26</v>
      </c>
      <c r="Y58" s="48" t="s">
        <v>228</v>
      </c>
      <c r="Z58" s="176">
        <v>44716.684238842594</v>
      </c>
      <c r="AA58" s="1" t="s">
        <v>995</v>
      </c>
      <c r="AB58" s="1" t="s">
        <v>816</v>
      </c>
      <c r="AC58" s="216">
        <v>150</v>
      </c>
    </row>
    <row r="59" spans="3:29" x14ac:dyDescent="0.3">
      <c r="C59" s="48">
        <v>1</v>
      </c>
      <c r="D59" s="10" t="s">
        <v>951</v>
      </c>
      <c r="F59" s="8">
        <v>10</v>
      </c>
      <c r="G59" s="10" t="s">
        <v>1010</v>
      </c>
      <c r="I59" s="8">
        <v>11</v>
      </c>
      <c r="J59" s="10" t="s">
        <v>635</v>
      </c>
      <c r="K59" s="8">
        <v>20</v>
      </c>
      <c r="L59" s="160" t="s">
        <v>636</v>
      </c>
      <c r="M59"/>
      <c r="O59" s="8">
        <v>26</v>
      </c>
      <c r="P59" s="1" t="s">
        <v>234</v>
      </c>
      <c r="Q59" s="8">
        <v>30</v>
      </c>
      <c r="R59" s="10" t="s">
        <v>228</v>
      </c>
      <c r="S59" s="1" t="s">
        <v>995</v>
      </c>
      <c r="U59" s="8">
        <v>29</v>
      </c>
      <c r="V59" s="1" t="s">
        <v>468</v>
      </c>
      <c r="W59" s="1" t="s">
        <v>81</v>
      </c>
      <c r="X59" s="8">
        <v>26</v>
      </c>
      <c r="Y59" s="48" t="s">
        <v>229</v>
      </c>
      <c r="Z59" s="176">
        <v>44715.844490740739</v>
      </c>
      <c r="AA59" s="1" t="s">
        <v>995</v>
      </c>
      <c r="AB59" s="1" t="s">
        <v>816</v>
      </c>
      <c r="AC59" s="216">
        <v>150</v>
      </c>
    </row>
    <row r="60" spans="3:29" x14ac:dyDescent="0.3">
      <c r="C60" s="48">
        <v>2</v>
      </c>
      <c r="D60" s="10" t="s">
        <v>967</v>
      </c>
      <c r="F60" s="8">
        <v>11</v>
      </c>
      <c r="G60" s="10" t="s">
        <v>1167</v>
      </c>
      <c r="I60" s="8">
        <v>12</v>
      </c>
      <c r="J60" s="10" t="s">
        <v>268</v>
      </c>
      <c r="K60" s="8">
        <v>21</v>
      </c>
      <c r="L60" s="160" t="s">
        <v>269</v>
      </c>
      <c r="M60"/>
      <c r="O60" s="8">
        <v>27</v>
      </c>
      <c r="P60" s="1" t="s">
        <v>583</v>
      </c>
      <c r="Q60" s="8">
        <v>31</v>
      </c>
      <c r="R60" s="10" t="s">
        <v>229</v>
      </c>
      <c r="S60" s="1" t="s">
        <v>995</v>
      </c>
      <c r="U60" s="8">
        <v>30</v>
      </c>
      <c r="V60" s="1" t="s">
        <v>469</v>
      </c>
      <c r="W60" s="1" t="s">
        <v>81</v>
      </c>
      <c r="X60" s="8">
        <v>28</v>
      </c>
      <c r="Y60" s="48" t="s">
        <v>229</v>
      </c>
      <c r="Z60" s="176">
        <v>44715.844467592593</v>
      </c>
      <c r="AA60" s="1" t="s">
        <v>995</v>
      </c>
      <c r="AB60" s="1" t="s">
        <v>816</v>
      </c>
      <c r="AC60" s="216">
        <v>150</v>
      </c>
    </row>
    <row r="61" spans="3:29" x14ac:dyDescent="0.3">
      <c r="C61" s="48">
        <v>3</v>
      </c>
      <c r="D61" s="10" t="s">
        <v>358</v>
      </c>
      <c r="F61" s="8">
        <v>12</v>
      </c>
      <c r="G61" s="10" t="s">
        <v>1042</v>
      </c>
      <c r="I61" s="8">
        <v>13</v>
      </c>
      <c r="J61" s="10" t="s">
        <v>433</v>
      </c>
      <c r="K61" s="8">
        <v>28</v>
      </c>
      <c r="L61" s="160" t="s">
        <v>434</v>
      </c>
      <c r="M61"/>
      <c r="O61" s="8">
        <v>28</v>
      </c>
      <c r="P61" s="1" t="s">
        <v>413</v>
      </c>
      <c r="Q61" s="8">
        <v>31</v>
      </c>
      <c r="R61" s="10" t="s">
        <v>229</v>
      </c>
      <c r="S61" s="1" t="s">
        <v>995</v>
      </c>
      <c r="U61" s="8">
        <v>31</v>
      </c>
      <c r="V61" s="1" t="s">
        <v>460</v>
      </c>
      <c r="W61" s="1" t="s">
        <v>4</v>
      </c>
      <c r="X61" s="8">
        <v>33</v>
      </c>
      <c r="Y61" s="48" t="s">
        <v>228</v>
      </c>
      <c r="Z61" s="176">
        <v>44715.703310185185</v>
      </c>
      <c r="AA61" s="1" t="s">
        <v>995</v>
      </c>
      <c r="AB61" s="1" t="s">
        <v>816</v>
      </c>
      <c r="AC61" s="216">
        <v>150</v>
      </c>
    </row>
    <row r="62" spans="3:29" x14ac:dyDescent="0.3">
      <c r="C62" s="48">
        <v>4</v>
      </c>
      <c r="D62" s="10" t="s">
        <v>1169</v>
      </c>
      <c r="F62" s="8">
        <v>13</v>
      </c>
      <c r="G62" s="10" t="s">
        <v>1029</v>
      </c>
      <c r="I62" s="8">
        <v>14</v>
      </c>
      <c r="J62" s="10" t="s">
        <v>805</v>
      </c>
      <c r="K62" s="8">
        <v>60</v>
      </c>
      <c r="L62" s="160" t="s">
        <v>806</v>
      </c>
      <c r="M62"/>
      <c r="O62" s="8">
        <v>29</v>
      </c>
      <c r="P62" s="1" t="s">
        <v>284</v>
      </c>
      <c r="Q62" s="8">
        <v>32</v>
      </c>
      <c r="R62" s="10" t="s">
        <v>228</v>
      </c>
      <c r="S62" s="1" t="s">
        <v>995</v>
      </c>
      <c r="U62" s="8">
        <v>31</v>
      </c>
      <c r="V62" s="1" t="s">
        <v>460</v>
      </c>
      <c r="W62" s="1" t="s">
        <v>4</v>
      </c>
      <c r="X62" s="8">
        <v>33</v>
      </c>
      <c r="Y62" s="48" t="s">
        <v>228</v>
      </c>
      <c r="Z62" s="176">
        <v>44715.703310185185</v>
      </c>
      <c r="AA62" s="1" t="s">
        <v>737</v>
      </c>
      <c r="AB62" s="1" t="s">
        <v>816</v>
      </c>
      <c r="AC62" s="216">
        <v>125</v>
      </c>
    </row>
    <row r="63" spans="3:29" x14ac:dyDescent="0.3">
      <c r="C63" s="48">
        <v>5</v>
      </c>
      <c r="D63" s="10" t="s">
        <v>359</v>
      </c>
      <c r="F63" s="8">
        <v>14</v>
      </c>
      <c r="G63" s="10" t="s">
        <v>809</v>
      </c>
      <c r="I63" s="8">
        <v>15</v>
      </c>
      <c r="J63" s="10" t="s">
        <v>529</v>
      </c>
      <c r="K63" s="8">
        <v>52</v>
      </c>
      <c r="L63" s="160" t="s">
        <v>530</v>
      </c>
      <c r="M63"/>
      <c r="O63" s="8">
        <v>30</v>
      </c>
      <c r="P63" s="1" t="s">
        <v>576</v>
      </c>
      <c r="Q63" s="8">
        <v>33</v>
      </c>
      <c r="R63" s="10" t="s">
        <v>229</v>
      </c>
      <c r="S63" s="1" t="s">
        <v>995</v>
      </c>
      <c r="U63" s="8">
        <v>32</v>
      </c>
      <c r="V63" s="1" t="s">
        <v>452</v>
      </c>
      <c r="W63" s="1" t="s">
        <v>81</v>
      </c>
      <c r="X63" s="8">
        <v>21</v>
      </c>
      <c r="Y63" s="48" t="s">
        <v>228</v>
      </c>
      <c r="Z63" s="176">
        <v>44715.603831018518</v>
      </c>
      <c r="AA63" s="1" t="s">
        <v>737</v>
      </c>
      <c r="AB63" s="1" t="s">
        <v>816</v>
      </c>
      <c r="AC63" s="216">
        <v>125</v>
      </c>
    </row>
    <row r="64" spans="3:29" x14ac:dyDescent="0.3">
      <c r="C64" s="48">
        <v>6</v>
      </c>
      <c r="D64" s="10" t="s">
        <v>628</v>
      </c>
      <c r="F64" s="8">
        <v>15</v>
      </c>
      <c r="G64" s="10" t="s">
        <v>1019</v>
      </c>
      <c r="I64" s="8">
        <v>16</v>
      </c>
      <c r="J64" s="10" t="s">
        <v>603</v>
      </c>
      <c r="K64" s="8">
        <v>20</v>
      </c>
      <c r="L64" s="160" t="s">
        <v>604</v>
      </c>
      <c r="M64"/>
      <c r="O64" s="8">
        <v>31</v>
      </c>
      <c r="P64" s="1" t="s">
        <v>461</v>
      </c>
      <c r="Q64" s="8">
        <v>33</v>
      </c>
      <c r="R64" s="10" t="s">
        <v>228</v>
      </c>
      <c r="S64" s="1" t="s">
        <v>995</v>
      </c>
      <c r="U64" s="8">
        <v>32</v>
      </c>
      <c r="V64" s="1" t="s">
        <v>452</v>
      </c>
      <c r="W64" s="1" t="s">
        <v>81</v>
      </c>
      <c r="X64" s="8">
        <v>21</v>
      </c>
      <c r="Y64" s="48" t="s">
        <v>228</v>
      </c>
      <c r="Z64" s="176">
        <v>44715.603831018518</v>
      </c>
      <c r="AA64" s="1" t="s">
        <v>995</v>
      </c>
      <c r="AB64" s="1" t="s">
        <v>816</v>
      </c>
      <c r="AC64" s="216">
        <v>150</v>
      </c>
    </row>
    <row r="65" spans="3:29" x14ac:dyDescent="0.3">
      <c r="C65" s="48">
        <v>7</v>
      </c>
      <c r="D65" s="10" t="s">
        <v>1163</v>
      </c>
      <c r="F65" s="8">
        <v>16</v>
      </c>
      <c r="G65" s="10" t="s">
        <v>1008</v>
      </c>
      <c r="I65" s="8">
        <v>17</v>
      </c>
      <c r="J65" s="10" t="s">
        <v>610</v>
      </c>
      <c r="K65" s="8">
        <v>35</v>
      </c>
      <c r="L65" s="160" t="s">
        <v>611</v>
      </c>
      <c r="M65"/>
      <c r="O65" s="8">
        <v>32</v>
      </c>
      <c r="P65" s="1" t="s">
        <v>610</v>
      </c>
      <c r="Q65" s="8">
        <v>35</v>
      </c>
      <c r="R65" s="10" t="s">
        <v>228</v>
      </c>
      <c r="S65" s="1" t="s">
        <v>995</v>
      </c>
      <c r="U65" s="8">
        <v>33</v>
      </c>
      <c r="V65" s="1" t="s">
        <v>453</v>
      </c>
      <c r="W65" s="1" t="s">
        <v>81</v>
      </c>
      <c r="X65" s="8">
        <v>21</v>
      </c>
      <c r="Y65" s="48" t="s">
        <v>228</v>
      </c>
      <c r="Z65" s="176">
        <v>44715.603194444448</v>
      </c>
      <c r="AA65" s="1" t="s">
        <v>995</v>
      </c>
      <c r="AB65" s="1" t="s">
        <v>816</v>
      </c>
      <c r="AC65" s="216">
        <v>150</v>
      </c>
    </row>
    <row r="66" spans="3:29" x14ac:dyDescent="0.3">
      <c r="C66" s="48">
        <v>8</v>
      </c>
      <c r="D66" s="10" t="s">
        <v>367</v>
      </c>
      <c r="F66" s="8">
        <v>17</v>
      </c>
      <c r="G66" s="10" t="s">
        <v>1004</v>
      </c>
      <c r="I66" s="8">
        <v>18</v>
      </c>
      <c r="J66" s="10" t="s">
        <v>226</v>
      </c>
      <c r="K66" s="8">
        <v>40</v>
      </c>
      <c r="L66" s="160" t="s">
        <v>379</v>
      </c>
      <c r="M66"/>
      <c r="O66" s="8">
        <v>33</v>
      </c>
      <c r="P66" s="1" t="s">
        <v>612</v>
      </c>
      <c r="Q66" s="8">
        <v>36</v>
      </c>
      <c r="R66" s="10" t="s">
        <v>228</v>
      </c>
      <c r="S66" s="1" t="s">
        <v>995</v>
      </c>
      <c r="U66" s="8">
        <v>34</v>
      </c>
      <c r="V66" s="1" t="s">
        <v>455</v>
      </c>
      <c r="W66" s="1" t="s">
        <v>33</v>
      </c>
      <c r="X66" s="8">
        <v>21</v>
      </c>
      <c r="Y66" s="48" t="s">
        <v>228</v>
      </c>
      <c r="Z66" s="176">
        <v>44715.602465277778</v>
      </c>
      <c r="AA66" s="1" t="s">
        <v>737</v>
      </c>
      <c r="AB66" s="1" t="s">
        <v>816</v>
      </c>
      <c r="AC66" s="216">
        <v>125</v>
      </c>
    </row>
    <row r="67" spans="3:29" x14ac:dyDescent="0.3">
      <c r="C67" s="48">
        <v>9</v>
      </c>
      <c r="D67" s="10" t="s">
        <v>1016</v>
      </c>
      <c r="F67" s="8">
        <v>18</v>
      </c>
      <c r="G67" s="10" t="s">
        <v>1051</v>
      </c>
      <c r="I67" s="8">
        <v>19</v>
      </c>
      <c r="J67" s="10" t="s">
        <v>371</v>
      </c>
      <c r="K67" s="8">
        <v>24</v>
      </c>
      <c r="L67" s="160" t="s">
        <v>380</v>
      </c>
      <c r="M67"/>
      <c r="O67" s="8">
        <v>34</v>
      </c>
      <c r="P67" s="1" t="s">
        <v>267</v>
      </c>
      <c r="Q67" s="8">
        <v>37</v>
      </c>
      <c r="R67" s="10" t="s">
        <v>228</v>
      </c>
      <c r="S67" s="1" t="s">
        <v>995</v>
      </c>
      <c r="U67" s="8">
        <v>34</v>
      </c>
      <c r="V67" s="1" t="s">
        <v>455</v>
      </c>
      <c r="W67" s="1" t="s">
        <v>33</v>
      </c>
      <c r="X67" s="8">
        <v>21</v>
      </c>
      <c r="Y67" s="48" t="s">
        <v>228</v>
      </c>
      <c r="Z67" s="176">
        <v>44715.602465277778</v>
      </c>
      <c r="AA67" s="1" t="s">
        <v>995</v>
      </c>
      <c r="AB67" s="1" t="s">
        <v>816</v>
      </c>
      <c r="AC67" s="216">
        <v>150</v>
      </c>
    </row>
    <row r="68" spans="3:29" x14ac:dyDescent="0.3">
      <c r="C68" s="48">
        <v>10</v>
      </c>
      <c r="D68" s="10" t="s">
        <v>1002</v>
      </c>
      <c r="F68" s="8">
        <v>19</v>
      </c>
      <c r="G68" s="10" t="s">
        <v>374</v>
      </c>
      <c r="I68" s="8">
        <v>20</v>
      </c>
      <c r="J68" s="10" t="s">
        <v>531</v>
      </c>
      <c r="K68" s="8">
        <v>19</v>
      </c>
      <c r="L68" s="160" t="s">
        <v>532</v>
      </c>
      <c r="M68"/>
      <c r="O68" s="8">
        <v>35</v>
      </c>
      <c r="P68" s="1" t="s">
        <v>258</v>
      </c>
      <c r="Q68" s="8">
        <v>39</v>
      </c>
      <c r="R68" s="10" t="s">
        <v>228</v>
      </c>
      <c r="S68" s="1" t="s">
        <v>995</v>
      </c>
      <c r="U68" s="8">
        <v>36</v>
      </c>
      <c r="V68" s="1" t="s">
        <v>436</v>
      </c>
      <c r="W68" s="1" t="s">
        <v>339</v>
      </c>
      <c r="X68" s="8">
        <v>44</v>
      </c>
      <c r="Y68" s="48" t="s">
        <v>228</v>
      </c>
      <c r="Z68" s="176">
        <v>44713.909178240741</v>
      </c>
      <c r="AA68" s="1" t="s">
        <v>737</v>
      </c>
      <c r="AB68" s="1" t="s">
        <v>816</v>
      </c>
      <c r="AC68" s="216">
        <v>125</v>
      </c>
    </row>
    <row r="69" spans="3:29" x14ac:dyDescent="0.3">
      <c r="C69" s="48">
        <v>11</v>
      </c>
      <c r="D69" s="10" t="s">
        <v>1009</v>
      </c>
      <c r="F69" s="8">
        <v>20</v>
      </c>
      <c r="G69" s="10" t="s">
        <v>1017</v>
      </c>
      <c r="I69" s="8">
        <v>21</v>
      </c>
      <c r="J69" s="10" t="s">
        <v>612</v>
      </c>
      <c r="K69" s="8">
        <v>36</v>
      </c>
      <c r="L69" s="160" t="s">
        <v>613</v>
      </c>
      <c r="M69"/>
      <c r="O69" s="8">
        <v>36</v>
      </c>
      <c r="P69" s="1" t="s">
        <v>226</v>
      </c>
      <c r="Q69" s="8">
        <v>40</v>
      </c>
      <c r="R69" s="10" t="s">
        <v>228</v>
      </c>
      <c r="S69" s="1" t="s">
        <v>995</v>
      </c>
      <c r="U69" s="8">
        <v>37</v>
      </c>
      <c r="V69" s="1" t="s">
        <v>262</v>
      </c>
      <c r="W69" s="1" t="s">
        <v>42</v>
      </c>
      <c r="X69" s="8">
        <v>28</v>
      </c>
      <c r="Y69" s="48" t="s">
        <v>228</v>
      </c>
      <c r="Z69" s="176">
        <v>44713.765788599536</v>
      </c>
      <c r="AA69" s="1" t="s">
        <v>737</v>
      </c>
      <c r="AB69" s="1" t="s">
        <v>816</v>
      </c>
      <c r="AC69" s="216">
        <v>125</v>
      </c>
    </row>
    <row r="70" spans="3:29" x14ac:dyDescent="0.3">
      <c r="C70" s="48">
        <v>12</v>
      </c>
      <c r="D70" s="10" t="s">
        <v>1166</v>
      </c>
      <c r="F70" s="8">
        <v>21</v>
      </c>
      <c r="G70" s="10" t="s">
        <v>1006</v>
      </c>
      <c r="I70" s="8">
        <v>22</v>
      </c>
      <c r="J70" s="10" t="s">
        <v>230</v>
      </c>
      <c r="K70" s="8">
        <v>26</v>
      </c>
      <c r="L70" s="160" t="s">
        <v>236</v>
      </c>
      <c r="M70"/>
      <c r="O70" s="8">
        <v>37</v>
      </c>
      <c r="P70" s="1" t="s">
        <v>779</v>
      </c>
      <c r="Q70" s="8">
        <v>43</v>
      </c>
      <c r="R70" s="10" t="s">
        <v>228</v>
      </c>
      <c r="S70" s="1" t="s">
        <v>995</v>
      </c>
      <c r="U70" s="8">
        <v>37</v>
      </c>
      <c r="V70" s="1" t="s">
        <v>262</v>
      </c>
      <c r="W70" s="1" t="s">
        <v>42</v>
      </c>
      <c r="X70" s="8">
        <v>28</v>
      </c>
      <c r="Y70" s="48" t="s">
        <v>228</v>
      </c>
      <c r="Z70" s="176">
        <v>44713.765788599536</v>
      </c>
      <c r="AA70" s="1" t="s">
        <v>995</v>
      </c>
      <c r="AB70" s="1" t="s">
        <v>816</v>
      </c>
      <c r="AC70" s="216">
        <v>150</v>
      </c>
    </row>
    <row r="71" spans="3:29" x14ac:dyDescent="0.3">
      <c r="C71" s="48">
        <v>13</v>
      </c>
      <c r="D71" s="10" t="s">
        <v>952</v>
      </c>
      <c r="F71" s="8">
        <v>22</v>
      </c>
      <c r="G71" s="10" t="s">
        <v>1047</v>
      </c>
      <c r="I71" s="8">
        <v>23</v>
      </c>
      <c r="J71" s="10" t="s">
        <v>231</v>
      </c>
      <c r="K71" s="8">
        <v>27</v>
      </c>
      <c r="L71" s="160" t="s">
        <v>381</v>
      </c>
      <c r="M71"/>
      <c r="O71" s="8">
        <v>38</v>
      </c>
      <c r="P71" s="1" t="s">
        <v>573</v>
      </c>
      <c r="Q71" s="8">
        <v>47</v>
      </c>
      <c r="R71" s="10" t="s">
        <v>228</v>
      </c>
      <c r="S71" s="1" t="s">
        <v>995</v>
      </c>
      <c r="U71" s="8">
        <v>39</v>
      </c>
      <c r="V71" s="1" t="s">
        <v>410</v>
      </c>
      <c r="W71" s="1" t="s">
        <v>336</v>
      </c>
      <c r="X71" s="8">
        <v>31</v>
      </c>
      <c r="Y71" s="48" t="s">
        <v>229</v>
      </c>
      <c r="Z71" s="176">
        <v>44710.81682453704</v>
      </c>
      <c r="AA71" s="1" t="s">
        <v>995</v>
      </c>
      <c r="AB71" s="1" t="s">
        <v>816</v>
      </c>
      <c r="AC71" s="216">
        <v>150</v>
      </c>
    </row>
    <row r="72" spans="3:29" x14ac:dyDescent="0.3">
      <c r="C72" s="48">
        <v>14</v>
      </c>
      <c r="D72" s="10" t="s">
        <v>1007</v>
      </c>
      <c r="F72" s="8">
        <v>23</v>
      </c>
      <c r="G72" s="10" t="s">
        <v>1045</v>
      </c>
      <c r="I72" s="8">
        <v>24</v>
      </c>
      <c r="J72" s="10" t="s">
        <v>940</v>
      </c>
      <c r="K72" s="8">
        <v>20</v>
      </c>
      <c r="L72" s="160" t="s">
        <v>941</v>
      </c>
      <c r="M72"/>
      <c r="O72" s="8">
        <v>39</v>
      </c>
      <c r="P72" s="1" t="s">
        <v>220</v>
      </c>
      <c r="Q72" s="8">
        <v>50</v>
      </c>
      <c r="R72" s="10" t="s">
        <v>228</v>
      </c>
      <c r="S72" s="1" t="s">
        <v>995</v>
      </c>
      <c r="U72" s="8">
        <v>40</v>
      </c>
      <c r="V72" s="1" t="s">
        <v>271</v>
      </c>
      <c r="W72" s="1" t="s">
        <v>8</v>
      </c>
      <c r="X72" s="8">
        <v>29</v>
      </c>
      <c r="Y72" s="48" t="s">
        <v>229</v>
      </c>
      <c r="Z72" s="176">
        <v>44710.639080277775</v>
      </c>
      <c r="AA72" s="1" t="s">
        <v>995</v>
      </c>
      <c r="AB72" s="1" t="s">
        <v>816</v>
      </c>
      <c r="AC72" s="216">
        <v>150</v>
      </c>
    </row>
    <row r="73" spans="3:29" x14ac:dyDescent="0.3">
      <c r="C73" s="48">
        <v>15</v>
      </c>
      <c r="D73" s="10" t="s">
        <v>1024</v>
      </c>
      <c r="F73" s="8">
        <v>24</v>
      </c>
      <c r="G73" s="10" t="s">
        <v>950</v>
      </c>
      <c r="I73" s="8">
        <v>25</v>
      </c>
      <c r="J73" s="10" t="s">
        <v>573</v>
      </c>
      <c r="K73" s="8">
        <v>47</v>
      </c>
      <c r="L73" s="160" t="s">
        <v>654</v>
      </c>
      <c r="M73"/>
      <c r="O73" s="8">
        <v>40</v>
      </c>
      <c r="P73" s="1" t="s">
        <v>529</v>
      </c>
      <c r="Q73" s="8">
        <v>52</v>
      </c>
      <c r="R73" s="10" t="s">
        <v>228</v>
      </c>
      <c r="S73" s="1" t="s">
        <v>995</v>
      </c>
      <c r="U73" s="8">
        <v>42</v>
      </c>
      <c r="V73" s="1" t="s">
        <v>364</v>
      </c>
      <c r="W73" s="1" t="s">
        <v>8</v>
      </c>
      <c r="X73" s="8">
        <v>16</v>
      </c>
      <c r="Y73" s="48" t="s">
        <v>228</v>
      </c>
      <c r="Z73" s="176">
        <v>44708.784812013888</v>
      </c>
      <c r="AA73" s="1" t="s">
        <v>737</v>
      </c>
      <c r="AB73" s="1" t="s">
        <v>816</v>
      </c>
      <c r="AC73" s="216">
        <v>125</v>
      </c>
    </row>
    <row r="74" spans="3:29" x14ac:dyDescent="0.3">
      <c r="C74" s="48">
        <v>16</v>
      </c>
      <c r="D74" s="10" t="s">
        <v>1037</v>
      </c>
      <c r="F74" s="8">
        <v>25</v>
      </c>
      <c r="G74" s="10" t="s">
        <v>1014</v>
      </c>
      <c r="I74" s="8">
        <v>26</v>
      </c>
      <c r="J74" s="10" t="s">
        <v>779</v>
      </c>
      <c r="K74" s="8">
        <v>43</v>
      </c>
      <c r="L74" s="160" t="s">
        <v>362</v>
      </c>
      <c r="M74"/>
      <c r="O74" s="8">
        <v>41</v>
      </c>
      <c r="P74" s="1" t="s">
        <v>313</v>
      </c>
      <c r="Q74" s="8">
        <v>69</v>
      </c>
      <c r="R74" s="10" t="s">
        <v>228</v>
      </c>
      <c r="S74" s="1" t="s">
        <v>995</v>
      </c>
      <c r="U74" s="8">
        <v>43</v>
      </c>
      <c r="V74" s="1" t="s">
        <v>292</v>
      </c>
      <c r="W74" s="1" t="s">
        <v>5</v>
      </c>
      <c r="X74" s="8">
        <v>15</v>
      </c>
      <c r="Y74" s="48" t="s">
        <v>228</v>
      </c>
      <c r="Z74" s="176">
        <v>44708.527773171299</v>
      </c>
      <c r="AA74" s="1" t="s">
        <v>737</v>
      </c>
      <c r="AB74" s="1" t="s">
        <v>816</v>
      </c>
      <c r="AC74" s="216">
        <v>125</v>
      </c>
    </row>
    <row r="75" spans="3:29" x14ac:dyDescent="0.3">
      <c r="C75" s="48">
        <v>17</v>
      </c>
      <c r="D75" s="10" t="s">
        <v>1026</v>
      </c>
      <c r="F75" s="8">
        <v>26</v>
      </c>
      <c r="G75" s="10" t="s">
        <v>999</v>
      </c>
      <c r="I75" s="8">
        <v>27</v>
      </c>
      <c r="J75" s="10" t="s">
        <v>284</v>
      </c>
      <c r="K75" s="8">
        <v>32</v>
      </c>
      <c r="L75" s="160" t="s">
        <v>362</v>
      </c>
      <c r="M75"/>
      <c r="O75" s="8">
        <v>42</v>
      </c>
      <c r="P75" s="1" t="s">
        <v>227</v>
      </c>
      <c r="Q75" s="8">
        <v>71</v>
      </c>
      <c r="R75" s="10" t="s">
        <v>228</v>
      </c>
      <c r="S75" s="1" t="s">
        <v>995</v>
      </c>
      <c r="U75" s="8">
        <v>44</v>
      </c>
      <c r="V75" s="1" t="s">
        <v>294</v>
      </c>
      <c r="W75" s="1" t="s">
        <v>5</v>
      </c>
      <c r="X75" s="8">
        <v>12</v>
      </c>
      <c r="Y75" s="48" t="s">
        <v>228</v>
      </c>
      <c r="Z75" s="176">
        <v>44708.524593275462</v>
      </c>
      <c r="AA75" s="1" t="s">
        <v>737</v>
      </c>
      <c r="AB75" s="1" t="s">
        <v>816</v>
      </c>
      <c r="AC75" s="216">
        <v>125</v>
      </c>
    </row>
    <row r="76" spans="3:29" x14ac:dyDescent="0.3">
      <c r="C76" s="48">
        <v>18</v>
      </c>
      <c r="D76" s="10" t="s">
        <v>1025</v>
      </c>
      <c r="F76" s="8">
        <v>27</v>
      </c>
      <c r="G76" s="10" t="s">
        <v>1040</v>
      </c>
      <c r="I76" s="8">
        <v>28</v>
      </c>
      <c r="J76" s="10" t="s">
        <v>733</v>
      </c>
      <c r="K76" s="8">
        <v>16</v>
      </c>
      <c r="L76" s="160" t="s">
        <v>734</v>
      </c>
      <c r="M76"/>
      <c r="O76" s="211"/>
      <c r="P76" s="211"/>
      <c r="Q76" s="211"/>
      <c r="R76" s="211"/>
      <c r="S76" s="211"/>
      <c r="U76" s="8">
        <v>45</v>
      </c>
      <c r="V76" s="1" t="s">
        <v>290</v>
      </c>
      <c r="W76" s="1" t="s">
        <v>5</v>
      </c>
      <c r="X76" s="8">
        <v>44</v>
      </c>
      <c r="Y76" s="48" t="s">
        <v>228</v>
      </c>
      <c r="Z76" s="176">
        <v>44708.522258993056</v>
      </c>
      <c r="AA76" s="1" t="s">
        <v>737</v>
      </c>
      <c r="AB76" s="1" t="s">
        <v>816</v>
      </c>
      <c r="AC76" s="216">
        <v>125</v>
      </c>
    </row>
    <row r="77" spans="3:29" x14ac:dyDescent="0.3">
      <c r="C77" s="48">
        <v>19</v>
      </c>
      <c r="D77" s="10" t="s">
        <v>1041</v>
      </c>
      <c r="F77" s="8">
        <v>28</v>
      </c>
      <c r="G77" s="10" t="s">
        <v>1164</v>
      </c>
      <c r="I77" s="8">
        <v>29</v>
      </c>
      <c r="J77" s="10" t="s">
        <v>258</v>
      </c>
      <c r="K77" s="8">
        <v>39</v>
      </c>
      <c r="L77" s="160" t="s">
        <v>382</v>
      </c>
      <c r="M77"/>
      <c r="U77" s="8">
        <v>46</v>
      </c>
      <c r="V77" s="1" t="s">
        <v>352</v>
      </c>
      <c r="W77" s="1" t="s">
        <v>8</v>
      </c>
      <c r="X77" s="8">
        <v>13</v>
      </c>
      <c r="Y77" s="48" t="s">
        <v>228</v>
      </c>
      <c r="Z77" s="176">
        <v>44704.75811412037</v>
      </c>
      <c r="AA77" s="1" t="s">
        <v>737</v>
      </c>
      <c r="AB77" s="1" t="s">
        <v>816</v>
      </c>
      <c r="AC77" s="216">
        <v>125</v>
      </c>
    </row>
    <row r="78" spans="3:29" x14ac:dyDescent="0.3">
      <c r="C78" s="48">
        <v>20</v>
      </c>
      <c r="D78" s="10" t="s">
        <v>996</v>
      </c>
      <c r="F78" s="8">
        <v>29</v>
      </c>
      <c r="G78" s="10" t="s">
        <v>1179</v>
      </c>
      <c r="I78" s="8">
        <v>30</v>
      </c>
      <c r="J78" s="10" t="s">
        <v>234</v>
      </c>
      <c r="K78" s="8">
        <v>30</v>
      </c>
      <c r="L78" s="160" t="s">
        <v>383</v>
      </c>
      <c r="M78"/>
      <c r="U78" s="8">
        <v>47</v>
      </c>
      <c r="V78" s="1" t="s">
        <v>346</v>
      </c>
      <c r="W78" s="1" t="s">
        <v>345</v>
      </c>
      <c r="X78" s="8">
        <v>60</v>
      </c>
      <c r="Y78" s="48" t="s">
        <v>228</v>
      </c>
      <c r="Z78" s="176">
        <v>44702.732521805556</v>
      </c>
      <c r="AA78" s="1" t="s">
        <v>737</v>
      </c>
      <c r="AB78" s="1" t="s">
        <v>816</v>
      </c>
      <c r="AC78" s="216">
        <v>125</v>
      </c>
    </row>
    <row r="79" spans="3:29" x14ac:dyDescent="0.3">
      <c r="C79" s="48">
        <v>21</v>
      </c>
      <c r="D79" s="10" t="s">
        <v>376</v>
      </c>
      <c r="F79" s="8">
        <v>30</v>
      </c>
      <c r="G79" s="10" t="s">
        <v>1067</v>
      </c>
      <c r="I79" s="8">
        <v>31</v>
      </c>
      <c r="J79" s="10" t="s">
        <v>437</v>
      </c>
      <c r="K79" s="8">
        <v>44</v>
      </c>
      <c r="L79" s="160" t="s">
        <v>440</v>
      </c>
      <c r="M79"/>
      <c r="U79" s="8">
        <v>48</v>
      </c>
      <c r="V79" s="1" t="s">
        <v>312</v>
      </c>
      <c r="W79" s="1" t="s">
        <v>81</v>
      </c>
      <c r="X79" s="8">
        <v>69</v>
      </c>
      <c r="Y79" s="48" t="s">
        <v>228</v>
      </c>
      <c r="Z79" s="176">
        <v>44702.537544050923</v>
      </c>
      <c r="AA79" s="1" t="s">
        <v>995</v>
      </c>
      <c r="AB79" s="1" t="s">
        <v>816</v>
      </c>
      <c r="AC79" s="216">
        <v>150</v>
      </c>
    </row>
    <row r="80" spans="3:29" x14ac:dyDescent="0.3">
      <c r="C80" s="48">
        <v>22</v>
      </c>
      <c r="D80" s="10" t="s">
        <v>1035</v>
      </c>
      <c r="F80" s="8">
        <v>31</v>
      </c>
      <c r="G80" s="10" t="s">
        <v>438</v>
      </c>
      <c r="I80" s="8">
        <v>32</v>
      </c>
      <c r="J80" s="10" t="s">
        <v>365</v>
      </c>
      <c r="K80" s="8">
        <v>16</v>
      </c>
      <c r="L80" s="160" t="s">
        <v>368</v>
      </c>
      <c r="M80"/>
      <c r="U80" s="8">
        <v>48</v>
      </c>
      <c r="V80" s="1" t="s">
        <v>312</v>
      </c>
      <c r="W80" s="1" t="s">
        <v>81</v>
      </c>
      <c r="X80" s="8">
        <v>69</v>
      </c>
      <c r="Y80" s="48" t="s">
        <v>228</v>
      </c>
      <c r="Z80" s="176">
        <v>44702.537544050923</v>
      </c>
      <c r="AA80" s="1" t="s">
        <v>737</v>
      </c>
      <c r="AB80" s="1" t="s">
        <v>816</v>
      </c>
      <c r="AC80" s="216">
        <v>125</v>
      </c>
    </row>
    <row r="81" spans="3:29" x14ac:dyDescent="0.3">
      <c r="C81" s="48">
        <v>23</v>
      </c>
      <c r="D81" s="10" t="s">
        <v>1015</v>
      </c>
      <c r="F81" s="8">
        <v>32</v>
      </c>
      <c r="G81" s="10" t="s">
        <v>366</v>
      </c>
      <c r="I81" s="8">
        <v>33</v>
      </c>
      <c r="J81" s="10" t="s">
        <v>459</v>
      </c>
      <c r="K81" s="8">
        <v>21</v>
      </c>
      <c r="L81" s="160" t="s">
        <v>655</v>
      </c>
      <c r="M81"/>
      <c r="U81" s="8">
        <v>49</v>
      </c>
      <c r="V81" s="1" t="s">
        <v>113</v>
      </c>
      <c r="W81" s="1" t="s">
        <v>5</v>
      </c>
      <c r="X81" s="8">
        <v>29</v>
      </c>
      <c r="Y81" s="48" t="s">
        <v>228</v>
      </c>
      <c r="Z81" s="176">
        <v>44701.755543472224</v>
      </c>
      <c r="AA81" s="1" t="s">
        <v>737</v>
      </c>
      <c r="AB81" s="1" t="s">
        <v>816</v>
      </c>
      <c r="AC81" s="216">
        <v>125</v>
      </c>
    </row>
    <row r="82" spans="3:29" x14ac:dyDescent="0.3">
      <c r="C82" s="48">
        <v>24</v>
      </c>
      <c r="D82" s="10" t="s">
        <v>997</v>
      </c>
      <c r="F82" s="8">
        <v>33</v>
      </c>
      <c r="G82" s="10" t="s">
        <v>1027</v>
      </c>
      <c r="I82" s="8">
        <v>34</v>
      </c>
      <c r="J82" s="10" t="s">
        <v>227</v>
      </c>
      <c r="K82" s="8">
        <v>71</v>
      </c>
      <c r="L82" s="160" t="s">
        <v>384</v>
      </c>
      <c r="M82"/>
      <c r="U82" s="8">
        <v>49</v>
      </c>
      <c r="V82" s="1" t="s">
        <v>113</v>
      </c>
      <c r="W82" s="1" t="s">
        <v>5</v>
      </c>
      <c r="X82" s="8">
        <v>29</v>
      </c>
      <c r="Y82" s="48" t="s">
        <v>228</v>
      </c>
      <c r="Z82" s="176">
        <v>44701.755543472224</v>
      </c>
      <c r="AA82" s="1" t="s">
        <v>995</v>
      </c>
      <c r="AB82" s="1" t="s">
        <v>816</v>
      </c>
      <c r="AC82" s="216">
        <v>150</v>
      </c>
    </row>
    <row r="83" spans="3:29" x14ac:dyDescent="0.3">
      <c r="C83" s="48">
        <v>25</v>
      </c>
      <c r="D83" s="10" t="s">
        <v>1020</v>
      </c>
      <c r="F83" s="8">
        <v>34</v>
      </c>
      <c r="G83" s="10" t="s">
        <v>1049</v>
      </c>
      <c r="I83" s="8">
        <v>35</v>
      </c>
      <c r="J83" s="10" t="s">
        <v>909</v>
      </c>
      <c r="K83" s="8">
        <v>56</v>
      </c>
      <c r="L83" s="160" t="s">
        <v>910</v>
      </c>
      <c r="M83"/>
      <c r="U83" s="8">
        <v>50</v>
      </c>
      <c r="V83" s="1" t="s">
        <v>274</v>
      </c>
      <c r="W83" s="1" t="s">
        <v>4</v>
      </c>
      <c r="X83" s="8">
        <v>24</v>
      </c>
      <c r="Y83" s="48" t="s">
        <v>228</v>
      </c>
      <c r="Z83" s="176">
        <v>44701.750099965277</v>
      </c>
      <c r="AA83" s="1" t="s">
        <v>995</v>
      </c>
      <c r="AB83" s="1" t="s">
        <v>816</v>
      </c>
      <c r="AC83" s="216">
        <v>150</v>
      </c>
    </row>
    <row r="84" spans="3:29" x14ac:dyDescent="0.3">
      <c r="C84" s="48">
        <v>26</v>
      </c>
      <c r="D84" s="10" t="s">
        <v>1046</v>
      </c>
      <c r="F84" s="8">
        <v>35</v>
      </c>
      <c r="G84" s="10" t="s">
        <v>913</v>
      </c>
      <c r="I84" s="8">
        <v>36</v>
      </c>
      <c r="J84" s="10" t="s">
        <v>220</v>
      </c>
      <c r="K84" s="8">
        <v>50</v>
      </c>
      <c r="L84" s="160" t="s">
        <v>385</v>
      </c>
      <c r="M84"/>
      <c r="U84" s="8">
        <v>50</v>
      </c>
      <c r="V84" s="1" t="s">
        <v>274</v>
      </c>
      <c r="W84" s="1" t="s">
        <v>4</v>
      </c>
      <c r="X84" s="8">
        <v>24</v>
      </c>
      <c r="Y84" s="48" t="s">
        <v>228</v>
      </c>
      <c r="Z84" s="176">
        <v>44701.750099965277</v>
      </c>
      <c r="AA84" s="1" t="s">
        <v>737</v>
      </c>
      <c r="AB84" s="1" t="s">
        <v>816</v>
      </c>
      <c r="AC84" s="216">
        <v>125</v>
      </c>
    </row>
    <row r="85" spans="3:29" x14ac:dyDescent="0.3">
      <c r="C85" s="48">
        <v>27</v>
      </c>
      <c r="D85" s="10" t="s">
        <v>1021</v>
      </c>
      <c r="F85" s="8">
        <v>36</v>
      </c>
      <c r="G85" s="10" t="s">
        <v>1053</v>
      </c>
      <c r="I85" s="8">
        <v>37</v>
      </c>
      <c r="J85" s="10" t="s">
        <v>349</v>
      </c>
      <c r="K85" s="8">
        <v>60</v>
      </c>
      <c r="L85" s="160" t="s">
        <v>386</v>
      </c>
      <c r="M85"/>
      <c r="U85" s="8">
        <v>51</v>
      </c>
      <c r="V85" s="1" t="s">
        <v>24</v>
      </c>
      <c r="W85" s="1" t="s">
        <v>4</v>
      </c>
      <c r="X85" s="8">
        <v>21</v>
      </c>
      <c r="Y85" s="48" t="s">
        <v>228</v>
      </c>
      <c r="Z85" s="176">
        <v>44696.912035578702</v>
      </c>
      <c r="AA85" s="1" t="s">
        <v>737</v>
      </c>
      <c r="AB85" s="1" t="s">
        <v>816</v>
      </c>
      <c r="AC85" s="216">
        <v>125</v>
      </c>
    </row>
    <row r="86" spans="3:29" x14ac:dyDescent="0.3">
      <c r="C86" s="48">
        <v>28</v>
      </c>
      <c r="D86" s="10" t="s">
        <v>1044</v>
      </c>
      <c r="F86" s="8">
        <v>37</v>
      </c>
      <c r="G86" s="10" t="s">
        <v>987</v>
      </c>
      <c r="I86" s="8">
        <v>38</v>
      </c>
      <c r="J86" s="10" t="s">
        <v>624</v>
      </c>
      <c r="K86" s="8">
        <v>15</v>
      </c>
      <c r="L86" s="160" t="s">
        <v>625</v>
      </c>
      <c r="M86"/>
      <c r="U86" s="8">
        <v>51</v>
      </c>
      <c r="V86" s="1" t="s">
        <v>24</v>
      </c>
      <c r="W86" s="1" t="s">
        <v>4</v>
      </c>
      <c r="X86" s="8">
        <v>21</v>
      </c>
      <c r="Y86" s="48" t="s">
        <v>228</v>
      </c>
      <c r="Z86" s="176">
        <v>44696.912035578702</v>
      </c>
      <c r="AA86" s="1" t="s">
        <v>995</v>
      </c>
      <c r="AB86" s="1" t="s">
        <v>816</v>
      </c>
      <c r="AC86" s="216">
        <v>150</v>
      </c>
    </row>
    <row r="87" spans="3:29" x14ac:dyDescent="0.3">
      <c r="C87" s="48">
        <v>29</v>
      </c>
      <c r="D87" s="10" t="s">
        <v>1181</v>
      </c>
      <c r="F87" s="8">
        <v>38</v>
      </c>
      <c r="G87" s="10" t="s">
        <v>627</v>
      </c>
      <c r="I87" s="8">
        <v>39</v>
      </c>
      <c r="J87" s="10" t="s">
        <v>356</v>
      </c>
      <c r="K87" s="8">
        <v>15</v>
      </c>
      <c r="L87" s="160" t="s">
        <v>361</v>
      </c>
      <c r="M87"/>
      <c r="U87" s="8">
        <v>52</v>
      </c>
      <c r="V87" s="1" t="s">
        <v>60</v>
      </c>
      <c r="W87" s="1" t="s">
        <v>8</v>
      </c>
      <c r="X87" s="8">
        <v>32</v>
      </c>
      <c r="Y87" s="48" t="s">
        <v>228</v>
      </c>
      <c r="Z87" s="176">
        <v>44693.758270416663</v>
      </c>
      <c r="AA87" s="1" t="s">
        <v>995</v>
      </c>
      <c r="AB87" s="1" t="s">
        <v>816</v>
      </c>
      <c r="AC87" s="216">
        <v>150</v>
      </c>
    </row>
    <row r="88" spans="3:29" x14ac:dyDescent="0.3">
      <c r="C88" s="48">
        <v>30</v>
      </c>
      <c r="D88" s="10" t="s">
        <v>1054</v>
      </c>
      <c r="F88" s="8">
        <v>39</v>
      </c>
      <c r="G88" s="10" t="s">
        <v>357</v>
      </c>
      <c r="I88" s="8">
        <v>40</v>
      </c>
      <c r="J88" s="10" t="s">
        <v>942</v>
      </c>
      <c r="K88" s="8">
        <v>40</v>
      </c>
      <c r="L88" s="160" t="s">
        <v>943</v>
      </c>
      <c r="M88"/>
      <c r="U88" s="8">
        <v>52</v>
      </c>
      <c r="V88" s="1" t="s">
        <v>60</v>
      </c>
      <c r="W88" s="1" t="s">
        <v>8</v>
      </c>
      <c r="X88" s="8">
        <v>32</v>
      </c>
      <c r="Y88" s="48" t="s">
        <v>228</v>
      </c>
      <c r="Z88" s="176">
        <v>44693.758270416663</v>
      </c>
      <c r="AA88" s="1" t="s">
        <v>737</v>
      </c>
      <c r="AB88" s="1" t="s">
        <v>816</v>
      </c>
      <c r="AC88" s="216">
        <v>125</v>
      </c>
    </row>
    <row r="89" spans="3:29" x14ac:dyDescent="0.3">
      <c r="C89" s="48">
        <v>31</v>
      </c>
      <c r="D89" s="10" t="s">
        <v>1055</v>
      </c>
      <c r="F89" s="8">
        <v>40</v>
      </c>
      <c r="G89" s="10" t="s">
        <v>1180</v>
      </c>
      <c r="I89" s="8">
        <v>41</v>
      </c>
      <c r="J89" s="10" t="s">
        <v>355</v>
      </c>
      <c r="K89" s="8">
        <v>12</v>
      </c>
      <c r="L89" s="160" t="s">
        <v>387</v>
      </c>
      <c r="M89"/>
      <c r="U89" s="8">
        <v>53</v>
      </c>
      <c r="V89" s="1" t="s">
        <v>23</v>
      </c>
      <c r="W89" s="1" t="s">
        <v>7</v>
      </c>
      <c r="X89" s="8">
        <v>57</v>
      </c>
      <c r="Y89" s="48" t="s">
        <v>228</v>
      </c>
      <c r="Z89" s="176">
        <v>44691.591918090278</v>
      </c>
      <c r="AA89" s="1" t="s">
        <v>737</v>
      </c>
      <c r="AB89" s="1" t="s">
        <v>816</v>
      </c>
      <c r="AC89" s="216">
        <v>125</v>
      </c>
    </row>
    <row r="90" spans="3:29" x14ac:dyDescent="0.3">
      <c r="C90" s="48">
        <v>32</v>
      </c>
      <c r="D90" s="10" t="s">
        <v>1028</v>
      </c>
      <c r="F90" s="8">
        <v>41</v>
      </c>
      <c r="G90" s="10" t="s">
        <v>375</v>
      </c>
      <c r="I90" s="8">
        <v>42</v>
      </c>
      <c r="J90" s="10" t="s">
        <v>961</v>
      </c>
      <c r="K90" s="8">
        <v>10</v>
      </c>
      <c r="L90" s="160" t="s">
        <v>962</v>
      </c>
      <c r="M90"/>
      <c r="U90" s="8">
        <v>54</v>
      </c>
      <c r="V90" s="1" t="s">
        <v>260</v>
      </c>
      <c r="W90" s="1" t="s">
        <v>4</v>
      </c>
      <c r="X90" s="8">
        <v>21</v>
      </c>
      <c r="Y90" s="48" t="s">
        <v>228</v>
      </c>
      <c r="Z90" s="176">
        <v>44684.892289768519</v>
      </c>
      <c r="AA90" s="1" t="s">
        <v>995</v>
      </c>
      <c r="AB90" s="1" t="s">
        <v>816</v>
      </c>
      <c r="AC90" s="216">
        <v>150</v>
      </c>
    </row>
    <row r="91" spans="3:29" x14ac:dyDescent="0.3">
      <c r="C91" s="48">
        <v>33</v>
      </c>
      <c r="D91" s="10" t="s">
        <v>1033</v>
      </c>
      <c r="F91" s="8">
        <v>42</v>
      </c>
      <c r="G91" s="10" t="s">
        <v>965</v>
      </c>
      <c r="I91" s="8">
        <v>43</v>
      </c>
      <c r="J91" s="10" t="s">
        <v>353</v>
      </c>
      <c r="K91" s="8">
        <v>13</v>
      </c>
      <c r="L91" s="160" t="s">
        <v>656</v>
      </c>
      <c r="M91"/>
      <c r="U91" s="8">
        <v>54</v>
      </c>
      <c r="V91" s="1" t="s">
        <v>260</v>
      </c>
      <c r="W91" s="1" t="s">
        <v>4</v>
      </c>
      <c r="X91" s="8">
        <v>21</v>
      </c>
      <c r="Y91" s="48" t="s">
        <v>228</v>
      </c>
      <c r="Z91" s="176">
        <v>44684.892289768519</v>
      </c>
      <c r="AA91" s="1" t="s">
        <v>737</v>
      </c>
      <c r="AB91" s="1" t="s">
        <v>816</v>
      </c>
      <c r="AC91" s="216">
        <v>125</v>
      </c>
    </row>
    <row r="92" spans="3:29" x14ac:dyDescent="0.3">
      <c r="C92" s="48">
        <v>34</v>
      </c>
      <c r="D92" s="10" t="s">
        <v>1000</v>
      </c>
      <c r="F92" s="8">
        <v>43</v>
      </c>
      <c r="G92" s="10" t="s">
        <v>1170</v>
      </c>
      <c r="I92" s="8">
        <v>44</v>
      </c>
      <c r="J92" s="10" t="s">
        <v>944</v>
      </c>
      <c r="K92" s="8">
        <v>10</v>
      </c>
      <c r="L92" s="160" t="s">
        <v>963</v>
      </c>
      <c r="M92"/>
      <c r="U92" s="8">
        <v>55</v>
      </c>
      <c r="V92" s="1" t="s">
        <v>266</v>
      </c>
      <c r="W92" s="1" t="s">
        <v>81</v>
      </c>
      <c r="X92" s="8">
        <v>37</v>
      </c>
      <c r="Y92" s="48" t="s">
        <v>228</v>
      </c>
      <c r="Z92" s="176">
        <v>44681.845998321762</v>
      </c>
      <c r="AA92" s="1" t="s">
        <v>737</v>
      </c>
      <c r="AB92" s="1" t="s">
        <v>816</v>
      </c>
      <c r="AC92" s="216">
        <v>125</v>
      </c>
    </row>
    <row r="93" spans="3:29" x14ac:dyDescent="0.3">
      <c r="C93" s="48">
        <v>35</v>
      </c>
      <c r="D93" s="10" t="s">
        <v>1031</v>
      </c>
      <c r="F93" s="8">
        <v>44</v>
      </c>
      <c r="G93" s="10" t="s">
        <v>966</v>
      </c>
      <c r="I93" s="8">
        <v>45</v>
      </c>
      <c r="J93" s="10" t="s">
        <v>267</v>
      </c>
      <c r="K93" s="8">
        <v>37</v>
      </c>
      <c r="L93" s="160" t="s">
        <v>792</v>
      </c>
      <c r="M93"/>
      <c r="U93" s="8">
        <v>55</v>
      </c>
      <c r="V93" s="1" t="s">
        <v>266</v>
      </c>
      <c r="W93" s="1" t="s">
        <v>81</v>
      </c>
      <c r="X93" s="8">
        <v>37</v>
      </c>
      <c r="Y93" s="48" t="s">
        <v>228</v>
      </c>
      <c r="Z93" s="176">
        <v>44681.845998321762</v>
      </c>
      <c r="AA93" s="1" t="s">
        <v>995</v>
      </c>
      <c r="AB93" s="1" t="s">
        <v>816</v>
      </c>
      <c r="AC93" s="216">
        <v>150</v>
      </c>
    </row>
    <row r="94" spans="3:29" x14ac:dyDescent="0.3">
      <c r="C94" s="48">
        <v>36</v>
      </c>
      <c r="D94" s="10" t="s">
        <v>1066</v>
      </c>
      <c r="F94" s="8">
        <v>45</v>
      </c>
      <c r="G94" s="10" t="s">
        <v>1043</v>
      </c>
      <c r="I94" s="8">
        <v>46</v>
      </c>
      <c r="J94" s="10" t="s">
        <v>313</v>
      </c>
      <c r="K94" s="8">
        <v>69</v>
      </c>
      <c r="L94" s="160" t="s">
        <v>793</v>
      </c>
      <c r="M94"/>
      <c r="U94" s="8">
        <v>57</v>
      </c>
      <c r="V94" s="1" t="s">
        <v>257</v>
      </c>
      <c r="W94" s="1" t="s">
        <v>8</v>
      </c>
      <c r="X94" s="8">
        <v>39</v>
      </c>
      <c r="Y94" s="48" t="s">
        <v>228</v>
      </c>
      <c r="Z94" s="176">
        <v>44677.940368298609</v>
      </c>
      <c r="AA94" s="1" t="s">
        <v>737</v>
      </c>
      <c r="AB94" s="1" t="s">
        <v>816</v>
      </c>
      <c r="AC94" s="216">
        <v>125</v>
      </c>
    </row>
    <row r="95" spans="3:29" x14ac:dyDescent="0.3">
      <c r="C95" s="48">
        <v>37</v>
      </c>
      <c r="D95" s="10" t="s">
        <v>1011</v>
      </c>
      <c r="F95" s="8">
        <v>46</v>
      </c>
      <c r="G95" s="10" t="s">
        <v>1032</v>
      </c>
      <c r="I95" s="8">
        <v>47</v>
      </c>
      <c r="J95" s="10" t="s">
        <v>457</v>
      </c>
      <c r="K95" s="8">
        <v>21</v>
      </c>
      <c r="L95" s="160" t="s">
        <v>794</v>
      </c>
      <c r="M95"/>
      <c r="U95" s="8">
        <v>57</v>
      </c>
      <c r="V95" s="1" t="s">
        <v>257</v>
      </c>
      <c r="W95" s="1" t="s">
        <v>8</v>
      </c>
      <c r="X95" s="8">
        <v>39</v>
      </c>
      <c r="Y95" s="48" t="s">
        <v>228</v>
      </c>
      <c r="Z95" s="176">
        <v>44677.940368298609</v>
      </c>
      <c r="AA95" s="1" t="s">
        <v>995</v>
      </c>
      <c r="AB95" s="1" t="s">
        <v>816</v>
      </c>
      <c r="AC95" s="216">
        <v>150</v>
      </c>
    </row>
    <row r="96" spans="3:29" x14ac:dyDescent="0.3">
      <c r="C96" s="48">
        <v>38</v>
      </c>
      <c r="D96" s="10" t="s">
        <v>1030</v>
      </c>
      <c r="F96" s="8">
        <v>47</v>
      </c>
      <c r="G96" s="10" t="s">
        <v>1024</v>
      </c>
      <c r="I96" s="8">
        <v>48</v>
      </c>
      <c r="J96" s="10" t="s">
        <v>790</v>
      </c>
      <c r="K96" s="8">
        <v>25</v>
      </c>
      <c r="L96" s="160" t="s">
        <v>795</v>
      </c>
      <c r="M96"/>
      <c r="U96" s="8">
        <v>59</v>
      </c>
      <c r="V96" s="1" t="s">
        <v>253</v>
      </c>
      <c r="W96" s="1" t="s">
        <v>8</v>
      </c>
      <c r="X96" s="8">
        <v>24</v>
      </c>
      <c r="Y96" s="48" t="s">
        <v>228</v>
      </c>
      <c r="Z96" s="176">
        <v>44676.414171388889</v>
      </c>
      <c r="AA96" s="1" t="s">
        <v>737</v>
      </c>
      <c r="AB96" s="1" t="s">
        <v>816</v>
      </c>
      <c r="AC96" s="216">
        <v>125</v>
      </c>
    </row>
    <row r="97" spans="3:29" x14ac:dyDescent="0.3">
      <c r="C97" s="48">
        <v>39</v>
      </c>
      <c r="D97" s="10" t="s">
        <v>1039</v>
      </c>
      <c r="F97" s="8">
        <v>48</v>
      </c>
      <c r="G97" s="10" t="s">
        <v>997</v>
      </c>
      <c r="I97" s="38"/>
      <c r="J97" s="37"/>
      <c r="K97" s="38"/>
      <c r="L97" s="88"/>
      <c r="M97"/>
      <c r="U97" s="8">
        <v>60</v>
      </c>
      <c r="V97" s="1" t="s">
        <v>233</v>
      </c>
      <c r="W97" s="1" t="s">
        <v>8</v>
      </c>
      <c r="X97" s="8">
        <v>30</v>
      </c>
      <c r="Y97" s="48" t="s">
        <v>228</v>
      </c>
      <c r="Z97" s="176">
        <v>44674.414848483793</v>
      </c>
      <c r="AA97" s="1" t="s">
        <v>737</v>
      </c>
      <c r="AB97" s="1" t="s">
        <v>816</v>
      </c>
      <c r="AC97" s="216">
        <v>125</v>
      </c>
    </row>
    <row r="98" spans="3:29" x14ac:dyDescent="0.3">
      <c r="C98" s="48">
        <v>40</v>
      </c>
      <c r="D98" s="10" t="s">
        <v>953</v>
      </c>
      <c r="F98" s="8">
        <v>49</v>
      </c>
      <c r="G98" s="10" t="s">
        <v>1031</v>
      </c>
      <c r="I98" s="234" t="s">
        <v>518</v>
      </c>
      <c r="J98" s="234"/>
      <c r="K98" s="234"/>
      <c r="L98" s="234"/>
      <c r="M98"/>
      <c r="U98" s="8">
        <v>60</v>
      </c>
      <c r="V98" s="1" t="s">
        <v>233</v>
      </c>
      <c r="W98" s="1" t="s">
        <v>8</v>
      </c>
      <c r="X98" s="8">
        <v>30</v>
      </c>
      <c r="Y98" s="48" t="s">
        <v>228</v>
      </c>
      <c r="Z98" s="176">
        <v>44674.414848483793</v>
      </c>
      <c r="AA98" s="1" t="s">
        <v>995</v>
      </c>
      <c r="AB98" s="1" t="s">
        <v>816</v>
      </c>
      <c r="AC98" s="216">
        <v>150</v>
      </c>
    </row>
    <row r="99" spans="3:29" x14ac:dyDescent="0.3">
      <c r="C99" s="48">
        <v>41</v>
      </c>
      <c r="D99" s="10" t="s">
        <v>1012</v>
      </c>
      <c r="F99" s="8">
        <v>50</v>
      </c>
      <c r="G99" s="10" t="s">
        <v>1030</v>
      </c>
      <c r="I99" s="234"/>
      <c r="J99" s="234"/>
      <c r="K99" s="234"/>
      <c r="L99" s="234"/>
      <c r="M99"/>
      <c r="U99" s="8">
        <v>61</v>
      </c>
      <c r="V99" s="1" t="s">
        <v>63</v>
      </c>
      <c r="W99" s="1" t="s">
        <v>3</v>
      </c>
      <c r="X99" s="8">
        <v>27</v>
      </c>
      <c r="Y99" s="48" t="s">
        <v>228</v>
      </c>
      <c r="Z99" s="176">
        <v>44672.628060787036</v>
      </c>
      <c r="AA99" s="1" t="s">
        <v>737</v>
      </c>
      <c r="AB99" s="1" t="s">
        <v>816</v>
      </c>
      <c r="AC99" s="216">
        <v>125</v>
      </c>
    </row>
    <row r="100" spans="3:29" x14ac:dyDescent="0.3">
      <c r="C100" s="48">
        <v>42</v>
      </c>
      <c r="D100" s="10" t="s">
        <v>1022</v>
      </c>
      <c r="F100" s="8">
        <v>51</v>
      </c>
      <c r="G100" s="10" t="s">
        <v>1002</v>
      </c>
      <c r="I100" s="229" t="str">
        <f>$I$39</f>
        <v>🏓 48 ud af 72 tilmeldinger (67%)</v>
      </c>
      <c r="J100" s="229" t="str">
        <f>"🏓 "&amp;$M$7&amp;" ud af "&amp;$M$6&amp;" ∙ 🎉 "&amp;$S$7&amp;" ud af "&amp;$S$6</f>
        <v>🏓 48 ud af 72 ∙ 🎉 42 ud af 120</v>
      </c>
      <c r="K100" s="229" t="str">
        <f>"🏓 "&amp;$M$7&amp;" ud af "&amp;$M$6&amp;" ∙ 🎉 "&amp;$S$7&amp;" ud af "&amp;$S$6</f>
        <v>🏓 48 ud af 72 ∙ 🎉 42 ud af 120</v>
      </c>
      <c r="L100" s="229" t="str">
        <f>"🏓 "&amp;$M$7&amp;" ud af "&amp;$M$6&amp;" ∙ 🎉 "&amp;$S$7&amp;" ud af "&amp;$S$6</f>
        <v>🏓 48 ud af 72 ∙ 🎉 42 ud af 120</v>
      </c>
      <c r="M100"/>
      <c r="U100" s="8">
        <v>61</v>
      </c>
      <c r="V100" s="1" t="s">
        <v>63</v>
      </c>
      <c r="W100" s="1" t="s">
        <v>3</v>
      </c>
      <c r="X100" s="8">
        <v>27</v>
      </c>
      <c r="Y100" s="48" t="s">
        <v>228</v>
      </c>
      <c r="Z100" s="176">
        <v>44672.628060787036</v>
      </c>
      <c r="AA100" s="1" t="s">
        <v>995</v>
      </c>
      <c r="AB100" s="1" t="s">
        <v>816</v>
      </c>
      <c r="AC100" s="216">
        <v>150</v>
      </c>
    </row>
    <row r="101" spans="3:29" x14ac:dyDescent="0.3">
      <c r="C101" s="48">
        <v>43</v>
      </c>
      <c r="D101" s="10" t="s">
        <v>1003</v>
      </c>
      <c r="F101" s="8">
        <v>52</v>
      </c>
      <c r="G101" s="10" t="s">
        <v>1054</v>
      </c>
      <c r="I101" s="226" t="str">
        <f>$I$40</f>
        <v>♂️ 48 herrer (100%) ∙ ♀️ 0 damer (0%)</v>
      </c>
      <c r="J101" s="226"/>
      <c r="K101" s="226"/>
      <c r="L101" s="226"/>
      <c r="M101"/>
      <c r="U101" s="8">
        <v>62</v>
      </c>
      <c r="V101" s="1" t="s">
        <v>28</v>
      </c>
      <c r="W101" s="1" t="s">
        <v>8</v>
      </c>
      <c r="X101" s="8">
        <v>26</v>
      </c>
      <c r="Y101" s="48" t="s">
        <v>228</v>
      </c>
      <c r="Z101" s="176">
        <v>44672.620914004627</v>
      </c>
      <c r="AA101" s="1" t="s">
        <v>995</v>
      </c>
      <c r="AB101" s="1" t="s">
        <v>816</v>
      </c>
      <c r="AC101" s="216">
        <v>150</v>
      </c>
    </row>
    <row r="102" spans="3:29" x14ac:dyDescent="0.3">
      <c r="C102" s="48">
        <v>44</v>
      </c>
      <c r="D102" s="10" t="s">
        <v>1005</v>
      </c>
      <c r="F102" s="8">
        <v>53</v>
      </c>
      <c r="G102" s="10" t="s">
        <v>1015</v>
      </c>
      <c r="I102" s="226" t="str">
        <f>$I$41</f>
        <v>👤 8  Ungdom (17%) ∙ 👤 26  Senior (54%) ∙ 👤 14  Veteran (29%)</v>
      </c>
      <c r="J102" s="226" t="str">
        <f t="shared" ref="J102:L102" si="4">"👤 Ungdom "&amp;TEXT(N(CUBEVALUE("ThisWorkbookDataModel",
CUBEMEMBER("ThisWorkbookDataModel","[Aldersgruppe_d2].[K: Aldersgruppe].&amp;[[&lt;=17]] Ungdom]"),
CUBEMEMBER("ThisWorkbookDataModel","[Measures].[👥 Tilmeldingsantal]")))/
N(CUBEVALUE("ThisWorkbookDataModel",CUBEMEMBER("ThisWorkbookDataModel","[Measures].[👥 Tilmeldingsantal]"))),"0%")
&amp;" ∙ 👤 Senior "&amp;TEXT(N(CUBEVALUE("ThisWorkbookDataModel",
CUBEMEMBER("ThisWorkbookDataModel","[Aldersgruppe_d2].[K: Aldersgruppe].&amp;[[&lt;=39]] Senior]"),
CUBEMEMBER("ThisWorkbookDataModel","[Measures].[👥 Tilmeldingsantal]")))/
N(CUBEVALUE("ThisWorkbookDataModel",CUBEMEMBER("ThisWorkbookDataModel","[Measures].[👥 Tilmeldingsantal]"))),"0%")
&amp;" ∙ 👤 Veteran "&amp;TEXT(N(CUBEVALUE("ThisWorkbookDataModel",
CUBEMEMBER("ThisWorkbookDataModel","[Aldersgruppe_d2].[K: Aldersgruppe].&amp;[[&gt;=40]] Veteran]"),
CUBEMEMBER("ThisWorkbookDataModel","[Measures].[👥 Tilmeldingsantal]")))/
N(CUBEVALUE("ThisWorkbookDataModel",CUBEMEMBER("ThisWorkbookDataModel","[Measures].[👥 Tilmeldingsantal]"))),"0%")</f>
        <v>👤 Ungdom 19% ∙ 👤 Senior 57% ∙ 👤 Veteran 24%</v>
      </c>
      <c r="K102" s="226" t="str">
        <f t="shared" si="4"/>
        <v>👤 Ungdom 19% ∙ 👤 Senior 57% ∙ 👤 Veteran 24%</v>
      </c>
      <c r="L102" s="226" t="str">
        <f t="shared" si="4"/>
        <v>👤 Ungdom 19% ∙ 👤 Senior 57% ∙ 👤 Veteran 24%</v>
      </c>
      <c r="M102"/>
      <c r="U102" s="8">
        <v>62</v>
      </c>
      <c r="V102" s="1" t="s">
        <v>28</v>
      </c>
      <c r="W102" s="1" t="s">
        <v>8</v>
      </c>
      <c r="X102" s="8">
        <v>26</v>
      </c>
      <c r="Y102" s="48" t="s">
        <v>228</v>
      </c>
      <c r="Z102" s="176">
        <v>44672.620914004627</v>
      </c>
      <c r="AA102" s="1" t="s">
        <v>737</v>
      </c>
      <c r="AB102" s="1" t="s">
        <v>816</v>
      </c>
      <c r="AC102" s="216">
        <v>125</v>
      </c>
    </row>
    <row r="103" spans="3:29" x14ac:dyDescent="0.3">
      <c r="C103" s="48">
        <v>45</v>
      </c>
      <c r="D103" s="10" t="s">
        <v>1043</v>
      </c>
      <c r="F103" s="8">
        <v>54</v>
      </c>
      <c r="G103" s="10" t="s">
        <v>1020</v>
      </c>
      <c r="I103" s="226" t="str">
        <f>$I$42</f>
        <v>👤 Min. 10 år ∙ 👤 Gns. 32 år ∙ 👤 Maks. 71 år</v>
      </c>
      <c r="J103" s="226"/>
      <c r="K103" s="226"/>
      <c r="L103" s="226"/>
      <c r="M103"/>
      <c r="U103" s="8">
        <v>63</v>
      </c>
      <c r="V103" s="1" t="s">
        <v>224</v>
      </c>
      <c r="W103" s="1" t="s">
        <v>8</v>
      </c>
      <c r="X103" s="8">
        <v>71</v>
      </c>
      <c r="Y103" s="48" t="s">
        <v>228</v>
      </c>
      <c r="Z103" s="176">
        <v>44669.447282534726</v>
      </c>
      <c r="AA103" s="1" t="s">
        <v>737</v>
      </c>
      <c r="AB103" s="1" t="s">
        <v>816</v>
      </c>
      <c r="AC103" s="216">
        <v>125</v>
      </c>
    </row>
    <row r="104" spans="3:29" x14ac:dyDescent="0.3">
      <c r="C104" s="48">
        <v>46</v>
      </c>
      <c r="D104" s="10" t="s">
        <v>1182</v>
      </c>
      <c r="F104" s="8">
        <v>55</v>
      </c>
      <c r="G104" s="10" t="s">
        <v>1012</v>
      </c>
      <c r="I104" s="226" t="str">
        <f>$I$43</f>
        <v>🏛️ 41 Jylland (91%) ∙ 🏛️ 0 Fyn (0%) ∙ 🏛️ 4 Sjælland (9%) ∙ 🏛️ 0 Bornholm (0%)</v>
      </c>
      <c r="J104" s="226" t="str">
        <f t="shared" ref="J104:L104" si="5">"🏛️ Jylland "&amp;TEXT(N(CUBEVALUE("ThisWorkbookDataModel",
CUBEMEMBER("ThisWorkbookDataModel","[Landsdel_d3].[K: Landsdel].&amp;[Jylland]"),
CUBEMEMBER("ThisWorkbookDataModel","[Measures].[👥 Tilmeldingsantal (kun med klub)]")))
/N(CUBEVALUE("ThisWorkbookDataModel",
CUBEMEMBER("ThisWorkbookDataModel","[Measures].[👥 Tilmeldingsantal (kun med klub)]]"))),"0%")
&amp;" ∙ 🏛️ Fyn "&amp;TEXT(N(CUBEVALUE("ThisWorkbookDataModel",
CUBEMEMBER("ThisWorkbookDataModel","[Landsdel_d3].[K: Landsdel].&amp;[Fyn]"),
CUBEMEMBER("ThisWorkbookDataModel","[Measures].[👥 Tilmeldingsantal (kun med klub)]")))
/N(CUBEVALUE("ThisWorkbookDataModel",
CUBEMEMBER("ThisWorkbookDataModel","[Measures].[👥 Tilmeldingsantal (kun med klub)]]"))),"0%")
&amp;" ∙ 🏛️ Sjælland "&amp;TEXT(N(CUBEVALUE("ThisWorkbookDataModel",
CUBEMEMBER("ThisWorkbookDataModel","[Landsdel_d3].[K: Landsdel].&amp;[Sjælland]"),
CUBEMEMBER("ThisWorkbookDataModel","[Measures].[👥 Tilmeldingsantal (kun med klub)]")))
/N(CUBEVALUE("ThisWorkbookDataModel",
CUBEMEMBER("ThisWorkbookDataModel","[Measures].[👥 Tilmeldingsantal (kun med klub)]]"))),"0%")
&amp;" ∙ 🏛️ Bornholm "&amp;TEXT(N(CUBEVALUE("ThisWorkbookDataModel",
CUBEMEMBER("ThisWorkbookDataModel","[Landsdel_d3].[K: Landsdel].&amp;[Bornholm]"),
CUBEMEMBER("ThisWorkbookDataModel","[Measures].[👥 Tilmeldingsantal (kun med klub)]")))
/N(CUBEVALUE("ThisWorkbookDataModel",
CUBEMEMBER("ThisWorkbookDataModel","[Measures].[👥 Tilmeldingsantal (kun med klub)]]"))),"0%")</f>
        <v>🏛️ Jylland 81% ∙ 🏛️ Fyn 6% ∙ 🏛️ Sjælland 13% ∙ 🏛️ Bornholm 0%</v>
      </c>
      <c r="K104" s="226" t="str">
        <f t="shared" si="5"/>
        <v>🏛️ Jylland 81% ∙ 🏛️ Fyn 6% ∙ 🏛️ Sjælland 13% ∙ 🏛️ Bornholm 0%</v>
      </c>
      <c r="L104" s="226" t="str">
        <f t="shared" si="5"/>
        <v>🏛️ Jylland 81% ∙ 🏛️ Fyn 6% ∙ 🏛️ Sjælland 13% ∙ 🏛️ Bornholm 0%</v>
      </c>
      <c r="M104"/>
      <c r="U104" s="8">
        <v>63</v>
      </c>
      <c r="V104" s="1" t="s">
        <v>224</v>
      </c>
      <c r="W104" s="1" t="s">
        <v>8</v>
      </c>
      <c r="X104" s="8">
        <v>71</v>
      </c>
      <c r="Y104" s="48" t="s">
        <v>228</v>
      </c>
      <c r="Z104" s="176">
        <v>44669.447282534726</v>
      </c>
      <c r="AA104" s="1" t="s">
        <v>995</v>
      </c>
      <c r="AB104" s="1" t="s">
        <v>816</v>
      </c>
      <c r="AC104" s="216">
        <v>150</v>
      </c>
    </row>
    <row r="105" spans="3:29" x14ac:dyDescent="0.3">
      <c r="C105" s="48">
        <v>47</v>
      </c>
      <c r="D105" s="10" t="s">
        <v>1183</v>
      </c>
      <c r="F105" s="8">
        <v>56</v>
      </c>
      <c r="G105" s="10" t="s">
        <v>1011</v>
      </c>
      <c r="I105" s="226" t="str">
        <f>$I$45</f>
        <v>👤 Min. 914 rating ∙ 👤 Gns. 1985 rating ∙ 👤 Maks. 2587 rating</v>
      </c>
      <c r="J105" s="226"/>
      <c r="K105" s="226"/>
      <c r="L105" s="226"/>
      <c r="M105"/>
      <c r="U105" s="8">
        <v>64</v>
      </c>
      <c r="V105" s="1" t="s">
        <v>223</v>
      </c>
      <c r="W105" s="1" t="s">
        <v>8</v>
      </c>
      <c r="X105" s="8">
        <v>40</v>
      </c>
      <c r="Y105" s="48" t="s">
        <v>228</v>
      </c>
      <c r="Z105" s="176">
        <v>44669.405239583335</v>
      </c>
      <c r="AA105" s="1" t="s">
        <v>737</v>
      </c>
      <c r="AB105" s="1" t="s">
        <v>816</v>
      </c>
      <c r="AC105" s="216">
        <v>125</v>
      </c>
    </row>
    <row r="106" spans="3:29" x14ac:dyDescent="0.3">
      <c r="C106" s="48">
        <v>48</v>
      </c>
      <c r="D106" s="10" t="s">
        <v>1050</v>
      </c>
      <c r="F106" s="8">
        <v>57</v>
      </c>
      <c r="G106" s="10" t="s">
        <v>996</v>
      </c>
      <c r="I106" s="226" t="str">
        <f>$I$46</f>
        <v>🛖 16 klubber</v>
      </c>
      <c r="J106" s="226"/>
      <c r="K106" s="226"/>
      <c r="L106" s="226"/>
      <c r="M106"/>
      <c r="U106" s="8">
        <v>64</v>
      </c>
      <c r="V106" s="1" t="s">
        <v>223</v>
      </c>
      <c r="W106" s="1" t="s">
        <v>8</v>
      </c>
      <c r="X106" s="8">
        <v>40</v>
      </c>
      <c r="Y106" s="48" t="s">
        <v>228</v>
      </c>
      <c r="Z106" s="176">
        <v>44669.405239583335</v>
      </c>
      <c r="AA106" s="1" t="s">
        <v>995</v>
      </c>
      <c r="AB106" s="1" t="s">
        <v>816</v>
      </c>
      <c r="AC106" s="216">
        <v>150</v>
      </c>
    </row>
    <row r="107" spans="3:29" x14ac:dyDescent="0.3">
      <c r="C107" s="48">
        <v>49</v>
      </c>
      <c r="D107" s="10" t="s">
        <v>998</v>
      </c>
      <c r="F107" s="8">
        <v>58</v>
      </c>
      <c r="G107" s="10" t="s">
        <v>1181</v>
      </c>
      <c r="I107" s="226" t="s">
        <v>519</v>
      </c>
      <c r="J107" s="226"/>
      <c r="K107" s="226"/>
      <c r="L107" s="226"/>
      <c r="M107"/>
      <c r="U107" s="8">
        <v>65</v>
      </c>
      <c r="V107" s="1" t="s">
        <v>217</v>
      </c>
      <c r="W107" s="1" t="s">
        <v>42</v>
      </c>
      <c r="X107" s="8">
        <v>50</v>
      </c>
      <c r="Y107" s="48" t="s">
        <v>228</v>
      </c>
      <c r="Z107" s="176">
        <v>44668.746527777781</v>
      </c>
      <c r="AA107" s="1" t="s">
        <v>737</v>
      </c>
      <c r="AB107" s="1" t="s">
        <v>816</v>
      </c>
      <c r="AC107" s="216">
        <v>125</v>
      </c>
    </row>
    <row r="108" spans="3:29" x14ac:dyDescent="0.3">
      <c r="C108" s="48">
        <v>50</v>
      </c>
      <c r="D108" s="10" t="s">
        <v>990</v>
      </c>
      <c r="F108" s="8">
        <v>59</v>
      </c>
      <c r="G108" s="10" t="s">
        <v>1021</v>
      </c>
      <c r="I108" s="1" t="s">
        <v>211</v>
      </c>
      <c r="J108" s="220" t="s">
        <v>520</v>
      </c>
      <c r="K108" s="8" t="s">
        <v>444</v>
      </c>
      <c r="L108" s="36" t="s">
        <v>84</v>
      </c>
      <c r="M108"/>
      <c r="U108" s="8">
        <v>65</v>
      </c>
      <c r="V108" s="1" t="s">
        <v>217</v>
      </c>
      <c r="W108" s="1" t="s">
        <v>42</v>
      </c>
      <c r="X108" s="8">
        <v>50</v>
      </c>
      <c r="Y108" s="48" t="s">
        <v>228</v>
      </c>
      <c r="Z108" s="176">
        <v>44668.746527777781</v>
      </c>
      <c r="AA108" s="1" t="s">
        <v>995</v>
      </c>
      <c r="AB108" s="1" t="s">
        <v>816</v>
      </c>
      <c r="AC108" s="216">
        <v>150</v>
      </c>
    </row>
    <row r="109" spans="3:29" x14ac:dyDescent="0.3">
      <c r="C109" s="48">
        <v>51</v>
      </c>
      <c r="D109" s="10" t="s">
        <v>439</v>
      </c>
      <c r="F109" s="8">
        <v>60</v>
      </c>
      <c r="G109" s="10" t="s">
        <v>1025</v>
      </c>
      <c r="I109" s="162"/>
      <c r="J109" s="10" t="s">
        <v>968</v>
      </c>
      <c r="K109" s="48"/>
      <c r="L109" s="161"/>
      <c r="M109"/>
      <c r="U109" s="8">
        <v>66</v>
      </c>
      <c r="V109" s="1" t="s">
        <v>218</v>
      </c>
      <c r="W109" s="1" t="s">
        <v>42</v>
      </c>
      <c r="X109" s="8">
        <v>28</v>
      </c>
      <c r="Y109" s="48" t="s">
        <v>228</v>
      </c>
      <c r="Z109" s="176">
        <v>44668.722916666666</v>
      </c>
      <c r="AA109" s="1" t="s">
        <v>995</v>
      </c>
      <c r="AB109" s="1" t="s">
        <v>816</v>
      </c>
      <c r="AC109" s="216">
        <v>150</v>
      </c>
    </row>
    <row r="110" spans="3:29" x14ac:dyDescent="0.3">
      <c r="C110" s="48">
        <v>52</v>
      </c>
      <c r="D110" s="10" t="s">
        <v>1013</v>
      </c>
      <c r="F110" s="214"/>
      <c r="G110" s="214"/>
      <c r="I110" s="162">
        <v>44729</v>
      </c>
      <c r="J110" s="10" t="s">
        <v>964</v>
      </c>
      <c r="K110" s="48" t="s">
        <v>228</v>
      </c>
      <c r="L110" s="161" t="s">
        <v>962</v>
      </c>
      <c r="M110"/>
      <c r="U110" s="8">
        <v>67</v>
      </c>
      <c r="V110" s="1" t="s">
        <v>22</v>
      </c>
      <c r="W110" s="1" t="s">
        <v>5</v>
      </c>
      <c r="X110" s="8">
        <v>28</v>
      </c>
      <c r="Y110" s="48" t="s">
        <v>228</v>
      </c>
      <c r="Z110" s="176">
        <v>44668.500332002317</v>
      </c>
      <c r="AA110" s="1" t="s">
        <v>995</v>
      </c>
      <c r="AB110" s="1" t="s">
        <v>816</v>
      </c>
      <c r="AC110" s="216">
        <v>150</v>
      </c>
    </row>
    <row r="111" spans="3:29" x14ac:dyDescent="0.3">
      <c r="C111" s="48">
        <v>53</v>
      </c>
      <c r="D111" s="10" t="s">
        <v>1052</v>
      </c>
      <c r="I111" s="162">
        <v>44728</v>
      </c>
      <c r="J111" s="10" t="s">
        <v>945</v>
      </c>
      <c r="K111" s="48" t="s">
        <v>228</v>
      </c>
      <c r="L111" s="161" t="s">
        <v>963</v>
      </c>
      <c r="M111"/>
      <c r="U111" s="8">
        <v>67</v>
      </c>
      <c r="V111" s="1" t="s">
        <v>22</v>
      </c>
      <c r="W111" s="1" t="s">
        <v>5</v>
      </c>
      <c r="X111" s="8">
        <v>28</v>
      </c>
      <c r="Y111" s="48" t="s">
        <v>228</v>
      </c>
      <c r="Z111" s="176">
        <v>44668.500332002317</v>
      </c>
      <c r="AA111" s="1" t="s">
        <v>737</v>
      </c>
      <c r="AB111" s="1" t="s">
        <v>816</v>
      </c>
      <c r="AC111" s="216">
        <v>125</v>
      </c>
    </row>
    <row r="112" spans="3:29" x14ac:dyDescent="0.3">
      <c r="C112" s="48">
        <v>54</v>
      </c>
      <c r="D112" s="10" t="s">
        <v>1018</v>
      </c>
      <c r="I112" s="162">
        <v>44728</v>
      </c>
      <c r="J112" s="10" t="s">
        <v>946</v>
      </c>
      <c r="K112" s="48" t="s">
        <v>228</v>
      </c>
      <c r="L112" s="161" t="s">
        <v>941</v>
      </c>
      <c r="M112"/>
      <c r="U112" s="8">
        <v>11</v>
      </c>
      <c r="V112" s="1" t="s">
        <v>773</v>
      </c>
      <c r="W112" s="1" t="s">
        <v>774</v>
      </c>
      <c r="X112" s="8">
        <v>26</v>
      </c>
      <c r="Y112" s="48" t="s">
        <v>228</v>
      </c>
      <c r="Z112" s="176">
        <v>44722.759363425925</v>
      </c>
      <c r="AA112" s="1" t="s">
        <v>737</v>
      </c>
      <c r="AB112" s="1" t="s">
        <v>814</v>
      </c>
      <c r="AC112" s="216">
        <v>125</v>
      </c>
    </row>
    <row r="113" spans="3:29" x14ac:dyDescent="0.3">
      <c r="C113" s="48">
        <v>55</v>
      </c>
      <c r="D113" s="10" t="s">
        <v>914</v>
      </c>
      <c r="I113" s="162">
        <v>44717</v>
      </c>
      <c r="J113" s="10" t="s">
        <v>738</v>
      </c>
      <c r="K113" s="48" t="s">
        <v>228</v>
      </c>
      <c r="L113" s="161" t="s">
        <v>654</v>
      </c>
      <c r="M113"/>
      <c r="U113" s="8">
        <v>15</v>
      </c>
      <c r="V113" s="1" t="s">
        <v>629</v>
      </c>
      <c r="W113" s="1" t="s">
        <v>5</v>
      </c>
      <c r="X113" s="8">
        <v>24</v>
      </c>
      <c r="Y113" s="48" t="s">
        <v>228</v>
      </c>
      <c r="Z113" s="176">
        <v>44717.940034722225</v>
      </c>
      <c r="AA113" s="1" t="s">
        <v>995</v>
      </c>
      <c r="AB113" s="1" t="s">
        <v>814</v>
      </c>
      <c r="AC113" s="216">
        <v>150</v>
      </c>
    </row>
    <row r="114" spans="3:29" x14ac:dyDescent="0.3">
      <c r="C114" s="48">
        <v>56</v>
      </c>
      <c r="D114" s="10" t="s">
        <v>283</v>
      </c>
      <c r="I114" s="162">
        <v>44716</v>
      </c>
      <c r="J114" s="10" t="s">
        <v>739</v>
      </c>
      <c r="K114" s="48" t="s">
        <v>228</v>
      </c>
      <c r="L114" s="161" t="s">
        <v>532</v>
      </c>
      <c r="M114"/>
      <c r="U114" s="8">
        <v>15</v>
      </c>
      <c r="V114" s="1" t="s">
        <v>629</v>
      </c>
      <c r="W114" s="1" t="s">
        <v>5</v>
      </c>
      <c r="X114" s="8">
        <v>24</v>
      </c>
      <c r="Y114" s="48" t="s">
        <v>228</v>
      </c>
      <c r="Z114" s="176">
        <v>44717.940034722225</v>
      </c>
      <c r="AA114" s="1" t="s">
        <v>737</v>
      </c>
      <c r="AB114" s="1" t="s">
        <v>814</v>
      </c>
      <c r="AC114" s="216">
        <v>125</v>
      </c>
    </row>
    <row r="115" spans="3:29" x14ac:dyDescent="0.3">
      <c r="C115" s="48">
        <v>57</v>
      </c>
      <c r="D115" s="10" t="s">
        <v>988</v>
      </c>
      <c r="I115" s="162">
        <v>44708</v>
      </c>
      <c r="J115" s="10" t="s">
        <v>740</v>
      </c>
      <c r="K115" s="48" t="s">
        <v>228</v>
      </c>
      <c r="L115" s="161" t="s">
        <v>368</v>
      </c>
      <c r="M115"/>
      <c r="U115" s="8">
        <v>16</v>
      </c>
      <c r="V115" s="1" t="s">
        <v>631</v>
      </c>
      <c r="W115" s="1" t="s">
        <v>8</v>
      </c>
      <c r="X115" s="8">
        <v>19</v>
      </c>
      <c r="Y115" s="48" t="s">
        <v>228</v>
      </c>
      <c r="Z115" s="176">
        <v>44717.93822916667</v>
      </c>
      <c r="AA115" s="1" t="s">
        <v>737</v>
      </c>
      <c r="AB115" s="1" t="s">
        <v>814</v>
      </c>
      <c r="AC115" s="216">
        <v>125</v>
      </c>
    </row>
    <row r="116" spans="3:29" x14ac:dyDescent="0.3">
      <c r="C116" s="48">
        <v>58</v>
      </c>
      <c r="D116" s="10" t="s">
        <v>810</v>
      </c>
      <c r="I116" s="162">
        <v>44704</v>
      </c>
      <c r="J116" s="10" t="s">
        <v>1168</v>
      </c>
      <c r="K116" s="48" t="s">
        <v>228</v>
      </c>
      <c r="L116" s="161" t="s">
        <v>656</v>
      </c>
      <c r="M116"/>
      <c r="U116" s="8">
        <v>35</v>
      </c>
      <c r="V116" s="1" t="s">
        <v>443</v>
      </c>
      <c r="W116" s="1" t="s">
        <v>339</v>
      </c>
      <c r="X116" s="8">
        <v>31</v>
      </c>
      <c r="Y116" s="48" t="s">
        <v>228</v>
      </c>
      <c r="Z116" s="176">
        <v>44713.955868055556</v>
      </c>
      <c r="AA116" s="1" t="s">
        <v>737</v>
      </c>
      <c r="AB116" s="1" t="s">
        <v>814</v>
      </c>
      <c r="AC116" s="216">
        <v>125</v>
      </c>
    </row>
    <row r="117" spans="3:29" x14ac:dyDescent="0.3">
      <c r="C117" s="48">
        <v>59</v>
      </c>
      <c r="D117" s="10" t="s">
        <v>1032</v>
      </c>
      <c r="I117" s="162">
        <v>44693</v>
      </c>
      <c r="J117" s="10" t="s">
        <v>992</v>
      </c>
      <c r="K117" s="48" t="s">
        <v>228</v>
      </c>
      <c r="L117" s="161" t="s">
        <v>362</v>
      </c>
      <c r="M117"/>
      <c r="U117" s="8">
        <v>41</v>
      </c>
      <c r="V117" s="1" t="s">
        <v>401</v>
      </c>
      <c r="W117" s="1" t="s">
        <v>411</v>
      </c>
      <c r="X117" s="8">
        <v>23</v>
      </c>
      <c r="Y117" s="48" t="s">
        <v>228</v>
      </c>
      <c r="Z117" s="176">
        <v>44709.567499999997</v>
      </c>
      <c r="AA117" s="1" t="s">
        <v>995</v>
      </c>
      <c r="AB117" s="1" t="s">
        <v>814</v>
      </c>
      <c r="AC117" s="216">
        <v>150</v>
      </c>
    </row>
    <row r="118" spans="3:29" x14ac:dyDescent="0.3">
      <c r="C118" s="48">
        <v>60</v>
      </c>
      <c r="D118" s="10" t="s">
        <v>1048</v>
      </c>
      <c r="I118" s="162">
        <v>44677</v>
      </c>
      <c r="J118" s="10" t="s">
        <v>1177</v>
      </c>
      <c r="K118" s="48" t="s">
        <v>228</v>
      </c>
      <c r="L118" s="161" t="s">
        <v>382</v>
      </c>
      <c r="M118"/>
      <c r="U118" s="8">
        <v>41</v>
      </c>
      <c r="V118" s="1" t="s">
        <v>401</v>
      </c>
      <c r="W118" s="1" t="s">
        <v>411</v>
      </c>
      <c r="X118" s="8">
        <v>23</v>
      </c>
      <c r="Y118" s="48" t="s">
        <v>228</v>
      </c>
      <c r="Z118" s="176">
        <v>44709.567499999997</v>
      </c>
      <c r="AA118" s="1" t="s">
        <v>737</v>
      </c>
      <c r="AB118" s="1" t="s">
        <v>814</v>
      </c>
      <c r="AC118" s="216">
        <v>125</v>
      </c>
    </row>
    <row r="119" spans="3:29" x14ac:dyDescent="0.3">
      <c r="C119" s="214"/>
      <c r="D119" s="214"/>
      <c r="I119" s="162">
        <v>44676</v>
      </c>
      <c r="J119" s="10" t="s">
        <v>741</v>
      </c>
      <c r="K119" s="48" t="s">
        <v>228</v>
      </c>
      <c r="L119" s="161" t="s">
        <v>380</v>
      </c>
      <c r="M119"/>
      <c r="U119" s="8">
        <v>56</v>
      </c>
      <c r="V119" s="1" t="s">
        <v>264</v>
      </c>
      <c r="W119" s="1" t="s">
        <v>8</v>
      </c>
      <c r="X119" s="8">
        <v>25</v>
      </c>
      <c r="Y119" s="48" t="s">
        <v>228</v>
      </c>
      <c r="Z119" s="176">
        <v>44680.864305960647</v>
      </c>
      <c r="AA119" s="1" t="s">
        <v>995</v>
      </c>
      <c r="AB119" s="1" t="s">
        <v>814</v>
      </c>
      <c r="AC119" s="216">
        <v>150</v>
      </c>
    </row>
    <row r="120" spans="3:29" x14ac:dyDescent="0.3">
      <c r="I120" s="162">
        <v>44674</v>
      </c>
      <c r="J120" s="10" t="s">
        <v>1065</v>
      </c>
      <c r="K120" s="48" t="s">
        <v>228</v>
      </c>
      <c r="L120" s="161" t="s">
        <v>383</v>
      </c>
      <c r="M120"/>
      <c r="U120" s="8">
        <v>56</v>
      </c>
      <c r="V120" s="1" t="s">
        <v>264</v>
      </c>
      <c r="W120" s="1" t="s">
        <v>8</v>
      </c>
      <c r="X120" s="8">
        <v>25</v>
      </c>
      <c r="Y120" s="48" t="s">
        <v>228</v>
      </c>
      <c r="Z120" s="176">
        <v>44680.864305960647</v>
      </c>
      <c r="AA120" s="1" t="s">
        <v>737</v>
      </c>
      <c r="AB120" s="1" t="s">
        <v>814</v>
      </c>
      <c r="AC120" s="216">
        <v>125</v>
      </c>
    </row>
    <row r="121" spans="3:29" x14ac:dyDescent="0.3">
      <c r="I121" s="162">
        <v>44672</v>
      </c>
      <c r="J121" s="10" t="s">
        <v>742</v>
      </c>
      <c r="K121" s="48" t="s">
        <v>228</v>
      </c>
      <c r="L121" s="161" t="s">
        <v>236</v>
      </c>
      <c r="M121"/>
      <c r="U121" s="8">
        <v>58</v>
      </c>
      <c r="V121" s="1" t="s">
        <v>26</v>
      </c>
      <c r="W121" s="1" t="s">
        <v>6</v>
      </c>
      <c r="X121" s="8">
        <v>32</v>
      </c>
      <c r="Y121" s="48" t="s">
        <v>228</v>
      </c>
      <c r="Z121" s="176">
        <v>44677.732768310183</v>
      </c>
      <c r="AA121" s="1" t="s">
        <v>737</v>
      </c>
      <c r="AB121" s="1" t="s">
        <v>814</v>
      </c>
      <c r="AC121" s="216">
        <v>125</v>
      </c>
    </row>
    <row r="122" spans="3:29" x14ac:dyDescent="0.3">
      <c r="I122" s="162">
        <v>44669</v>
      </c>
      <c r="J122" s="10" t="s">
        <v>743</v>
      </c>
      <c r="K122" s="48" t="s">
        <v>228</v>
      </c>
      <c r="L122" s="161" t="s">
        <v>384</v>
      </c>
      <c r="M122"/>
      <c r="U122" s="8">
        <v>38</v>
      </c>
      <c r="V122" s="1" t="s">
        <v>970</v>
      </c>
      <c r="W122" s="1" t="s">
        <v>81</v>
      </c>
      <c r="X122" s="8">
        <v>19</v>
      </c>
      <c r="Y122" s="48" t="s">
        <v>228</v>
      </c>
      <c r="Z122" s="176">
        <v>44711.989490740743</v>
      </c>
      <c r="AA122" s="1" t="s">
        <v>737</v>
      </c>
      <c r="AB122" s="1" t="s">
        <v>815</v>
      </c>
      <c r="AC122" s="216">
        <v>125</v>
      </c>
    </row>
    <row r="123" spans="3:29" x14ac:dyDescent="0.3">
      <c r="I123" s="162">
        <v>44669</v>
      </c>
      <c r="J123" s="10" t="s">
        <v>744</v>
      </c>
      <c r="K123" s="48" t="s">
        <v>228</v>
      </c>
      <c r="L123" s="161" t="s">
        <v>379</v>
      </c>
      <c r="M123"/>
      <c r="U123" s="8"/>
      <c r="V123" s="1"/>
      <c r="W123" s="1"/>
      <c r="X123" s="8"/>
      <c r="Y123" s="130"/>
      <c r="Z123" s="8"/>
      <c r="AA123" s="1"/>
      <c r="AB123" s="1"/>
    </row>
    <row r="124" spans="3:29" x14ac:dyDescent="0.3">
      <c r="I124" s="162"/>
      <c r="J124" s="10" t="s">
        <v>537</v>
      </c>
      <c r="K124" s="48" t="s">
        <v>537</v>
      </c>
      <c r="L124" s="161" t="s">
        <v>537</v>
      </c>
      <c r="M124"/>
      <c r="U124" s="8"/>
      <c r="V124" s="1"/>
      <c r="W124" s="1"/>
      <c r="X124" s="8"/>
      <c r="Y124" s="130"/>
      <c r="Z124" s="8"/>
      <c r="AA124" s="1"/>
      <c r="AB124" s="1"/>
    </row>
    <row r="125" spans="3:29" x14ac:dyDescent="0.3">
      <c r="I125" s="162"/>
      <c r="J125" s="10" t="s">
        <v>893</v>
      </c>
      <c r="K125" s="48"/>
      <c r="L125" s="161"/>
      <c r="M125"/>
      <c r="U125" s="8"/>
      <c r="V125" s="1"/>
      <c r="W125" s="1"/>
      <c r="X125" s="8"/>
      <c r="Y125" s="130"/>
      <c r="Z125" s="8"/>
      <c r="AA125" s="1"/>
      <c r="AB125" s="1"/>
    </row>
    <row r="126" spans="3:29" x14ac:dyDescent="0.3">
      <c r="I126" s="162">
        <v>44722</v>
      </c>
      <c r="J126" s="10" t="s">
        <v>780</v>
      </c>
      <c r="K126" s="48" t="s">
        <v>228</v>
      </c>
      <c r="L126" s="161" t="s">
        <v>362</v>
      </c>
      <c r="M126"/>
      <c r="U126" s="8"/>
      <c r="V126" s="1"/>
      <c r="W126" s="1"/>
      <c r="X126" s="8"/>
      <c r="Y126" s="130"/>
      <c r="Z126" s="8"/>
      <c r="AA126" s="1"/>
      <c r="AB126" s="1"/>
    </row>
    <row r="127" spans="3:29" x14ac:dyDescent="0.3">
      <c r="I127" s="162">
        <v>44719</v>
      </c>
      <c r="J127" s="10" t="s">
        <v>1162</v>
      </c>
      <c r="K127" s="48" t="s">
        <v>228</v>
      </c>
      <c r="L127" s="161" t="s">
        <v>734</v>
      </c>
      <c r="M127"/>
      <c r="Y127"/>
      <c r="Z127"/>
      <c r="AA127"/>
    </row>
    <row r="128" spans="3:29" x14ac:dyDescent="0.3">
      <c r="I128" s="162">
        <v>44717</v>
      </c>
      <c r="J128" s="10" t="s">
        <v>1165</v>
      </c>
      <c r="K128" s="48" t="s">
        <v>228</v>
      </c>
      <c r="L128" s="161" t="s">
        <v>636</v>
      </c>
      <c r="M128"/>
      <c r="Y128"/>
      <c r="Z128"/>
      <c r="AA128"/>
    </row>
    <row r="129" spans="9:27" x14ac:dyDescent="0.3">
      <c r="I129" s="162">
        <v>44715</v>
      </c>
      <c r="J129" s="10" t="s">
        <v>745</v>
      </c>
      <c r="K129" s="48" t="s">
        <v>228</v>
      </c>
      <c r="L129" s="161" t="s">
        <v>462</v>
      </c>
      <c r="M129"/>
      <c r="Y129"/>
      <c r="Z129"/>
      <c r="AA129"/>
    </row>
    <row r="130" spans="9:27" x14ac:dyDescent="0.3">
      <c r="I130" s="162">
        <v>44701</v>
      </c>
      <c r="J130" s="10" t="s">
        <v>746</v>
      </c>
      <c r="K130" s="48" t="s">
        <v>228</v>
      </c>
      <c r="L130" s="161" t="s">
        <v>378</v>
      </c>
      <c r="M130"/>
      <c r="Y130"/>
      <c r="Z130"/>
      <c r="AA130"/>
    </row>
    <row r="131" spans="9:27" x14ac:dyDescent="0.3">
      <c r="I131" s="162">
        <v>44696</v>
      </c>
      <c r="J131" s="10" t="s">
        <v>747</v>
      </c>
      <c r="K131" s="48" t="s">
        <v>228</v>
      </c>
      <c r="L131" s="161" t="s">
        <v>286</v>
      </c>
      <c r="M131"/>
      <c r="T131" s="5"/>
      <c r="Y131"/>
      <c r="Z131"/>
      <c r="AA131"/>
    </row>
    <row r="132" spans="9:27" x14ac:dyDescent="0.3">
      <c r="I132" s="162">
        <v>44684</v>
      </c>
      <c r="J132" s="10" t="s">
        <v>748</v>
      </c>
      <c r="K132" s="48" t="s">
        <v>228</v>
      </c>
      <c r="L132" s="161" t="s">
        <v>269</v>
      </c>
      <c r="M132"/>
      <c r="T132" s="5"/>
      <c r="Y132"/>
      <c r="Z132"/>
      <c r="AA132"/>
    </row>
    <row r="133" spans="9:27" x14ac:dyDescent="0.3">
      <c r="I133" s="162"/>
      <c r="J133" s="10" t="s">
        <v>537</v>
      </c>
      <c r="K133" s="48" t="s">
        <v>537</v>
      </c>
      <c r="L133" s="161" t="s">
        <v>537</v>
      </c>
      <c r="M133"/>
      <c r="T133" s="5"/>
      <c r="Y133"/>
      <c r="Z133"/>
      <c r="AA133"/>
    </row>
    <row r="134" spans="9:27" x14ac:dyDescent="0.3">
      <c r="I134" s="162"/>
      <c r="J134" s="10" t="s">
        <v>894</v>
      </c>
      <c r="K134" s="48"/>
      <c r="L134" s="161"/>
      <c r="M134"/>
      <c r="Y134"/>
      <c r="Z134"/>
      <c r="AA134"/>
    </row>
    <row r="135" spans="9:27" x14ac:dyDescent="0.3">
      <c r="I135" s="162">
        <v>44728</v>
      </c>
      <c r="J135" s="10" t="s">
        <v>1178</v>
      </c>
      <c r="K135" s="48" t="s">
        <v>228</v>
      </c>
      <c r="L135" s="161" t="s">
        <v>943</v>
      </c>
      <c r="M135"/>
      <c r="Y135"/>
      <c r="Z135"/>
      <c r="AA135"/>
    </row>
    <row r="136" spans="9:27" x14ac:dyDescent="0.3">
      <c r="I136" s="162">
        <v>44708</v>
      </c>
      <c r="J136" s="10" t="s">
        <v>749</v>
      </c>
      <c r="K136" s="48" t="s">
        <v>228</v>
      </c>
      <c r="L136" s="161" t="s">
        <v>387</v>
      </c>
      <c r="Y136"/>
      <c r="Z136"/>
      <c r="AA136"/>
    </row>
    <row r="137" spans="9:27" x14ac:dyDescent="0.3">
      <c r="I137" s="162">
        <v>44708</v>
      </c>
      <c r="J137" s="10" t="s">
        <v>750</v>
      </c>
      <c r="K137" s="48" t="s">
        <v>228</v>
      </c>
      <c r="L137" s="161" t="s">
        <v>361</v>
      </c>
      <c r="Y137"/>
      <c r="Z137"/>
      <c r="AA137"/>
    </row>
    <row r="138" spans="9:27" x14ac:dyDescent="0.3">
      <c r="I138" s="162">
        <v>44708</v>
      </c>
      <c r="J138" s="10" t="s">
        <v>989</v>
      </c>
      <c r="K138" s="48" t="s">
        <v>228</v>
      </c>
      <c r="L138" s="161" t="s">
        <v>360</v>
      </c>
      <c r="Y138"/>
      <c r="Z138"/>
      <c r="AA138"/>
    </row>
    <row r="139" spans="9:27" x14ac:dyDescent="0.3">
      <c r="I139" s="162">
        <v>44701</v>
      </c>
      <c r="J139" s="10" t="s">
        <v>751</v>
      </c>
      <c r="K139" s="48" t="s">
        <v>228</v>
      </c>
      <c r="L139" s="161" t="s">
        <v>370</v>
      </c>
      <c r="Y139"/>
      <c r="Z139"/>
      <c r="AA139"/>
    </row>
    <row r="140" spans="9:27" x14ac:dyDescent="0.3">
      <c r="I140" s="162">
        <v>44668</v>
      </c>
      <c r="J140" s="10" t="s">
        <v>752</v>
      </c>
      <c r="K140" s="48" t="s">
        <v>228</v>
      </c>
      <c r="L140" s="161" t="s">
        <v>372</v>
      </c>
      <c r="Y140"/>
      <c r="Z140"/>
      <c r="AA140"/>
    </row>
    <row r="141" spans="9:27" x14ac:dyDescent="0.3">
      <c r="I141" s="162"/>
      <c r="J141" s="10" t="s">
        <v>537</v>
      </c>
      <c r="K141" s="48" t="s">
        <v>537</v>
      </c>
      <c r="L141" s="160" t="s">
        <v>537</v>
      </c>
      <c r="Y141"/>
      <c r="Z141"/>
      <c r="AA141"/>
    </row>
    <row r="142" spans="9:27" x14ac:dyDescent="0.3">
      <c r="I142" s="162"/>
      <c r="J142" s="10" t="s">
        <v>911</v>
      </c>
      <c r="K142" s="48"/>
      <c r="L142" s="160"/>
      <c r="Y142"/>
      <c r="Z142"/>
      <c r="AA142"/>
    </row>
    <row r="143" spans="9:27" x14ac:dyDescent="0.3">
      <c r="I143" s="162">
        <v>44728</v>
      </c>
      <c r="J143" s="10" t="s">
        <v>912</v>
      </c>
      <c r="K143" s="48" t="s">
        <v>228</v>
      </c>
      <c r="L143" s="160" t="s">
        <v>910</v>
      </c>
      <c r="Y143"/>
      <c r="Z143"/>
      <c r="AA143"/>
    </row>
    <row r="144" spans="9:27" x14ac:dyDescent="0.3">
      <c r="I144" s="162">
        <v>44713</v>
      </c>
      <c r="J144" s="10" t="s">
        <v>757</v>
      </c>
      <c r="K144" s="48" t="s">
        <v>228</v>
      </c>
      <c r="L144" s="160" t="s">
        <v>434</v>
      </c>
      <c r="Y144"/>
      <c r="Z144"/>
      <c r="AA144"/>
    </row>
    <row r="145" spans="9:27" x14ac:dyDescent="0.3">
      <c r="I145" s="162">
        <v>44668</v>
      </c>
      <c r="J145" s="10" t="s">
        <v>758</v>
      </c>
      <c r="K145" s="48" t="s">
        <v>228</v>
      </c>
      <c r="L145" s="160" t="s">
        <v>385</v>
      </c>
      <c r="Y145"/>
      <c r="Z145"/>
      <c r="AA145"/>
    </row>
    <row r="146" spans="9:27" x14ac:dyDescent="0.3">
      <c r="I146" s="162"/>
      <c r="J146" s="10" t="s">
        <v>537</v>
      </c>
      <c r="K146" s="48" t="s">
        <v>537</v>
      </c>
      <c r="L146" s="160" t="s">
        <v>537</v>
      </c>
      <c r="Y146"/>
      <c r="Z146"/>
      <c r="AA146"/>
    </row>
    <row r="147" spans="9:27" x14ac:dyDescent="0.3">
      <c r="I147" s="162"/>
      <c r="J147" s="10" t="s">
        <v>895</v>
      </c>
      <c r="K147" s="48"/>
      <c r="L147" s="160"/>
      <c r="Y147"/>
      <c r="Z147"/>
      <c r="AA147"/>
    </row>
    <row r="148" spans="9:27" x14ac:dyDescent="0.3">
      <c r="I148" s="162">
        <v>44717</v>
      </c>
      <c r="J148" s="10" t="s">
        <v>753</v>
      </c>
      <c r="K148" s="48" t="s">
        <v>228</v>
      </c>
      <c r="L148" s="160" t="s">
        <v>613</v>
      </c>
      <c r="Y148"/>
      <c r="Z148"/>
      <c r="AA148"/>
    </row>
    <row r="149" spans="9:27" x14ac:dyDescent="0.3">
      <c r="I149" s="162">
        <v>44717</v>
      </c>
      <c r="J149" s="10" t="s">
        <v>754</v>
      </c>
      <c r="K149" s="48" t="s">
        <v>228</v>
      </c>
      <c r="L149" s="160" t="s">
        <v>644</v>
      </c>
      <c r="Y149"/>
      <c r="Z149"/>
      <c r="AA149"/>
    </row>
    <row r="150" spans="9:27" x14ac:dyDescent="0.3">
      <c r="I150" s="162">
        <v>44717</v>
      </c>
      <c r="J150" s="10" t="s">
        <v>755</v>
      </c>
      <c r="K150" s="48" t="s">
        <v>228</v>
      </c>
      <c r="L150" s="160" t="s">
        <v>611</v>
      </c>
      <c r="Y150"/>
      <c r="Z150"/>
      <c r="AA150"/>
    </row>
    <row r="151" spans="9:27" x14ac:dyDescent="0.3">
      <c r="I151" s="162"/>
      <c r="J151" s="10" t="s">
        <v>537</v>
      </c>
      <c r="K151" s="48" t="s">
        <v>537</v>
      </c>
      <c r="L151" s="160" t="s">
        <v>537</v>
      </c>
      <c r="Y151"/>
      <c r="Z151"/>
      <c r="AA151"/>
    </row>
    <row r="152" spans="9:27" x14ac:dyDescent="0.3">
      <c r="I152" s="162"/>
      <c r="J152" s="10" t="s">
        <v>947</v>
      </c>
      <c r="K152" s="48"/>
      <c r="L152" s="160"/>
      <c r="Y152"/>
      <c r="Z152"/>
      <c r="AA152"/>
    </row>
    <row r="153" spans="9:27" x14ac:dyDescent="0.3">
      <c r="I153" s="162">
        <v>44728</v>
      </c>
      <c r="J153" s="10" t="s">
        <v>948</v>
      </c>
      <c r="K153" s="48" t="s">
        <v>228</v>
      </c>
      <c r="L153" s="160" t="s">
        <v>939</v>
      </c>
      <c r="Y153"/>
      <c r="Z153"/>
      <c r="AA153"/>
    </row>
    <row r="154" spans="9:27" x14ac:dyDescent="0.3">
      <c r="I154" s="162">
        <v>44691</v>
      </c>
      <c r="J154" s="10" t="s">
        <v>763</v>
      </c>
      <c r="K154" s="48" t="s">
        <v>228</v>
      </c>
      <c r="L154" s="160" t="s">
        <v>377</v>
      </c>
      <c r="Y154"/>
      <c r="Z154"/>
      <c r="AA154"/>
    </row>
    <row r="155" spans="9:27" x14ac:dyDescent="0.3">
      <c r="I155" s="162"/>
      <c r="J155" s="10" t="s">
        <v>537</v>
      </c>
      <c r="K155" s="48" t="s">
        <v>537</v>
      </c>
      <c r="L155" s="160" t="s">
        <v>537</v>
      </c>
      <c r="Y155"/>
      <c r="Z155"/>
      <c r="AA155"/>
    </row>
    <row r="156" spans="9:27" x14ac:dyDescent="0.3">
      <c r="I156" s="162"/>
      <c r="J156" s="10" t="s">
        <v>896</v>
      </c>
      <c r="K156" s="48"/>
      <c r="L156" s="160"/>
      <c r="Y156"/>
      <c r="Z156"/>
      <c r="AA156"/>
    </row>
    <row r="157" spans="9:27" x14ac:dyDescent="0.3">
      <c r="I157" s="162">
        <v>44717</v>
      </c>
      <c r="J157" s="10" t="s">
        <v>759</v>
      </c>
      <c r="K157" s="48" t="s">
        <v>228</v>
      </c>
      <c r="L157" s="160" t="s">
        <v>602</v>
      </c>
      <c r="Y157"/>
      <c r="Z157"/>
      <c r="AA157"/>
    </row>
    <row r="158" spans="9:27" x14ac:dyDescent="0.3">
      <c r="I158" s="162"/>
      <c r="J158" s="10" t="s">
        <v>537</v>
      </c>
      <c r="K158" s="48" t="s">
        <v>537</v>
      </c>
      <c r="L158" s="160" t="s">
        <v>537</v>
      </c>
      <c r="Y158"/>
      <c r="Z158"/>
      <c r="AA158"/>
    </row>
    <row r="159" spans="9:27" x14ac:dyDescent="0.3">
      <c r="I159" s="162"/>
      <c r="J159" s="10" t="s">
        <v>969</v>
      </c>
      <c r="K159" s="48"/>
      <c r="L159" s="160"/>
      <c r="Y159"/>
      <c r="Z159"/>
      <c r="AA159"/>
    </row>
    <row r="160" spans="9:27" x14ac:dyDescent="0.3">
      <c r="I160" s="162">
        <v>44713</v>
      </c>
      <c r="J160" s="10" t="s">
        <v>756</v>
      </c>
      <c r="K160" s="48" t="s">
        <v>228</v>
      </c>
      <c r="L160" s="160" t="s">
        <v>440</v>
      </c>
      <c r="U160"/>
      <c r="V160"/>
      <c r="W160"/>
      <c r="X160"/>
      <c r="Y160"/>
      <c r="Z160"/>
      <c r="AA160"/>
    </row>
    <row r="161" spans="9:27" x14ac:dyDescent="0.3">
      <c r="I161" s="162"/>
      <c r="J161" s="10" t="s">
        <v>537</v>
      </c>
      <c r="K161" s="48" t="s">
        <v>537</v>
      </c>
      <c r="L161" s="160" t="s">
        <v>537</v>
      </c>
      <c r="U161"/>
      <c r="V161"/>
      <c r="W161"/>
      <c r="X161"/>
      <c r="Y161"/>
      <c r="Z161"/>
      <c r="AA161"/>
    </row>
    <row r="162" spans="9:27" x14ac:dyDescent="0.3">
      <c r="I162" s="162"/>
      <c r="J162" s="10" t="s">
        <v>626</v>
      </c>
      <c r="K162" s="48"/>
      <c r="L162" s="160"/>
      <c r="Y162"/>
      <c r="Z162"/>
      <c r="AA162"/>
    </row>
    <row r="163" spans="9:27" x14ac:dyDescent="0.3">
      <c r="I163" s="162">
        <v>44717</v>
      </c>
      <c r="J163" s="10" t="s">
        <v>760</v>
      </c>
      <c r="K163" s="48" t="s">
        <v>228</v>
      </c>
      <c r="L163" s="160" t="s">
        <v>625</v>
      </c>
      <c r="Y163"/>
      <c r="Z163"/>
      <c r="AA163"/>
    </row>
    <row r="164" spans="9:27" x14ac:dyDescent="0.3">
      <c r="I164" s="162"/>
      <c r="J164" s="10" t="s">
        <v>537</v>
      </c>
      <c r="K164" s="48" t="s">
        <v>537</v>
      </c>
      <c r="L164" s="160" t="s">
        <v>537</v>
      </c>
      <c r="Y164"/>
      <c r="Z164"/>
      <c r="AA164"/>
    </row>
    <row r="165" spans="9:27" x14ac:dyDescent="0.3">
      <c r="I165" s="162"/>
      <c r="J165" s="10" t="s">
        <v>807</v>
      </c>
      <c r="K165" s="48"/>
      <c r="L165" s="160"/>
      <c r="Y165"/>
      <c r="Z165"/>
      <c r="AA165"/>
    </row>
    <row r="166" spans="9:27" x14ac:dyDescent="0.3">
      <c r="I166" s="162">
        <v>44725</v>
      </c>
      <c r="J166" s="10" t="s">
        <v>808</v>
      </c>
      <c r="K166" s="48" t="s">
        <v>228</v>
      </c>
      <c r="L166" s="160" t="s">
        <v>806</v>
      </c>
      <c r="Y166"/>
      <c r="Z166"/>
      <c r="AA166"/>
    </row>
    <row r="167" spans="9:27" x14ac:dyDescent="0.3">
      <c r="I167" s="162"/>
      <c r="J167" s="10" t="s">
        <v>537</v>
      </c>
      <c r="K167" s="48" t="s">
        <v>537</v>
      </c>
      <c r="L167" s="160" t="s">
        <v>537</v>
      </c>
      <c r="Y167"/>
      <c r="Z167"/>
      <c r="AA167"/>
    </row>
    <row r="168" spans="9:27" x14ac:dyDescent="0.3">
      <c r="I168" s="162"/>
      <c r="J168" s="10" t="s">
        <v>897</v>
      </c>
      <c r="K168" s="48"/>
      <c r="L168" s="160"/>
      <c r="Y168"/>
      <c r="Z168"/>
      <c r="AA168"/>
    </row>
    <row r="169" spans="9:27" x14ac:dyDescent="0.3">
      <c r="I169" s="162">
        <v>44715</v>
      </c>
      <c r="J169" s="10" t="s">
        <v>761</v>
      </c>
      <c r="K169" s="48" t="s">
        <v>228</v>
      </c>
      <c r="L169" s="160" t="s">
        <v>655</v>
      </c>
      <c r="Y169"/>
      <c r="Z169"/>
      <c r="AA169"/>
    </row>
    <row r="170" spans="9:27" x14ac:dyDescent="0.3">
      <c r="I170" s="162"/>
      <c r="J170" s="10" t="s">
        <v>537</v>
      </c>
      <c r="K170" s="48" t="s">
        <v>537</v>
      </c>
      <c r="L170" s="160" t="s">
        <v>537</v>
      </c>
      <c r="Y170"/>
      <c r="Z170"/>
      <c r="AA170"/>
    </row>
    <row r="171" spans="9:27" x14ac:dyDescent="0.3">
      <c r="I171" s="162"/>
      <c r="J171" s="10" t="s">
        <v>898</v>
      </c>
      <c r="K171" s="48"/>
      <c r="L171" s="160"/>
      <c r="Y171"/>
      <c r="Z171"/>
      <c r="AA171"/>
    </row>
    <row r="172" spans="9:27" x14ac:dyDescent="0.3">
      <c r="I172" s="162">
        <v>44723</v>
      </c>
      <c r="J172" s="10" t="s">
        <v>791</v>
      </c>
      <c r="K172" s="48" t="s">
        <v>228</v>
      </c>
      <c r="L172" s="160" t="s">
        <v>795</v>
      </c>
      <c r="Y172"/>
      <c r="Z172"/>
      <c r="AA172"/>
    </row>
    <row r="173" spans="9:27" x14ac:dyDescent="0.3">
      <c r="I173" s="162"/>
      <c r="J173" s="10" t="s">
        <v>537</v>
      </c>
      <c r="K173" s="48" t="s">
        <v>537</v>
      </c>
      <c r="L173" s="160" t="s">
        <v>537</v>
      </c>
      <c r="Y173"/>
      <c r="Z173"/>
      <c r="AA173"/>
    </row>
    <row r="174" spans="9:27" x14ac:dyDescent="0.3">
      <c r="I174" s="162"/>
      <c r="J174" s="10" t="s">
        <v>538</v>
      </c>
      <c r="K174" s="48"/>
      <c r="L174" s="160"/>
      <c r="Y174"/>
      <c r="Z174"/>
      <c r="AA174"/>
    </row>
    <row r="175" spans="9:27" x14ac:dyDescent="0.3">
      <c r="I175" s="162">
        <v>44702</v>
      </c>
      <c r="J175" s="10" t="s">
        <v>986</v>
      </c>
      <c r="K175" s="48" t="s">
        <v>228</v>
      </c>
      <c r="L175" s="160" t="s">
        <v>386</v>
      </c>
      <c r="Y175"/>
      <c r="Z175"/>
      <c r="AA175"/>
    </row>
    <row r="176" spans="9:27" x14ac:dyDescent="0.3">
      <c r="I176" s="162"/>
      <c r="J176" s="10" t="s">
        <v>537</v>
      </c>
      <c r="K176" s="48" t="s">
        <v>537</v>
      </c>
      <c r="L176" s="160" t="s">
        <v>537</v>
      </c>
      <c r="Y176" s="33"/>
      <c r="Z176" s="5"/>
    </row>
    <row r="177" spans="9:26" x14ac:dyDescent="0.3">
      <c r="I177" s="162"/>
      <c r="J177" s="10" t="s">
        <v>899</v>
      </c>
      <c r="K177" s="48"/>
      <c r="L177" s="160"/>
      <c r="Y177" s="33"/>
      <c r="Z177" s="5"/>
    </row>
    <row r="178" spans="9:26" x14ac:dyDescent="0.3">
      <c r="I178" s="162">
        <v>44716</v>
      </c>
      <c r="J178" s="10" t="s">
        <v>762</v>
      </c>
      <c r="K178" s="48" t="s">
        <v>228</v>
      </c>
      <c r="L178" s="160" t="s">
        <v>530</v>
      </c>
      <c r="Y178" s="33"/>
      <c r="Z178" s="5"/>
    </row>
    <row r="179" spans="9:26" x14ac:dyDescent="0.3">
      <c r="I179" s="162"/>
      <c r="J179" s="10" t="s">
        <v>537</v>
      </c>
      <c r="K179" s="48" t="s">
        <v>537</v>
      </c>
      <c r="L179" s="160" t="s">
        <v>537</v>
      </c>
    </row>
    <row r="180" spans="9:26" x14ac:dyDescent="0.3">
      <c r="I180" s="162"/>
      <c r="J180" s="10" t="s">
        <v>900</v>
      </c>
      <c r="K180" s="48"/>
      <c r="L180" s="160"/>
    </row>
    <row r="181" spans="9:26" x14ac:dyDescent="0.3">
      <c r="I181" s="162">
        <v>44672</v>
      </c>
      <c r="J181" s="10" t="s">
        <v>764</v>
      </c>
      <c r="K181" s="48" t="s">
        <v>228</v>
      </c>
      <c r="L181" s="160" t="s">
        <v>381</v>
      </c>
    </row>
    <row r="182" spans="9:26" x14ac:dyDescent="0.3">
      <c r="I182" s="162"/>
      <c r="J182" s="10" t="s">
        <v>537</v>
      </c>
      <c r="K182" s="48" t="s">
        <v>537</v>
      </c>
      <c r="L182" s="160" t="s">
        <v>537</v>
      </c>
    </row>
    <row r="183" spans="9:26" x14ac:dyDescent="0.3">
      <c r="I183" s="162"/>
      <c r="J183" s="10" t="s">
        <v>901</v>
      </c>
      <c r="K183" s="48"/>
      <c r="L183" s="160"/>
    </row>
    <row r="184" spans="9:26" x14ac:dyDescent="0.3">
      <c r="I184" s="162">
        <v>44717</v>
      </c>
      <c r="J184" s="10" t="s">
        <v>765</v>
      </c>
      <c r="K184" s="48" t="s">
        <v>228</v>
      </c>
      <c r="L184" s="160" t="s">
        <v>604</v>
      </c>
    </row>
    <row r="185" spans="9:26" x14ac:dyDescent="0.3">
      <c r="I185" s="162"/>
      <c r="J185" s="10" t="s">
        <v>537</v>
      </c>
      <c r="K185" s="48" t="s">
        <v>537</v>
      </c>
      <c r="L185" s="160" t="s">
        <v>537</v>
      </c>
    </row>
    <row r="186" spans="9:26" x14ac:dyDescent="0.3">
      <c r="I186" s="162"/>
      <c r="J186" s="10" t="s">
        <v>902</v>
      </c>
      <c r="K186" s="48"/>
      <c r="L186" s="160"/>
    </row>
    <row r="187" spans="9:26" x14ac:dyDescent="0.3">
      <c r="I187" s="162">
        <v>44715</v>
      </c>
      <c r="J187" s="10" t="s">
        <v>766</v>
      </c>
      <c r="K187" s="48" t="s">
        <v>228</v>
      </c>
      <c r="L187" s="160" t="s">
        <v>794</v>
      </c>
    </row>
    <row r="188" spans="9:26" x14ac:dyDescent="0.3">
      <c r="I188" s="162">
        <v>44702</v>
      </c>
      <c r="J188" s="10" t="s">
        <v>767</v>
      </c>
      <c r="K188" s="48" t="s">
        <v>228</v>
      </c>
      <c r="L188" s="160" t="s">
        <v>793</v>
      </c>
    </row>
    <row r="189" spans="9:26" x14ac:dyDescent="0.3">
      <c r="I189" s="162">
        <v>44681</v>
      </c>
      <c r="J189" s="10" t="s">
        <v>768</v>
      </c>
      <c r="K189" s="48" t="s">
        <v>228</v>
      </c>
      <c r="L189" s="160" t="s">
        <v>792</v>
      </c>
    </row>
    <row r="190" spans="9:26" x14ac:dyDescent="0.3">
      <c r="I190" s="213"/>
      <c r="J190" s="214"/>
      <c r="K190" s="214"/>
      <c r="L190" s="214"/>
    </row>
    <row r="191" spans="9:26" x14ac:dyDescent="0.3">
      <c r="J191"/>
      <c r="K191"/>
      <c r="L191"/>
    </row>
    <row r="192" spans="9:26" x14ac:dyDescent="0.3">
      <c r="J192"/>
      <c r="K192"/>
      <c r="L192"/>
    </row>
    <row r="193" spans="10:12" x14ac:dyDescent="0.3">
      <c r="J193"/>
      <c r="K193"/>
      <c r="L193"/>
    </row>
    <row r="194" spans="10:12" x14ac:dyDescent="0.3">
      <c r="J194"/>
      <c r="K194"/>
      <c r="L194"/>
    </row>
    <row r="195" spans="10:12" x14ac:dyDescent="0.3">
      <c r="J195"/>
      <c r="K195"/>
      <c r="L195"/>
    </row>
    <row r="353" spans="10:10" x14ac:dyDescent="0.3">
      <c r="J353"/>
    </row>
    <row r="354" spans="10:10" x14ac:dyDescent="0.3">
      <c r="J354"/>
    </row>
    <row r="355" spans="10:10" x14ac:dyDescent="0.3">
      <c r="J355"/>
    </row>
    <row r="356" spans="10:10" x14ac:dyDescent="0.3">
      <c r="J356"/>
    </row>
    <row r="357" spans="10:10" x14ac:dyDescent="0.3">
      <c r="J357"/>
    </row>
    <row r="358" spans="10:10" x14ac:dyDescent="0.3">
      <c r="J358"/>
    </row>
    <row r="359" spans="10:10" x14ac:dyDescent="0.3">
      <c r="J359"/>
    </row>
    <row r="360" spans="10:10" x14ac:dyDescent="0.3">
      <c r="J360"/>
    </row>
    <row r="361" spans="10:10" x14ac:dyDescent="0.3">
      <c r="J361"/>
    </row>
    <row r="362" spans="10:10" x14ac:dyDescent="0.3">
      <c r="J362"/>
    </row>
    <row r="363" spans="10:10" x14ac:dyDescent="0.3">
      <c r="J363"/>
    </row>
    <row r="364" spans="10:10" x14ac:dyDescent="0.3">
      <c r="J364"/>
    </row>
    <row r="365" spans="10:10" x14ac:dyDescent="0.3">
      <c r="J365"/>
    </row>
    <row r="366" spans="10:10" x14ac:dyDescent="0.3">
      <c r="J366"/>
    </row>
    <row r="367" spans="10:10" x14ac:dyDescent="0.3">
      <c r="J367"/>
    </row>
    <row r="368" spans="10:10" x14ac:dyDescent="0.3">
      <c r="J368"/>
    </row>
    <row r="369" spans="10:10" x14ac:dyDescent="0.3">
      <c r="J369"/>
    </row>
    <row r="370" spans="10:10" x14ac:dyDescent="0.3">
      <c r="J370"/>
    </row>
    <row r="371" spans="10:10" x14ac:dyDescent="0.3">
      <c r="J371"/>
    </row>
    <row r="372" spans="10:10" x14ac:dyDescent="0.3">
      <c r="J372"/>
    </row>
    <row r="373" spans="10:10" x14ac:dyDescent="0.3">
      <c r="J373"/>
    </row>
    <row r="374" spans="10:10" x14ac:dyDescent="0.3">
      <c r="J374"/>
    </row>
    <row r="375" spans="10:10" x14ac:dyDescent="0.3">
      <c r="J375"/>
    </row>
    <row r="376" spans="10:10" x14ac:dyDescent="0.3">
      <c r="J376"/>
    </row>
    <row r="377" spans="10:10" x14ac:dyDescent="0.3">
      <c r="J377"/>
    </row>
    <row r="378" spans="10:10" x14ac:dyDescent="0.3">
      <c r="J378"/>
    </row>
    <row r="379" spans="10:10" x14ac:dyDescent="0.3">
      <c r="J379"/>
    </row>
    <row r="380" spans="10:10" x14ac:dyDescent="0.3">
      <c r="J380"/>
    </row>
    <row r="381" spans="10:10" x14ac:dyDescent="0.3">
      <c r="J381"/>
    </row>
    <row r="382" spans="10:10" x14ac:dyDescent="0.3">
      <c r="J382"/>
    </row>
    <row r="383" spans="10:10" x14ac:dyDescent="0.3">
      <c r="J383"/>
    </row>
    <row r="384" spans="10:10" x14ac:dyDescent="0.3">
      <c r="J384"/>
    </row>
    <row r="385" spans="10:10" x14ac:dyDescent="0.3">
      <c r="J385"/>
    </row>
    <row r="386" spans="10:10" x14ac:dyDescent="0.3">
      <c r="J386"/>
    </row>
    <row r="387" spans="10:10" x14ac:dyDescent="0.3">
      <c r="J387"/>
    </row>
    <row r="388" spans="10:10" x14ac:dyDescent="0.3">
      <c r="J388"/>
    </row>
    <row r="389" spans="10:10" x14ac:dyDescent="0.3">
      <c r="J389"/>
    </row>
    <row r="390" spans="10:10" x14ac:dyDescent="0.3">
      <c r="J390"/>
    </row>
    <row r="391" spans="10:10" x14ac:dyDescent="0.3">
      <c r="J391"/>
    </row>
    <row r="392" spans="10:10" x14ac:dyDescent="0.3">
      <c r="J392"/>
    </row>
    <row r="393" spans="10:10" x14ac:dyDescent="0.3">
      <c r="J393"/>
    </row>
    <row r="394" spans="10:10" x14ac:dyDescent="0.3">
      <c r="J394"/>
    </row>
    <row r="395" spans="10:10" x14ac:dyDescent="0.3">
      <c r="J395"/>
    </row>
    <row r="396" spans="10:10" x14ac:dyDescent="0.3">
      <c r="J396"/>
    </row>
    <row r="397" spans="10:10" x14ac:dyDescent="0.3">
      <c r="J397"/>
    </row>
    <row r="398" spans="10:10" x14ac:dyDescent="0.3">
      <c r="J398"/>
    </row>
    <row r="399" spans="10:10" x14ac:dyDescent="0.3">
      <c r="J399"/>
    </row>
    <row r="400" spans="10:10" x14ac:dyDescent="0.3">
      <c r="J400"/>
    </row>
    <row r="401" spans="10:10" x14ac:dyDescent="0.3">
      <c r="J401"/>
    </row>
    <row r="402" spans="10:10" x14ac:dyDescent="0.3">
      <c r="J402"/>
    </row>
    <row r="403" spans="10:10" x14ac:dyDescent="0.3">
      <c r="J403"/>
    </row>
    <row r="404" spans="10:10" x14ac:dyDescent="0.3">
      <c r="J404"/>
    </row>
    <row r="405" spans="10:10" x14ac:dyDescent="0.3">
      <c r="J405"/>
    </row>
    <row r="406" spans="10:10" x14ac:dyDescent="0.3">
      <c r="J406"/>
    </row>
    <row r="407" spans="10:10" x14ac:dyDescent="0.3">
      <c r="J407"/>
    </row>
    <row r="408" spans="10:10" x14ac:dyDescent="0.3">
      <c r="J408"/>
    </row>
    <row r="409" spans="10:10" x14ac:dyDescent="0.3">
      <c r="J409"/>
    </row>
    <row r="410" spans="10:10" x14ac:dyDescent="0.3">
      <c r="J410"/>
    </row>
    <row r="411" spans="10:10" x14ac:dyDescent="0.3">
      <c r="J411"/>
    </row>
    <row r="412" spans="10:10" x14ac:dyDescent="0.3">
      <c r="J412"/>
    </row>
    <row r="413" spans="10:10" x14ac:dyDescent="0.3">
      <c r="J413"/>
    </row>
    <row r="414" spans="10:10" x14ac:dyDescent="0.3">
      <c r="J414"/>
    </row>
    <row r="415" spans="10:10" x14ac:dyDescent="0.3">
      <c r="J415"/>
    </row>
    <row r="416" spans="10:10" x14ac:dyDescent="0.3">
      <c r="J416"/>
    </row>
    <row r="417" spans="10:10" x14ac:dyDescent="0.3">
      <c r="J417"/>
    </row>
    <row r="418" spans="10:10" x14ac:dyDescent="0.3">
      <c r="J418"/>
    </row>
    <row r="419" spans="10:10" x14ac:dyDescent="0.3">
      <c r="J419"/>
    </row>
    <row r="420" spans="10:10" x14ac:dyDescent="0.3">
      <c r="J420"/>
    </row>
    <row r="421" spans="10:10" x14ac:dyDescent="0.3">
      <c r="J421"/>
    </row>
    <row r="422" spans="10:10" x14ac:dyDescent="0.3">
      <c r="J422"/>
    </row>
    <row r="423" spans="10:10" x14ac:dyDescent="0.3">
      <c r="J423"/>
    </row>
    <row r="424" spans="10:10" x14ac:dyDescent="0.3">
      <c r="J424"/>
    </row>
    <row r="425" spans="10:10" x14ac:dyDescent="0.3">
      <c r="J425"/>
    </row>
    <row r="426" spans="10:10" x14ac:dyDescent="0.3">
      <c r="J426"/>
    </row>
    <row r="427" spans="10:10" x14ac:dyDescent="0.3">
      <c r="J427"/>
    </row>
    <row r="428" spans="10:10" x14ac:dyDescent="0.3">
      <c r="J428"/>
    </row>
    <row r="429" spans="10:10" x14ac:dyDescent="0.3">
      <c r="J429"/>
    </row>
    <row r="430" spans="10:10" x14ac:dyDescent="0.3">
      <c r="J430"/>
    </row>
    <row r="431" spans="10:10" x14ac:dyDescent="0.3">
      <c r="J431"/>
    </row>
    <row r="432" spans="10:10" x14ac:dyDescent="0.3">
      <c r="J432"/>
    </row>
    <row r="433" spans="10:10" x14ac:dyDescent="0.3">
      <c r="J433"/>
    </row>
    <row r="434" spans="10:10" x14ac:dyDescent="0.3">
      <c r="J434"/>
    </row>
    <row r="435" spans="10:10" x14ac:dyDescent="0.3">
      <c r="J435"/>
    </row>
    <row r="436" spans="10:10" x14ac:dyDescent="0.3">
      <c r="J436"/>
    </row>
    <row r="437" spans="10:10" x14ac:dyDescent="0.3">
      <c r="J437"/>
    </row>
    <row r="438" spans="10:10" x14ac:dyDescent="0.3">
      <c r="J438"/>
    </row>
    <row r="439" spans="10:10" x14ac:dyDescent="0.3">
      <c r="J439"/>
    </row>
    <row r="440" spans="10:10" x14ac:dyDescent="0.3">
      <c r="J440"/>
    </row>
    <row r="441" spans="10:10" x14ac:dyDescent="0.3">
      <c r="J441"/>
    </row>
    <row r="442" spans="10:10" x14ac:dyDescent="0.3">
      <c r="J442"/>
    </row>
    <row r="443" spans="10:10" x14ac:dyDescent="0.3">
      <c r="J443"/>
    </row>
    <row r="444" spans="10:10" x14ac:dyDescent="0.3">
      <c r="J444"/>
    </row>
    <row r="445" spans="10:10" x14ac:dyDescent="0.3">
      <c r="J445"/>
    </row>
    <row r="446" spans="10:10" x14ac:dyDescent="0.3">
      <c r="J446"/>
    </row>
    <row r="447" spans="10:10" x14ac:dyDescent="0.3">
      <c r="J447"/>
    </row>
    <row r="448" spans="10:10" x14ac:dyDescent="0.3">
      <c r="J448"/>
    </row>
    <row r="449" spans="10:10" x14ac:dyDescent="0.3">
      <c r="J449"/>
    </row>
    <row r="450" spans="10:10" x14ac:dyDescent="0.3">
      <c r="J450"/>
    </row>
    <row r="451" spans="10:10" x14ac:dyDescent="0.3">
      <c r="J451"/>
    </row>
    <row r="452" spans="10:10" x14ac:dyDescent="0.3">
      <c r="J452"/>
    </row>
    <row r="453" spans="10:10" x14ac:dyDescent="0.3">
      <c r="J453"/>
    </row>
    <row r="454" spans="10:10" x14ac:dyDescent="0.3">
      <c r="J454"/>
    </row>
    <row r="455" spans="10:10" x14ac:dyDescent="0.3">
      <c r="J455"/>
    </row>
    <row r="456" spans="10:10" x14ac:dyDescent="0.3">
      <c r="J456"/>
    </row>
    <row r="457" spans="10:10" x14ac:dyDescent="0.3">
      <c r="J457"/>
    </row>
    <row r="458" spans="10:10" x14ac:dyDescent="0.3">
      <c r="J458"/>
    </row>
    <row r="459" spans="10:10" x14ac:dyDescent="0.3">
      <c r="J459"/>
    </row>
    <row r="460" spans="10:10" x14ac:dyDescent="0.3">
      <c r="J460"/>
    </row>
    <row r="461" spans="10:10" x14ac:dyDescent="0.3">
      <c r="J461"/>
    </row>
    <row r="462" spans="10:10" x14ac:dyDescent="0.3">
      <c r="J462"/>
    </row>
    <row r="463" spans="10:10" x14ac:dyDescent="0.3">
      <c r="J463"/>
    </row>
    <row r="464" spans="10:10" x14ac:dyDescent="0.3">
      <c r="J464"/>
    </row>
    <row r="465" spans="10:10" x14ac:dyDescent="0.3">
      <c r="J465"/>
    </row>
    <row r="466" spans="10:10" x14ac:dyDescent="0.3">
      <c r="J466"/>
    </row>
    <row r="467" spans="10:10" x14ac:dyDescent="0.3">
      <c r="J467"/>
    </row>
    <row r="468" spans="10:10" x14ac:dyDescent="0.3">
      <c r="J468"/>
    </row>
    <row r="469" spans="10:10" x14ac:dyDescent="0.3">
      <c r="J469"/>
    </row>
    <row r="470" spans="10:10" x14ac:dyDescent="0.3">
      <c r="J470"/>
    </row>
    <row r="471" spans="10:10" x14ac:dyDescent="0.3">
      <c r="J471"/>
    </row>
    <row r="472" spans="10:10" x14ac:dyDescent="0.3">
      <c r="J472"/>
    </row>
    <row r="473" spans="10:10" x14ac:dyDescent="0.3">
      <c r="J473"/>
    </row>
    <row r="474" spans="10:10" x14ac:dyDescent="0.3">
      <c r="J474"/>
    </row>
    <row r="475" spans="10:10" x14ac:dyDescent="0.3">
      <c r="J475"/>
    </row>
    <row r="476" spans="10:10" x14ac:dyDescent="0.3">
      <c r="J476"/>
    </row>
    <row r="477" spans="10:10" x14ac:dyDescent="0.3">
      <c r="J477"/>
    </row>
    <row r="478" spans="10:10" x14ac:dyDescent="0.3">
      <c r="J478"/>
    </row>
    <row r="479" spans="10:10" x14ac:dyDescent="0.3">
      <c r="J479"/>
    </row>
    <row r="480" spans="10:10" x14ac:dyDescent="0.3">
      <c r="J480"/>
    </row>
    <row r="481" spans="10:10" x14ac:dyDescent="0.3">
      <c r="J481"/>
    </row>
    <row r="482" spans="10:10" x14ac:dyDescent="0.3">
      <c r="J482"/>
    </row>
    <row r="483" spans="10:10" x14ac:dyDescent="0.3">
      <c r="J483"/>
    </row>
    <row r="484" spans="10:10" x14ac:dyDescent="0.3">
      <c r="J484"/>
    </row>
    <row r="485" spans="10:10" x14ac:dyDescent="0.3">
      <c r="J485"/>
    </row>
    <row r="486" spans="10:10" x14ac:dyDescent="0.3">
      <c r="J486"/>
    </row>
    <row r="487" spans="10:10" x14ac:dyDescent="0.3">
      <c r="J487"/>
    </row>
    <row r="488" spans="10:10" x14ac:dyDescent="0.3">
      <c r="J488"/>
    </row>
    <row r="489" spans="10:10" x14ac:dyDescent="0.3">
      <c r="J489"/>
    </row>
    <row r="490" spans="10:10" x14ac:dyDescent="0.3">
      <c r="J490"/>
    </row>
    <row r="491" spans="10:10" x14ac:dyDescent="0.3">
      <c r="J491"/>
    </row>
    <row r="492" spans="10:10" x14ac:dyDescent="0.3">
      <c r="J492"/>
    </row>
    <row r="493" spans="10:10" x14ac:dyDescent="0.3">
      <c r="J493"/>
    </row>
    <row r="494" spans="10:10" x14ac:dyDescent="0.3">
      <c r="J494"/>
    </row>
    <row r="495" spans="10:10" x14ac:dyDescent="0.3">
      <c r="J495"/>
    </row>
    <row r="496" spans="10:10" x14ac:dyDescent="0.3">
      <c r="J496"/>
    </row>
    <row r="497" spans="10:10" x14ac:dyDescent="0.3">
      <c r="J497"/>
    </row>
    <row r="498" spans="10:10" x14ac:dyDescent="0.3">
      <c r="J498"/>
    </row>
    <row r="499" spans="10:10" x14ac:dyDescent="0.3">
      <c r="J499"/>
    </row>
    <row r="500" spans="10:10" x14ac:dyDescent="0.3">
      <c r="J500"/>
    </row>
    <row r="501" spans="10:10" x14ac:dyDescent="0.3">
      <c r="J501"/>
    </row>
    <row r="502" spans="10:10" x14ac:dyDescent="0.3">
      <c r="J502"/>
    </row>
    <row r="503" spans="10:10" x14ac:dyDescent="0.3">
      <c r="J503"/>
    </row>
    <row r="504" spans="10:10" x14ac:dyDescent="0.3">
      <c r="J504"/>
    </row>
    <row r="505" spans="10:10" x14ac:dyDescent="0.3">
      <c r="J505"/>
    </row>
    <row r="506" spans="10:10" x14ac:dyDescent="0.3">
      <c r="J506"/>
    </row>
    <row r="507" spans="10:10" x14ac:dyDescent="0.3">
      <c r="J507"/>
    </row>
    <row r="508" spans="10:10" x14ac:dyDescent="0.3">
      <c r="J508"/>
    </row>
    <row r="509" spans="10:10" x14ac:dyDescent="0.3">
      <c r="J509"/>
    </row>
    <row r="510" spans="10:10" x14ac:dyDescent="0.3">
      <c r="J510"/>
    </row>
    <row r="511" spans="10:10" x14ac:dyDescent="0.3">
      <c r="J511"/>
    </row>
    <row r="512" spans="10:10" x14ac:dyDescent="0.3">
      <c r="J512"/>
    </row>
    <row r="513" spans="10:10" x14ac:dyDescent="0.3">
      <c r="J513"/>
    </row>
    <row r="514" spans="10:10" x14ac:dyDescent="0.3">
      <c r="J514"/>
    </row>
    <row r="515" spans="10:10" x14ac:dyDescent="0.3">
      <c r="J515"/>
    </row>
    <row r="516" spans="10:10" x14ac:dyDescent="0.3">
      <c r="J516"/>
    </row>
    <row r="517" spans="10:10" x14ac:dyDescent="0.3">
      <c r="J517"/>
    </row>
    <row r="518" spans="10:10" x14ac:dyDescent="0.3">
      <c r="J518"/>
    </row>
    <row r="519" spans="10:10" x14ac:dyDescent="0.3">
      <c r="J519"/>
    </row>
    <row r="520" spans="10:10" x14ac:dyDescent="0.3">
      <c r="J520"/>
    </row>
    <row r="521" spans="10:10" x14ac:dyDescent="0.3">
      <c r="J521"/>
    </row>
    <row r="522" spans="10:10" x14ac:dyDescent="0.3">
      <c r="J522"/>
    </row>
    <row r="523" spans="10:10" x14ac:dyDescent="0.3">
      <c r="J523"/>
    </row>
    <row r="524" spans="10:10" x14ac:dyDescent="0.3">
      <c r="J524"/>
    </row>
    <row r="525" spans="10:10" x14ac:dyDescent="0.3">
      <c r="J525"/>
    </row>
    <row r="526" spans="10:10" x14ac:dyDescent="0.3">
      <c r="J526"/>
    </row>
    <row r="527" spans="10:10" x14ac:dyDescent="0.3">
      <c r="J527"/>
    </row>
    <row r="528" spans="10:10" x14ac:dyDescent="0.3">
      <c r="J528"/>
    </row>
    <row r="529" spans="10:10" x14ac:dyDescent="0.3">
      <c r="J529"/>
    </row>
    <row r="530" spans="10:10" x14ac:dyDescent="0.3">
      <c r="J530"/>
    </row>
    <row r="531" spans="10:10" x14ac:dyDescent="0.3">
      <c r="J531"/>
    </row>
    <row r="532" spans="10:10" x14ac:dyDescent="0.3">
      <c r="J532"/>
    </row>
    <row r="533" spans="10:10" x14ac:dyDescent="0.3">
      <c r="J533"/>
    </row>
    <row r="534" spans="10:10" x14ac:dyDescent="0.3">
      <c r="J534"/>
    </row>
    <row r="535" spans="10:10" x14ac:dyDescent="0.3">
      <c r="J535"/>
    </row>
    <row r="536" spans="10:10" x14ac:dyDescent="0.3">
      <c r="J536"/>
    </row>
    <row r="537" spans="10:10" x14ac:dyDescent="0.3">
      <c r="J537"/>
    </row>
    <row r="538" spans="10:10" x14ac:dyDescent="0.3">
      <c r="J538"/>
    </row>
    <row r="539" spans="10:10" x14ac:dyDescent="0.3">
      <c r="J539"/>
    </row>
    <row r="540" spans="10:10" x14ac:dyDescent="0.3">
      <c r="J540"/>
    </row>
    <row r="541" spans="10:10" x14ac:dyDescent="0.3">
      <c r="J541"/>
    </row>
    <row r="542" spans="10:10" x14ac:dyDescent="0.3">
      <c r="J542"/>
    </row>
    <row r="543" spans="10:10" x14ac:dyDescent="0.3">
      <c r="J543"/>
    </row>
    <row r="544" spans="10:10" x14ac:dyDescent="0.3">
      <c r="J544"/>
    </row>
    <row r="545" spans="10:10" x14ac:dyDescent="0.3">
      <c r="J545"/>
    </row>
    <row r="546" spans="10:10" x14ac:dyDescent="0.3">
      <c r="J546"/>
    </row>
    <row r="547" spans="10:10" x14ac:dyDescent="0.3">
      <c r="J547"/>
    </row>
    <row r="548" spans="10:10" x14ac:dyDescent="0.3">
      <c r="J548"/>
    </row>
    <row r="549" spans="10:10" x14ac:dyDescent="0.3">
      <c r="J549"/>
    </row>
    <row r="550" spans="10:10" x14ac:dyDescent="0.3">
      <c r="J550"/>
    </row>
    <row r="551" spans="10:10" x14ac:dyDescent="0.3">
      <c r="J551"/>
    </row>
    <row r="552" spans="10:10" x14ac:dyDescent="0.3">
      <c r="J552"/>
    </row>
    <row r="553" spans="10:10" x14ac:dyDescent="0.3">
      <c r="J553"/>
    </row>
    <row r="554" spans="10:10" x14ac:dyDescent="0.3">
      <c r="J554"/>
    </row>
    <row r="555" spans="10:10" x14ac:dyDescent="0.3">
      <c r="J555"/>
    </row>
    <row r="556" spans="10:10" x14ac:dyDescent="0.3">
      <c r="J556"/>
    </row>
    <row r="557" spans="10:10" x14ac:dyDescent="0.3">
      <c r="J557"/>
    </row>
    <row r="558" spans="10:10" x14ac:dyDescent="0.3">
      <c r="J558"/>
    </row>
    <row r="559" spans="10:10" x14ac:dyDescent="0.3">
      <c r="J559"/>
    </row>
    <row r="560" spans="10:10" x14ac:dyDescent="0.3">
      <c r="J560"/>
    </row>
    <row r="561" spans="10:10" x14ac:dyDescent="0.3">
      <c r="J561"/>
    </row>
    <row r="562" spans="10:10" x14ac:dyDescent="0.3">
      <c r="J562"/>
    </row>
    <row r="563" spans="10:10" x14ac:dyDescent="0.3">
      <c r="J563"/>
    </row>
    <row r="564" spans="10:10" x14ac:dyDescent="0.3">
      <c r="J564"/>
    </row>
    <row r="565" spans="10:10" x14ac:dyDescent="0.3">
      <c r="J565"/>
    </row>
    <row r="566" spans="10:10" x14ac:dyDescent="0.3">
      <c r="J566"/>
    </row>
    <row r="567" spans="10:10" x14ac:dyDescent="0.3">
      <c r="J567"/>
    </row>
    <row r="568" spans="10:10" x14ac:dyDescent="0.3">
      <c r="J568"/>
    </row>
    <row r="569" spans="10:10" x14ac:dyDescent="0.3">
      <c r="J569"/>
    </row>
    <row r="570" spans="10:10" x14ac:dyDescent="0.3">
      <c r="J570"/>
    </row>
    <row r="571" spans="10:10" x14ac:dyDescent="0.3">
      <c r="J571"/>
    </row>
    <row r="572" spans="10:10" x14ac:dyDescent="0.3">
      <c r="J572"/>
    </row>
    <row r="573" spans="10:10" x14ac:dyDescent="0.3">
      <c r="J573"/>
    </row>
    <row r="574" spans="10:10" x14ac:dyDescent="0.3">
      <c r="J574"/>
    </row>
    <row r="575" spans="10:10" x14ac:dyDescent="0.3">
      <c r="J575"/>
    </row>
    <row r="576" spans="10:10" x14ac:dyDescent="0.3">
      <c r="J576"/>
    </row>
    <row r="577" spans="10:10" x14ac:dyDescent="0.3">
      <c r="J577"/>
    </row>
    <row r="578" spans="10:10" x14ac:dyDescent="0.3">
      <c r="J578"/>
    </row>
    <row r="579" spans="10:10" x14ac:dyDescent="0.3">
      <c r="J579"/>
    </row>
    <row r="580" spans="10:10" x14ac:dyDescent="0.3">
      <c r="J580"/>
    </row>
    <row r="581" spans="10:10" x14ac:dyDescent="0.3">
      <c r="J581"/>
    </row>
    <row r="582" spans="10:10" x14ac:dyDescent="0.3">
      <c r="J582"/>
    </row>
    <row r="583" spans="10:10" x14ac:dyDescent="0.3">
      <c r="J583"/>
    </row>
    <row r="584" spans="10:10" x14ac:dyDescent="0.3">
      <c r="J584"/>
    </row>
    <row r="585" spans="10:10" x14ac:dyDescent="0.3">
      <c r="J585"/>
    </row>
    <row r="586" spans="10:10" x14ac:dyDescent="0.3">
      <c r="J586"/>
    </row>
    <row r="587" spans="10:10" x14ac:dyDescent="0.3">
      <c r="J587"/>
    </row>
    <row r="588" spans="10:10" x14ac:dyDescent="0.3">
      <c r="J588"/>
    </row>
    <row r="589" spans="10:10" x14ac:dyDescent="0.3">
      <c r="J589"/>
    </row>
    <row r="590" spans="10:10" x14ac:dyDescent="0.3">
      <c r="J590"/>
    </row>
    <row r="591" spans="10:10" x14ac:dyDescent="0.3">
      <c r="J591"/>
    </row>
    <row r="592" spans="10:10" x14ac:dyDescent="0.3">
      <c r="J592"/>
    </row>
    <row r="593" spans="10:10" x14ac:dyDescent="0.3">
      <c r="J593"/>
    </row>
    <row r="594" spans="10:10" x14ac:dyDescent="0.3">
      <c r="J594"/>
    </row>
    <row r="595" spans="10:10" x14ac:dyDescent="0.3">
      <c r="J595"/>
    </row>
    <row r="596" spans="10:10" x14ac:dyDescent="0.3">
      <c r="J596"/>
    </row>
    <row r="597" spans="10:10" x14ac:dyDescent="0.3">
      <c r="J597"/>
    </row>
    <row r="598" spans="10:10" x14ac:dyDescent="0.3">
      <c r="J598"/>
    </row>
    <row r="599" spans="10:10" x14ac:dyDescent="0.3">
      <c r="J599"/>
    </row>
    <row r="600" spans="10:10" x14ac:dyDescent="0.3">
      <c r="J600"/>
    </row>
    <row r="601" spans="10:10" x14ac:dyDescent="0.3">
      <c r="J601"/>
    </row>
    <row r="602" spans="10:10" x14ac:dyDescent="0.3">
      <c r="J602"/>
    </row>
    <row r="603" spans="10:10" x14ac:dyDescent="0.3">
      <c r="J603"/>
    </row>
    <row r="604" spans="10:10" x14ac:dyDescent="0.3">
      <c r="J604"/>
    </row>
    <row r="605" spans="10:10" x14ac:dyDescent="0.3">
      <c r="J605"/>
    </row>
    <row r="606" spans="10:10" x14ac:dyDescent="0.3">
      <c r="J606"/>
    </row>
    <row r="607" spans="10:10" x14ac:dyDescent="0.3">
      <c r="J607"/>
    </row>
    <row r="608" spans="10:10" x14ac:dyDescent="0.3">
      <c r="J608"/>
    </row>
    <row r="609" spans="10:10" x14ac:dyDescent="0.3">
      <c r="J609"/>
    </row>
    <row r="610" spans="10:10" x14ac:dyDescent="0.3">
      <c r="J610"/>
    </row>
    <row r="611" spans="10:10" x14ac:dyDescent="0.3">
      <c r="J611"/>
    </row>
    <row r="612" spans="10:10" x14ac:dyDescent="0.3">
      <c r="J612"/>
    </row>
    <row r="613" spans="10:10" x14ac:dyDescent="0.3">
      <c r="J613"/>
    </row>
    <row r="614" spans="10:10" x14ac:dyDescent="0.3">
      <c r="J614"/>
    </row>
    <row r="615" spans="10:10" x14ac:dyDescent="0.3">
      <c r="J615"/>
    </row>
    <row r="616" spans="10:10" x14ac:dyDescent="0.3">
      <c r="J616"/>
    </row>
    <row r="617" spans="10:10" x14ac:dyDescent="0.3">
      <c r="J617"/>
    </row>
    <row r="618" spans="10:10" x14ac:dyDescent="0.3">
      <c r="J618"/>
    </row>
    <row r="619" spans="10:10" x14ac:dyDescent="0.3">
      <c r="J619"/>
    </row>
    <row r="620" spans="10:10" x14ac:dyDescent="0.3">
      <c r="J620"/>
    </row>
    <row r="621" spans="10:10" x14ac:dyDescent="0.3">
      <c r="J621"/>
    </row>
    <row r="622" spans="10:10" x14ac:dyDescent="0.3">
      <c r="J622"/>
    </row>
    <row r="623" spans="10:10" x14ac:dyDescent="0.3">
      <c r="J623"/>
    </row>
    <row r="624" spans="10:10" x14ac:dyDescent="0.3">
      <c r="J624"/>
    </row>
    <row r="625" spans="10:10" x14ac:dyDescent="0.3">
      <c r="J625"/>
    </row>
    <row r="626" spans="10:10" x14ac:dyDescent="0.3">
      <c r="J626"/>
    </row>
    <row r="627" spans="10:10" x14ac:dyDescent="0.3">
      <c r="J627"/>
    </row>
    <row r="628" spans="10:10" x14ac:dyDescent="0.3">
      <c r="J628"/>
    </row>
    <row r="629" spans="10:10" x14ac:dyDescent="0.3">
      <c r="J629"/>
    </row>
    <row r="630" spans="10:10" x14ac:dyDescent="0.3">
      <c r="J630"/>
    </row>
    <row r="631" spans="10:10" x14ac:dyDescent="0.3">
      <c r="J631"/>
    </row>
    <row r="632" spans="10:10" x14ac:dyDescent="0.3">
      <c r="J632"/>
    </row>
    <row r="633" spans="10:10" x14ac:dyDescent="0.3">
      <c r="J633"/>
    </row>
    <row r="634" spans="10:10" x14ac:dyDescent="0.3">
      <c r="J634"/>
    </row>
    <row r="635" spans="10:10" x14ac:dyDescent="0.3">
      <c r="J635"/>
    </row>
    <row r="636" spans="10:10" x14ac:dyDescent="0.3">
      <c r="J636"/>
    </row>
    <row r="637" spans="10:10" x14ac:dyDescent="0.3">
      <c r="J637"/>
    </row>
    <row r="638" spans="10:10" x14ac:dyDescent="0.3">
      <c r="J638"/>
    </row>
    <row r="639" spans="10:10" x14ac:dyDescent="0.3">
      <c r="J639"/>
    </row>
    <row r="640" spans="10:10" x14ac:dyDescent="0.3">
      <c r="J640"/>
    </row>
    <row r="641" spans="10:10" x14ac:dyDescent="0.3">
      <c r="J641"/>
    </row>
    <row r="642" spans="10:10" x14ac:dyDescent="0.3">
      <c r="J642"/>
    </row>
    <row r="643" spans="10:10" x14ac:dyDescent="0.3">
      <c r="J643"/>
    </row>
    <row r="644" spans="10:10" x14ac:dyDescent="0.3">
      <c r="J644"/>
    </row>
    <row r="645" spans="10:10" x14ac:dyDescent="0.3">
      <c r="J645"/>
    </row>
    <row r="646" spans="10:10" x14ac:dyDescent="0.3">
      <c r="J646"/>
    </row>
    <row r="647" spans="10:10" x14ac:dyDescent="0.3">
      <c r="J647"/>
    </row>
    <row r="648" spans="10:10" x14ac:dyDescent="0.3">
      <c r="J648"/>
    </row>
    <row r="649" spans="10:10" x14ac:dyDescent="0.3">
      <c r="J649"/>
    </row>
    <row r="650" spans="10:10" x14ac:dyDescent="0.3">
      <c r="J650"/>
    </row>
    <row r="651" spans="10:10" x14ac:dyDescent="0.3">
      <c r="J651"/>
    </row>
    <row r="652" spans="10:10" x14ac:dyDescent="0.3">
      <c r="J652"/>
    </row>
    <row r="653" spans="10:10" x14ac:dyDescent="0.3">
      <c r="J653"/>
    </row>
    <row r="654" spans="10:10" x14ac:dyDescent="0.3">
      <c r="J654"/>
    </row>
    <row r="655" spans="10:10" x14ac:dyDescent="0.3">
      <c r="J655"/>
    </row>
    <row r="656" spans="10:10" x14ac:dyDescent="0.3">
      <c r="J656"/>
    </row>
    <row r="657" spans="10:10" x14ac:dyDescent="0.3">
      <c r="J657"/>
    </row>
    <row r="658" spans="10:10" x14ac:dyDescent="0.3">
      <c r="J658"/>
    </row>
    <row r="659" spans="10:10" x14ac:dyDescent="0.3">
      <c r="J659"/>
    </row>
    <row r="660" spans="10:10" x14ac:dyDescent="0.3">
      <c r="J660"/>
    </row>
    <row r="661" spans="10:10" x14ac:dyDescent="0.3">
      <c r="J661"/>
    </row>
    <row r="662" spans="10:10" x14ac:dyDescent="0.3">
      <c r="J662"/>
    </row>
    <row r="663" spans="10:10" x14ac:dyDescent="0.3">
      <c r="J663"/>
    </row>
    <row r="664" spans="10:10" x14ac:dyDescent="0.3">
      <c r="J664"/>
    </row>
    <row r="665" spans="10:10" x14ac:dyDescent="0.3">
      <c r="J665"/>
    </row>
    <row r="666" spans="10:10" x14ac:dyDescent="0.3">
      <c r="J666"/>
    </row>
    <row r="667" spans="10:10" x14ac:dyDescent="0.3">
      <c r="J667"/>
    </row>
    <row r="668" spans="10:10" x14ac:dyDescent="0.3">
      <c r="J668"/>
    </row>
    <row r="669" spans="10:10" x14ac:dyDescent="0.3">
      <c r="J669"/>
    </row>
    <row r="670" spans="10:10" x14ac:dyDescent="0.3">
      <c r="J670"/>
    </row>
    <row r="671" spans="10:10" x14ac:dyDescent="0.3">
      <c r="J671"/>
    </row>
    <row r="672" spans="10:10" x14ac:dyDescent="0.3">
      <c r="J672"/>
    </row>
    <row r="673" spans="10:10" x14ac:dyDescent="0.3">
      <c r="J673"/>
    </row>
    <row r="674" spans="10:10" x14ac:dyDescent="0.3">
      <c r="J674"/>
    </row>
    <row r="675" spans="10:10" x14ac:dyDescent="0.3">
      <c r="J675"/>
    </row>
    <row r="676" spans="10:10" x14ac:dyDescent="0.3">
      <c r="J676"/>
    </row>
    <row r="677" spans="10:10" x14ac:dyDescent="0.3">
      <c r="J677"/>
    </row>
    <row r="678" spans="10:10" x14ac:dyDescent="0.3">
      <c r="J678"/>
    </row>
    <row r="679" spans="10:10" x14ac:dyDescent="0.3">
      <c r="J679"/>
    </row>
    <row r="680" spans="10:10" x14ac:dyDescent="0.3">
      <c r="J680"/>
    </row>
    <row r="681" spans="10:10" x14ac:dyDescent="0.3">
      <c r="J681"/>
    </row>
    <row r="682" spans="10:10" x14ac:dyDescent="0.3">
      <c r="J682"/>
    </row>
    <row r="683" spans="10:10" x14ac:dyDescent="0.3">
      <c r="J683"/>
    </row>
    <row r="684" spans="10:10" x14ac:dyDescent="0.3">
      <c r="J684"/>
    </row>
    <row r="685" spans="10:10" x14ac:dyDescent="0.3">
      <c r="J685"/>
    </row>
    <row r="686" spans="10:10" x14ac:dyDescent="0.3">
      <c r="J686"/>
    </row>
    <row r="687" spans="10:10" x14ac:dyDescent="0.3">
      <c r="J687"/>
    </row>
    <row r="688" spans="10:10" x14ac:dyDescent="0.3">
      <c r="J688"/>
    </row>
    <row r="689" spans="10:10" x14ac:dyDescent="0.3">
      <c r="J689"/>
    </row>
    <row r="690" spans="10:10" x14ac:dyDescent="0.3">
      <c r="J690"/>
    </row>
    <row r="691" spans="10:10" x14ac:dyDescent="0.3">
      <c r="J691"/>
    </row>
    <row r="692" spans="10:10" x14ac:dyDescent="0.3">
      <c r="J692"/>
    </row>
    <row r="693" spans="10:10" x14ac:dyDescent="0.3">
      <c r="J693"/>
    </row>
    <row r="694" spans="10:10" x14ac:dyDescent="0.3">
      <c r="J694"/>
    </row>
    <row r="695" spans="10:10" x14ac:dyDescent="0.3">
      <c r="J695"/>
    </row>
    <row r="696" spans="10:10" x14ac:dyDescent="0.3">
      <c r="J696"/>
    </row>
    <row r="697" spans="10:10" x14ac:dyDescent="0.3">
      <c r="J697"/>
    </row>
    <row r="698" spans="10:10" x14ac:dyDescent="0.3">
      <c r="J698"/>
    </row>
    <row r="699" spans="10:10" x14ac:dyDescent="0.3">
      <c r="J699"/>
    </row>
    <row r="700" spans="10:10" x14ac:dyDescent="0.3">
      <c r="J700"/>
    </row>
    <row r="701" spans="10:10" x14ac:dyDescent="0.3">
      <c r="J701"/>
    </row>
    <row r="702" spans="10:10" x14ac:dyDescent="0.3">
      <c r="J702"/>
    </row>
    <row r="703" spans="10:10" x14ac:dyDescent="0.3">
      <c r="J703"/>
    </row>
    <row r="704" spans="10:10" x14ac:dyDescent="0.3">
      <c r="J704"/>
    </row>
    <row r="705" spans="10:10" x14ac:dyDescent="0.3">
      <c r="J705"/>
    </row>
    <row r="706" spans="10:10" x14ac:dyDescent="0.3">
      <c r="J706"/>
    </row>
    <row r="707" spans="10:10" x14ac:dyDescent="0.3">
      <c r="J707"/>
    </row>
    <row r="708" spans="10:10" x14ac:dyDescent="0.3">
      <c r="J708"/>
    </row>
    <row r="709" spans="10:10" x14ac:dyDescent="0.3">
      <c r="J709"/>
    </row>
    <row r="710" spans="10:10" x14ac:dyDescent="0.3">
      <c r="J710"/>
    </row>
    <row r="711" spans="10:10" x14ac:dyDescent="0.3">
      <c r="J711"/>
    </row>
    <row r="712" spans="10:10" x14ac:dyDescent="0.3">
      <c r="J712"/>
    </row>
    <row r="713" spans="10:10" x14ac:dyDescent="0.3">
      <c r="J713"/>
    </row>
    <row r="714" spans="10:10" x14ac:dyDescent="0.3">
      <c r="J714"/>
    </row>
    <row r="715" spans="10:10" x14ac:dyDescent="0.3">
      <c r="J715"/>
    </row>
    <row r="716" spans="10:10" x14ac:dyDescent="0.3">
      <c r="J716"/>
    </row>
    <row r="717" spans="10:10" x14ac:dyDescent="0.3">
      <c r="J717"/>
    </row>
    <row r="718" spans="10:10" x14ac:dyDescent="0.3">
      <c r="J718"/>
    </row>
    <row r="719" spans="10:10" x14ac:dyDescent="0.3">
      <c r="J719"/>
    </row>
    <row r="720" spans="10:10" x14ac:dyDescent="0.3">
      <c r="J720"/>
    </row>
    <row r="721" spans="10:10" x14ac:dyDescent="0.3">
      <c r="J721"/>
    </row>
    <row r="722" spans="10:10" x14ac:dyDescent="0.3">
      <c r="J722"/>
    </row>
    <row r="723" spans="10:10" x14ac:dyDescent="0.3">
      <c r="J723"/>
    </row>
    <row r="724" spans="10:10" x14ac:dyDescent="0.3">
      <c r="J724"/>
    </row>
    <row r="725" spans="10:10" x14ac:dyDescent="0.3">
      <c r="J725"/>
    </row>
    <row r="726" spans="10:10" x14ac:dyDescent="0.3">
      <c r="J726"/>
    </row>
    <row r="727" spans="10:10" x14ac:dyDescent="0.3">
      <c r="J727"/>
    </row>
    <row r="728" spans="10:10" x14ac:dyDescent="0.3">
      <c r="J728"/>
    </row>
    <row r="729" spans="10:10" x14ac:dyDescent="0.3">
      <c r="J729"/>
    </row>
    <row r="730" spans="10:10" x14ac:dyDescent="0.3">
      <c r="J730"/>
    </row>
    <row r="731" spans="10:10" x14ac:dyDescent="0.3">
      <c r="J731"/>
    </row>
    <row r="732" spans="10:10" x14ac:dyDescent="0.3">
      <c r="J732"/>
    </row>
    <row r="733" spans="10:10" x14ac:dyDescent="0.3">
      <c r="J733"/>
    </row>
    <row r="734" spans="10:10" x14ac:dyDescent="0.3">
      <c r="J734"/>
    </row>
    <row r="735" spans="10:10" x14ac:dyDescent="0.3">
      <c r="J735"/>
    </row>
    <row r="736" spans="10:10" x14ac:dyDescent="0.3">
      <c r="J736"/>
    </row>
    <row r="737" spans="10:10" x14ac:dyDescent="0.3">
      <c r="J737"/>
    </row>
    <row r="738" spans="10:10" x14ac:dyDescent="0.3">
      <c r="J738"/>
    </row>
    <row r="739" spans="10:10" x14ac:dyDescent="0.3">
      <c r="J739"/>
    </row>
    <row r="740" spans="10:10" x14ac:dyDescent="0.3">
      <c r="J740"/>
    </row>
    <row r="741" spans="10:10" x14ac:dyDescent="0.3">
      <c r="J741"/>
    </row>
    <row r="742" spans="10:10" x14ac:dyDescent="0.3">
      <c r="J742"/>
    </row>
    <row r="743" spans="10:10" x14ac:dyDescent="0.3">
      <c r="J743"/>
    </row>
    <row r="744" spans="10:10" x14ac:dyDescent="0.3">
      <c r="J744"/>
    </row>
    <row r="745" spans="10:10" x14ac:dyDescent="0.3">
      <c r="J745"/>
    </row>
    <row r="746" spans="10:10" x14ac:dyDescent="0.3">
      <c r="J746"/>
    </row>
    <row r="747" spans="10:10" x14ac:dyDescent="0.3">
      <c r="J747"/>
    </row>
    <row r="748" spans="10:10" x14ac:dyDescent="0.3">
      <c r="J748"/>
    </row>
    <row r="749" spans="10:10" x14ac:dyDescent="0.3">
      <c r="J749"/>
    </row>
    <row r="750" spans="10:10" x14ac:dyDescent="0.3">
      <c r="J750"/>
    </row>
    <row r="751" spans="10:10" x14ac:dyDescent="0.3">
      <c r="J751"/>
    </row>
    <row r="752" spans="10:10" x14ac:dyDescent="0.3">
      <c r="J752"/>
    </row>
    <row r="753" spans="10:10" x14ac:dyDescent="0.3">
      <c r="J753"/>
    </row>
    <row r="754" spans="10:10" x14ac:dyDescent="0.3">
      <c r="J754"/>
    </row>
    <row r="755" spans="10:10" x14ac:dyDescent="0.3">
      <c r="J755"/>
    </row>
    <row r="756" spans="10:10" x14ac:dyDescent="0.3">
      <c r="J756"/>
    </row>
    <row r="757" spans="10:10" x14ac:dyDescent="0.3">
      <c r="J757"/>
    </row>
    <row r="758" spans="10:10" x14ac:dyDescent="0.3">
      <c r="J758"/>
    </row>
    <row r="759" spans="10:10" x14ac:dyDescent="0.3">
      <c r="J759"/>
    </row>
    <row r="760" spans="10:10" x14ac:dyDescent="0.3">
      <c r="J760"/>
    </row>
    <row r="761" spans="10:10" x14ac:dyDescent="0.3">
      <c r="J761"/>
    </row>
    <row r="762" spans="10:10" x14ac:dyDescent="0.3">
      <c r="J762"/>
    </row>
    <row r="763" spans="10:10" x14ac:dyDescent="0.3">
      <c r="J763"/>
    </row>
    <row r="764" spans="10:10" x14ac:dyDescent="0.3">
      <c r="J764"/>
    </row>
    <row r="765" spans="10:10" x14ac:dyDescent="0.3">
      <c r="J765"/>
    </row>
    <row r="766" spans="10:10" x14ac:dyDescent="0.3">
      <c r="J766"/>
    </row>
    <row r="767" spans="10:10" x14ac:dyDescent="0.3">
      <c r="J767"/>
    </row>
    <row r="768" spans="10:10" x14ac:dyDescent="0.3">
      <c r="J768"/>
    </row>
    <row r="769" spans="10:10" x14ac:dyDescent="0.3">
      <c r="J769"/>
    </row>
    <row r="770" spans="10:10" x14ac:dyDescent="0.3">
      <c r="J770"/>
    </row>
    <row r="771" spans="10:10" x14ac:dyDescent="0.3">
      <c r="J771"/>
    </row>
    <row r="772" spans="10:10" x14ac:dyDescent="0.3">
      <c r="J772"/>
    </row>
    <row r="773" spans="10:10" x14ac:dyDescent="0.3">
      <c r="J773"/>
    </row>
    <row r="774" spans="10:10" x14ac:dyDescent="0.3">
      <c r="J774"/>
    </row>
    <row r="775" spans="10:10" x14ac:dyDescent="0.3">
      <c r="J775"/>
    </row>
    <row r="776" spans="10:10" x14ac:dyDescent="0.3">
      <c r="J776"/>
    </row>
    <row r="777" spans="10:10" x14ac:dyDescent="0.3">
      <c r="J777"/>
    </row>
    <row r="778" spans="10:10" x14ac:dyDescent="0.3">
      <c r="J778"/>
    </row>
    <row r="779" spans="10:10" x14ac:dyDescent="0.3">
      <c r="J779"/>
    </row>
    <row r="780" spans="10:10" x14ac:dyDescent="0.3">
      <c r="J780"/>
    </row>
    <row r="781" spans="10:10" x14ac:dyDescent="0.3">
      <c r="J781"/>
    </row>
    <row r="782" spans="10:10" x14ac:dyDescent="0.3">
      <c r="J782"/>
    </row>
    <row r="783" spans="10:10" x14ac:dyDescent="0.3">
      <c r="J783"/>
    </row>
    <row r="784" spans="10:10" x14ac:dyDescent="0.3">
      <c r="J784"/>
    </row>
    <row r="785" spans="10:10" x14ac:dyDescent="0.3">
      <c r="J785"/>
    </row>
    <row r="786" spans="10:10" x14ac:dyDescent="0.3">
      <c r="J786"/>
    </row>
    <row r="787" spans="10:10" x14ac:dyDescent="0.3">
      <c r="J787"/>
    </row>
    <row r="788" spans="10:10" x14ac:dyDescent="0.3">
      <c r="J788"/>
    </row>
    <row r="789" spans="10:10" x14ac:dyDescent="0.3">
      <c r="J789"/>
    </row>
    <row r="790" spans="10:10" x14ac:dyDescent="0.3">
      <c r="J790"/>
    </row>
    <row r="791" spans="10:10" x14ac:dyDescent="0.3">
      <c r="J791"/>
    </row>
    <row r="792" spans="10:10" x14ac:dyDescent="0.3">
      <c r="J792"/>
    </row>
    <row r="793" spans="10:10" x14ac:dyDescent="0.3">
      <c r="J793"/>
    </row>
    <row r="794" spans="10:10" x14ac:dyDescent="0.3">
      <c r="J794"/>
    </row>
    <row r="795" spans="10:10" x14ac:dyDescent="0.3">
      <c r="J795"/>
    </row>
    <row r="796" spans="10:10" x14ac:dyDescent="0.3">
      <c r="J796"/>
    </row>
    <row r="797" spans="10:10" x14ac:dyDescent="0.3">
      <c r="J797"/>
    </row>
    <row r="798" spans="10:10" x14ac:dyDescent="0.3">
      <c r="J798"/>
    </row>
    <row r="799" spans="10:10" x14ac:dyDescent="0.3">
      <c r="J799"/>
    </row>
    <row r="800" spans="10:10" x14ac:dyDescent="0.3">
      <c r="J800"/>
    </row>
    <row r="801" spans="10:10" x14ac:dyDescent="0.3">
      <c r="J801"/>
    </row>
    <row r="802" spans="10:10" x14ac:dyDescent="0.3">
      <c r="J802"/>
    </row>
    <row r="803" spans="10:10" x14ac:dyDescent="0.3">
      <c r="J803"/>
    </row>
    <row r="804" spans="10:10" x14ac:dyDescent="0.3">
      <c r="J804"/>
    </row>
    <row r="805" spans="10:10" x14ac:dyDescent="0.3">
      <c r="J805"/>
    </row>
    <row r="806" spans="10:10" x14ac:dyDescent="0.3">
      <c r="J806"/>
    </row>
    <row r="807" spans="10:10" x14ac:dyDescent="0.3">
      <c r="J807"/>
    </row>
    <row r="808" spans="10:10" x14ac:dyDescent="0.3">
      <c r="J808"/>
    </row>
    <row r="809" spans="10:10" x14ac:dyDescent="0.3">
      <c r="J809"/>
    </row>
    <row r="810" spans="10:10" x14ac:dyDescent="0.3">
      <c r="J810"/>
    </row>
    <row r="811" spans="10:10" x14ac:dyDescent="0.3">
      <c r="J811"/>
    </row>
    <row r="812" spans="10:10" x14ac:dyDescent="0.3">
      <c r="J812"/>
    </row>
    <row r="813" spans="10:10" x14ac:dyDescent="0.3">
      <c r="J813"/>
    </row>
    <row r="814" spans="10:10" x14ac:dyDescent="0.3">
      <c r="J814"/>
    </row>
    <row r="815" spans="10:10" x14ac:dyDescent="0.3">
      <c r="J815"/>
    </row>
    <row r="816" spans="10:10" x14ac:dyDescent="0.3">
      <c r="J816"/>
    </row>
    <row r="817" spans="10:10" x14ac:dyDescent="0.3">
      <c r="J817"/>
    </row>
    <row r="818" spans="10:10" x14ac:dyDescent="0.3">
      <c r="J818"/>
    </row>
    <row r="819" spans="10:10" x14ac:dyDescent="0.3">
      <c r="J819"/>
    </row>
    <row r="820" spans="10:10" x14ac:dyDescent="0.3">
      <c r="J820"/>
    </row>
    <row r="821" spans="10:10" x14ac:dyDescent="0.3">
      <c r="J821"/>
    </row>
    <row r="822" spans="10:10" x14ac:dyDescent="0.3">
      <c r="J822"/>
    </row>
    <row r="823" spans="10:10" x14ac:dyDescent="0.3">
      <c r="J823"/>
    </row>
    <row r="824" spans="10:10" x14ac:dyDescent="0.3">
      <c r="J824"/>
    </row>
    <row r="825" spans="10:10" x14ac:dyDescent="0.3">
      <c r="J825"/>
    </row>
    <row r="826" spans="10:10" x14ac:dyDescent="0.3">
      <c r="J826"/>
    </row>
    <row r="827" spans="10:10" x14ac:dyDescent="0.3">
      <c r="J827"/>
    </row>
    <row r="828" spans="10:10" x14ac:dyDescent="0.3">
      <c r="J828"/>
    </row>
    <row r="829" spans="10:10" x14ac:dyDescent="0.3">
      <c r="J829"/>
    </row>
    <row r="830" spans="10:10" x14ac:dyDescent="0.3">
      <c r="J830"/>
    </row>
    <row r="831" spans="10:10" x14ac:dyDescent="0.3">
      <c r="J831"/>
    </row>
    <row r="832" spans="10:10" x14ac:dyDescent="0.3">
      <c r="J832"/>
    </row>
    <row r="833" spans="10:10" x14ac:dyDescent="0.3">
      <c r="J833"/>
    </row>
    <row r="834" spans="10:10" x14ac:dyDescent="0.3">
      <c r="J834"/>
    </row>
    <row r="835" spans="10:10" x14ac:dyDescent="0.3">
      <c r="J835"/>
    </row>
    <row r="836" spans="10:10" x14ac:dyDescent="0.3">
      <c r="J836"/>
    </row>
    <row r="837" spans="10:10" x14ac:dyDescent="0.3">
      <c r="J837"/>
    </row>
    <row r="838" spans="10:10" x14ac:dyDescent="0.3">
      <c r="J838"/>
    </row>
    <row r="839" spans="10:10" x14ac:dyDescent="0.3">
      <c r="J839"/>
    </row>
    <row r="840" spans="10:10" x14ac:dyDescent="0.3">
      <c r="J840"/>
    </row>
    <row r="841" spans="10:10" x14ac:dyDescent="0.3">
      <c r="J841"/>
    </row>
    <row r="842" spans="10:10" x14ac:dyDescent="0.3">
      <c r="J842"/>
    </row>
    <row r="843" spans="10:10" x14ac:dyDescent="0.3">
      <c r="J843"/>
    </row>
    <row r="844" spans="10:10" x14ac:dyDescent="0.3">
      <c r="J844"/>
    </row>
    <row r="845" spans="10:10" x14ac:dyDescent="0.3">
      <c r="J845"/>
    </row>
    <row r="846" spans="10:10" x14ac:dyDescent="0.3">
      <c r="J846"/>
    </row>
    <row r="847" spans="10:10" x14ac:dyDescent="0.3">
      <c r="J847"/>
    </row>
    <row r="848" spans="10:10" x14ac:dyDescent="0.3">
      <c r="J848"/>
    </row>
    <row r="849" spans="10:10" x14ac:dyDescent="0.3">
      <c r="J849"/>
    </row>
    <row r="850" spans="10:10" x14ac:dyDescent="0.3">
      <c r="J850"/>
    </row>
    <row r="851" spans="10:10" x14ac:dyDescent="0.3">
      <c r="J851"/>
    </row>
    <row r="852" spans="10:10" x14ac:dyDescent="0.3">
      <c r="J852"/>
    </row>
    <row r="853" spans="10:10" x14ac:dyDescent="0.3">
      <c r="J853"/>
    </row>
    <row r="854" spans="10:10" x14ac:dyDescent="0.3">
      <c r="J854"/>
    </row>
    <row r="855" spans="10:10" x14ac:dyDescent="0.3">
      <c r="J855"/>
    </row>
    <row r="856" spans="10:10" x14ac:dyDescent="0.3">
      <c r="J856"/>
    </row>
    <row r="857" spans="10:10" x14ac:dyDescent="0.3">
      <c r="J857"/>
    </row>
    <row r="858" spans="10:10" x14ac:dyDescent="0.3">
      <c r="J858"/>
    </row>
    <row r="859" spans="10:10" x14ac:dyDescent="0.3">
      <c r="J859"/>
    </row>
    <row r="860" spans="10:10" x14ac:dyDescent="0.3">
      <c r="J860"/>
    </row>
    <row r="861" spans="10:10" x14ac:dyDescent="0.3">
      <c r="J861"/>
    </row>
    <row r="862" spans="10:10" x14ac:dyDescent="0.3">
      <c r="J862"/>
    </row>
    <row r="863" spans="10:10" x14ac:dyDescent="0.3">
      <c r="J863"/>
    </row>
    <row r="864" spans="10:10" x14ac:dyDescent="0.3">
      <c r="J864"/>
    </row>
    <row r="865" spans="10:10" x14ac:dyDescent="0.3">
      <c r="J865"/>
    </row>
    <row r="866" spans="10:10" x14ac:dyDescent="0.3">
      <c r="J866"/>
    </row>
    <row r="867" spans="10:10" x14ac:dyDescent="0.3">
      <c r="J867"/>
    </row>
    <row r="868" spans="10:10" x14ac:dyDescent="0.3">
      <c r="J868"/>
    </row>
    <row r="869" spans="10:10" x14ac:dyDescent="0.3">
      <c r="J869"/>
    </row>
    <row r="870" spans="10:10" x14ac:dyDescent="0.3">
      <c r="J870"/>
    </row>
    <row r="871" spans="10:10" x14ac:dyDescent="0.3">
      <c r="J871"/>
    </row>
    <row r="872" spans="10:10" x14ac:dyDescent="0.3">
      <c r="J872"/>
    </row>
    <row r="873" spans="10:10" x14ac:dyDescent="0.3">
      <c r="J873"/>
    </row>
    <row r="874" spans="10:10" x14ac:dyDescent="0.3">
      <c r="J874"/>
    </row>
    <row r="875" spans="10:10" x14ac:dyDescent="0.3">
      <c r="J875"/>
    </row>
    <row r="876" spans="10:10" x14ac:dyDescent="0.3">
      <c r="J876"/>
    </row>
    <row r="877" spans="10:10" x14ac:dyDescent="0.3">
      <c r="J877"/>
    </row>
    <row r="878" spans="10:10" x14ac:dyDescent="0.3">
      <c r="J878"/>
    </row>
    <row r="879" spans="10:10" x14ac:dyDescent="0.3">
      <c r="J879"/>
    </row>
    <row r="880" spans="10:10" x14ac:dyDescent="0.3">
      <c r="J880"/>
    </row>
    <row r="881" spans="10:10" x14ac:dyDescent="0.3">
      <c r="J881"/>
    </row>
    <row r="882" spans="10:10" x14ac:dyDescent="0.3">
      <c r="J882"/>
    </row>
    <row r="883" spans="10:10" x14ac:dyDescent="0.3">
      <c r="J883"/>
    </row>
    <row r="884" spans="10:10" x14ac:dyDescent="0.3">
      <c r="J884"/>
    </row>
    <row r="885" spans="10:10" x14ac:dyDescent="0.3">
      <c r="J885"/>
    </row>
    <row r="886" spans="10:10" x14ac:dyDescent="0.3">
      <c r="J886"/>
    </row>
    <row r="887" spans="10:10" x14ac:dyDescent="0.3">
      <c r="J887"/>
    </row>
    <row r="888" spans="10:10" x14ac:dyDescent="0.3">
      <c r="J888"/>
    </row>
    <row r="889" spans="10:10" x14ac:dyDescent="0.3">
      <c r="J889"/>
    </row>
    <row r="890" spans="10:10" x14ac:dyDescent="0.3">
      <c r="J890"/>
    </row>
    <row r="891" spans="10:10" x14ac:dyDescent="0.3">
      <c r="J891"/>
    </row>
    <row r="892" spans="10:10" x14ac:dyDescent="0.3">
      <c r="J892"/>
    </row>
    <row r="893" spans="10:10" x14ac:dyDescent="0.3">
      <c r="J893"/>
    </row>
    <row r="894" spans="10:10" x14ac:dyDescent="0.3">
      <c r="J894"/>
    </row>
    <row r="895" spans="10:10" x14ac:dyDescent="0.3">
      <c r="J895"/>
    </row>
    <row r="896" spans="10:10" x14ac:dyDescent="0.3">
      <c r="J896"/>
    </row>
    <row r="897" spans="10:10" x14ac:dyDescent="0.3">
      <c r="J897"/>
    </row>
    <row r="898" spans="10:10" x14ac:dyDescent="0.3">
      <c r="J898"/>
    </row>
    <row r="899" spans="10:10" x14ac:dyDescent="0.3">
      <c r="J899"/>
    </row>
    <row r="900" spans="10:10" x14ac:dyDescent="0.3">
      <c r="J900"/>
    </row>
    <row r="901" spans="10:10" x14ac:dyDescent="0.3">
      <c r="J901"/>
    </row>
    <row r="902" spans="10:10" x14ac:dyDescent="0.3">
      <c r="J902"/>
    </row>
    <row r="903" spans="10:10" x14ac:dyDescent="0.3">
      <c r="J903"/>
    </row>
    <row r="904" spans="10:10" x14ac:dyDescent="0.3">
      <c r="J904"/>
    </row>
    <row r="905" spans="10:10" x14ac:dyDescent="0.3">
      <c r="J905"/>
    </row>
    <row r="906" spans="10:10" x14ac:dyDescent="0.3">
      <c r="J906"/>
    </row>
    <row r="907" spans="10:10" x14ac:dyDescent="0.3">
      <c r="J907"/>
    </row>
    <row r="908" spans="10:10" x14ac:dyDescent="0.3">
      <c r="J908"/>
    </row>
    <row r="909" spans="10:10" x14ac:dyDescent="0.3">
      <c r="J909"/>
    </row>
    <row r="910" spans="10:10" x14ac:dyDescent="0.3">
      <c r="J910"/>
    </row>
    <row r="911" spans="10:10" x14ac:dyDescent="0.3">
      <c r="J911"/>
    </row>
    <row r="912" spans="10:10" x14ac:dyDescent="0.3">
      <c r="J912"/>
    </row>
    <row r="913" spans="10:10" x14ac:dyDescent="0.3">
      <c r="J913"/>
    </row>
    <row r="914" spans="10:10" x14ac:dyDescent="0.3">
      <c r="J914"/>
    </row>
    <row r="915" spans="10:10" x14ac:dyDescent="0.3">
      <c r="J915"/>
    </row>
    <row r="916" spans="10:10" x14ac:dyDescent="0.3">
      <c r="J916"/>
    </row>
    <row r="917" spans="10:10" x14ac:dyDescent="0.3">
      <c r="J917"/>
    </row>
    <row r="918" spans="10:10" x14ac:dyDescent="0.3">
      <c r="J918"/>
    </row>
    <row r="919" spans="10:10" x14ac:dyDescent="0.3">
      <c r="J919"/>
    </row>
    <row r="920" spans="10:10" x14ac:dyDescent="0.3">
      <c r="J920"/>
    </row>
    <row r="921" spans="10:10" x14ac:dyDescent="0.3">
      <c r="J921"/>
    </row>
    <row r="922" spans="10:10" x14ac:dyDescent="0.3">
      <c r="J922"/>
    </row>
    <row r="923" spans="10:10" x14ac:dyDescent="0.3">
      <c r="J923"/>
    </row>
    <row r="924" spans="10:10" x14ac:dyDescent="0.3">
      <c r="J924"/>
    </row>
    <row r="925" spans="10:10" x14ac:dyDescent="0.3">
      <c r="J925"/>
    </row>
    <row r="926" spans="10:10" x14ac:dyDescent="0.3">
      <c r="J926"/>
    </row>
    <row r="927" spans="10:10" x14ac:dyDescent="0.3">
      <c r="J927"/>
    </row>
    <row r="928" spans="10:10" x14ac:dyDescent="0.3">
      <c r="J928"/>
    </row>
    <row r="929" spans="10:10" x14ac:dyDescent="0.3">
      <c r="J929"/>
    </row>
    <row r="930" spans="10:10" x14ac:dyDescent="0.3">
      <c r="J930"/>
    </row>
    <row r="931" spans="10:10" x14ac:dyDescent="0.3">
      <c r="J931"/>
    </row>
    <row r="932" spans="10:10" x14ac:dyDescent="0.3">
      <c r="J932"/>
    </row>
    <row r="933" spans="10:10" x14ac:dyDescent="0.3">
      <c r="J933"/>
    </row>
    <row r="934" spans="10:10" x14ac:dyDescent="0.3">
      <c r="J934"/>
    </row>
    <row r="935" spans="10:10" x14ac:dyDescent="0.3">
      <c r="J935"/>
    </row>
    <row r="936" spans="10:10" x14ac:dyDescent="0.3">
      <c r="J936"/>
    </row>
    <row r="937" spans="10:10" x14ac:dyDescent="0.3">
      <c r="J937"/>
    </row>
    <row r="938" spans="10:10" x14ac:dyDescent="0.3">
      <c r="J938"/>
    </row>
    <row r="939" spans="10:10" x14ac:dyDescent="0.3">
      <c r="J939"/>
    </row>
    <row r="940" spans="10:10" x14ac:dyDescent="0.3">
      <c r="J940"/>
    </row>
    <row r="941" spans="10:10" x14ac:dyDescent="0.3">
      <c r="J941"/>
    </row>
    <row r="942" spans="10:10" x14ac:dyDescent="0.3">
      <c r="J942"/>
    </row>
    <row r="943" spans="10:10" x14ac:dyDescent="0.3">
      <c r="J943"/>
    </row>
    <row r="944" spans="10:10" x14ac:dyDescent="0.3">
      <c r="J944"/>
    </row>
    <row r="945" spans="10:10" x14ac:dyDescent="0.3">
      <c r="J945"/>
    </row>
    <row r="946" spans="10:10" x14ac:dyDescent="0.3">
      <c r="J946"/>
    </row>
    <row r="947" spans="10:10" x14ac:dyDescent="0.3">
      <c r="J947"/>
    </row>
    <row r="948" spans="10:10" x14ac:dyDescent="0.3">
      <c r="J948"/>
    </row>
    <row r="949" spans="10:10" x14ac:dyDescent="0.3">
      <c r="J949"/>
    </row>
    <row r="950" spans="10:10" x14ac:dyDescent="0.3">
      <c r="J950"/>
    </row>
    <row r="951" spans="10:10" x14ac:dyDescent="0.3">
      <c r="J951"/>
    </row>
    <row r="952" spans="10:10" x14ac:dyDescent="0.3">
      <c r="J952"/>
    </row>
    <row r="953" spans="10:10" x14ac:dyDescent="0.3">
      <c r="J953"/>
    </row>
    <row r="954" spans="10:10" x14ac:dyDescent="0.3">
      <c r="J954"/>
    </row>
    <row r="955" spans="10:10" x14ac:dyDescent="0.3">
      <c r="J955"/>
    </row>
    <row r="956" spans="10:10" x14ac:dyDescent="0.3">
      <c r="J956"/>
    </row>
    <row r="957" spans="10:10" x14ac:dyDescent="0.3">
      <c r="J957"/>
    </row>
    <row r="958" spans="10:10" x14ac:dyDescent="0.3">
      <c r="J958"/>
    </row>
    <row r="959" spans="10:10" x14ac:dyDescent="0.3">
      <c r="J959"/>
    </row>
    <row r="960" spans="10:10" x14ac:dyDescent="0.3">
      <c r="J960"/>
    </row>
    <row r="961" spans="10:10" x14ac:dyDescent="0.3">
      <c r="J961"/>
    </row>
    <row r="962" spans="10:10" x14ac:dyDescent="0.3">
      <c r="J962"/>
    </row>
    <row r="963" spans="10:10" x14ac:dyDescent="0.3">
      <c r="J963"/>
    </row>
    <row r="964" spans="10:10" x14ac:dyDescent="0.3">
      <c r="J964"/>
    </row>
    <row r="965" spans="10:10" x14ac:dyDescent="0.3">
      <c r="J965"/>
    </row>
    <row r="966" spans="10:10" x14ac:dyDescent="0.3">
      <c r="J966"/>
    </row>
    <row r="967" spans="10:10" x14ac:dyDescent="0.3">
      <c r="J967"/>
    </row>
    <row r="968" spans="10:10" x14ac:dyDescent="0.3">
      <c r="J968"/>
    </row>
    <row r="969" spans="10:10" x14ac:dyDescent="0.3">
      <c r="J969"/>
    </row>
    <row r="970" spans="10:10" x14ac:dyDescent="0.3">
      <c r="J970"/>
    </row>
    <row r="971" spans="10:10" x14ac:dyDescent="0.3">
      <c r="J971"/>
    </row>
    <row r="972" spans="10:10" x14ac:dyDescent="0.3">
      <c r="J972"/>
    </row>
    <row r="973" spans="10:10" x14ac:dyDescent="0.3">
      <c r="J973"/>
    </row>
    <row r="974" spans="10:10" x14ac:dyDescent="0.3">
      <c r="J974"/>
    </row>
    <row r="975" spans="10:10" x14ac:dyDescent="0.3">
      <c r="J975"/>
    </row>
    <row r="976" spans="10:10" x14ac:dyDescent="0.3">
      <c r="J976"/>
    </row>
    <row r="977" spans="10:10" x14ac:dyDescent="0.3">
      <c r="J977"/>
    </row>
    <row r="978" spans="10:10" x14ac:dyDescent="0.3">
      <c r="J978"/>
    </row>
    <row r="979" spans="10:10" x14ac:dyDescent="0.3">
      <c r="J979"/>
    </row>
    <row r="980" spans="10:10" x14ac:dyDescent="0.3">
      <c r="J980"/>
    </row>
    <row r="981" spans="10:10" x14ac:dyDescent="0.3">
      <c r="J981"/>
    </row>
    <row r="982" spans="10:10" x14ac:dyDescent="0.3">
      <c r="J982"/>
    </row>
    <row r="983" spans="10:10" x14ac:dyDescent="0.3">
      <c r="J983"/>
    </row>
    <row r="984" spans="10:10" x14ac:dyDescent="0.3">
      <c r="J984"/>
    </row>
    <row r="985" spans="10:10" x14ac:dyDescent="0.3">
      <c r="J985"/>
    </row>
    <row r="986" spans="10:10" x14ac:dyDescent="0.3">
      <c r="J986"/>
    </row>
    <row r="987" spans="10:10" x14ac:dyDescent="0.3">
      <c r="J987"/>
    </row>
    <row r="988" spans="10:10" x14ac:dyDescent="0.3">
      <c r="J988"/>
    </row>
    <row r="989" spans="10:10" x14ac:dyDescent="0.3">
      <c r="J989"/>
    </row>
    <row r="990" spans="10:10" x14ac:dyDescent="0.3">
      <c r="J990"/>
    </row>
    <row r="991" spans="10:10" x14ac:dyDescent="0.3">
      <c r="J991"/>
    </row>
    <row r="992" spans="10:10" x14ac:dyDescent="0.3">
      <c r="J992"/>
    </row>
    <row r="993" spans="10:10" x14ac:dyDescent="0.3">
      <c r="J993"/>
    </row>
    <row r="994" spans="10:10" x14ac:dyDescent="0.3">
      <c r="J994"/>
    </row>
    <row r="995" spans="10:10" x14ac:dyDescent="0.3">
      <c r="J995"/>
    </row>
    <row r="996" spans="10:10" x14ac:dyDescent="0.3">
      <c r="J996"/>
    </row>
    <row r="997" spans="10:10" x14ac:dyDescent="0.3">
      <c r="J997"/>
    </row>
    <row r="998" spans="10:10" x14ac:dyDescent="0.3">
      <c r="J998"/>
    </row>
    <row r="999" spans="10:10" x14ac:dyDescent="0.3">
      <c r="J999"/>
    </row>
    <row r="1000" spans="10:10" x14ac:dyDescent="0.3">
      <c r="J1000"/>
    </row>
    <row r="1001" spans="10:10" x14ac:dyDescent="0.3">
      <c r="J1001"/>
    </row>
    <row r="1002" spans="10:10" x14ac:dyDescent="0.3">
      <c r="J1002"/>
    </row>
    <row r="1003" spans="10:10" x14ac:dyDescent="0.3">
      <c r="J1003"/>
    </row>
    <row r="1004" spans="10:10" x14ac:dyDescent="0.3">
      <c r="J1004"/>
    </row>
    <row r="1005" spans="10:10" x14ac:dyDescent="0.3">
      <c r="J1005"/>
    </row>
    <row r="1006" spans="10:10" x14ac:dyDescent="0.3">
      <c r="J1006"/>
    </row>
    <row r="1007" spans="10:10" x14ac:dyDescent="0.3">
      <c r="J1007"/>
    </row>
    <row r="1008" spans="10:10" x14ac:dyDescent="0.3">
      <c r="J1008"/>
    </row>
    <row r="1009" spans="10:10" x14ac:dyDescent="0.3">
      <c r="J1009"/>
    </row>
    <row r="1010" spans="10:10" x14ac:dyDescent="0.3">
      <c r="J1010"/>
    </row>
    <row r="1011" spans="10:10" x14ac:dyDescent="0.3">
      <c r="J1011"/>
    </row>
    <row r="1012" spans="10:10" x14ac:dyDescent="0.3">
      <c r="J1012"/>
    </row>
    <row r="1013" spans="10:10" x14ac:dyDescent="0.3">
      <c r="J1013"/>
    </row>
    <row r="1014" spans="10:10" x14ac:dyDescent="0.3">
      <c r="J1014"/>
    </row>
    <row r="1015" spans="10:10" x14ac:dyDescent="0.3">
      <c r="J1015"/>
    </row>
    <row r="1016" spans="10:10" x14ac:dyDescent="0.3">
      <c r="J1016"/>
    </row>
    <row r="1017" spans="10:10" x14ac:dyDescent="0.3">
      <c r="J1017"/>
    </row>
    <row r="1018" spans="10:10" x14ac:dyDescent="0.3">
      <c r="J1018"/>
    </row>
    <row r="1019" spans="10:10" x14ac:dyDescent="0.3">
      <c r="J1019"/>
    </row>
    <row r="1020" spans="10:10" x14ac:dyDescent="0.3">
      <c r="J1020"/>
    </row>
    <row r="1021" spans="10:10" x14ac:dyDescent="0.3">
      <c r="J1021"/>
    </row>
    <row r="1022" spans="10:10" x14ac:dyDescent="0.3">
      <c r="J1022"/>
    </row>
    <row r="1023" spans="10:10" x14ac:dyDescent="0.3">
      <c r="J1023"/>
    </row>
    <row r="1024" spans="10:10" x14ac:dyDescent="0.3">
      <c r="J1024"/>
    </row>
    <row r="1025" spans="10:10" x14ac:dyDescent="0.3">
      <c r="J1025"/>
    </row>
    <row r="1026" spans="10:10" x14ac:dyDescent="0.3">
      <c r="J1026"/>
    </row>
    <row r="1027" spans="10:10" x14ac:dyDescent="0.3">
      <c r="J1027"/>
    </row>
    <row r="1028" spans="10:10" x14ac:dyDescent="0.3">
      <c r="J1028"/>
    </row>
    <row r="1029" spans="10:10" x14ac:dyDescent="0.3">
      <c r="J1029"/>
    </row>
    <row r="1030" spans="10:10" x14ac:dyDescent="0.3">
      <c r="J1030"/>
    </row>
    <row r="1031" spans="10:10" x14ac:dyDescent="0.3">
      <c r="J1031"/>
    </row>
    <row r="1032" spans="10:10" x14ac:dyDescent="0.3">
      <c r="J1032"/>
    </row>
    <row r="1033" spans="10:10" x14ac:dyDescent="0.3">
      <c r="J1033"/>
    </row>
    <row r="1034" spans="10:10" x14ac:dyDescent="0.3">
      <c r="J1034"/>
    </row>
    <row r="1035" spans="10:10" x14ac:dyDescent="0.3">
      <c r="J1035"/>
    </row>
    <row r="1036" spans="10:10" x14ac:dyDescent="0.3">
      <c r="J1036"/>
    </row>
    <row r="1037" spans="10:10" x14ac:dyDescent="0.3">
      <c r="J1037"/>
    </row>
    <row r="1038" spans="10:10" x14ac:dyDescent="0.3">
      <c r="J1038"/>
    </row>
    <row r="1039" spans="10:10" x14ac:dyDescent="0.3">
      <c r="J1039"/>
    </row>
    <row r="1040" spans="10:10" x14ac:dyDescent="0.3">
      <c r="J1040"/>
    </row>
    <row r="1041" spans="10:10" x14ac:dyDescent="0.3">
      <c r="J1041"/>
    </row>
    <row r="1042" spans="10:10" x14ac:dyDescent="0.3">
      <c r="J1042"/>
    </row>
    <row r="1043" spans="10:10" x14ac:dyDescent="0.3">
      <c r="J1043"/>
    </row>
    <row r="1044" spans="10:10" x14ac:dyDescent="0.3">
      <c r="J1044"/>
    </row>
    <row r="1045" spans="10:10" x14ac:dyDescent="0.3">
      <c r="J1045"/>
    </row>
    <row r="1046" spans="10:10" x14ac:dyDescent="0.3">
      <c r="J1046"/>
    </row>
    <row r="1047" spans="10:10" x14ac:dyDescent="0.3">
      <c r="J1047"/>
    </row>
    <row r="1048" spans="10:10" x14ac:dyDescent="0.3">
      <c r="J1048"/>
    </row>
    <row r="1049" spans="10:10" x14ac:dyDescent="0.3">
      <c r="J1049"/>
    </row>
    <row r="1050" spans="10:10" x14ac:dyDescent="0.3">
      <c r="J1050"/>
    </row>
    <row r="1051" spans="10:10" x14ac:dyDescent="0.3">
      <c r="J1051"/>
    </row>
    <row r="1052" spans="10:10" x14ac:dyDescent="0.3">
      <c r="J1052"/>
    </row>
    <row r="1053" spans="10:10" x14ac:dyDescent="0.3">
      <c r="J1053"/>
    </row>
    <row r="1054" spans="10:10" x14ac:dyDescent="0.3">
      <c r="J1054"/>
    </row>
    <row r="1055" spans="10:10" x14ac:dyDescent="0.3">
      <c r="J1055"/>
    </row>
    <row r="1056" spans="10:10" x14ac:dyDescent="0.3">
      <c r="J1056"/>
    </row>
    <row r="1057" spans="10:10" x14ac:dyDescent="0.3">
      <c r="J1057"/>
    </row>
    <row r="1058" spans="10:10" x14ac:dyDescent="0.3">
      <c r="J1058"/>
    </row>
    <row r="1059" spans="10:10" x14ac:dyDescent="0.3">
      <c r="J1059"/>
    </row>
    <row r="1060" spans="10:10" x14ac:dyDescent="0.3">
      <c r="J1060"/>
    </row>
    <row r="1061" spans="10:10" x14ac:dyDescent="0.3">
      <c r="J1061"/>
    </row>
    <row r="1062" spans="10:10" x14ac:dyDescent="0.3">
      <c r="J1062"/>
    </row>
    <row r="1063" spans="10:10" x14ac:dyDescent="0.3">
      <c r="J1063"/>
    </row>
    <row r="1064" spans="10:10" x14ac:dyDescent="0.3">
      <c r="J1064"/>
    </row>
    <row r="1065" spans="10:10" x14ac:dyDescent="0.3">
      <c r="J1065"/>
    </row>
    <row r="1066" spans="10:10" x14ac:dyDescent="0.3">
      <c r="J1066"/>
    </row>
    <row r="1067" spans="10:10" x14ac:dyDescent="0.3">
      <c r="J1067"/>
    </row>
    <row r="1068" spans="10:10" x14ac:dyDescent="0.3">
      <c r="J1068"/>
    </row>
    <row r="1069" spans="10:10" x14ac:dyDescent="0.3">
      <c r="J1069"/>
    </row>
    <row r="1070" spans="10:10" x14ac:dyDescent="0.3">
      <c r="J1070"/>
    </row>
    <row r="1071" spans="10:10" x14ac:dyDescent="0.3">
      <c r="J1071"/>
    </row>
    <row r="1072" spans="10:10" x14ac:dyDescent="0.3">
      <c r="J1072"/>
    </row>
    <row r="1073" spans="10:10" x14ac:dyDescent="0.3">
      <c r="J1073"/>
    </row>
    <row r="1074" spans="10:10" x14ac:dyDescent="0.3">
      <c r="J1074"/>
    </row>
    <row r="1075" spans="10:10" x14ac:dyDescent="0.3">
      <c r="J1075"/>
    </row>
    <row r="1076" spans="10:10" x14ac:dyDescent="0.3">
      <c r="J1076"/>
    </row>
    <row r="1077" spans="10:10" x14ac:dyDescent="0.3">
      <c r="J1077"/>
    </row>
    <row r="1078" spans="10:10" x14ac:dyDescent="0.3">
      <c r="J1078"/>
    </row>
    <row r="1079" spans="10:10" x14ac:dyDescent="0.3">
      <c r="J1079"/>
    </row>
    <row r="1080" spans="10:10" x14ac:dyDescent="0.3">
      <c r="J1080"/>
    </row>
    <row r="1081" spans="10:10" x14ac:dyDescent="0.3">
      <c r="J1081"/>
    </row>
    <row r="1082" spans="10:10" x14ac:dyDescent="0.3">
      <c r="J1082"/>
    </row>
    <row r="1083" spans="10:10" x14ac:dyDescent="0.3">
      <c r="J1083"/>
    </row>
    <row r="1084" spans="10:10" x14ac:dyDescent="0.3">
      <c r="J1084"/>
    </row>
    <row r="1085" spans="10:10" x14ac:dyDescent="0.3">
      <c r="J1085"/>
    </row>
    <row r="1086" spans="10:10" x14ac:dyDescent="0.3">
      <c r="J1086"/>
    </row>
    <row r="1087" spans="10:10" x14ac:dyDescent="0.3">
      <c r="J1087"/>
    </row>
    <row r="1088" spans="10:10" x14ac:dyDescent="0.3">
      <c r="J1088"/>
    </row>
    <row r="1089" spans="10:10" x14ac:dyDescent="0.3">
      <c r="J1089"/>
    </row>
    <row r="1090" spans="10:10" x14ac:dyDescent="0.3">
      <c r="J1090"/>
    </row>
    <row r="1091" spans="10:10" x14ac:dyDescent="0.3">
      <c r="J1091"/>
    </row>
    <row r="1092" spans="10:10" x14ac:dyDescent="0.3">
      <c r="J1092"/>
    </row>
    <row r="1093" spans="10:10" x14ac:dyDescent="0.3">
      <c r="J1093"/>
    </row>
    <row r="1094" spans="10:10" x14ac:dyDescent="0.3">
      <c r="J1094"/>
    </row>
    <row r="1095" spans="10:10" x14ac:dyDescent="0.3">
      <c r="J1095"/>
    </row>
    <row r="1096" spans="10:10" x14ac:dyDescent="0.3">
      <c r="J1096"/>
    </row>
    <row r="1097" spans="10:10" x14ac:dyDescent="0.3">
      <c r="J1097"/>
    </row>
    <row r="1098" spans="10:10" x14ac:dyDescent="0.3">
      <c r="J1098"/>
    </row>
    <row r="1099" spans="10:10" x14ac:dyDescent="0.3">
      <c r="J1099"/>
    </row>
    <row r="1100" spans="10:10" x14ac:dyDescent="0.3">
      <c r="J1100"/>
    </row>
    <row r="1101" spans="10:10" x14ac:dyDescent="0.3">
      <c r="J1101"/>
    </row>
    <row r="1102" spans="10:10" x14ac:dyDescent="0.3">
      <c r="J1102"/>
    </row>
    <row r="1103" spans="10:10" x14ac:dyDescent="0.3">
      <c r="J1103"/>
    </row>
    <row r="1104" spans="10:10" x14ac:dyDescent="0.3">
      <c r="J1104"/>
    </row>
    <row r="1105" spans="10:10" x14ac:dyDescent="0.3">
      <c r="J1105"/>
    </row>
    <row r="1106" spans="10:10" x14ac:dyDescent="0.3">
      <c r="J1106"/>
    </row>
    <row r="1107" spans="10:10" x14ac:dyDescent="0.3">
      <c r="J1107"/>
    </row>
    <row r="1108" spans="10:10" x14ac:dyDescent="0.3">
      <c r="J1108"/>
    </row>
    <row r="1109" spans="10:10" x14ac:dyDescent="0.3">
      <c r="J1109"/>
    </row>
    <row r="1110" spans="10:10" x14ac:dyDescent="0.3">
      <c r="J1110"/>
    </row>
    <row r="1111" spans="10:10" x14ac:dyDescent="0.3">
      <c r="J1111"/>
    </row>
    <row r="1112" spans="10:10" x14ac:dyDescent="0.3">
      <c r="J1112"/>
    </row>
    <row r="1113" spans="10:10" x14ac:dyDescent="0.3">
      <c r="J1113"/>
    </row>
    <row r="1114" spans="10:10" x14ac:dyDescent="0.3">
      <c r="J1114"/>
    </row>
    <row r="1115" spans="10:10" x14ac:dyDescent="0.3">
      <c r="J1115"/>
    </row>
    <row r="1116" spans="10:10" x14ac:dyDescent="0.3">
      <c r="J1116"/>
    </row>
    <row r="1117" spans="10:10" x14ac:dyDescent="0.3">
      <c r="J1117"/>
    </row>
    <row r="1118" spans="10:10" x14ac:dyDescent="0.3">
      <c r="J1118"/>
    </row>
    <row r="1119" spans="10:10" x14ac:dyDescent="0.3">
      <c r="J1119"/>
    </row>
    <row r="1120" spans="10: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0:10" x14ac:dyDescent="0.3">
      <c r="J1169"/>
    </row>
    <row r="1170" spans="10:10" x14ac:dyDescent="0.3">
      <c r="J1170"/>
    </row>
    <row r="1171" spans="10:10" x14ac:dyDescent="0.3">
      <c r="J1171"/>
    </row>
    <row r="1172" spans="10:10" x14ac:dyDescent="0.3">
      <c r="J1172"/>
    </row>
    <row r="1173" spans="10:10" x14ac:dyDescent="0.3">
      <c r="J1173"/>
    </row>
    <row r="1174" spans="10:10" x14ac:dyDescent="0.3">
      <c r="J1174"/>
    </row>
    <row r="1175" spans="10:10" x14ac:dyDescent="0.3">
      <c r="J1175"/>
    </row>
    <row r="1176" spans="10:10" x14ac:dyDescent="0.3">
      <c r="J1176"/>
    </row>
    <row r="1177" spans="10:10" x14ac:dyDescent="0.3">
      <c r="J1177"/>
    </row>
    <row r="1178" spans="10:10" x14ac:dyDescent="0.3">
      <c r="J1178"/>
    </row>
    <row r="1179" spans="10:10" x14ac:dyDescent="0.3">
      <c r="J1179"/>
    </row>
    <row r="1180" spans="10:10" x14ac:dyDescent="0.3">
      <c r="J1180"/>
    </row>
    <row r="1181" spans="10:10" x14ac:dyDescent="0.3">
      <c r="J1181"/>
    </row>
    <row r="1182" spans="10:10" x14ac:dyDescent="0.3">
      <c r="J1182"/>
    </row>
    <row r="1183" spans="10:10" x14ac:dyDescent="0.3">
      <c r="J1183"/>
    </row>
    <row r="1184" spans="10:10" x14ac:dyDescent="0.3">
      <c r="J1184"/>
    </row>
    <row r="1185" spans="10:10" x14ac:dyDescent="0.3">
      <c r="J1185"/>
    </row>
    <row r="1186" spans="10:10" x14ac:dyDescent="0.3">
      <c r="J1186"/>
    </row>
    <row r="1187" spans="10:10" x14ac:dyDescent="0.3">
      <c r="J1187"/>
    </row>
    <row r="1188" spans="10:10" x14ac:dyDescent="0.3">
      <c r="J1188"/>
    </row>
    <row r="1189" spans="10:10" x14ac:dyDescent="0.3">
      <c r="J1189"/>
    </row>
    <row r="1190" spans="10:10" x14ac:dyDescent="0.3">
      <c r="J1190"/>
    </row>
    <row r="1191" spans="10:10" x14ac:dyDescent="0.3">
      <c r="J1191"/>
    </row>
    <row r="1192" spans="10:10" x14ac:dyDescent="0.3">
      <c r="J1192"/>
    </row>
    <row r="1193" spans="10:10" x14ac:dyDescent="0.3">
      <c r="J1193"/>
    </row>
    <row r="1194" spans="10:10" x14ac:dyDescent="0.3">
      <c r="J1194"/>
    </row>
    <row r="1195" spans="10:10" x14ac:dyDescent="0.3">
      <c r="J1195"/>
    </row>
    <row r="1196" spans="10:10" x14ac:dyDescent="0.3">
      <c r="J1196"/>
    </row>
    <row r="1197" spans="10:10" x14ac:dyDescent="0.3">
      <c r="J1197"/>
    </row>
    <row r="1198" spans="10:10" x14ac:dyDescent="0.3">
      <c r="J1198"/>
    </row>
    <row r="1199" spans="10:10" x14ac:dyDescent="0.3">
      <c r="J1199"/>
    </row>
    <row r="1200" spans="10:10" x14ac:dyDescent="0.3">
      <c r="J1200"/>
    </row>
    <row r="1201" spans="10:10" x14ac:dyDescent="0.3">
      <c r="J1201"/>
    </row>
    <row r="1202" spans="10:10" x14ac:dyDescent="0.3">
      <c r="J1202"/>
    </row>
    <row r="1203" spans="10:10" x14ac:dyDescent="0.3">
      <c r="J1203"/>
    </row>
    <row r="1204" spans="10:10" x14ac:dyDescent="0.3">
      <c r="J1204"/>
    </row>
    <row r="1205" spans="10:10" x14ac:dyDescent="0.3">
      <c r="J1205"/>
    </row>
    <row r="1206" spans="10:10" x14ac:dyDescent="0.3">
      <c r="J1206"/>
    </row>
    <row r="1207" spans="10:10" x14ac:dyDescent="0.3">
      <c r="J1207"/>
    </row>
    <row r="1208" spans="10:10" x14ac:dyDescent="0.3">
      <c r="J1208"/>
    </row>
    <row r="1209" spans="10:10" x14ac:dyDescent="0.3">
      <c r="J1209"/>
    </row>
    <row r="1210" spans="10:10" x14ac:dyDescent="0.3">
      <c r="J1210"/>
    </row>
    <row r="1211" spans="10:10" x14ac:dyDescent="0.3">
      <c r="J1211"/>
    </row>
    <row r="1212" spans="10:10" x14ac:dyDescent="0.3">
      <c r="J1212"/>
    </row>
    <row r="1213" spans="10:10" x14ac:dyDescent="0.3">
      <c r="J1213"/>
    </row>
    <row r="1214" spans="10:10" x14ac:dyDescent="0.3">
      <c r="J1214"/>
    </row>
    <row r="1215" spans="10:10" x14ac:dyDescent="0.3">
      <c r="J1215"/>
    </row>
    <row r="1216" spans="10:10" x14ac:dyDescent="0.3">
      <c r="J1216"/>
    </row>
    <row r="1217" spans="10:10" x14ac:dyDescent="0.3">
      <c r="J1217"/>
    </row>
    <row r="1218" spans="10:10" x14ac:dyDescent="0.3">
      <c r="J1218"/>
    </row>
    <row r="1219" spans="10:10" x14ac:dyDescent="0.3">
      <c r="J1219"/>
    </row>
    <row r="1220" spans="10:10" x14ac:dyDescent="0.3">
      <c r="J1220"/>
    </row>
    <row r="1221" spans="10:10" x14ac:dyDescent="0.3">
      <c r="J1221"/>
    </row>
    <row r="1222" spans="10:10" x14ac:dyDescent="0.3">
      <c r="J1222"/>
    </row>
    <row r="1223" spans="10:10" x14ac:dyDescent="0.3">
      <c r="J1223"/>
    </row>
    <row r="1224" spans="10:10" x14ac:dyDescent="0.3">
      <c r="J1224"/>
    </row>
    <row r="1225" spans="10:10" x14ac:dyDescent="0.3">
      <c r="J1225"/>
    </row>
    <row r="1226" spans="10:10" x14ac:dyDescent="0.3">
      <c r="J1226"/>
    </row>
    <row r="1227" spans="10:10" x14ac:dyDescent="0.3">
      <c r="J1227"/>
    </row>
    <row r="1228" spans="10:10" x14ac:dyDescent="0.3">
      <c r="J1228"/>
    </row>
    <row r="1229" spans="10:10" x14ac:dyDescent="0.3">
      <c r="J1229"/>
    </row>
    <row r="1230" spans="10:10" x14ac:dyDescent="0.3">
      <c r="J1230"/>
    </row>
    <row r="1231" spans="10:10" x14ac:dyDescent="0.3">
      <c r="J1231"/>
    </row>
    <row r="1232" spans="10:10" x14ac:dyDescent="0.3">
      <c r="J1232"/>
    </row>
    <row r="1233" spans="10:10" x14ac:dyDescent="0.3">
      <c r="J1233"/>
    </row>
    <row r="1234" spans="10:10" x14ac:dyDescent="0.3">
      <c r="J1234"/>
    </row>
    <row r="1235" spans="10:10" x14ac:dyDescent="0.3">
      <c r="J1235"/>
    </row>
    <row r="1236" spans="10:10" x14ac:dyDescent="0.3">
      <c r="J1236"/>
    </row>
    <row r="1237" spans="10:10" x14ac:dyDescent="0.3">
      <c r="J1237"/>
    </row>
    <row r="1238" spans="10:10" x14ac:dyDescent="0.3">
      <c r="J1238"/>
    </row>
    <row r="1239" spans="10:10" x14ac:dyDescent="0.3">
      <c r="J1239"/>
    </row>
    <row r="1240" spans="10:10" x14ac:dyDescent="0.3">
      <c r="J1240"/>
    </row>
    <row r="1241" spans="10:10" x14ac:dyDescent="0.3">
      <c r="J1241"/>
    </row>
    <row r="1242" spans="10:10" x14ac:dyDescent="0.3">
      <c r="J1242"/>
    </row>
    <row r="1243" spans="10:10" x14ac:dyDescent="0.3">
      <c r="J1243"/>
    </row>
    <row r="1244" spans="10:10" x14ac:dyDescent="0.3">
      <c r="J1244"/>
    </row>
    <row r="1245" spans="10:10" x14ac:dyDescent="0.3">
      <c r="J1245"/>
    </row>
    <row r="1246" spans="10:10" x14ac:dyDescent="0.3">
      <c r="J1246"/>
    </row>
    <row r="1247" spans="10:10" x14ac:dyDescent="0.3">
      <c r="J1247"/>
    </row>
    <row r="1248" spans="10:10" x14ac:dyDescent="0.3">
      <c r="J1248"/>
    </row>
    <row r="1249" spans="10:10" x14ac:dyDescent="0.3">
      <c r="J1249"/>
    </row>
    <row r="1250" spans="10:10" x14ac:dyDescent="0.3">
      <c r="J1250"/>
    </row>
    <row r="1251" spans="10:10" x14ac:dyDescent="0.3">
      <c r="J1251"/>
    </row>
    <row r="1252" spans="10:10" x14ac:dyDescent="0.3">
      <c r="J1252"/>
    </row>
    <row r="1253" spans="10:10" x14ac:dyDescent="0.3">
      <c r="J1253"/>
    </row>
    <row r="1254" spans="10:10" x14ac:dyDescent="0.3">
      <c r="J1254"/>
    </row>
    <row r="1255" spans="10:10" x14ac:dyDescent="0.3">
      <c r="J1255"/>
    </row>
    <row r="1256" spans="10:10" x14ac:dyDescent="0.3">
      <c r="J1256"/>
    </row>
    <row r="1257" spans="10:10" x14ac:dyDescent="0.3">
      <c r="J1257"/>
    </row>
    <row r="1258" spans="10:10" x14ac:dyDescent="0.3">
      <c r="J1258"/>
    </row>
    <row r="1259" spans="10:10" x14ac:dyDescent="0.3">
      <c r="J1259"/>
    </row>
    <row r="1260" spans="10:10" x14ac:dyDescent="0.3">
      <c r="J1260"/>
    </row>
    <row r="1261" spans="10:10" x14ac:dyDescent="0.3">
      <c r="J1261"/>
    </row>
    <row r="1262" spans="10:10" x14ac:dyDescent="0.3">
      <c r="J1262"/>
    </row>
    <row r="1263" spans="10:10" x14ac:dyDescent="0.3">
      <c r="J1263"/>
    </row>
    <row r="1264" spans="10:10" x14ac:dyDescent="0.3">
      <c r="J1264"/>
    </row>
    <row r="1265" spans="10:10" x14ac:dyDescent="0.3">
      <c r="J1265"/>
    </row>
    <row r="1266" spans="10:10" x14ac:dyDescent="0.3">
      <c r="J1266"/>
    </row>
    <row r="1267" spans="10:10" x14ac:dyDescent="0.3">
      <c r="J1267"/>
    </row>
    <row r="1268" spans="10:10" x14ac:dyDescent="0.3">
      <c r="J1268"/>
    </row>
    <row r="1269" spans="10:10" x14ac:dyDescent="0.3">
      <c r="J1269"/>
    </row>
    <row r="1270" spans="10:10" x14ac:dyDescent="0.3">
      <c r="J1270"/>
    </row>
    <row r="1271" spans="10:10" x14ac:dyDescent="0.3">
      <c r="J1271"/>
    </row>
    <row r="1272" spans="10:10" x14ac:dyDescent="0.3">
      <c r="J1272"/>
    </row>
    <row r="1273" spans="10:10" x14ac:dyDescent="0.3">
      <c r="J1273"/>
    </row>
    <row r="1274" spans="10:10" x14ac:dyDescent="0.3">
      <c r="J1274"/>
    </row>
    <row r="1275" spans="10:10" x14ac:dyDescent="0.3">
      <c r="J1275"/>
    </row>
    <row r="1276" spans="10:10" x14ac:dyDescent="0.3">
      <c r="J1276"/>
    </row>
    <row r="1277" spans="10:10" x14ac:dyDescent="0.3">
      <c r="J1277"/>
    </row>
    <row r="1278" spans="10:10" x14ac:dyDescent="0.3">
      <c r="J1278"/>
    </row>
    <row r="1279" spans="10:10" x14ac:dyDescent="0.3">
      <c r="J1279"/>
    </row>
    <row r="1280" spans="10:10" x14ac:dyDescent="0.3">
      <c r="J1280"/>
    </row>
    <row r="1281" spans="10:10" x14ac:dyDescent="0.3">
      <c r="J1281"/>
    </row>
    <row r="1282" spans="10:10" x14ac:dyDescent="0.3">
      <c r="J1282"/>
    </row>
    <row r="1283" spans="10:10" x14ac:dyDescent="0.3">
      <c r="J1283"/>
    </row>
    <row r="1284" spans="10:10" x14ac:dyDescent="0.3">
      <c r="J1284"/>
    </row>
    <row r="1285" spans="10:10" x14ac:dyDescent="0.3">
      <c r="J1285"/>
    </row>
    <row r="1286" spans="10:10" x14ac:dyDescent="0.3">
      <c r="J1286"/>
    </row>
    <row r="1287" spans="10:10" x14ac:dyDescent="0.3">
      <c r="J1287"/>
    </row>
    <row r="1288" spans="10:10" x14ac:dyDescent="0.3">
      <c r="J1288"/>
    </row>
    <row r="1289" spans="10:10" x14ac:dyDescent="0.3">
      <c r="J1289"/>
    </row>
    <row r="1290" spans="10:10" x14ac:dyDescent="0.3">
      <c r="J1290"/>
    </row>
    <row r="1291" spans="10:10" x14ac:dyDescent="0.3">
      <c r="J1291"/>
    </row>
    <row r="1292" spans="10:10" x14ac:dyDescent="0.3">
      <c r="J1292"/>
    </row>
    <row r="1293" spans="10:10" x14ac:dyDescent="0.3">
      <c r="J1293"/>
    </row>
    <row r="1294" spans="10:10" x14ac:dyDescent="0.3">
      <c r="J1294"/>
    </row>
    <row r="1295" spans="10:10" x14ac:dyDescent="0.3">
      <c r="J1295"/>
    </row>
    <row r="1296" spans="10:10" x14ac:dyDescent="0.3">
      <c r="J1296"/>
    </row>
    <row r="1297" spans="10:10" x14ac:dyDescent="0.3">
      <c r="J1297"/>
    </row>
    <row r="1298" spans="10:10" x14ac:dyDescent="0.3">
      <c r="J1298"/>
    </row>
    <row r="1299" spans="10:10" x14ac:dyDescent="0.3">
      <c r="J1299"/>
    </row>
    <row r="1300" spans="10:10" x14ac:dyDescent="0.3">
      <c r="J1300"/>
    </row>
    <row r="1301" spans="10:10" x14ac:dyDescent="0.3">
      <c r="J1301"/>
    </row>
    <row r="1302" spans="10:10" x14ac:dyDescent="0.3">
      <c r="J1302"/>
    </row>
    <row r="1303" spans="10:10" x14ac:dyDescent="0.3">
      <c r="J1303"/>
    </row>
    <row r="1304" spans="10:10" x14ac:dyDescent="0.3">
      <c r="J1304"/>
    </row>
    <row r="1305" spans="10:10" x14ac:dyDescent="0.3">
      <c r="J1305"/>
    </row>
    <row r="1306" spans="10:10" x14ac:dyDescent="0.3">
      <c r="J1306"/>
    </row>
    <row r="1307" spans="10:10" x14ac:dyDescent="0.3">
      <c r="J1307"/>
    </row>
    <row r="1308" spans="10:10" x14ac:dyDescent="0.3">
      <c r="J1308"/>
    </row>
    <row r="1309" spans="10:10" x14ac:dyDescent="0.3">
      <c r="J1309"/>
    </row>
    <row r="1310" spans="10:10" x14ac:dyDescent="0.3">
      <c r="J1310"/>
    </row>
    <row r="1311" spans="10:10" x14ac:dyDescent="0.3">
      <c r="J1311"/>
    </row>
    <row r="1312" spans="10:10" x14ac:dyDescent="0.3">
      <c r="J1312"/>
    </row>
    <row r="1313" spans="10:10" x14ac:dyDescent="0.3">
      <c r="J1313"/>
    </row>
    <row r="1314" spans="10:10" x14ac:dyDescent="0.3">
      <c r="J1314"/>
    </row>
    <row r="1315" spans="10:10" x14ac:dyDescent="0.3">
      <c r="J1315"/>
    </row>
    <row r="1316" spans="10:10" x14ac:dyDescent="0.3">
      <c r="J1316"/>
    </row>
    <row r="1317" spans="10:10" x14ac:dyDescent="0.3">
      <c r="J1317"/>
    </row>
    <row r="1318" spans="10:10" x14ac:dyDescent="0.3">
      <c r="J1318"/>
    </row>
    <row r="1319" spans="10:10" x14ac:dyDescent="0.3">
      <c r="J1319"/>
    </row>
    <row r="1320" spans="10:10" x14ac:dyDescent="0.3">
      <c r="J1320"/>
    </row>
    <row r="1321" spans="10:10" x14ac:dyDescent="0.3">
      <c r="J1321"/>
    </row>
    <row r="1322" spans="10:10" x14ac:dyDescent="0.3">
      <c r="J1322"/>
    </row>
    <row r="1323" spans="10:10" x14ac:dyDescent="0.3">
      <c r="J1323"/>
    </row>
    <row r="1324" spans="10:10" x14ac:dyDescent="0.3">
      <c r="J1324"/>
    </row>
    <row r="1325" spans="10:10" x14ac:dyDescent="0.3">
      <c r="J1325"/>
    </row>
    <row r="1326" spans="10:10" x14ac:dyDescent="0.3">
      <c r="J1326"/>
    </row>
    <row r="1327" spans="10:10" x14ac:dyDescent="0.3">
      <c r="J1327"/>
    </row>
    <row r="1328" spans="10:10" x14ac:dyDescent="0.3">
      <c r="J1328"/>
    </row>
    <row r="1329" spans="10:10" x14ac:dyDescent="0.3">
      <c r="J1329"/>
    </row>
    <row r="1330" spans="10:10" x14ac:dyDescent="0.3">
      <c r="J1330"/>
    </row>
    <row r="1331" spans="10:10" x14ac:dyDescent="0.3">
      <c r="J1331"/>
    </row>
    <row r="1332" spans="10:10" x14ac:dyDescent="0.3">
      <c r="J1332"/>
    </row>
    <row r="1333" spans="10:10" x14ac:dyDescent="0.3">
      <c r="J1333"/>
    </row>
    <row r="1334" spans="10:10" x14ac:dyDescent="0.3">
      <c r="J1334"/>
    </row>
    <row r="1335" spans="10:10" x14ac:dyDescent="0.3">
      <c r="J1335"/>
    </row>
    <row r="1336" spans="10:10" x14ac:dyDescent="0.3">
      <c r="J1336"/>
    </row>
    <row r="1337" spans="10:10" x14ac:dyDescent="0.3">
      <c r="J1337"/>
    </row>
    <row r="1338" spans="10:10" x14ac:dyDescent="0.3">
      <c r="J1338"/>
    </row>
    <row r="1339" spans="10:10" x14ac:dyDescent="0.3">
      <c r="J1339"/>
    </row>
    <row r="1340" spans="10:10" x14ac:dyDescent="0.3">
      <c r="J1340"/>
    </row>
    <row r="1341" spans="10:10" x14ac:dyDescent="0.3">
      <c r="J1341"/>
    </row>
    <row r="1342" spans="10:10" x14ac:dyDescent="0.3">
      <c r="J1342"/>
    </row>
    <row r="1343" spans="10:10" x14ac:dyDescent="0.3">
      <c r="J1343"/>
    </row>
    <row r="1344" spans="10:10"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row r="1980" spans="10:10" x14ac:dyDescent="0.3">
      <c r="J1980"/>
    </row>
    <row r="1981" spans="10:10" x14ac:dyDescent="0.3">
      <c r="J1981"/>
    </row>
    <row r="1982" spans="10:10" x14ac:dyDescent="0.3">
      <c r="J1982"/>
    </row>
    <row r="1983" spans="10:10" x14ac:dyDescent="0.3">
      <c r="J1983"/>
    </row>
    <row r="1984" spans="10:10" x14ac:dyDescent="0.3">
      <c r="J1984"/>
    </row>
    <row r="1985" spans="10:10" x14ac:dyDescent="0.3">
      <c r="J1985"/>
    </row>
    <row r="1986" spans="10:10" x14ac:dyDescent="0.3">
      <c r="J1986"/>
    </row>
    <row r="1987" spans="10:10" x14ac:dyDescent="0.3">
      <c r="J1987"/>
    </row>
    <row r="1988" spans="10:10" x14ac:dyDescent="0.3">
      <c r="J1988"/>
    </row>
    <row r="1989" spans="10:10" x14ac:dyDescent="0.3">
      <c r="J1989"/>
    </row>
    <row r="1990" spans="10:10" x14ac:dyDescent="0.3">
      <c r="J1990"/>
    </row>
    <row r="1991" spans="10:10" x14ac:dyDescent="0.3">
      <c r="J1991"/>
    </row>
    <row r="1992" spans="10:10" x14ac:dyDescent="0.3">
      <c r="J1992"/>
    </row>
    <row r="1993" spans="10:10" x14ac:dyDescent="0.3">
      <c r="J1993"/>
    </row>
    <row r="1994" spans="10:10" x14ac:dyDescent="0.3">
      <c r="J1994"/>
    </row>
    <row r="1995" spans="10:10" x14ac:dyDescent="0.3">
      <c r="J1995"/>
    </row>
    <row r="1996" spans="10:10" x14ac:dyDescent="0.3">
      <c r="J1996"/>
    </row>
    <row r="1997" spans="10:10" x14ac:dyDescent="0.3">
      <c r="J1997"/>
    </row>
    <row r="1998" spans="10:10" x14ac:dyDescent="0.3">
      <c r="J1998"/>
    </row>
    <row r="1999" spans="10:10" x14ac:dyDescent="0.3">
      <c r="J1999"/>
    </row>
    <row r="2000" spans="10:10" x14ac:dyDescent="0.3">
      <c r="J2000"/>
    </row>
    <row r="2001" spans="10:10" x14ac:dyDescent="0.3">
      <c r="J2001"/>
    </row>
    <row r="2002" spans="10:10" x14ac:dyDescent="0.3">
      <c r="J2002"/>
    </row>
    <row r="2003" spans="10:10" x14ac:dyDescent="0.3">
      <c r="J2003"/>
    </row>
    <row r="2004" spans="10:10" x14ac:dyDescent="0.3">
      <c r="J2004"/>
    </row>
    <row r="2005" spans="10:10" x14ac:dyDescent="0.3">
      <c r="J2005"/>
    </row>
    <row r="2006" spans="10:10" x14ac:dyDescent="0.3">
      <c r="J2006"/>
    </row>
    <row r="2007" spans="10:10" x14ac:dyDescent="0.3">
      <c r="J2007"/>
    </row>
    <row r="2008" spans="10:10" x14ac:dyDescent="0.3">
      <c r="J2008"/>
    </row>
    <row r="2009" spans="10:10" x14ac:dyDescent="0.3">
      <c r="J2009"/>
    </row>
    <row r="2010" spans="10:10" x14ac:dyDescent="0.3">
      <c r="J2010"/>
    </row>
    <row r="2011" spans="10:10" x14ac:dyDescent="0.3">
      <c r="J2011"/>
    </row>
    <row r="2012" spans="10:10" x14ac:dyDescent="0.3">
      <c r="J2012"/>
    </row>
    <row r="2013" spans="10:10" x14ac:dyDescent="0.3">
      <c r="J2013"/>
    </row>
    <row r="2014" spans="10:10" x14ac:dyDescent="0.3">
      <c r="J2014"/>
    </row>
    <row r="2015" spans="10:10" x14ac:dyDescent="0.3">
      <c r="J2015"/>
    </row>
    <row r="2016" spans="10:10" x14ac:dyDescent="0.3">
      <c r="J2016"/>
    </row>
    <row r="2017" spans="10:10" x14ac:dyDescent="0.3">
      <c r="J2017"/>
    </row>
    <row r="2018" spans="10:10" x14ac:dyDescent="0.3">
      <c r="J2018"/>
    </row>
    <row r="2019" spans="10:10" x14ac:dyDescent="0.3">
      <c r="J2019"/>
    </row>
    <row r="2020" spans="10:10" x14ac:dyDescent="0.3">
      <c r="J2020"/>
    </row>
    <row r="2021" spans="10:10" x14ac:dyDescent="0.3">
      <c r="J2021"/>
    </row>
    <row r="2022" spans="10:10" x14ac:dyDescent="0.3">
      <c r="J2022"/>
    </row>
    <row r="2023" spans="10:10" x14ac:dyDescent="0.3">
      <c r="J2023"/>
    </row>
    <row r="2024" spans="10:10" x14ac:dyDescent="0.3">
      <c r="J2024"/>
    </row>
    <row r="2025" spans="10:10" x14ac:dyDescent="0.3">
      <c r="J2025"/>
    </row>
    <row r="2026" spans="10:10" x14ac:dyDescent="0.3">
      <c r="J2026"/>
    </row>
    <row r="2027" spans="10:10" x14ac:dyDescent="0.3">
      <c r="J2027"/>
    </row>
    <row r="2028" spans="10:10" x14ac:dyDescent="0.3">
      <c r="J2028"/>
    </row>
    <row r="2029" spans="10:10" x14ac:dyDescent="0.3">
      <c r="J2029"/>
    </row>
    <row r="2030" spans="10:10" x14ac:dyDescent="0.3">
      <c r="J2030"/>
    </row>
    <row r="2031" spans="10:10" x14ac:dyDescent="0.3">
      <c r="J2031"/>
    </row>
    <row r="2032" spans="10:10" x14ac:dyDescent="0.3">
      <c r="J2032"/>
    </row>
    <row r="2033" spans="10:10" x14ac:dyDescent="0.3">
      <c r="J2033"/>
    </row>
    <row r="2034" spans="10:10" x14ac:dyDescent="0.3">
      <c r="J2034"/>
    </row>
    <row r="2035" spans="10:10" x14ac:dyDescent="0.3">
      <c r="J2035"/>
    </row>
    <row r="2036" spans="10:10" x14ac:dyDescent="0.3">
      <c r="J2036"/>
    </row>
    <row r="2037" spans="10:10" x14ac:dyDescent="0.3">
      <c r="J2037"/>
    </row>
    <row r="2038" spans="10:10" x14ac:dyDescent="0.3">
      <c r="J2038"/>
    </row>
    <row r="2039" spans="10:10" x14ac:dyDescent="0.3">
      <c r="J2039"/>
    </row>
    <row r="2040" spans="10:10" x14ac:dyDescent="0.3">
      <c r="J2040"/>
    </row>
    <row r="2041" spans="10:10" x14ac:dyDescent="0.3">
      <c r="J2041"/>
    </row>
    <row r="2042" spans="10:10" x14ac:dyDescent="0.3">
      <c r="J2042"/>
    </row>
    <row r="2043" spans="10:10" x14ac:dyDescent="0.3">
      <c r="J2043"/>
    </row>
    <row r="2044" spans="10:10" x14ac:dyDescent="0.3">
      <c r="J2044"/>
    </row>
    <row r="2045" spans="10:10" x14ac:dyDescent="0.3">
      <c r="J2045"/>
    </row>
    <row r="2046" spans="10:10" x14ac:dyDescent="0.3">
      <c r="J2046"/>
    </row>
    <row r="2047" spans="10:10" x14ac:dyDescent="0.3">
      <c r="J2047"/>
    </row>
    <row r="2048" spans="10:10" x14ac:dyDescent="0.3">
      <c r="J2048"/>
    </row>
    <row r="2049" spans="10:10" x14ac:dyDescent="0.3">
      <c r="J2049"/>
    </row>
    <row r="2050" spans="10:10" x14ac:dyDescent="0.3">
      <c r="J2050"/>
    </row>
    <row r="2051" spans="10:10" x14ac:dyDescent="0.3">
      <c r="J2051"/>
    </row>
    <row r="2052" spans="10:10" x14ac:dyDescent="0.3">
      <c r="J2052"/>
    </row>
    <row r="2053" spans="10:10" x14ac:dyDescent="0.3">
      <c r="J2053"/>
    </row>
    <row r="2054" spans="10:10" x14ac:dyDescent="0.3">
      <c r="J2054"/>
    </row>
    <row r="2055" spans="10:10" x14ac:dyDescent="0.3">
      <c r="J2055"/>
    </row>
    <row r="2056" spans="10:10" x14ac:dyDescent="0.3">
      <c r="J2056"/>
    </row>
    <row r="2057" spans="10:10" x14ac:dyDescent="0.3">
      <c r="J2057"/>
    </row>
    <row r="2058" spans="10:10" x14ac:dyDescent="0.3">
      <c r="J2058"/>
    </row>
    <row r="2059" spans="10:10" x14ac:dyDescent="0.3">
      <c r="J2059"/>
    </row>
    <row r="2060" spans="10:10" x14ac:dyDescent="0.3">
      <c r="J2060"/>
    </row>
    <row r="2061" spans="10:10" x14ac:dyDescent="0.3">
      <c r="J2061"/>
    </row>
    <row r="2062" spans="10:10" x14ac:dyDescent="0.3">
      <c r="J2062"/>
    </row>
    <row r="2063" spans="10:10" x14ac:dyDescent="0.3">
      <c r="J2063"/>
    </row>
    <row r="2064" spans="10:10" x14ac:dyDescent="0.3">
      <c r="J2064"/>
    </row>
    <row r="2065" spans="10:10" x14ac:dyDescent="0.3">
      <c r="J2065"/>
    </row>
    <row r="2066" spans="10:10" x14ac:dyDescent="0.3">
      <c r="J2066"/>
    </row>
    <row r="2067" spans="10:10" x14ac:dyDescent="0.3">
      <c r="J2067"/>
    </row>
    <row r="2068" spans="10:10" x14ac:dyDescent="0.3">
      <c r="J2068"/>
    </row>
    <row r="2069" spans="10:10" x14ac:dyDescent="0.3">
      <c r="J2069"/>
    </row>
    <row r="2070" spans="10:10" x14ac:dyDescent="0.3">
      <c r="J2070"/>
    </row>
    <row r="2071" spans="10:10" x14ac:dyDescent="0.3">
      <c r="J2071"/>
    </row>
    <row r="2072" spans="10:10" x14ac:dyDescent="0.3">
      <c r="J2072"/>
    </row>
    <row r="2073" spans="10:10" x14ac:dyDescent="0.3">
      <c r="J2073"/>
    </row>
    <row r="2074" spans="10:10" x14ac:dyDescent="0.3">
      <c r="J2074"/>
    </row>
    <row r="2075" spans="10:10" x14ac:dyDescent="0.3">
      <c r="J2075"/>
    </row>
    <row r="2076" spans="10:10" x14ac:dyDescent="0.3">
      <c r="J2076"/>
    </row>
    <row r="2077" spans="10:10" x14ac:dyDescent="0.3">
      <c r="J2077"/>
    </row>
    <row r="2078" spans="10:10" x14ac:dyDescent="0.3">
      <c r="J2078"/>
    </row>
    <row r="2079" spans="10:10" x14ac:dyDescent="0.3">
      <c r="J2079"/>
    </row>
    <row r="2080" spans="10:10" x14ac:dyDescent="0.3">
      <c r="J2080"/>
    </row>
    <row r="2081" spans="10:10" x14ac:dyDescent="0.3">
      <c r="J2081"/>
    </row>
    <row r="2082" spans="10:10" x14ac:dyDescent="0.3">
      <c r="J2082"/>
    </row>
    <row r="2083" spans="10:10" x14ac:dyDescent="0.3">
      <c r="J2083"/>
    </row>
    <row r="2084" spans="10:10" x14ac:dyDescent="0.3">
      <c r="J2084"/>
    </row>
    <row r="2085" spans="10:10" x14ac:dyDescent="0.3">
      <c r="J2085"/>
    </row>
    <row r="2086" spans="10:10" x14ac:dyDescent="0.3">
      <c r="J2086"/>
    </row>
    <row r="2087" spans="10:10" x14ac:dyDescent="0.3">
      <c r="J2087"/>
    </row>
    <row r="2088" spans="10:10" x14ac:dyDescent="0.3">
      <c r="J2088"/>
    </row>
    <row r="2089" spans="10:10" x14ac:dyDescent="0.3">
      <c r="J2089"/>
    </row>
    <row r="2090" spans="10:10" x14ac:dyDescent="0.3">
      <c r="J2090"/>
    </row>
    <row r="2091" spans="10:10" x14ac:dyDescent="0.3">
      <c r="J2091"/>
    </row>
    <row r="2092" spans="10:10" x14ac:dyDescent="0.3">
      <c r="J2092"/>
    </row>
    <row r="2093" spans="10:10" x14ac:dyDescent="0.3">
      <c r="J2093"/>
    </row>
    <row r="2094" spans="10:10" x14ac:dyDescent="0.3">
      <c r="J2094"/>
    </row>
    <row r="2095" spans="10:10" x14ac:dyDescent="0.3">
      <c r="J2095"/>
    </row>
    <row r="2096" spans="10:10" x14ac:dyDescent="0.3">
      <c r="J2096"/>
    </row>
    <row r="2097" spans="10:10" x14ac:dyDescent="0.3">
      <c r="J2097"/>
    </row>
    <row r="2098" spans="10:10" x14ac:dyDescent="0.3">
      <c r="J2098"/>
    </row>
    <row r="2099" spans="10:10" x14ac:dyDescent="0.3">
      <c r="J2099"/>
    </row>
    <row r="2100" spans="10:10" x14ac:dyDescent="0.3">
      <c r="J2100"/>
    </row>
    <row r="2101" spans="10:10" x14ac:dyDescent="0.3">
      <c r="J2101"/>
    </row>
    <row r="2102" spans="10:10" x14ac:dyDescent="0.3">
      <c r="J2102"/>
    </row>
    <row r="2103" spans="10:10" x14ac:dyDescent="0.3">
      <c r="J2103"/>
    </row>
    <row r="2104" spans="10:10" x14ac:dyDescent="0.3">
      <c r="J2104"/>
    </row>
    <row r="2105" spans="10:10" x14ac:dyDescent="0.3">
      <c r="J2105"/>
    </row>
    <row r="2106" spans="10:10" x14ac:dyDescent="0.3">
      <c r="J2106"/>
    </row>
    <row r="2107" spans="10:10" x14ac:dyDescent="0.3">
      <c r="J2107"/>
    </row>
    <row r="2108" spans="10:10" x14ac:dyDescent="0.3">
      <c r="J2108"/>
    </row>
    <row r="2109" spans="10:10" x14ac:dyDescent="0.3">
      <c r="J2109"/>
    </row>
    <row r="2110" spans="10:10" x14ac:dyDescent="0.3">
      <c r="J2110"/>
    </row>
    <row r="2111" spans="10:10" x14ac:dyDescent="0.3">
      <c r="J2111"/>
    </row>
    <row r="2112" spans="10:10" x14ac:dyDescent="0.3">
      <c r="J2112"/>
    </row>
    <row r="2113" spans="10:10" x14ac:dyDescent="0.3">
      <c r="J2113"/>
    </row>
    <row r="2114" spans="10:10" x14ac:dyDescent="0.3">
      <c r="J2114"/>
    </row>
    <row r="2115" spans="10:10" x14ac:dyDescent="0.3">
      <c r="J2115"/>
    </row>
    <row r="2116" spans="10:10" x14ac:dyDescent="0.3">
      <c r="J2116"/>
    </row>
    <row r="2117" spans="10:10" x14ac:dyDescent="0.3">
      <c r="J2117"/>
    </row>
    <row r="2118" spans="10:10" x14ac:dyDescent="0.3">
      <c r="J2118"/>
    </row>
    <row r="2119" spans="10:10" x14ac:dyDescent="0.3">
      <c r="J2119"/>
    </row>
    <row r="2120" spans="10:10" x14ac:dyDescent="0.3">
      <c r="J2120"/>
    </row>
    <row r="2121" spans="10:10" x14ac:dyDescent="0.3">
      <c r="J2121"/>
    </row>
    <row r="2122" spans="10:10" x14ac:dyDescent="0.3">
      <c r="J2122"/>
    </row>
    <row r="2123" spans="10:10" x14ac:dyDescent="0.3">
      <c r="J2123"/>
    </row>
    <row r="2124" spans="10:10" x14ac:dyDescent="0.3">
      <c r="J2124"/>
    </row>
    <row r="2125" spans="10:10" x14ac:dyDescent="0.3">
      <c r="J2125"/>
    </row>
    <row r="2126" spans="10:10" x14ac:dyDescent="0.3">
      <c r="J2126"/>
    </row>
    <row r="2127" spans="10:10" x14ac:dyDescent="0.3">
      <c r="J2127"/>
    </row>
    <row r="2128" spans="10:10" x14ac:dyDescent="0.3">
      <c r="J2128"/>
    </row>
    <row r="2129" spans="10:10" x14ac:dyDescent="0.3">
      <c r="J2129"/>
    </row>
    <row r="2130" spans="10:10" x14ac:dyDescent="0.3">
      <c r="J2130"/>
    </row>
    <row r="2131" spans="10:10" x14ac:dyDescent="0.3">
      <c r="J2131"/>
    </row>
    <row r="2132" spans="10:10" x14ac:dyDescent="0.3">
      <c r="J2132"/>
    </row>
    <row r="2133" spans="10:10" x14ac:dyDescent="0.3">
      <c r="J2133"/>
    </row>
    <row r="2134" spans="10:10" x14ac:dyDescent="0.3">
      <c r="J2134"/>
    </row>
    <row r="2135" spans="10:10" x14ac:dyDescent="0.3">
      <c r="J2135"/>
    </row>
    <row r="2136" spans="10:10" x14ac:dyDescent="0.3">
      <c r="J2136"/>
    </row>
    <row r="2137" spans="10:10" x14ac:dyDescent="0.3">
      <c r="J2137"/>
    </row>
    <row r="2138" spans="10:10" x14ac:dyDescent="0.3">
      <c r="J2138"/>
    </row>
    <row r="2139" spans="10:10" x14ac:dyDescent="0.3">
      <c r="J2139"/>
    </row>
    <row r="2140" spans="10:10" x14ac:dyDescent="0.3">
      <c r="J2140"/>
    </row>
    <row r="2141" spans="10:10" x14ac:dyDescent="0.3">
      <c r="J2141"/>
    </row>
    <row r="2142" spans="10:10" x14ac:dyDescent="0.3">
      <c r="J2142"/>
    </row>
    <row r="2143" spans="10:10" x14ac:dyDescent="0.3">
      <c r="J2143"/>
    </row>
    <row r="2144" spans="10:10" x14ac:dyDescent="0.3">
      <c r="J2144"/>
    </row>
    <row r="2145" spans="10:10" x14ac:dyDescent="0.3">
      <c r="J2145"/>
    </row>
    <row r="2146" spans="10:10" x14ac:dyDescent="0.3">
      <c r="J2146"/>
    </row>
    <row r="2147" spans="10:10" x14ac:dyDescent="0.3">
      <c r="J2147"/>
    </row>
    <row r="2148" spans="10:10" x14ac:dyDescent="0.3">
      <c r="J2148"/>
    </row>
    <row r="2149" spans="10:10" x14ac:dyDescent="0.3">
      <c r="J2149"/>
    </row>
    <row r="2150" spans="10:10" x14ac:dyDescent="0.3">
      <c r="J2150"/>
    </row>
    <row r="2151" spans="10:10" x14ac:dyDescent="0.3">
      <c r="J2151"/>
    </row>
    <row r="2152" spans="10:10" x14ac:dyDescent="0.3">
      <c r="J2152"/>
    </row>
    <row r="2153" spans="10:10" x14ac:dyDescent="0.3">
      <c r="J2153"/>
    </row>
    <row r="2154" spans="10:10" x14ac:dyDescent="0.3">
      <c r="J2154"/>
    </row>
    <row r="2155" spans="10:10" x14ac:dyDescent="0.3">
      <c r="J2155"/>
    </row>
    <row r="2156" spans="10:10" x14ac:dyDescent="0.3">
      <c r="J2156"/>
    </row>
    <row r="2157" spans="10:10" x14ac:dyDescent="0.3">
      <c r="J2157"/>
    </row>
    <row r="2158" spans="10:10" x14ac:dyDescent="0.3">
      <c r="J2158"/>
    </row>
    <row r="2159" spans="10:10" x14ac:dyDescent="0.3">
      <c r="J2159"/>
    </row>
    <row r="2160" spans="10:10" x14ac:dyDescent="0.3">
      <c r="J2160"/>
    </row>
    <row r="2161" spans="10:10" x14ac:dyDescent="0.3">
      <c r="J2161"/>
    </row>
    <row r="2162" spans="10:10" x14ac:dyDescent="0.3">
      <c r="J2162"/>
    </row>
    <row r="2163" spans="10:10" x14ac:dyDescent="0.3">
      <c r="J2163"/>
    </row>
    <row r="2164" spans="10:10" x14ac:dyDescent="0.3">
      <c r="J2164"/>
    </row>
    <row r="2165" spans="10:10" x14ac:dyDescent="0.3">
      <c r="J2165"/>
    </row>
    <row r="2166" spans="10:10" x14ac:dyDescent="0.3">
      <c r="J2166"/>
    </row>
    <row r="2167" spans="10:10" x14ac:dyDescent="0.3">
      <c r="J2167"/>
    </row>
    <row r="2168" spans="10:10" x14ac:dyDescent="0.3">
      <c r="J2168"/>
    </row>
    <row r="2169" spans="10:10" x14ac:dyDescent="0.3">
      <c r="J2169"/>
    </row>
    <row r="2170" spans="10:10" x14ac:dyDescent="0.3">
      <c r="J2170"/>
    </row>
    <row r="2171" spans="10:10" x14ac:dyDescent="0.3">
      <c r="J2171"/>
    </row>
    <row r="2172" spans="10:10" x14ac:dyDescent="0.3">
      <c r="J2172"/>
    </row>
    <row r="2173" spans="10:10" x14ac:dyDescent="0.3">
      <c r="J2173"/>
    </row>
    <row r="2174" spans="10:10" x14ac:dyDescent="0.3">
      <c r="J2174"/>
    </row>
    <row r="2175" spans="10:10" x14ac:dyDescent="0.3">
      <c r="J2175"/>
    </row>
    <row r="2176" spans="10:10" x14ac:dyDescent="0.3">
      <c r="J2176"/>
    </row>
    <row r="2177" spans="10:10" x14ac:dyDescent="0.3">
      <c r="J2177"/>
    </row>
    <row r="2178" spans="10:10" x14ac:dyDescent="0.3">
      <c r="J2178"/>
    </row>
    <row r="2179" spans="10:10" x14ac:dyDescent="0.3">
      <c r="J2179"/>
    </row>
    <row r="2180" spans="10:10" x14ac:dyDescent="0.3">
      <c r="J2180"/>
    </row>
    <row r="2181" spans="10:10" x14ac:dyDescent="0.3">
      <c r="J2181"/>
    </row>
    <row r="2182" spans="10:10" x14ac:dyDescent="0.3">
      <c r="J2182"/>
    </row>
    <row r="2183" spans="10:10" x14ac:dyDescent="0.3">
      <c r="J2183"/>
    </row>
    <row r="2184" spans="10:10" x14ac:dyDescent="0.3">
      <c r="J2184"/>
    </row>
    <row r="2185" spans="10:10" x14ac:dyDescent="0.3">
      <c r="J2185"/>
    </row>
    <row r="2186" spans="10:10" x14ac:dyDescent="0.3">
      <c r="J2186"/>
    </row>
    <row r="2187" spans="10:10" x14ac:dyDescent="0.3">
      <c r="J2187"/>
    </row>
    <row r="2188" spans="10:10" x14ac:dyDescent="0.3">
      <c r="J2188"/>
    </row>
    <row r="2189" spans="10:10" x14ac:dyDescent="0.3">
      <c r="J2189"/>
    </row>
    <row r="2190" spans="10:10" x14ac:dyDescent="0.3">
      <c r="J2190"/>
    </row>
    <row r="2191" spans="10:10" x14ac:dyDescent="0.3">
      <c r="J2191"/>
    </row>
    <row r="2192" spans="10:10" x14ac:dyDescent="0.3">
      <c r="J2192"/>
    </row>
    <row r="2193" spans="10:10" x14ac:dyDescent="0.3">
      <c r="J2193"/>
    </row>
    <row r="2194" spans="10:10" x14ac:dyDescent="0.3">
      <c r="J2194"/>
    </row>
    <row r="2195" spans="10:10" x14ac:dyDescent="0.3">
      <c r="J2195"/>
    </row>
    <row r="2196" spans="10:10" x14ac:dyDescent="0.3">
      <c r="J2196"/>
    </row>
    <row r="2197" spans="10:10" x14ac:dyDescent="0.3">
      <c r="J2197"/>
    </row>
    <row r="2198" spans="10:10" x14ac:dyDescent="0.3">
      <c r="J2198"/>
    </row>
    <row r="2199" spans="10:10" x14ac:dyDescent="0.3">
      <c r="J2199"/>
    </row>
    <row r="2200" spans="10:10" x14ac:dyDescent="0.3">
      <c r="J2200"/>
    </row>
    <row r="2201" spans="10:10" x14ac:dyDescent="0.3">
      <c r="J2201"/>
    </row>
    <row r="2202" spans="10:10" x14ac:dyDescent="0.3">
      <c r="J2202"/>
    </row>
    <row r="2203" spans="10:10" x14ac:dyDescent="0.3">
      <c r="J2203"/>
    </row>
    <row r="2204" spans="10:10" x14ac:dyDescent="0.3">
      <c r="J2204"/>
    </row>
    <row r="2205" spans="10:10" x14ac:dyDescent="0.3">
      <c r="J2205"/>
    </row>
    <row r="2206" spans="10:10" x14ac:dyDescent="0.3">
      <c r="J2206"/>
    </row>
    <row r="2207" spans="10:10" x14ac:dyDescent="0.3">
      <c r="J2207"/>
    </row>
    <row r="2208" spans="10:10" x14ac:dyDescent="0.3">
      <c r="J2208"/>
    </row>
    <row r="2209" spans="10:10" x14ac:dyDescent="0.3">
      <c r="J2209"/>
    </row>
    <row r="2210" spans="10:10" x14ac:dyDescent="0.3">
      <c r="J2210"/>
    </row>
    <row r="2211" spans="10:10" x14ac:dyDescent="0.3">
      <c r="J2211"/>
    </row>
    <row r="2212" spans="10:10" x14ac:dyDescent="0.3">
      <c r="J2212"/>
    </row>
    <row r="2213" spans="10:10" x14ac:dyDescent="0.3">
      <c r="J2213"/>
    </row>
    <row r="2214" spans="10:10" x14ac:dyDescent="0.3">
      <c r="J2214"/>
    </row>
    <row r="2215" spans="10:10" x14ac:dyDescent="0.3">
      <c r="J2215"/>
    </row>
    <row r="2216" spans="10:10" x14ac:dyDescent="0.3">
      <c r="J2216"/>
    </row>
    <row r="2217" spans="10:10" x14ac:dyDescent="0.3">
      <c r="J2217"/>
    </row>
    <row r="2218" spans="10:10" x14ac:dyDescent="0.3">
      <c r="J2218"/>
    </row>
    <row r="2219" spans="10:10" x14ac:dyDescent="0.3">
      <c r="J2219"/>
    </row>
    <row r="2220" spans="10:10" x14ac:dyDescent="0.3">
      <c r="J2220"/>
    </row>
    <row r="2221" spans="10:10" x14ac:dyDescent="0.3">
      <c r="J2221"/>
    </row>
    <row r="2222" spans="10:10" x14ac:dyDescent="0.3">
      <c r="J2222"/>
    </row>
    <row r="2223" spans="10:10" x14ac:dyDescent="0.3">
      <c r="J2223"/>
    </row>
    <row r="2224" spans="10:10" x14ac:dyDescent="0.3">
      <c r="J2224"/>
    </row>
    <row r="2225" spans="10:10" x14ac:dyDescent="0.3">
      <c r="J2225"/>
    </row>
    <row r="2226" spans="10:10" x14ac:dyDescent="0.3">
      <c r="J2226"/>
    </row>
    <row r="2227" spans="10:10" x14ac:dyDescent="0.3">
      <c r="J2227"/>
    </row>
    <row r="2228" spans="10:10" x14ac:dyDescent="0.3">
      <c r="J2228"/>
    </row>
    <row r="2229" spans="10:10" x14ac:dyDescent="0.3">
      <c r="J2229"/>
    </row>
    <row r="2230" spans="10:10" x14ac:dyDescent="0.3">
      <c r="J2230"/>
    </row>
    <row r="2231" spans="10:10" x14ac:dyDescent="0.3">
      <c r="J2231"/>
    </row>
    <row r="2232" spans="10:10" x14ac:dyDescent="0.3">
      <c r="J2232"/>
    </row>
    <row r="2233" spans="10:10" x14ac:dyDescent="0.3">
      <c r="J2233"/>
    </row>
    <row r="2234" spans="10:10" x14ac:dyDescent="0.3">
      <c r="J2234"/>
    </row>
    <row r="2235" spans="10:10" x14ac:dyDescent="0.3">
      <c r="J2235"/>
    </row>
    <row r="2236" spans="10:10" x14ac:dyDescent="0.3">
      <c r="J2236"/>
    </row>
    <row r="2237" spans="10:10" x14ac:dyDescent="0.3">
      <c r="J2237"/>
    </row>
    <row r="2238" spans="10:10" x14ac:dyDescent="0.3">
      <c r="J2238"/>
    </row>
    <row r="2239" spans="10:10" x14ac:dyDescent="0.3">
      <c r="J2239"/>
    </row>
    <row r="2240" spans="10:10" x14ac:dyDescent="0.3">
      <c r="J2240"/>
    </row>
    <row r="2241" spans="10:10" x14ac:dyDescent="0.3">
      <c r="J2241"/>
    </row>
    <row r="2242" spans="10:10" x14ac:dyDescent="0.3">
      <c r="J2242"/>
    </row>
    <row r="2243" spans="10:10" x14ac:dyDescent="0.3">
      <c r="J2243"/>
    </row>
    <row r="2244" spans="10:10" x14ac:dyDescent="0.3">
      <c r="J2244"/>
    </row>
    <row r="2245" spans="10:10" x14ac:dyDescent="0.3">
      <c r="J2245"/>
    </row>
    <row r="2246" spans="10:10" x14ac:dyDescent="0.3">
      <c r="J2246"/>
    </row>
    <row r="2247" spans="10:10" x14ac:dyDescent="0.3">
      <c r="J2247"/>
    </row>
    <row r="2248" spans="10:10" x14ac:dyDescent="0.3">
      <c r="J2248"/>
    </row>
    <row r="2249" spans="10:10" x14ac:dyDescent="0.3">
      <c r="J2249"/>
    </row>
    <row r="2250" spans="10:10" x14ac:dyDescent="0.3">
      <c r="J2250"/>
    </row>
    <row r="2251" spans="10:10" x14ac:dyDescent="0.3">
      <c r="J2251"/>
    </row>
    <row r="2252" spans="10:10" x14ac:dyDescent="0.3">
      <c r="J2252"/>
    </row>
    <row r="2253" spans="10:10" x14ac:dyDescent="0.3">
      <c r="J2253"/>
    </row>
    <row r="2254" spans="10:10" x14ac:dyDescent="0.3">
      <c r="J2254"/>
    </row>
    <row r="2255" spans="10:10" x14ac:dyDescent="0.3">
      <c r="J2255"/>
    </row>
    <row r="2256" spans="10:10" x14ac:dyDescent="0.3">
      <c r="J2256"/>
    </row>
    <row r="2257" spans="10:10" x14ac:dyDescent="0.3">
      <c r="J2257"/>
    </row>
    <row r="2258" spans="10:10" x14ac:dyDescent="0.3">
      <c r="J2258"/>
    </row>
    <row r="2259" spans="10:10" x14ac:dyDescent="0.3">
      <c r="J2259"/>
    </row>
    <row r="2260" spans="10:10" x14ac:dyDescent="0.3">
      <c r="J2260"/>
    </row>
    <row r="2261" spans="10:10" x14ac:dyDescent="0.3">
      <c r="J2261"/>
    </row>
    <row r="2262" spans="10:10" x14ac:dyDescent="0.3">
      <c r="J2262"/>
    </row>
    <row r="2263" spans="10:10" x14ac:dyDescent="0.3">
      <c r="J2263"/>
    </row>
    <row r="2264" spans="10:10" x14ac:dyDescent="0.3">
      <c r="J2264"/>
    </row>
    <row r="2265" spans="10:10" x14ac:dyDescent="0.3">
      <c r="J2265"/>
    </row>
    <row r="2266" spans="10:10" x14ac:dyDescent="0.3">
      <c r="J2266"/>
    </row>
    <row r="2267" spans="10:10" x14ac:dyDescent="0.3">
      <c r="J2267"/>
    </row>
    <row r="2268" spans="10:10" x14ac:dyDescent="0.3">
      <c r="J2268"/>
    </row>
    <row r="2269" spans="10:10" x14ac:dyDescent="0.3">
      <c r="J2269"/>
    </row>
    <row r="2270" spans="10:10" x14ac:dyDescent="0.3">
      <c r="J2270"/>
    </row>
    <row r="2271" spans="10:10" x14ac:dyDescent="0.3">
      <c r="J2271"/>
    </row>
    <row r="2272" spans="10:10" x14ac:dyDescent="0.3">
      <c r="J2272"/>
    </row>
    <row r="2273" spans="10:10" x14ac:dyDescent="0.3">
      <c r="J2273"/>
    </row>
    <row r="2274" spans="10:10" x14ac:dyDescent="0.3">
      <c r="J2274"/>
    </row>
    <row r="2275" spans="10:10" x14ac:dyDescent="0.3">
      <c r="J2275"/>
    </row>
    <row r="2276" spans="10:10" x14ac:dyDescent="0.3">
      <c r="J2276"/>
    </row>
    <row r="2277" spans="10:10" x14ac:dyDescent="0.3">
      <c r="J2277"/>
    </row>
    <row r="2278" spans="10:10" x14ac:dyDescent="0.3">
      <c r="J2278"/>
    </row>
    <row r="2279" spans="10:10" x14ac:dyDescent="0.3">
      <c r="J2279"/>
    </row>
    <row r="2280" spans="10:10" x14ac:dyDescent="0.3">
      <c r="J2280"/>
    </row>
    <row r="2281" spans="10:10" x14ac:dyDescent="0.3">
      <c r="J2281"/>
    </row>
    <row r="2282" spans="10:10" x14ac:dyDescent="0.3">
      <c r="J2282"/>
    </row>
    <row r="2283" spans="10:10" x14ac:dyDescent="0.3">
      <c r="J2283"/>
    </row>
    <row r="2284" spans="10:10" x14ac:dyDescent="0.3">
      <c r="J2284"/>
    </row>
    <row r="2285" spans="10:10" x14ac:dyDescent="0.3">
      <c r="J2285"/>
    </row>
    <row r="2286" spans="10:10" x14ac:dyDescent="0.3">
      <c r="J2286"/>
    </row>
    <row r="2287" spans="10:10" x14ac:dyDescent="0.3">
      <c r="J2287"/>
    </row>
    <row r="2288" spans="10:10" x14ac:dyDescent="0.3">
      <c r="J2288"/>
    </row>
    <row r="2289" spans="10:10" x14ac:dyDescent="0.3">
      <c r="J2289"/>
    </row>
    <row r="2290" spans="10:10" x14ac:dyDescent="0.3">
      <c r="J2290"/>
    </row>
    <row r="2291" spans="10:10" x14ac:dyDescent="0.3">
      <c r="J2291"/>
    </row>
    <row r="2292" spans="10:10" x14ac:dyDescent="0.3">
      <c r="J2292"/>
    </row>
    <row r="2293" spans="10:10" x14ac:dyDescent="0.3">
      <c r="J2293"/>
    </row>
    <row r="2294" spans="10:10" x14ac:dyDescent="0.3">
      <c r="J2294"/>
    </row>
    <row r="2295" spans="10:10" x14ac:dyDescent="0.3">
      <c r="J2295"/>
    </row>
    <row r="2296" spans="10:10" x14ac:dyDescent="0.3">
      <c r="J2296"/>
    </row>
    <row r="2297" spans="10:10" x14ac:dyDescent="0.3">
      <c r="J2297"/>
    </row>
    <row r="2298" spans="10:10" x14ac:dyDescent="0.3">
      <c r="J2298"/>
    </row>
    <row r="2299" spans="10:10" x14ac:dyDescent="0.3">
      <c r="J2299"/>
    </row>
    <row r="2300" spans="10:10" x14ac:dyDescent="0.3">
      <c r="J2300"/>
    </row>
    <row r="2301" spans="10:10" x14ac:dyDescent="0.3">
      <c r="J2301"/>
    </row>
    <row r="2302" spans="10:10" x14ac:dyDescent="0.3">
      <c r="J2302"/>
    </row>
    <row r="2303" spans="10:10" x14ac:dyDescent="0.3">
      <c r="J2303"/>
    </row>
    <row r="2304" spans="10:10" x14ac:dyDescent="0.3">
      <c r="J2304"/>
    </row>
    <row r="2305" spans="10:10" x14ac:dyDescent="0.3">
      <c r="J2305"/>
    </row>
    <row r="2306" spans="10:10" x14ac:dyDescent="0.3">
      <c r="J2306"/>
    </row>
    <row r="2307" spans="10:10" x14ac:dyDescent="0.3">
      <c r="J2307"/>
    </row>
    <row r="2308" spans="10:10" x14ac:dyDescent="0.3">
      <c r="J2308"/>
    </row>
    <row r="2309" spans="10:10" x14ac:dyDescent="0.3">
      <c r="J2309"/>
    </row>
    <row r="2310" spans="10:10" x14ac:dyDescent="0.3">
      <c r="J2310"/>
    </row>
    <row r="2311" spans="10:10" x14ac:dyDescent="0.3">
      <c r="J2311"/>
    </row>
    <row r="2312" spans="10:10" x14ac:dyDescent="0.3">
      <c r="J2312"/>
    </row>
    <row r="2313" spans="10:10" x14ac:dyDescent="0.3">
      <c r="J2313"/>
    </row>
    <row r="2314" spans="10:10" x14ac:dyDescent="0.3">
      <c r="J2314"/>
    </row>
    <row r="2315" spans="10:10" x14ac:dyDescent="0.3">
      <c r="J2315"/>
    </row>
    <row r="2316" spans="10:10" x14ac:dyDescent="0.3">
      <c r="J2316"/>
    </row>
    <row r="2317" spans="10:10" x14ac:dyDescent="0.3">
      <c r="J2317"/>
    </row>
    <row r="2318" spans="10:10" x14ac:dyDescent="0.3">
      <c r="J2318"/>
    </row>
    <row r="2319" spans="10:10" x14ac:dyDescent="0.3">
      <c r="J2319"/>
    </row>
    <row r="2320" spans="10:10" x14ac:dyDescent="0.3">
      <c r="J2320"/>
    </row>
    <row r="2321" spans="10:10" x14ac:dyDescent="0.3">
      <c r="J2321"/>
    </row>
    <row r="2322" spans="10:10" x14ac:dyDescent="0.3">
      <c r="J2322"/>
    </row>
    <row r="2323" spans="10:10" x14ac:dyDescent="0.3">
      <c r="J2323"/>
    </row>
    <row r="2324" spans="10:10" x14ac:dyDescent="0.3">
      <c r="J2324"/>
    </row>
    <row r="2325" spans="10:10" x14ac:dyDescent="0.3">
      <c r="J2325"/>
    </row>
    <row r="2326" spans="10:10" x14ac:dyDescent="0.3">
      <c r="J2326"/>
    </row>
    <row r="2327" spans="10:10" x14ac:dyDescent="0.3">
      <c r="J2327"/>
    </row>
    <row r="2328" spans="10:10" x14ac:dyDescent="0.3">
      <c r="J2328"/>
    </row>
    <row r="2329" spans="10:10" x14ac:dyDescent="0.3">
      <c r="J2329"/>
    </row>
    <row r="2330" spans="10:10" x14ac:dyDescent="0.3">
      <c r="J2330"/>
    </row>
    <row r="2331" spans="10:10" x14ac:dyDescent="0.3">
      <c r="J2331"/>
    </row>
    <row r="2332" spans="10:10" x14ac:dyDescent="0.3">
      <c r="J2332"/>
    </row>
    <row r="2333" spans="10:10" x14ac:dyDescent="0.3">
      <c r="J2333"/>
    </row>
    <row r="2334" spans="10:10" x14ac:dyDescent="0.3">
      <c r="J2334"/>
    </row>
    <row r="2335" spans="10:10" x14ac:dyDescent="0.3">
      <c r="J2335"/>
    </row>
    <row r="2336" spans="10:10" x14ac:dyDescent="0.3">
      <c r="J2336"/>
    </row>
    <row r="2337" spans="10:10" x14ac:dyDescent="0.3">
      <c r="J2337"/>
    </row>
    <row r="2338" spans="10:10" x14ac:dyDescent="0.3">
      <c r="J2338"/>
    </row>
    <row r="2339" spans="10:10" x14ac:dyDescent="0.3">
      <c r="J2339"/>
    </row>
    <row r="2340" spans="10:10" x14ac:dyDescent="0.3">
      <c r="J2340"/>
    </row>
    <row r="2341" spans="10:10" x14ac:dyDescent="0.3">
      <c r="J2341"/>
    </row>
    <row r="2342" spans="10:10" x14ac:dyDescent="0.3">
      <c r="J2342"/>
    </row>
    <row r="2343" spans="10:10" x14ac:dyDescent="0.3">
      <c r="J2343"/>
    </row>
    <row r="2344" spans="10:10" x14ac:dyDescent="0.3">
      <c r="J2344"/>
    </row>
    <row r="2345" spans="10:10" x14ac:dyDescent="0.3">
      <c r="J2345"/>
    </row>
    <row r="2346" spans="10:10" x14ac:dyDescent="0.3">
      <c r="J2346"/>
    </row>
    <row r="2347" spans="10:10" x14ac:dyDescent="0.3">
      <c r="J2347"/>
    </row>
    <row r="2348" spans="10:10" x14ac:dyDescent="0.3">
      <c r="J2348"/>
    </row>
    <row r="2349" spans="10:10" x14ac:dyDescent="0.3">
      <c r="J2349"/>
    </row>
    <row r="2350" spans="10:10" x14ac:dyDescent="0.3">
      <c r="J2350"/>
    </row>
    <row r="2351" spans="10:10" x14ac:dyDescent="0.3">
      <c r="J2351"/>
    </row>
    <row r="2352" spans="10:10" x14ac:dyDescent="0.3">
      <c r="J2352"/>
    </row>
    <row r="2353" spans="10:10" x14ac:dyDescent="0.3">
      <c r="J2353"/>
    </row>
    <row r="2354" spans="10:10" x14ac:dyDescent="0.3">
      <c r="J2354"/>
    </row>
    <row r="2355" spans="10:10" x14ac:dyDescent="0.3">
      <c r="J2355"/>
    </row>
    <row r="2356" spans="10:10" x14ac:dyDescent="0.3">
      <c r="J2356"/>
    </row>
    <row r="2357" spans="10:10" x14ac:dyDescent="0.3">
      <c r="J2357"/>
    </row>
    <row r="2358" spans="10:10" x14ac:dyDescent="0.3">
      <c r="J2358"/>
    </row>
    <row r="2359" spans="10:10" x14ac:dyDescent="0.3">
      <c r="J2359"/>
    </row>
    <row r="2360" spans="10:10" x14ac:dyDescent="0.3">
      <c r="J2360"/>
    </row>
    <row r="2361" spans="10:10" x14ac:dyDescent="0.3">
      <c r="J2361"/>
    </row>
    <row r="2362" spans="10:10" x14ac:dyDescent="0.3">
      <c r="J2362"/>
    </row>
    <row r="2363" spans="10:10" x14ac:dyDescent="0.3">
      <c r="J2363"/>
    </row>
    <row r="2364" spans="10:10" x14ac:dyDescent="0.3">
      <c r="J2364"/>
    </row>
    <row r="2365" spans="10:10" x14ac:dyDescent="0.3">
      <c r="J2365"/>
    </row>
    <row r="2366" spans="10:10" x14ac:dyDescent="0.3">
      <c r="J2366"/>
    </row>
    <row r="2367" spans="10:10" x14ac:dyDescent="0.3">
      <c r="J2367"/>
    </row>
    <row r="2368" spans="10:10" x14ac:dyDescent="0.3">
      <c r="J2368"/>
    </row>
    <row r="2369" spans="10:10" x14ac:dyDescent="0.3">
      <c r="J2369"/>
    </row>
    <row r="2370" spans="10:10" x14ac:dyDescent="0.3">
      <c r="J2370"/>
    </row>
    <row r="2371" spans="10:10" x14ac:dyDescent="0.3">
      <c r="J2371"/>
    </row>
    <row r="2372" spans="10:10" x14ac:dyDescent="0.3">
      <c r="J2372"/>
    </row>
    <row r="2373" spans="10:10" x14ac:dyDescent="0.3">
      <c r="J2373"/>
    </row>
    <row r="2374" spans="10:10" x14ac:dyDescent="0.3">
      <c r="J2374"/>
    </row>
    <row r="2375" spans="10:10" x14ac:dyDescent="0.3">
      <c r="J2375"/>
    </row>
    <row r="2376" spans="10:10" x14ac:dyDescent="0.3">
      <c r="J2376"/>
    </row>
    <row r="2377" spans="10:10" x14ac:dyDescent="0.3">
      <c r="J2377"/>
    </row>
    <row r="2378" spans="10:10" x14ac:dyDescent="0.3">
      <c r="J2378"/>
    </row>
    <row r="2379" spans="10:10" x14ac:dyDescent="0.3">
      <c r="J2379"/>
    </row>
    <row r="2380" spans="10:10" x14ac:dyDescent="0.3">
      <c r="J2380"/>
    </row>
    <row r="2381" spans="10:10" x14ac:dyDescent="0.3">
      <c r="J2381"/>
    </row>
    <row r="2382" spans="10:10" x14ac:dyDescent="0.3">
      <c r="J2382"/>
    </row>
    <row r="2383" spans="10:10" x14ac:dyDescent="0.3">
      <c r="J2383"/>
    </row>
    <row r="2384" spans="10:10" x14ac:dyDescent="0.3">
      <c r="J2384"/>
    </row>
    <row r="2385" spans="10:10" x14ac:dyDescent="0.3">
      <c r="J2385"/>
    </row>
    <row r="2386" spans="10:10" x14ac:dyDescent="0.3">
      <c r="J2386"/>
    </row>
    <row r="2387" spans="10:10" x14ac:dyDescent="0.3">
      <c r="J2387"/>
    </row>
    <row r="2388" spans="10:10" x14ac:dyDescent="0.3">
      <c r="J2388"/>
    </row>
    <row r="2389" spans="10:10" x14ac:dyDescent="0.3">
      <c r="J2389"/>
    </row>
    <row r="2390" spans="10:10" x14ac:dyDescent="0.3">
      <c r="J2390"/>
    </row>
    <row r="2391" spans="10:10" x14ac:dyDescent="0.3">
      <c r="J2391"/>
    </row>
    <row r="2392" spans="10:10" x14ac:dyDescent="0.3">
      <c r="J2392"/>
    </row>
    <row r="2393" spans="10:10" x14ac:dyDescent="0.3">
      <c r="J2393"/>
    </row>
    <row r="2394" spans="10:10" x14ac:dyDescent="0.3">
      <c r="J2394"/>
    </row>
    <row r="2395" spans="10:10" x14ac:dyDescent="0.3">
      <c r="J2395"/>
    </row>
    <row r="2396" spans="10:10" x14ac:dyDescent="0.3">
      <c r="J2396"/>
    </row>
    <row r="2397" spans="10:10" x14ac:dyDescent="0.3">
      <c r="J2397"/>
    </row>
    <row r="2398" spans="10:10" x14ac:dyDescent="0.3">
      <c r="J2398"/>
    </row>
    <row r="2399" spans="10:10" x14ac:dyDescent="0.3">
      <c r="J2399"/>
    </row>
    <row r="2400" spans="10:10" x14ac:dyDescent="0.3">
      <c r="J2400"/>
    </row>
    <row r="2401" spans="10:10" x14ac:dyDescent="0.3">
      <c r="J2401"/>
    </row>
    <row r="2402" spans="10:10" x14ac:dyDescent="0.3">
      <c r="J2402"/>
    </row>
    <row r="2403" spans="10:10" x14ac:dyDescent="0.3">
      <c r="J2403"/>
    </row>
    <row r="2404" spans="10:10" x14ac:dyDescent="0.3">
      <c r="J2404"/>
    </row>
    <row r="2405" spans="10:10" x14ac:dyDescent="0.3">
      <c r="J2405"/>
    </row>
    <row r="2406" spans="10:10" x14ac:dyDescent="0.3">
      <c r="J2406"/>
    </row>
    <row r="2407" spans="10:10" x14ac:dyDescent="0.3">
      <c r="J2407"/>
    </row>
    <row r="2408" spans="10:10" x14ac:dyDescent="0.3">
      <c r="J2408"/>
    </row>
    <row r="2409" spans="10:10" x14ac:dyDescent="0.3">
      <c r="J2409"/>
    </row>
    <row r="2410" spans="10:10" x14ac:dyDescent="0.3">
      <c r="J2410"/>
    </row>
    <row r="2411" spans="10:10" x14ac:dyDescent="0.3">
      <c r="J2411"/>
    </row>
    <row r="2412" spans="10:10" x14ac:dyDescent="0.3">
      <c r="J2412"/>
    </row>
    <row r="2413" spans="10:10" x14ac:dyDescent="0.3">
      <c r="J2413"/>
    </row>
    <row r="2414" spans="10:10" x14ac:dyDescent="0.3">
      <c r="J2414"/>
    </row>
    <row r="2415" spans="10:10" x14ac:dyDescent="0.3">
      <c r="J2415"/>
    </row>
    <row r="2416" spans="10:10" x14ac:dyDescent="0.3">
      <c r="J2416"/>
    </row>
    <row r="2417" spans="10:10" x14ac:dyDescent="0.3">
      <c r="J2417"/>
    </row>
    <row r="2418" spans="10:10" x14ac:dyDescent="0.3">
      <c r="J2418"/>
    </row>
    <row r="2419" spans="10:10" x14ac:dyDescent="0.3">
      <c r="J2419"/>
    </row>
    <row r="2420" spans="10:10" x14ac:dyDescent="0.3">
      <c r="J2420"/>
    </row>
    <row r="2421" spans="10:10" x14ac:dyDescent="0.3">
      <c r="J2421"/>
    </row>
    <row r="2422" spans="10:10" x14ac:dyDescent="0.3">
      <c r="J2422"/>
    </row>
    <row r="2423" spans="10:10" x14ac:dyDescent="0.3">
      <c r="J2423"/>
    </row>
    <row r="2424" spans="10:10" x14ac:dyDescent="0.3">
      <c r="J2424"/>
    </row>
    <row r="2425" spans="10:10" x14ac:dyDescent="0.3">
      <c r="J2425"/>
    </row>
    <row r="2426" spans="10:10" x14ac:dyDescent="0.3">
      <c r="J2426"/>
    </row>
    <row r="2427" spans="10:10" x14ac:dyDescent="0.3">
      <c r="J2427"/>
    </row>
    <row r="2428" spans="10:10" x14ac:dyDescent="0.3">
      <c r="J2428"/>
    </row>
    <row r="2429" spans="10:10" x14ac:dyDescent="0.3">
      <c r="J2429"/>
    </row>
    <row r="2430" spans="10:10" x14ac:dyDescent="0.3">
      <c r="J2430"/>
    </row>
    <row r="2431" spans="10:10" x14ac:dyDescent="0.3">
      <c r="J2431"/>
    </row>
    <row r="2432" spans="10:10" x14ac:dyDescent="0.3">
      <c r="J2432"/>
    </row>
    <row r="2433" spans="10:10" x14ac:dyDescent="0.3">
      <c r="J2433"/>
    </row>
    <row r="2434" spans="10:10" x14ac:dyDescent="0.3">
      <c r="J2434"/>
    </row>
    <row r="2435" spans="10:10" x14ac:dyDescent="0.3">
      <c r="J2435"/>
    </row>
    <row r="2436" spans="10:10" x14ac:dyDescent="0.3">
      <c r="J2436"/>
    </row>
    <row r="2437" spans="10:10" x14ac:dyDescent="0.3">
      <c r="J2437"/>
    </row>
    <row r="2438" spans="10:10" x14ac:dyDescent="0.3">
      <c r="J2438"/>
    </row>
    <row r="2439" spans="10:10" x14ac:dyDescent="0.3">
      <c r="J2439"/>
    </row>
    <row r="2440" spans="10:10" x14ac:dyDescent="0.3">
      <c r="J2440"/>
    </row>
    <row r="2441" spans="10:10" x14ac:dyDescent="0.3">
      <c r="J2441"/>
    </row>
    <row r="2442" spans="10:10" x14ac:dyDescent="0.3">
      <c r="J2442"/>
    </row>
    <row r="2443" spans="10:10" x14ac:dyDescent="0.3">
      <c r="J2443"/>
    </row>
    <row r="2444" spans="10:10" x14ac:dyDescent="0.3">
      <c r="J2444"/>
    </row>
    <row r="2445" spans="10:10" x14ac:dyDescent="0.3">
      <c r="J2445"/>
    </row>
    <row r="2446" spans="10:10" x14ac:dyDescent="0.3">
      <c r="J2446"/>
    </row>
    <row r="2447" spans="10:10" x14ac:dyDescent="0.3">
      <c r="J2447"/>
    </row>
    <row r="2448" spans="10:10" x14ac:dyDescent="0.3">
      <c r="J2448"/>
    </row>
    <row r="2449" spans="10:10" x14ac:dyDescent="0.3">
      <c r="J2449"/>
    </row>
    <row r="2450" spans="10:10" x14ac:dyDescent="0.3">
      <c r="J2450"/>
    </row>
    <row r="2451" spans="10:10" x14ac:dyDescent="0.3">
      <c r="J2451"/>
    </row>
    <row r="2452" spans="10:10" x14ac:dyDescent="0.3">
      <c r="J2452"/>
    </row>
    <row r="2453" spans="10:10" x14ac:dyDescent="0.3">
      <c r="J2453"/>
    </row>
    <row r="2454" spans="10:10" x14ac:dyDescent="0.3">
      <c r="J2454"/>
    </row>
    <row r="2455" spans="10:10" x14ac:dyDescent="0.3">
      <c r="J2455"/>
    </row>
    <row r="2456" spans="10:10" x14ac:dyDescent="0.3">
      <c r="J2456"/>
    </row>
    <row r="2457" spans="10:10" x14ac:dyDescent="0.3">
      <c r="J2457"/>
    </row>
    <row r="2458" spans="10:10" x14ac:dyDescent="0.3">
      <c r="J2458"/>
    </row>
    <row r="2459" spans="10:10" x14ac:dyDescent="0.3">
      <c r="J2459"/>
    </row>
    <row r="2460" spans="10:10" x14ac:dyDescent="0.3">
      <c r="J2460"/>
    </row>
    <row r="2461" spans="10:10" x14ac:dyDescent="0.3">
      <c r="J2461"/>
    </row>
    <row r="2462" spans="10:10" x14ac:dyDescent="0.3">
      <c r="J2462"/>
    </row>
    <row r="2463" spans="10:10" x14ac:dyDescent="0.3">
      <c r="J2463"/>
    </row>
    <row r="2464" spans="10:10" x14ac:dyDescent="0.3">
      <c r="J2464"/>
    </row>
    <row r="2465" spans="10:10" x14ac:dyDescent="0.3">
      <c r="J2465"/>
    </row>
    <row r="2466" spans="10:10" x14ac:dyDescent="0.3">
      <c r="J2466"/>
    </row>
    <row r="2467" spans="10:10" x14ac:dyDescent="0.3">
      <c r="J2467"/>
    </row>
    <row r="2468" spans="10:10" x14ac:dyDescent="0.3">
      <c r="J2468"/>
    </row>
    <row r="2469" spans="10:10" x14ac:dyDescent="0.3">
      <c r="J2469"/>
    </row>
    <row r="2470" spans="10:10" x14ac:dyDescent="0.3">
      <c r="J2470"/>
    </row>
    <row r="2471" spans="10:10" x14ac:dyDescent="0.3">
      <c r="J2471"/>
    </row>
    <row r="2472" spans="10:10" x14ac:dyDescent="0.3">
      <c r="J2472"/>
    </row>
    <row r="2473" spans="10:10" x14ac:dyDescent="0.3">
      <c r="J2473"/>
    </row>
    <row r="2474" spans="10:10" x14ac:dyDescent="0.3">
      <c r="J2474"/>
    </row>
    <row r="2475" spans="10:10" x14ac:dyDescent="0.3">
      <c r="J2475"/>
    </row>
    <row r="2476" spans="10:10" x14ac:dyDescent="0.3">
      <c r="J2476"/>
    </row>
    <row r="2477" spans="10:10" x14ac:dyDescent="0.3">
      <c r="J2477"/>
    </row>
    <row r="2478" spans="10:10" x14ac:dyDescent="0.3">
      <c r="J2478"/>
    </row>
    <row r="2479" spans="10:10" x14ac:dyDescent="0.3">
      <c r="J2479"/>
    </row>
    <row r="2480" spans="10:10" x14ac:dyDescent="0.3">
      <c r="J2480"/>
    </row>
    <row r="2481" spans="10:10" x14ac:dyDescent="0.3">
      <c r="J2481"/>
    </row>
    <row r="2482" spans="10:10" x14ac:dyDescent="0.3">
      <c r="J2482"/>
    </row>
    <row r="2483" spans="10:10" x14ac:dyDescent="0.3">
      <c r="J2483"/>
    </row>
    <row r="2484" spans="10:10" x14ac:dyDescent="0.3">
      <c r="J2484"/>
    </row>
    <row r="2485" spans="10:10" x14ac:dyDescent="0.3">
      <c r="J2485"/>
    </row>
    <row r="2486" spans="10:10" x14ac:dyDescent="0.3">
      <c r="J2486"/>
    </row>
    <row r="2487" spans="10:10" x14ac:dyDescent="0.3">
      <c r="J2487"/>
    </row>
    <row r="2488" spans="10:10" x14ac:dyDescent="0.3">
      <c r="J2488"/>
    </row>
    <row r="2489" spans="10:10" x14ac:dyDescent="0.3">
      <c r="J2489"/>
    </row>
    <row r="2490" spans="10:10" x14ac:dyDescent="0.3">
      <c r="J2490"/>
    </row>
    <row r="2491" spans="10:10" x14ac:dyDescent="0.3">
      <c r="J2491"/>
    </row>
    <row r="2492" spans="10:10" x14ac:dyDescent="0.3">
      <c r="J2492"/>
    </row>
    <row r="2493" spans="10:10" x14ac:dyDescent="0.3">
      <c r="J2493"/>
    </row>
    <row r="2494" spans="10:10" x14ac:dyDescent="0.3">
      <c r="J2494"/>
    </row>
    <row r="2495" spans="10:10" x14ac:dyDescent="0.3">
      <c r="J2495"/>
    </row>
    <row r="2496" spans="10:10" x14ac:dyDescent="0.3">
      <c r="J2496"/>
    </row>
    <row r="2497" spans="10:10" x14ac:dyDescent="0.3">
      <c r="J2497"/>
    </row>
    <row r="2498" spans="10:10" x14ac:dyDescent="0.3">
      <c r="J2498"/>
    </row>
    <row r="2499" spans="10:10" x14ac:dyDescent="0.3">
      <c r="J2499"/>
    </row>
    <row r="2500" spans="10:10" x14ac:dyDescent="0.3">
      <c r="J2500"/>
    </row>
    <row r="2501" spans="10:10" x14ac:dyDescent="0.3">
      <c r="J2501"/>
    </row>
    <row r="2502" spans="10:10" x14ac:dyDescent="0.3">
      <c r="J2502"/>
    </row>
    <row r="2503" spans="10:10" x14ac:dyDescent="0.3">
      <c r="J2503"/>
    </row>
    <row r="2504" spans="10:10" x14ac:dyDescent="0.3">
      <c r="J2504"/>
    </row>
    <row r="2505" spans="10:10" x14ac:dyDescent="0.3">
      <c r="J2505"/>
    </row>
    <row r="2506" spans="10:10" x14ac:dyDescent="0.3">
      <c r="J2506"/>
    </row>
    <row r="2507" spans="10:10" x14ac:dyDescent="0.3">
      <c r="J2507"/>
    </row>
    <row r="2508" spans="10:10" x14ac:dyDescent="0.3">
      <c r="J2508"/>
    </row>
    <row r="2509" spans="10:10" x14ac:dyDescent="0.3">
      <c r="J2509"/>
    </row>
    <row r="2510" spans="10:10" x14ac:dyDescent="0.3">
      <c r="J2510"/>
    </row>
    <row r="2511" spans="10:10" x14ac:dyDescent="0.3">
      <c r="J2511"/>
    </row>
    <row r="2512" spans="10:10" x14ac:dyDescent="0.3">
      <c r="J2512"/>
    </row>
    <row r="2513" spans="10:10" x14ac:dyDescent="0.3">
      <c r="J2513"/>
    </row>
    <row r="2514" spans="10:10" x14ac:dyDescent="0.3">
      <c r="J2514"/>
    </row>
    <row r="2515" spans="10:10" x14ac:dyDescent="0.3">
      <c r="J2515"/>
    </row>
    <row r="2516" spans="10:10" x14ac:dyDescent="0.3">
      <c r="J2516"/>
    </row>
    <row r="2517" spans="10:10" x14ac:dyDescent="0.3">
      <c r="J2517"/>
    </row>
    <row r="2518" spans="10:10" x14ac:dyDescent="0.3">
      <c r="J2518"/>
    </row>
    <row r="2519" spans="10:10" x14ac:dyDescent="0.3">
      <c r="J2519"/>
    </row>
    <row r="2520" spans="10:10" x14ac:dyDescent="0.3">
      <c r="J2520"/>
    </row>
    <row r="2521" spans="10:10" x14ac:dyDescent="0.3">
      <c r="J2521"/>
    </row>
    <row r="2522" spans="10:10" x14ac:dyDescent="0.3">
      <c r="J2522"/>
    </row>
    <row r="2523" spans="10:10" x14ac:dyDescent="0.3">
      <c r="J2523"/>
    </row>
    <row r="2524" spans="10:10" x14ac:dyDescent="0.3">
      <c r="J2524"/>
    </row>
    <row r="2525" spans="10:10" x14ac:dyDescent="0.3">
      <c r="J2525"/>
    </row>
    <row r="2526" spans="10:10" x14ac:dyDescent="0.3">
      <c r="J2526"/>
    </row>
    <row r="2527" spans="10:10" x14ac:dyDescent="0.3">
      <c r="J2527"/>
    </row>
    <row r="2528" spans="10:10" x14ac:dyDescent="0.3">
      <c r="J2528"/>
    </row>
    <row r="2529" spans="10:10" x14ac:dyDescent="0.3">
      <c r="J2529"/>
    </row>
    <row r="2530" spans="10:10" x14ac:dyDescent="0.3">
      <c r="J2530"/>
    </row>
    <row r="2531" spans="10:10" x14ac:dyDescent="0.3">
      <c r="J2531"/>
    </row>
    <row r="2532" spans="10:10" x14ac:dyDescent="0.3">
      <c r="J2532"/>
    </row>
    <row r="2533" spans="10:10" x14ac:dyDescent="0.3">
      <c r="J2533"/>
    </row>
    <row r="2534" spans="10:10" x14ac:dyDescent="0.3">
      <c r="J2534"/>
    </row>
    <row r="2535" spans="10:10" x14ac:dyDescent="0.3">
      <c r="J2535"/>
    </row>
    <row r="2536" spans="10:10" x14ac:dyDescent="0.3">
      <c r="J2536"/>
    </row>
    <row r="2537" spans="10:10" x14ac:dyDescent="0.3">
      <c r="J2537"/>
    </row>
    <row r="2538" spans="10:10" x14ac:dyDescent="0.3">
      <c r="J2538"/>
    </row>
    <row r="2539" spans="10:10" x14ac:dyDescent="0.3">
      <c r="J2539"/>
    </row>
    <row r="2540" spans="10:10" x14ac:dyDescent="0.3">
      <c r="J2540"/>
    </row>
    <row r="2541" spans="10:10" x14ac:dyDescent="0.3">
      <c r="J2541"/>
    </row>
    <row r="2542" spans="10:10" x14ac:dyDescent="0.3">
      <c r="J2542"/>
    </row>
    <row r="2543" spans="10:10" x14ac:dyDescent="0.3">
      <c r="J2543"/>
    </row>
    <row r="2544" spans="10:10" x14ac:dyDescent="0.3">
      <c r="J2544"/>
    </row>
    <row r="2545" spans="10:10" x14ac:dyDescent="0.3">
      <c r="J2545"/>
    </row>
    <row r="2546" spans="10:10" x14ac:dyDescent="0.3">
      <c r="J2546"/>
    </row>
    <row r="2547" spans="10:10" x14ac:dyDescent="0.3">
      <c r="J2547"/>
    </row>
    <row r="2548" spans="10:10" x14ac:dyDescent="0.3">
      <c r="J2548"/>
    </row>
    <row r="2549" spans="10:10" x14ac:dyDescent="0.3">
      <c r="J2549"/>
    </row>
    <row r="2550" spans="10:10" x14ac:dyDescent="0.3">
      <c r="J2550"/>
    </row>
    <row r="2551" spans="10:10" x14ac:dyDescent="0.3">
      <c r="J2551"/>
    </row>
    <row r="2552" spans="10:10" x14ac:dyDescent="0.3">
      <c r="J2552"/>
    </row>
    <row r="2553" spans="10:10" x14ac:dyDescent="0.3">
      <c r="J2553"/>
    </row>
    <row r="2554" spans="10:10" x14ac:dyDescent="0.3">
      <c r="J2554"/>
    </row>
    <row r="2555" spans="10:10" x14ac:dyDescent="0.3">
      <c r="J2555"/>
    </row>
    <row r="2556" spans="10:10" x14ac:dyDescent="0.3">
      <c r="J2556"/>
    </row>
    <row r="2557" spans="10:10" x14ac:dyDescent="0.3">
      <c r="J2557"/>
    </row>
    <row r="2558" spans="10:10" x14ac:dyDescent="0.3">
      <c r="J2558"/>
    </row>
    <row r="2559" spans="10:10" x14ac:dyDescent="0.3">
      <c r="J2559"/>
    </row>
    <row r="2560" spans="10:10" x14ac:dyDescent="0.3">
      <c r="J2560"/>
    </row>
    <row r="2561" spans="10:10" x14ac:dyDescent="0.3">
      <c r="J2561"/>
    </row>
    <row r="2562" spans="10:10" x14ac:dyDescent="0.3">
      <c r="J2562"/>
    </row>
    <row r="2563" spans="10:10" x14ac:dyDescent="0.3">
      <c r="J2563"/>
    </row>
    <row r="2564" spans="10:10" x14ac:dyDescent="0.3">
      <c r="J2564"/>
    </row>
    <row r="2565" spans="10:10" x14ac:dyDescent="0.3">
      <c r="J2565"/>
    </row>
    <row r="2566" spans="10:10" x14ac:dyDescent="0.3">
      <c r="J2566"/>
    </row>
    <row r="2567" spans="10:10" x14ac:dyDescent="0.3">
      <c r="J2567"/>
    </row>
    <row r="2568" spans="10:10" x14ac:dyDescent="0.3">
      <c r="J2568"/>
    </row>
    <row r="2569" spans="10:10" x14ac:dyDescent="0.3">
      <c r="J2569"/>
    </row>
    <row r="2570" spans="10:10" x14ac:dyDescent="0.3">
      <c r="J2570"/>
    </row>
    <row r="2571" spans="10:10" x14ac:dyDescent="0.3">
      <c r="J2571"/>
    </row>
    <row r="2572" spans="10:10" x14ac:dyDescent="0.3">
      <c r="J2572"/>
    </row>
    <row r="2573" spans="10:10" x14ac:dyDescent="0.3">
      <c r="J2573"/>
    </row>
    <row r="2574" spans="10:10" x14ac:dyDescent="0.3">
      <c r="J2574"/>
    </row>
    <row r="2575" spans="10:10" x14ac:dyDescent="0.3">
      <c r="J2575"/>
    </row>
    <row r="2576" spans="10:10" x14ac:dyDescent="0.3">
      <c r="J2576"/>
    </row>
    <row r="2577" spans="10:10" x14ac:dyDescent="0.3">
      <c r="J2577"/>
    </row>
    <row r="2578" spans="10:10" x14ac:dyDescent="0.3">
      <c r="J2578"/>
    </row>
    <row r="2579" spans="10:10" x14ac:dyDescent="0.3">
      <c r="J2579"/>
    </row>
    <row r="2580" spans="10:10" x14ac:dyDescent="0.3">
      <c r="J2580"/>
    </row>
    <row r="2581" spans="10:10" x14ac:dyDescent="0.3">
      <c r="J2581"/>
    </row>
    <row r="2582" spans="10:10" x14ac:dyDescent="0.3">
      <c r="J2582"/>
    </row>
    <row r="2583" spans="10:10" x14ac:dyDescent="0.3">
      <c r="J2583"/>
    </row>
    <row r="2584" spans="10:10" x14ac:dyDescent="0.3">
      <c r="J2584"/>
    </row>
    <row r="2585" spans="10:10" x14ac:dyDescent="0.3">
      <c r="J2585"/>
    </row>
    <row r="2586" spans="10:10" x14ac:dyDescent="0.3">
      <c r="J2586"/>
    </row>
    <row r="2587" spans="10:10" x14ac:dyDescent="0.3">
      <c r="J2587"/>
    </row>
    <row r="2588" spans="10:10" x14ac:dyDescent="0.3">
      <c r="J2588"/>
    </row>
    <row r="2589" spans="10:10" x14ac:dyDescent="0.3">
      <c r="J2589"/>
    </row>
    <row r="2590" spans="10:10" x14ac:dyDescent="0.3">
      <c r="J2590"/>
    </row>
    <row r="2591" spans="10:10" x14ac:dyDescent="0.3">
      <c r="J2591"/>
    </row>
    <row r="2592" spans="10:10" x14ac:dyDescent="0.3">
      <c r="J2592"/>
    </row>
    <row r="2593" spans="10:10" x14ac:dyDescent="0.3">
      <c r="J2593"/>
    </row>
    <row r="2594" spans="10:10" x14ac:dyDescent="0.3">
      <c r="J2594"/>
    </row>
    <row r="2595" spans="10:10" x14ac:dyDescent="0.3">
      <c r="J2595"/>
    </row>
  </sheetData>
  <sheetProtection selectLockedCells="1" autoFilter="0"/>
  <mergeCells count="125">
    <mergeCell ref="U6:X6"/>
    <mergeCell ref="U7:X7"/>
    <mergeCell ref="U8:X8"/>
    <mergeCell ref="U9:X9"/>
    <mergeCell ref="U10:X10"/>
    <mergeCell ref="U11:X11"/>
    <mergeCell ref="U12:X12"/>
    <mergeCell ref="U13:X13"/>
    <mergeCell ref="U1:AC1"/>
    <mergeCell ref="U2:AC2"/>
    <mergeCell ref="U3:AB4"/>
    <mergeCell ref="U5:AB5"/>
    <mergeCell ref="AB6:AC6"/>
    <mergeCell ref="Y6:AA6"/>
    <mergeCell ref="O22:R23"/>
    <mergeCell ref="O24:S24"/>
    <mergeCell ref="AB13:AC13"/>
    <mergeCell ref="Y13:AA13"/>
    <mergeCell ref="U15:AC15"/>
    <mergeCell ref="U16:AC16"/>
    <mergeCell ref="U17:AC17"/>
    <mergeCell ref="U18:AC18"/>
    <mergeCell ref="U19:AC19"/>
    <mergeCell ref="U20:AC20"/>
    <mergeCell ref="O11:R11"/>
    <mergeCell ref="O19:Q19"/>
    <mergeCell ref="Y11:AA11"/>
    <mergeCell ref="AB11:AC11"/>
    <mergeCell ref="AB7:AC7"/>
    <mergeCell ref="AB8:AC8"/>
    <mergeCell ref="AB9:AC9"/>
    <mergeCell ref="Y8:AA8"/>
    <mergeCell ref="AB12:AC12"/>
    <mergeCell ref="O9:R9"/>
    <mergeCell ref="O10:R10"/>
    <mergeCell ref="O14:Q14"/>
    <mergeCell ref="O15:Q15"/>
    <mergeCell ref="Y9:AA9"/>
    <mergeCell ref="Y12:AA12"/>
    <mergeCell ref="Y10:AA10"/>
    <mergeCell ref="AB10:AC10"/>
    <mergeCell ref="Y7:AA7"/>
    <mergeCell ref="O13:S13"/>
    <mergeCell ref="F40:F41"/>
    <mergeCell ref="I47:L47"/>
    <mergeCell ref="I46:L46"/>
    <mergeCell ref="I40:L40"/>
    <mergeCell ref="K29:M29"/>
    <mergeCell ref="K28:M28"/>
    <mergeCell ref="I38:L38"/>
    <mergeCell ref="I39:L39"/>
    <mergeCell ref="I36:L37"/>
    <mergeCell ref="I42:L42"/>
    <mergeCell ref="I43:L43"/>
    <mergeCell ref="I45:L45"/>
    <mergeCell ref="G40:G41"/>
    <mergeCell ref="I41:L41"/>
    <mergeCell ref="C1:D1"/>
    <mergeCell ref="I7:L7"/>
    <mergeCell ref="D4:D5"/>
    <mergeCell ref="F1:G1"/>
    <mergeCell ref="I3:M4"/>
    <mergeCell ref="I1:M1"/>
    <mergeCell ref="O1:S1"/>
    <mergeCell ref="D7:D8"/>
    <mergeCell ref="I2:M2"/>
    <mergeCell ref="I5:M5"/>
    <mergeCell ref="I6:L6"/>
    <mergeCell ref="O6:R6"/>
    <mergeCell ref="O7:R7"/>
    <mergeCell ref="O3:S4"/>
    <mergeCell ref="O5:S5"/>
    <mergeCell ref="O2:S2"/>
    <mergeCell ref="F2:G2"/>
    <mergeCell ref="C2:D2"/>
    <mergeCell ref="O8:R8"/>
    <mergeCell ref="I8:L8"/>
    <mergeCell ref="C49:C50"/>
    <mergeCell ref="F9:F10"/>
    <mergeCell ref="I17:J17"/>
    <mergeCell ref="D49:D50"/>
    <mergeCell ref="I13:M13"/>
    <mergeCell ref="I16:M16"/>
    <mergeCell ref="I26:J26"/>
    <mergeCell ref="I14:M14"/>
    <mergeCell ref="F19:F20"/>
    <mergeCell ref="D28:D29"/>
    <mergeCell ref="D17:D18"/>
    <mergeCell ref="I28:J28"/>
    <mergeCell ref="I33:L33"/>
    <mergeCell ref="I15:M15"/>
    <mergeCell ref="G19:G20"/>
    <mergeCell ref="I10:L10"/>
    <mergeCell ref="I11:L11"/>
    <mergeCell ref="I9:L9"/>
    <mergeCell ref="I18:I22"/>
    <mergeCell ref="C28:C29"/>
    <mergeCell ref="G9:G10"/>
    <mergeCell ref="I34:L34"/>
    <mergeCell ref="I31:J31"/>
    <mergeCell ref="K31:M31"/>
    <mergeCell ref="I107:L107"/>
    <mergeCell ref="O16:Q16"/>
    <mergeCell ref="O17:Q17"/>
    <mergeCell ref="I100:L100"/>
    <mergeCell ref="I101:L101"/>
    <mergeCell ref="I102:L102"/>
    <mergeCell ref="I103:L103"/>
    <mergeCell ref="I104:L104"/>
    <mergeCell ref="I105:L105"/>
    <mergeCell ref="I106:L106"/>
    <mergeCell ref="O32:S32"/>
    <mergeCell ref="I44:L44"/>
    <mergeCell ref="O29:S29"/>
    <mergeCell ref="O30:S30"/>
    <mergeCell ref="O31:S31"/>
    <mergeCell ref="O25:S25"/>
    <mergeCell ref="O26:S26"/>
    <mergeCell ref="O27:S27"/>
    <mergeCell ref="O28:S28"/>
    <mergeCell ref="I23:I25"/>
    <mergeCell ref="I29:J29"/>
    <mergeCell ref="I98:L99"/>
    <mergeCell ref="I30:J30"/>
    <mergeCell ref="K30:M30"/>
  </mergeCells>
  <phoneticPr fontId="18" type="noConversion"/>
  <dataValidations count="2">
    <dataValidation type="whole" operator="greaterThanOrEqual" allowBlank="1" showInputMessage="1" showErrorMessage="1" sqref="M33:M34 M6:M8 M10:M11 S6:S8" xr:uid="{2BF6111D-71E8-4112-A73F-51D1948FDB01}">
      <formula1>0</formula1>
    </dataValidation>
    <dataValidation type="decimal" operator="greaterThanOrEqual" allowBlank="1" showInputMessage="1" showErrorMessage="1" sqref="M9 S9:S11" xr:uid="{3515D398-A9BB-4775-A7B4-88103685C39A}">
      <formula1>0</formula1>
    </dataValidation>
  </dataValidations>
  <printOptions horizontalCentered="1"/>
  <pageMargins left="0.70866141732283472" right="0.70866141732283472" top="1.1811023622047245" bottom="0.74803149606299213" header="0.31496062992125984" footer="0.31496062992125984"/>
  <pageSetup paperSize="8" scale="17" orientation="landscape" r:id="rId1"/>
  <headerFooter>
    <oddHeader>&amp;C&amp;D
&amp;F</oddHeader>
    <oddFooter>&amp;CSide &amp;"-,Fed"&amp;P&amp;"-,Normal" af &amp;"-,Fed"&amp;N</oddFooter>
  </headerFooter>
  <drawing r:id="rId2"/>
  <picture r:id="rId3"/>
  <tableParts count="6">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E645E-D33C-4B22-B4C2-14AB1F29E0E6}">
  <sheetPr>
    <tabColor theme="4" tint="-0.499984740745262"/>
    <pageSetUpPr fitToPage="1"/>
  </sheetPr>
  <dimension ref="A1:AC140"/>
  <sheetViews>
    <sheetView showGridLines="0" zoomScaleNormal="100" zoomScaleSheetLayoutView="100" workbookViewId="0">
      <pane ySplit="2" topLeftCell="A3" activePane="bottomLeft" state="frozen"/>
      <selection sqref="A1:AA1"/>
      <selection pane="bottomLeft" sqref="A1:AC1"/>
    </sheetView>
  </sheetViews>
  <sheetFormatPr defaultRowHeight="14.4" x14ac:dyDescent="0.3"/>
  <cols>
    <col min="1" max="1" width="4.109375" style="16" bestFit="1" customWidth="1"/>
    <col min="2" max="2" width="29" style="16" bestFit="1" customWidth="1"/>
    <col min="3" max="3" width="6" style="16" bestFit="1" customWidth="1"/>
    <col min="4" max="4" width="7.5546875" style="16" bestFit="1" customWidth="1"/>
    <col min="5" max="5" width="15.77734375" style="18" bestFit="1" customWidth="1"/>
    <col min="6" max="6" width="4.21875" style="16" bestFit="1" customWidth="1"/>
    <col min="7" max="7" width="29" style="16" bestFit="1" customWidth="1"/>
    <col min="8" max="8" width="6.109375" style="16" bestFit="1" customWidth="1"/>
    <col min="9" max="9" width="14.5546875" style="18" bestFit="1" customWidth="1"/>
    <col min="10" max="10" width="15.77734375" bestFit="1" customWidth="1"/>
    <col min="11" max="11" width="4.21875" style="16" bestFit="1" customWidth="1"/>
    <col min="12" max="12" width="35" style="16" bestFit="1" customWidth="1"/>
    <col min="13" max="13" width="6.109375" style="18" bestFit="1" customWidth="1"/>
    <col min="14" max="14" width="14.5546875" style="17" bestFit="1" customWidth="1"/>
    <col min="15" max="15" width="15.77734375" bestFit="1" customWidth="1"/>
    <col min="16" max="16" width="4.33203125" style="16" bestFit="1" customWidth="1"/>
    <col min="17" max="17" width="35" style="18" bestFit="1" customWidth="1"/>
    <col min="18" max="18" width="6.21875" style="16" bestFit="1" customWidth="1"/>
    <col min="19" max="19" width="14.5546875" style="16" bestFit="1" customWidth="1"/>
    <col min="20" max="20" width="15.77734375" bestFit="1" customWidth="1"/>
    <col min="21" max="21" width="4.33203125" bestFit="1" customWidth="1"/>
    <col min="22" max="22" width="35" bestFit="1" customWidth="1"/>
    <col min="23" max="23" width="6.21875" bestFit="1" customWidth="1"/>
    <col min="24" max="24" width="14.5546875" bestFit="1" customWidth="1"/>
    <col min="25" max="25" width="15.77734375" bestFit="1" customWidth="1"/>
    <col min="26" max="26" width="4.33203125" bestFit="1" customWidth="1"/>
    <col min="27" max="27" width="31" bestFit="1" customWidth="1"/>
    <col min="28" max="28" width="6.21875" bestFit="1" customWidth="1"/>
    <col min="29" max="29" width="14.5546875" bestFit="1" customWidth="1"/>
  </cols>
  <sheetData>
    <row r="1" spans="1:29" ht="31.2" x14ac:dyDescent="0.6">
      <c r="A1" s="223" t="s">
        <v>175</v>
      </c>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row>
    <row r="2" spans="1:29" x14ac:dyDescent="0.3">
      <c r="A2" s="257" t="str">
        <f>'🗂️ Filtre nøgletal'!$A$2</f>
        <v>🔃 Opdateret 05-08-2022 kl. 15:28</v>
      </c>
      <c r="B2" s="257"/>
      <c r="C2" s="257"/>
      <c r="D2" s="257"/>
      <c r="E2" s="257"/>
      <c r="F2" s="257"/>
      <c r="G2" s="257"/>
      <c r="H2" s="257"/>
      <c r="I2" s="257"/>
      <c r="J2" s="257"/>
      <c r="K2" s="257"/>
      <c r="L2" s="257"/>
      <c r="M2" s="257"/>
      <c r="N2" s="257"/>
      <c r="O2" s="257"/>
      <c r="P2" s="257"/>
      <c r="Q2" s="257"/>
      <c r="R2" s="257"/>
      <c r="S2" s="257"/>
      <c r="T2" s="257"/>
      <c r="U2" s="257"/>
      <c r="V2" s="257"/>
      <c r="W2" s="257"/>
      <c r="X2" s="257"/>
      <c r="Y2" s="257"/>
      <c r="Z2" s="257"/>
      <c r="AA2" s="257"/>
      <c r="AB2" s="257"/>
      <c r="AC2" s="257"/>
    </row>
    <row r="3" spans="1:29" x14ac:dyDescent="0.3">
      <c r="A3" s="288" t="s">
        <v>72</v>
      </c>
      <c r="B3" s="288"/>
      <c r="C3" s="288"/>
      <c r="D3" s="288"/>
      <c r="E3" s="288"/>
      <c r="F3" s="288"/>
      <c r="G3" s="288"/>
      <c r="H3" s="288"/>
      <c r="I3" s="288"/>
      <c r="J3" s="288"/>
      <c r="K3" s="288"/>
      <c r="L3" s="288"/>
      <c r="M3" s="288"/>
      <c r="N3" s="288"/>
      <c r="O3" s="288"/>
      <c r="P3" s="288"/>
      <c r="Q3" s="288"/>
      <c r="R3" s="288"/>
      <c r="S3" s="288"/>
      <c r="T3" s="288"/>
      <c r="U3" s="288"/>
      <c r="V3" s="288"/>
      <c r="W3" s="288"/>
      <c r="X3" s="288"/>
      <c r="Y3" s="288"/>
      <c r="Z3" s="288"/>
      <c r="AA3" s="288"/>
      <c r="AB3" s="288"/>
      <c r="AC3" s="288"/>
    </row>
    <row r="4" spans="1:29" x14ac:dyDescent="0.3">
      <c r="A4" s="288"/>
      <c r="B4" s="288"/>
      <c r="C4" s="288"/>
      <c r="D4" s="288"/>
      <c r="E4" s="288"/>
      <c r="F4" s="288"/>
      <c r="G4" s="288"/>
      <c r="H4" s="288"/>
      <c r="I4" s="288"/>
      <c r="J4" s="288"/>
      <c r="K4" s="288"/>
      <c r="L4" s="288"/>
      <c r="M4" s="288"/>
      <c r="N4" s="288"/>
      <c r="O4" s="288"/>
      <c r="P4" s="288"/>
      <c r="Q4" s="288"/>
      <c r="R4" s="288"/>
      <c r="S4" s="288"/>
      <c r="T4" s="288"/>
      <c r="U4" s="288"/>
      <c r="V4" s="288"/>
      <c r="W4" s="288"/>
      <c r="X4" s="288"/>
      <c r="Y4" s="288"/>
      <c r="Z4" s="288"/>
      <c r="AA4" s="288"/>
      <c r="AB4" s="288"/>
      <c r="AC4" s="288"/>
    </row>
    <row r="5" spans="1:29" x14ac:dyDescent="0.3">
      <c r="A5"/>
      <c r="B5"/>
      <c r="C5"/>
      <c r="D5"/>
      <c r="E5"/>
      <c r="F5"/>
      <c r="G5"/>
      <c r="H5"/>
      <c r="I5"/>
      <c r="K5"/>
      <c r="L5"/>
      <c r="M5"/>
      <c r="N5"/>
      <c r="P5"/>
      <c r="Q5"/>
      <c r="R5"/>
      <c r="S5"/>
    </row>
    <row r="6" spans="1:29" x14ac:dyDescent="0.3">
      <c r="A6" s="292" t="s">
        <v>68</v>
      </c>
      <c r="B6" s="292"/>
      <c r="C6" s="292"/>
      <c r="D6" s="292"/>
      <c r="E6"/>
      <c r="F6" s="292" t="s">
        <v>69</v>
      </c>
      <c r="G6" s="292"/>
      <c r="H6" s="292"/>
      <c r="I6" s="292"/>
      <c r="K6" s="292" t="s">
        <v>70</v>
      </c>
      <c r="L6" s="292"/>
      <c r="M6" s="292"/>
      <c r="N6" s="292"/>
      <c r="P6" s="292" t="s">
        <v>71</v>
      </c>
      <c r="Q6" s="292"/>
      <c r="R6" s="292"/>
      <c r="S6" s="292"/>
      <c r="U6" s="292" t="s">
        <v>73</v>
      </c>
      <c r="V6" s="292"/>
      <c r="W6" s="292"/>
      <c r="X6" s="292"/>
      <c r="Z6" s="292" t="s">
        <v>74</v>
      </c>
      <c r="AA6" s="292"/>
      <c r="AB6" s="292"/>
      <c r="AC6" s="292"/>
    </row>
    <row r="7" spans="1:29" x14ac:dyDescent="0.3">
      <c r="A7" s="202" t="s">
        <v>869</v>
      </c>
      <c r="B7" s="203" t="s">
        <v>870</v>
      </c>
      <c r="C7" s="204" t="s">
        <v>871</v>
      </c>
      <c r="D7" s="205" t="s">
        <v>872</v>
      </c>
      <c r="E7" s="210" t="s">
        <v>69</v>
      </c>
      <c r="F7" s="202" t="s">
        <v>873</v>
      </c>
      <c r="G7" s="203" t="s">
        <v>874</v>
      </c>
      <c r="H7" s="204" t="s">
        <v>875</v>
      </c>
      <c r="I7" s="205" t="s">
        <v>876</v>
      </c>
      <c r="J7" s="210" t="s">
        <v>70</v>
      </c>
      <c r="K7" s="202" t="s">
        <v>877</v>
      </c>
      <c r="L7" s="203" t="s">
        <v>878</v>
      </c>
      <c r="M7" s="204" t="s">
        <v>879</v>
      </c>
      <c r="N7" s="205" t="s">
        <v>880</v>
      </c>
      <c r="O7" s="210" t="s">
        <v>71</v>
      </c>
      <c r="P7" s="202" t="s">
        <v>881</v>
      </c>
      <c r="Q7" s="203" t="s">
        <v>882</v>
      </c>
      <c r="R7" s="204" t="s">
        <v>883</v>
      </c>
      <c r="S7" s="205" t="s">
        <v>884</v>
      </c>
      <c r="T7" s="210" t="s">
        <v>73</v>
      </c>
      <c r="U7" s="202" t="s">
        <v>885</v>
      </c>
      <c r="V7" s="203" t="s">
        <v>886</v>
      </c>
      <c r="W7" s="204" t="s">
        <v>887</v>
      </c>
      <c r="X7" s="205" t="s">
        <v>888</v>
      </c>
      <c r="Y7" s="210" t="s">
        <v>74</v>
      </c>
      <c r="Z7" s="202" t="s">
        <v>889</v>
      </c>
      <c r="AA7" s="203" t="s">
        <v>890</v>
      </c>
      <c r="AB7" s="204" t="s">
        <v>891</v>
      </c>
      <c r="AC7" s="205" t="s">
        <v>892</v>
      </c>
    </row>
    <row r="8" spans="1:29" x14ac:dyDescent="0.3">
      <c r="A8" s="206">
        <v>1</v>
      </c>
      <c r="B8" s="149" t="s">
        <v>80</v>
      </c>
      <c r="C8" s="201">
        <v>28</v>
      </c>
      <c r="D8" s="207" t="s">
        <v>372</v>
      </c>
      <c r="E8" s="212">
        <v>2</v>
      </c>
      <c r="F8" s="206">
        <v>16</v>
      </c>
      <c r="G8" s="149" t="s">
        <v>603</v>
      </c>
      <c r="H8" s="201">
        <v>20</v>
      </c>
      <c r="I8" s="207" t="s">
        <v>604</v>
      </c>
      <c r="J8" s="212">
        <v>3</v>
      </c>
      <c r="K8" s="206">
        <v>17</v>
      </c>
      <c r="L8" s="149" t="s">
        <v>610</v>
      </c>
      <c r="M8" s="201">
        <v>35</v>
      </c>
      <c r="N8" s="207" t="s">
        <v>611</v>
      </c>
      <c r="O8" s="212">
        <v>4</v>
      </c>
      <c r="P8" s="206">
        <v>32</v>
      </c>
      <c r="Q8" s="149" t="s">
        <v>365</v>
      </c>
      <c r="R8" s="201">
        <v>16</v>
      </c>
      <c r="S8" s="207" t="s">
        <v>368</v>
      </c>
      <c r="T8" s="212">
        <v>5</v>
      </c>
      <c r="U8" s="206">
        <v>33</v>
      </c>
      <c r="V8" s="149" t="s">
        <v>459</v>
      </c>
      <c r="W8" s="201">
        <v>21</v>
      </c>
      <c r="X8" s="207" t="s">
        <v>655</v>
      </c>
      <c r="Y8" s="212">
        <v>6</v>
      </c>
      <c r="Z8" s="206">
        <v>48</v>
      </c>
      <c r="AA8" s="149" t="s">
        <v>790</v>
      </c>
      <c r="AB8" s="201">
        <v>25</v>
      </c>
      <c r="AC8" s="207" t="s">
        <v>795</v>
      </c>
    </row>
    <row r="9" spans="1:29" x14ac:dyDescent="0.3">
      <c r="A9" s="206">
        <v>2</v>
      </c>
      <c r="B9" s="149" t="s">
        <v>285</v>
      </c>
      <c r="C9" s="201">
        <v>21</v>
      </c>
      <c r="D9" s="207" t="s">
        <v>286</v>
      </c>
      <c r="E9" s="210">
        <v>2</v>
      </c>
      <c r="F9" s="206">
        <v>15</v>
      </c>
      <c r="G9" s="149" t="s">
        <v>529</v>
      </c>
      <c r="H9" s="201">
        <v>52</v>
      </c>
      <c r="I9" s="207" t="s">
        <v>530</v>
      </c>
      <c r="J9" s="210">
        <v>3</v>
      </c>
      <c r="K9" s="206">
        <v>18</v>
      </c>
      <c r="L9" s="149" t="s">
        <v>226</v>
      </c>
      <c r="M9" s="201">
        <v>40</v>
      </c>
      <c r="N9" s="207" t="s">
        <v>379</v>
      </c>
      <c r="O9" s="210">
        <v>4</v>
      </c>
      <c r="P9" s="206">
        <v>31</v>
      </c>
      <c r="Q9" s="149" t="s">
        <v>437</v>
      </c>
      <c r="R9" s="201">
        <v>44</v>
      </c>
      <c r="S9" s="207" t="s">
        <v>440</v>
      </c>
      <c r="T9" s="210">
        <v>5</v>
      </c>
      <c r="U9" s="206">
        <v>34</v>
      </c>
      <c r="V9" s="149" t="s">
        <v>227</v>
      </c>
      <c r="W9" s="201">
        <v>71</v>
      </c>
      <c r="X9" s="207" t="s">
        <v>384</v>
      </c>
      <c r="Y9" s="210">
        <v>6</v>
      </c>
      <c r="Z9" s="206">
        <v>47</v>
      </c>
      <c r="AA9" s="149" t="s">
        <v>457</v>
      </c>
      <c r="AB9" s="201">
        <v>21</v>
      </c>
      <c r="AC9" s="207" t="s">
        <v>794</v>
      </c>
    </row>
    <row r="10" spans="1:29" x14ac:dyDescent="0.3">
      <c r="A10" s="206">
        <v>3</v>
      </c>
      <c r="B10" s="149" t="s">
        <v>288</v>
      </c>
      <c r="C10" s="201">
        <v>29</v>
      </c>
      <c r="D10" s="207" t="s">
        <v>370</v>
      </c>
      <c r="E10" s="210">
        <v>2</v>
      </c>
      <c r="F10" s="206">
        <v>14</v>
      </c>
      <c r="G10" s="149" t="s">
        <v>805</v>
      </c>
      <c r="H10" s="201">
        <v>60</v>
      </c>
      <c r="I10" s="207" t="s">
        <v>806</v>
      </c>
      <c r="J10" s="210">
        <v>3</v>
      </c>
      <c r="K10" s="206">
        <v>19</v>
      </c>
      <c r="L10" s="149" t="s">
        <v>371</v>
      </c>
      <c r="M10" s="201">
        <v>24</v>
      </c>
      <c r="N10" s="207" t="s">
        <v>380</v>
      </c>
      <c r="O10" s="210">
        <v>4</v>
      </c>
      <c r="P10" s="206">
        <v>30</v>
      </c>
      <c r="Q10" s="149" t="s">
        <v>234</v>
      </c>
      <c r="R10" s="201">
        <v>30</v>
      </c>
      <c r="S10" s="207" t="s">
        <v>383</v>
      </c>
      <c r="T10" s="210">
        <v>5</v>
      </c>
      <c r="U10" s="206">
        <v>35</v>
      </c>
      <c r="V10" s="149" t="s">
        <v>909</v>
      </c>
      <c r="W10" s="201">
        <v>56</v>
      </c>
      <c r="X10" s="207" t="s">
        <v>910</v>
      </c>
      <c r="Y10" s="210">
        <v>6</v>
      </c>
      <c r="Z10" s="206">
        <v>46</v>
      </c>
      <c r="AA10" s="149" t="s">
        <v>313</v>
      </c>
      <c r="AB10" s="201">
        <v>69</v>
      </c>
      <c r="AC10" s="207" t="s">
        <v>793</v>
      </c>
    </row>
    <row r="11" spans="1:29" x14ac:dyDescent="0.3">
      <c r="A11" s="206">
        <v>4</v>
      </c>
      <c r="B11" s="149" t="s">
        <v>461</v>
      </c>
      <c r="C11" s="201">
        <v>33</v>
      </c>
      <c r="D11" s="207" t="s">
        <v>462</v>
      </c>
      <c r="E11" s="210">
        <v>2</v>
      </c>
      <c r="F11" s="206">
        <v>13</v>
      </c>
      <c r="G11" s="149" t="s">
        <v>433</v>
      </c>
      <c r="H11" s="201">
        <v>28</v>
      </c>
      <c r="I11" s="207" t="s">
        <v>434</v>
      </c>
      <c r="J11" s="210">
        <v>3</v>
      </c>
      <c r="K11" s="206">
        <v>20</v>
      </c>
      <c r="L11" s="149" t="s">
        <v>531</v>
      </c>
      <c r="M11" s="201">
        <v>19</v>
      </c>
      <c r="N11" s="207" t="s">
        <v>532</v>
      </c>
      <c r="O11" s="210">
        <v>4</v>
      </c>
      <c r="P11" s="206">
        <v>29</v>
      </c>
      <c r="Q11" s="149" t="s">
        <v>258</v>
      </c>
      <c r="R11" s="201">
        <v>39</v>
      </c>
      <c r="S11" s="207" t="s">
        <v>382</v>
      </c>
      <c r="T11" s="210">
        <v>5</v>
      </c>
      <c r="U11" s="206">
        <v>36</v>
      </c>
      <c r="V11" s="149" t="s">
        <v>220</v>
      </c>
      <c r="W11" s="201">
        <v>50</v>
      </c>
      <c r="X11" s="207" t="s">
        <v>385</v>
      </c>
      <c r="Y11" s="210">
        <v>6</v>
      </c>
      <c r="Z11" s="206">
        <v>45</v>
      </c>
      <c r="AA11" s="149" t="s">
        <v>267</v>
      </c>
      <c r="AB11" s="201">
        <v>37</v>
      </c>
      <c r="AC11" s="207" t="s">
        <v>792</v>
      </c>
    </row>
    <row r="12" spans="1:29" x14ac:dyDescent="0.3">
      <c r="A12" s="206">
        <v>5</v>
      </c>
      <c r="B12" s="149" t="s">
        <v>643</v>
      </c>
      <c r="C12" s="201">
        <v>29</v>
      </c>
      <c r="D12" s="207" t="s">
        <v>644</v>
      </c>
      <c r="E12" s="210">
        <v>2</v>
      </c>
      <c r="F12" s="206">
        <v>12</v>
      </c>
      <c r="G12" s="149" t="s">
        <v>268</v>
      </c>
      <c r="H12" s="201">
        <v>21</v>
      </c>
      <c r="I12" s="207" t="s">
        <v>269</v>
      </c>
      <c r="J12" s="210">
        <v>3</v>
      </c>
      <c r="K12" s="206">
        <v>21</v>
      </c>
      <c r="L12" s="149" t="s">
        <v>612</v>
      </c>
      <c r="M12" s="201">
        <v>36</v>
      </c>
      <c r="N12" s="207" t="s">
        <v>613</v>
      </c>
      <c r="O12" s="210">
        <v>4</v>
      </c>
      <c r="P12" s="206">
        <v>28</v>
      </c>
      <c r="Q12" s="149" t="s">
        <v>733</v>
      </c>
      <c r="R12" s="201">
        <v>16</v>
      </c>
      <c r="S12" s="207" t="s">
        <v>734</v>
      </c>
      <c r="T12" s="210">
        <v>5</v>
      </c>
      <c r="U12" s="206">
        <v>37</v>
      </c>
      <c r="V12" s="149" t="s">
        <v>349</v>
      </c>
      <c r="W12" s="201">
        <v>60</v>
      </c>
      <c r="X12" s="207" t="s">
        <v>386</v>
      </c>
      <c r="Y12" s="210">
        <v>6</v>
      </c>
      <c r="Z12" s="206">
        <v>44</v>
      </c>
      <c r="AA12" s="149" t="s">
        <v>944</v>
      </c>
      <c r="AB12" s="201">
        <v>10</v>
      </c>
      <c r="AC12" s="207" t="s">
        <v>963</v>
      </c>
    </row>
    <row r="13" spans="1:29" x14ac:dyDescent="0.3">
      <c r="A13" s="206">
        <v>6</v>
      </c>
      <c r="B13" s="149" t="s">
        <v>282</v>
      </c>
      <c r="C13" s="201">
        <v>57</v>
      </c>
      <c r="D13" s="207" t="s">
        <v>377</v>
      </c>
      <c r="E13" s="210">
        <v>2</v>
      </c>
      <c r="F13" s="206">
        <v>11</v>
      </c>
      <c r="G13" s="149" t="s">
        <v>635</v>
      </c>
      <c r="H13" s="201">
        <v>20</v>
      </c>
      <c r="I13" s="207" t="s">
        <v>636</v>
      </c>
      <c r="J13" s="210">
        <v>3</v>
      </c>
      <c r="K13" s="206">
        <v>22</v>
      </c>
      <c r="L13" s="149" t="s">
        <v>230</v>
      </c>
      <c r="M13" s="201">
        <v>26</v>
      </c>
      <c r="N13" s="207" t="s">
        <v>236</v>
      </c>
      <c r="O13" s="210">
        <v>4</v>
      </c>
      <c r="P13" s="206">
        <v>27</v>
      </c>
      <c r="Q13" s="149" t="s">
        <v>284</v>
      </c>
      <c r="R13" s="201">
        <v>32</v>
      </c>
      <c r="S13" s="207" t="s">
        <v>362</v>
      </c>
      <c r="T13" s="210">
        <v>5</v>
      </c>
      <c r="U13" s="206">
        <v>38</v>
      </c>
      <c r="V13" s="149" t="s">
        <v>624</v>
      </c>
      <c r="W13" s="201">
        <v>15</v>
      </c>
      <c r="X13" s="207" t="s">
        <v>625</v>
      </c>
      <c r="Y13" s="210">
        <v>6</v>
      </c>
      <c r="Z13" s="206">
        <v>43</v>
      </c>
      <c r="AA13" s="149" t="s">
        <v>353</v>
      </c>
      <c r="AB13" s="201">
        <v>13</v>
      </c>
      <c r="AC13" s="207" t="s">
        <v>656</v>
      </c>
    </row>
    <row r="14" spans="1:29" x14ac:dyDescent="0.3">
      <c r="A14" s="206">
        <v>7</v>
      </c>
      <c r="B14" s="149" t="s">
        <v>354</v>
      </c>
      <c r="C14" s="201">
        <v>44</v>
      </c>
      <c r="D14" s="207" t="s">
        <v>360</v>
      </c>
      <c r="E14" s="210">
        <v>2</v>
      </c>
      <c r="F14" s="206">
        <v>10</v>
      </c>
      <c r="G14" s="149" t="s">
        <v>601</v>
      </c>
      <c r="H14" s="201">
        <v>19</v>
      </c>
      <c r="I14" s="207" t="s">
        <v>602</v>
      </c>
      <c r="J14" s="210">
        <v>3</v>
      </c>
      <c r="K14" s="206">
        <v>23</v>
      </c>
      <c r="L14" s="149" t="s">
        <v>231</v>
      </c>
      <c r="M14" s="201">
        <v>27</v>
      </c>
      <c r="N14" s="207" t="s">
        <v>381</v>
      </c>
      <c r="O14" s="210">
        <v>4</v>
      </c>
      <c r="P14" s="206">
        <v>26</v>
      </c>
      <c r="Q14" s="149" t="s">
        <v>779</v>
      </c>
      <c r="R14" s="201">
        <v>43</v>
      </c>
      <c r="S14" s="207" t="s">
        <v>362</v>
      </c>
      <c r="T14" s="210">
        <v>5</v>
      </c>
      <c r="U14" s="206">
        <v>39</v>
      </c>
      <c r="V14" s="149" t="s">
        <v>356</v>
      </c>
      <c r="W14" s="201">
        <v>15</v>
      </c>
      <c r="X14" s="207" t="s">
        <v>361</v>
      </c>
      <c r="Y14" s="210">
        <v>6</v>
      </c>
      <c r="Z14" s="206">
        <v>42</v>
      </c>
      <c r="AA14" s="149" t="s">
        <v>961</v>
      </c>
      <c r="AB14" s="201">
        <v>10</v>
      </c>
      <c r="AC14" s="207" t="s">
        <v>962</v>
      </c>
    </row>
    <row r="15" spans="1:29" x14ac:dyDescent="0.3">
      <c r="A15" s="206">
        <v>8</v>
      </c>
      <c r="B15" s="149" t="s">
        <v>287</v>
      </c>
      <c r="C15" s="201">
        <v>24</v>
      </c>
      <c r="D15" s="207" t="s">
        <v>378</v>
      </c>
      <c r="E15" s="210">
        <v>2</v>
      </c>
      <c r="F15" s="206">
        <v>9</v>
      </c>
      <c r="G15" s="149" t="s">
        <v>938</v>
      </c>
      <c r="H15" s="201">
        <v>33</v>
      </c>
      <c r="I15" s="207" t="s">
        <v>939</v>
      </c>
      <c r="J15" s="210">
        <v>3</v>
      </c>
      <c r="K15" s="206">
        <v>24</v>
      </c>
      <c r="L15" s="149" t="s">
        <v>940</v>
      </c>
      <c r="M15" s="201">
        <v>20</v>
      </c>
      <c r="N15" s="207" t="s">
        <v>941</v>
      </c>
      <c r="O15" s="210">
        <v>4</v>
      </c>
      <c r="P15" s="206">
        <v>25</v>
      </c>
      <c r="Q15" s="149" t="s">
        <v>573</v>
      </c>
      <c r="R15" s="201">
        <v>47</v>
      </c>
      <c r="S15" s="207" t="s">
        <v>654</v>
      </c>
      <c r="T15" s="210">
        <v>5</v>
      </c>
      <c r="U15" s="206">
        <v>40</v>
      </c>
      <c r="V15" s="149" t="s">
        <v>942</v>
      </c>
      <c r="W15" s="201">
        <v>40</v>
      </c>
      <c r="X15" s="207" t="s">
        <v>943</v>
      </c>
      <c r="Y15" s="210">
        <v>6</v>
      </c>
      <c r="Z15" s="206">
        <v>41</v>
      </c>
      <c r="AA15" s="149" t="s">
        <v>355</v>
      </c>
      <c r="AB15" s="201">
        <v>12</v>
      </c>
      <c r="AC15" s="207" t="s">
        <v>387</v>
      </c>
    </row>
    <row r="16" spans="1:29" x14ac:dyDescent="0.3">
      <c r="A16" s="214"/>
      <c r="B16" s="214"/>
      <c r="C16" s="214"/>
      <c r="D16" s="214"/>
      <c r="E16" s="214"/>
      <c r="F16" s="214"/>
      <c r="G16" s="214"/>
      <c r="H16" s="214"/>
      <c r="I16" s="214"/>
      <c r="J16" s="214"/>
      <c r="K16" s="214"/>
      <c r="L16" s="214"/>
      <c r="M16" s="214"/>
      <c r="N16" s="214"/>
      <c r="O16" s="214"/>
      <c r="P16" s="214"/>
      <c r="Q16" s="214"/>
      <c r="R16" s="214"/>
      <c r="S16" s="214"/>
      <c r="T16" s="214"/>
      <c r="U16" s="214"/>
      <c r="V16" s="214"/>
      <c r="W16" s="214"/>
      <c r="X16" s="214"/>
      <c r="Y16" s="214"/>
      <c r="Z16" s="214"/>
      <c r="AA16" s="214"/>
      <c r="AB16" s="214"/>
      <c r="AC16" s="214"/>
    </row>
    <row r="17" spans="1:29" x14ac:dyDescent="0.3">
      <c r="A17" s="1"/>
      <c r="B17" s="41"/>
      <c r="C17" s="48"/>
      <c r="D17" s="36"/>
      <c r="F17" s="1"/>
      <c r="G17" s="41"/>
      <c r="H17" s="48"/>
      <c r="I17" s="36"/>
      <c r="K17" s="1"/>
      <c r="L17" s="41"/>
      <c r="M17" s="48"/>
      <c r="N17" s="36"/>
      <c r="P17" s="1"/>
      <c r="Q17" s="41"/>
      <c r="R17" s="48"/>
      <c r="S17" s="36"/>
      <c r="U17" s="1"/>
      <c r="V17" s="41"/>
      <c r="W17" s="48"/>
      <c r="X17" s="36"/>
      <c r="Z17" s="1"/>
      <c r="AA17" s="41"/>
      <c r="AB17" s="48"/>
      <c r="AC17" s="36"/>
    </row>
    <row r="22" spans="1:29" x14ac:dyDescent="0.3">
      <c r="A22" s="288" t="s">
        <v>75</v>
      </c>
      <c r="B22" s="288"/>
      <c r="C22" s="288"/>
      <c r="D22" s="288"/>
      <c r="E22" s="288"/>
      <c r="F22" s="288"/>
      <c r="G22" s="288"/>
      <c r="H22" s="288"/>
      <c r="I22" s="288"/>
      <c r="J22" s="288"/>
      <c r="K22" s="288"/>
      <c r="L22" s="288"/>
      <c r="M22" s="288"/>
      <c r="N22" s="288"/>
      <c r="O22" s="288"/>
      <c r="P22" s="288"/>
      <c r="Q22" s="288"/>
      <c r="R22" s="288"/>
      <c r="S22" s="288"/>
      <c r="T22" s="288"/>
      <c r="U22" s="288"/>
      <c r="V22" s="288"/>
      <c r="W22" s="288"/>
      <c r="X22" s="288"/>
      <c r="Y22" s="288"/>
      <c r="Z22" s="288"/>
      <c r="AA22" s="288"/>
      <c r="AB22" s="288"/>
      <c r="AC22" s="288"/>
    </row>
    <row r="23" spans="1:29" x14ac:dyDescent="0.3">
      <c r="A23" s="288"/>
      <c r="B23" s="288"/>
      <c r="C23" s="288"/>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row>
    <row r="24" spans="1:29" x14ac:dyDescent="0.3">
      <c r="A24" s="257" t="str">
        <f>'💡🏆🎫 Status'!$I$39</f>
        <v>🏓 48 ud af 72 tilmeldinger (67%)</v>
      </c>
      <c r="B24" s="257"/>
      <c r="C24" s="257"/>
      <c r="D24" s="257"/>
      <c r="E24" s="257"/>
      <c r="F24" s="257"/>
      <c r="G24" s="257"/>
      <c r="H24" s="257"/>
      <c r="I24" s="257"/>
      <c r="J24" s="257"/>
      <c r="K24" s="257"/>
      <c r="L24" s="257"/>
      <c r="M24" s="257"/>
      <c r="N24" s="257"/>
      <c r="O24" s="257"/>
      <c r="P24" s="257"/>
      <c r="Q24" s="257"/>
      <c r="R24" s="257"/>
      <c r="S24" s="257"/>
      <c r="T24" s="257"/>
      <c r="U24" s="257"/>
      <c r="V24" s="257"/>
      <c r="W24" s="257"/>
      <c r="X24" s="257"/>
      <c r="Y24" s="257"/>
      <c r="Z24" s="257"/>
      <c r="AA24" s="257"/>
      <c r="AB24" s="257"/>
      <c r="AC24" s="257"/>
    </row>
    <row r="25" spans="1:29" x14ac:dyDescent="0.3">
      <c r="A25" s="257" t="s">
        <v>813</v>
      </c>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row>
    <row r="26" spans="1:29" x14ac:dyDescent="0.3">
      <c r="A26" s="257" t="str">
        <f>'💡🏆🎫 Status'!$I$38</f>
        <v>🔃🏓 Rating opdateret pr. 27-05-2022</v>
      </c>
      <c r="B26" s="257"/>
      <c r="C26" s="257"/>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row>
    <row r="27" spans="1:29" x14ac:dyDescent="0.3">
      <c r="A27"/>
      <c r="B27"/>
      <c r="C27"/>
      <c r="D27"/>
      <c r="E27"/>
      <c r="F27"/>
      <c r="G27"/>
      <c r="H27"/>
      <c r="I27"/>
      <c r="K27"/>
      <c r="L27"/>
      <c r="M27"/>
      <c r="N27"/>
      <c r="P27"/>
      <c r="Q27"/>
      <c r="R27"/>
      <c r="S27"/>
    </row>
    <row r="29" spans="1:29" x14ac:dyDescent="0.3">
      <c r="F29" s="289" t="s">
        <v>159</v>
      </c>
      <c r="G29" s="290"/>
      <c r="H29" s="290"/>
      <c r="I29" s="291"/>
      <c r="K29" s="289" t="s">
        <v>160</v>
      </c>
      <c r="L29" s="290"/>
      <c r="M29" s="290"/>
      <c r="N29" s="291"/>
      <c r="P29" s="289" t="s">
        <v>161</v>
      </c>
      <c r="Q29" s="290"/>
      <c r="R29" s="290"/>
      <c r="S29" s="291"/>
      <c r="U29" s="289" t="s">
        <v>162</v>
      </c>
      <c r="V29" s="290"/>
      <c r="W29" s="290"/>
      <c r="X29" s="291"/>
    </row>
    <row r="30" spans="1:29" x14ac:dyDescent="0.3">
      <c r="F30" s="170" t="str" cm="1">
        <f t="array" ref="F30:I30">IFERROR(IF(ISBLANK(INDEX(Tilmeldinger_billettype_1_seedning[#Headers],1,)),"",INDEX(Tilmeldinger_billettype_1_seedning[#Headers],1,)),"")</f>
        <v>Nr.</v>
      </c>
      <c r="G30" s="171" t="str">
        <v>Navn og bordtennisklub</v>
      </c>
      <c r="H30" s="172" t="str">
        <v>Alder</v>
      </c>
      <c r="I30" s="173" t="str">
        <v>Rating</v>
      </c>
      <c r="K30" s="170" t="str" cm="1">
        <f t="array" ref="K30:N30">IFERROR(IF(ISBLANK(INDEX(Tilmeldinger_billettype_1_seedning[#Headers],1,)),"",INDEX(Tilmeldinger_billettype_1_seedning[#Headers],1,)),"")</f>
        <v>Nr.</v>
      </c>
      <c r="L30" s="171" t="str">
        <v>Navn og bordtennisklub</v>
      </c>
      <c r="M30" s="172" t="str">
        <v>Alder</v>
      </c>
      <c r="N30" s="173" t="str">
        <v>Rating</v>
      </c>
      <c r="P30" s="170" t="str" cm="1">
        <f t="array" ref="P30:S30">IFERROR(IF(ISBLANK(INDEX(Tilmeldinger_billettype_1_seedning[#Headers],1,)),"",INDEX(Tilmeldinger_billettype_1_seedning[#Headers],1,)),"")</f>
        <v>Nr.</v>
      </c>
      <c r="Q30" s="171" t="str">
        <v>Navn og bordtennisklub</v>
      </c>
      <c r="R30" s="172" t="str">
        <v>Alder</v>
      </c>
      <c r="S30" s="173" t="str">
        <v>Rating</v>
      </c>
      <c r="U30" s="170" t="str" cm="1">
        <f t="array" ref="U30:X30">IFERROR(IF(ISBLANK(INDEX(Tilmeldinger_billettype_1_seedning[#Headers],1,)),"",INDEX(Tilmeldinger_billettype_1_seedning[#Headers],1,)),"")</f>
        <v>Nr.</v>
      </c>
      <c r="V30" s="171" t="str">
        <v>Navn og bordtennisklub</v>
      </c>
      <c r="W30" s="172" t="str">
        <v>Alder</v>
      </c>
      <c r="X30" s="173" t="str">
        <v>Rating</v>
      </c>
    </row>
    <row r="31" spans="1:29" x14ac:dyDescent="0.3">
      <c r="F31" s="19" cm="1">
        <f t="array" ref="F31:I31">IFERROR(IF(ISBLANK(INDEX(Seedningslag_6_mandspuljer[[Nr.¹]:[Rating¹]],1,)),"",INDEX(Seedningslag_6_mandspuljer[[Nr.¹]:[Rating¹]],1,)),"")</f>
        <v>1</v>
      </c>
      <c r="G31" s="20" t="str">
        <v>Benjamin Sørensen, Hørning BTK</v>
      </c>
      <c r="H31" s="21">
        <v>28</v>
      </c>
      <c r="I31" s="81" t="str">
        <v>(1) 2551</v>
      </c>
      <c r="K31" s="19" cm="1">
        <f t="array" ref="K31:N31">IFERROR(IF(ISBLANK(INDEX(Seedningslag_6_mandspuljer[[Nr.¹]:[Rating¹]],2,)),"",INDEX(Seedningslag_6_mandspuljer[[Nr.¹]:[Rating¹]],2,)),"")</f>
        <v>2</v>
      </c>
      <c r="L31" s="20" t="str">
        <v>Simon Larsen, BTK Viby</v>
      </c>
      <c r="M31" s="21">
        <v>21</v>
      </c>
      <c r="N31" s="81" t="str">
        <v>(2) 2362</v>
      </c>
      <c r="P31" s="19" cm="1">
        <f t="array" ref="P31:S31">IFERROR(IF(ISBLANK(INDEX(Seedningslag_6_mandspuljer[[Nr.¹]:[Rating¹]],3,)),"",INDEX(Seedningslag_6_mandspuljer[[Nr.¹]:[Rating¹]],3,)),"")</f>
        <v>3</v>
      </c>
      <c r="Q31" s="20" t="str">
        <v>Emil Madsen, Hørning BTK</v>
      </c>
      <c r="R31" s="21">
        <v>29</v>
      </c>
      <c r="S31" s="81" t="str">
        <v>(3) 2553</v>
      </c>
      <c r="U31" s="19" cm="1">
        <f t="array" ref="U31:X31">IFERROR(IF(ISBLANK(INDEX(Seedningslag_6_mandspuljer[[Nr.¹]:[Rating¹]],4,)),"",INDEX(Seedningslag_6_mandspuljer[[Nr.¹]:[Rating¹]],4,)),"")</f>
        <v>4</v>
      </c>
      <c r="V31" s="20" t="str">
        <v>Simon Nykjær-Fisher, BTK Viby</v>
      </c>
      <c r="W31" s="21">
        <v>33</v>
      </c>
      <c r="X31" s="81" t="str">
        <v>2587</v>
      </c>
      <c r="Z31" s="16"/>
      <c r="AA31" s="16"/>
      <c r="AB31" s="16"/>
      <c r="AC31" s="18"/>
    </row>
    <row r="32" spans="1:29" x14ac:dyDescent="0.3">
      <c r="F32" s="22" cm="1">
        <f t="array" ref="F32:I32">IFERROR(IF(ISBLANK(INDEX(Seedningslag_6_mandspuljer[[Nr.²]:[Rating²]],1,)),"",INDEX(Seedningslag_6_mandspuljer[[Nr.²]:[Rating²]],1,)),"")</f>
        <v>16</v>
      </c>
      <c r="G32" s="23" t="str">
        <v>Mickey Elsborg, Vejle BTK</v>
      </c>
      <c r="H32" s="79">
        <v>20</v>
      </c>
      <c r="I32" s="82" t="str">
        <v>2265</v>
      </c>
      <c r="K32" s="22" cm="1">
        <f t="array" ref="K32:N32">IFERROR(IF(ISBLANK(INDEX(Seedningslag_6_mandspuljer[[Nr.²]:[Rating²]],2,)),"",INDEX(Seedningslag_6_mandspuljer[[Nr.²]:[Rating²]],2,)),"")</f>
        <v>15</v>
      </c>
      <c r="L32" s="23" t="str">
        <v>Jan Nordhøj, Hvidovre BTK</v>
      </c>
      <c r="M32" s="79">
        <v>52</v>
      </c>
      <c r="N32" s="82" t="str">
        <v>2269</v>
      </c>
      <c r="P32" s="22" cm="1">
        <f t="array" ref="P32:S32">IFERROR(IF(ISBLANK(INDEX(Seedningslag_6_mandspuljer[[Nr.²]:[Rating²]],3,)),"",INDEX(Seedningslag_6_mandspuljer[[Nr.²]:[Rating²]],3,)),"")</f>
        <v>14</v>
      </c>
      <c r="Q32" s="23" t="str">
        <v>Peter Bruhn, Brønderslev</v>
      </c>
      <c r="R32" s="79">
        <v>60</v>
      </c>
      <c r="S32" s="82" t="str">
        <v>2284</v>
      </c>
      <c r="U32" s="22" cm="1">
        <f t="array" ref="U32:X32">IFERROR(IF(ISBLANK(INDEX(Seedningslag_6_mandspuljer[[Nr.²]:[Rating²]],4,)),"",INDEX(Seedningslag_6_mandspuljer[[Nr.²]:[Rating²]],4,)),"")</f>
        <v>13</v>
      </c>
      <c r="V32" s="23" t="str">
        <v>Mads Larsen, Silkeborg BTK</v>
      </c>
      <c r="W32" s="79">
        <v>28</v>
      </c>
      <c r="X32" s="82" t="str">
        <v>2352</v>
      </c>
    </row>
    <row r="33" spans="6:24" x14ac:dyDescent="0.3">
      <c r="F33" s="22" cm="1">
        <f t="array" ref="F33:I33">IFERROR(IF(ISBLANK(INDEX(Seedningslag_6_mandspuljer[[Nr.³]:[Rating³]],1,)),"",INDEX(Seedningslag_6_mandspuljer[[Nr.³]:[Rating³]],1,)),"")</f>
        <v>17</v>
      </c>
      <c r="G33" s="23" t="str">
        <v>Nick Sommer, Team Nørreå</v>
      </c>
      <c r="H33" s="79">
        <v>35</v>
      </c>
      <c r="I33" s="82" t="str">
        <v>2229</v>
      </c>
      <c r="K33" s="22" cm="1">
        <f t="array" ref="K33:N33">IFERROR(IF(ISBLANK(INDEX(Seedningslag_6_mandspuljer[[Nr.³]:[Rating³]],2,)),"",INDEX(Seedningslag_6_mandspuljer[[Nr.³]:[Rating³]],2,)),"")</f>
        <v>18</v>
      </c>
      <c r="L33" s="23" t="str">
        <v>Casper Staal, Sisu/MBK</v>
      </c>
      <c r="M33" s="79">
        <v>40</v>
      </c>
      <c r="N33" s="82" t="str">
        <v>2119</v>
      </c>
      <c r="P33" s="22" cm="1">
        <f t="array" ref="P33:S33">IFERROR(IF(ISBLANK(INDEX(Seedningslag_6_mandspuljer[[Nr.³]:[Rating³]],3,)),"",INDEX(Seedningslag_6_mandspuljer[[Nr.³]:[Rating³]],3,)),"")</f>
        <v>19</v>
      </c>
      <c r="Q33" s="23" t="str">
        <v>Benjamin Lillelund, Sisu/MBK</v>
      </c>
      <c r="R33" s="79">
        <v>24</v>
      </c>
      <c r="S33" s="82" t="str">
        <v>2094</v>
      </c>
      <c r="U33" s="22" cm="1">
        <f t="array" ref="U33:X33">IFERROR(IF(ISBLANK(INDEX(Seedningslag_6_mandspuljer[[Nr.³]:[Rating³]],4,)),"",INDEX(Seedningslag_6_mandspuljer[[Nr.³]:[Rating³]],4,)),"")</f>
        <v>20</v>
      </c>
      <c r="V33" s="23" t="str">
        <v>Johan Grønhøj, Sisu/MBK</v>
      </c>
      <c r="W33" s="79">
        <v>19</v>
      </c>
      <c r="X33" s="82" t="str">
        <v>2092</v>
      </c>
    </row>
    <row r="34" spans="6:24" x14ac:dyDescent="0.3">
      <c r="F34" s="22" cm="1">
        <f t="array" ref="F34:I34">IFERROR(IF(ISBLANK(INDEX(Seedningslag_6_mandspuljer[[Nr.⁴]:[Rating⁴]],1,)),"",INDEX(Seedningslag_6_mandspuljer[[Nr.⁴]:[Rating⁴]],1,)),"")</f>
        <v>32</v>
      </c>
      <c r="G34" s="23" t="str">
        <v>Bastian Diness, Sisu/MBK</v>
      </c>
      <c r="H34" s="79">
        <v>16</v>
      </c>
      <c r="I34" s="82" t="str">
        <v>1790</v>
      </c>
      <c r="K34" s="22" cm="1">
        <f t="array" ref="K34:N34">IFERROR(IF(ISBLANK(INDEX(Seedningslag_6_mandspuljer[[Nr.⁴]:[Rating⁴]],2,)),"",INDEX(Seedningslag_6_mandspuljer[[Nr.⁴]:[Rating⁴]],2,)),"")</f>
        <v>31</v>
      </c>
      <c r="L34" s="23" t="str">
        <v>Thomas Bjerregaard, BTK Midtjylland</v>
      </c>
      <c r="M34" s="79">
        <v>44</v>
      </c>
      <c r="N34" s="82" t="str">
        <v>1867</v>
      </c>
      <c r="P34" s="22" cm="1">
        <f t="array" ref="P34:S34">IFERROR(IF(ISBLANK(INDEX(Seedningslag_6_mandspuljer[[Nr.⁴]:[Rating⁴]],3,)),"",INDEX(Seedningslag_6_mandspuljer[[Nr.⁴]:[Rating⁴]],3,)),"")</f>
        <v>30</v>
      </c>
      <c r="Q34" s="23" t="str">
        <v>Christian H. Andersen, Sisu/MBK</v>
      </c>
      <c r="R34" s="79">
        <v>30</v>
      </c>
      <c r="S34" s="82" t="str">
        <v>1942</v>
      </c>
      <c r="U34" s="22" cm="1">
        <f t="array" ref="U34:X34">IFERROR(IF(ISBLANK(INDEX(Seedningslag_6_mandspuljer[[Nr.⁴]:[Rating⁴]],4,)),"",INDEX(Seedningslag_6_mandspuljer[[Nr.⁴]:[Rating⁴]],4,)),"")</f>
        <v>29</v>
      </c>
      <c r="V34" s="23" t="str">
        <v>Mathias Heidmann, Sisu/MBK</v>
      </c>
      <c r="W34" s="79">
        <v>39</v>
      </c>
      <c r="X34" s="82" t="str">
        <v>1944</v>
      </c>
    </row>
    <row r="35" spans="6:24" x14ac:dyDescent="0.3">
      <c r="F35" s="22" cm="1">
        <f t="array" ref="F35:I35">IFERROR(IF(ISBLANK(INDEX(Seedningslag_6_mandspuljer[[Nr.⁵]:[Rating⁵]],1,)),"",INDEX(Seedningslag_6_mandspuljer[[Nr.⁵]:[Rating⁵]],1,)),"")</f>
        <v>33</v>
      </c>
      <c r="G35" s="23" t="str">
        <v>Sebastian Sørensen, Esbjerg BTK</v>
      </c>
      <c r="H35" s="79">
        <v>21</v>
      </c>
      <c r="I35" s="82" t="str">
        <v>1685</v>
      </c>
      <c r="K35" s="22" cm="1">
        <f t="array" ref="K35:N35">IFERROR(IF(ISBLANK(INDEX(Seedningslag_6_mandspuljer[[Nr.⁵]:[Rating⁵]],2,)),"",INDEX(Seedningslag_6_mandspuljer[[Nr.⁵]:[Rating⁵]],2,)),"")</f>
        <v>34</v>
      </c>
      <c r="L35" s="23" t="str">
        <v>Bent O. Jakobsen, Sisu/MBK</v>
      </c>
      <c r="M35" s="79">
        <v>71</v>
      </c>
      <c r="N35" s="82" t="str">
        <v>1647</v>
      </c>
      <c r="P35" s="22" cm="1">
        <f t="array" ref="P35:S35">IFERROR(IF(ISBLANK(INDEX(Seedningslag_6_mandspuljer[[Nr.⁵]:[Rating⁵]],3,)),"",INDEX(Seedningslag_6_mandspuljer[[Nr.⁵]:[Rating⁵]],3,)),"")</f>
        <v>35</v>
      </c>
      <c r="Q35" s="23" t="str">
        <v>Lars Jørgensen, Silkeborg BTK</v>
      </c>
      <c r="R35" s="79">
        <v>56</v>
      </c>
      <c r="S35" s="82" t="str">
        <v>1643</v>
      </c>
      <c r="U35" s="22" cm="1">
        <f t="array" ref="U35:X35">IFERROR(IF(ISBLANK(INDEX(Seedningslag_6_mandspuljer[[Nr.⁵]:[Rating⁵]],4,)),"",INDEX(Seedningslag_6_mandspuljer[[Nr.⁵]:[Rating⁵]],4,)),"")</f>
        <v>36</v>
      </c>
      <c r="V35" s="23" t="str">
        <v>Jesper Skivesen, Silkeborg BTK</v>
      </c>
      <c r="W35" s="79">
        <v>50</v>
      </c>
      <c r="X35" s="82" t="str">
        <v>1547</v>
      </c>
    </row>
    <row r="36" spans="6:24" x14ac:dyDescent="0.3">
      <c r="F36" s="24" cm="1">
        <f t="array" ref="F36:I36">IFERROR(IF(ISBLANK(INDEX(Seedningslag_6_mandspuljer[[Nr.⁶]:[Rating⁶]],1,)),"",INDEX(Seedningslag_6_mandspuljer[[Nr.⁶]:[Rating⁶]],1,)),"")</f>
        <v>48</v>
      </c>
      <c r="G36" s="25" t="str">
        <v>Anton Andersson, Hillerød GI</v>
      </c>
      <c r="H36" s="26">
        <v>25</v>
      </c>
      <c r="I36" s="83" t="str">
        <v>(Ingen rating) [4]</v>
      </c>
      <c r="K36" s="24" cm="1">
        <f t="array" ref="K36:N36">IFERROR(IF(ISBLANK(INDEX(Seedningslag_6_mandspuljer[[Nr.⁶]:[Rating⁶]],2,)),"",INDEX(Seedningslag_6_mandspuljer[[Nr.⁶]:[Rating⁶]],2,)),"")</f>
        <v>47</v>
      </c>
      <c r="L36" s="25" t="str">
        <v>Rasmus Hansen (ingen klub)</v>
      </c>
      <c r="M36" s="26">
        <v>21</v>
      </c>
      <c r="N36" s="83" t="str">
        <v>(Ingen rating) [3]</v>
      </c>
      <c r="P36" s="24" cm="1">
        <f t="array" ref="P36:S36">IFERROR(IF(ISBLANK(INDEX(Seedningslag_6_mandspuljer[[Nr.⁶]:[Rating⁶]],3,)),"",INDEX(Seedningslag_6_mandspuljer[[Nr.⁶]:[Rating⁶]],3,)),"")</f>
        <v>46</v>
      </c>
      <c r="Q36" s="25" t="str">
        <v>Poul B. Pedersen (ingen klub)</v>
      </c>
      <c r="R36" s="26">
        <v>69</v>
      </c>
      <c r="S36" s="83" t="str">
        <v>(Ingen rating) [2]</v>
      </c>
      <c r="U36" s="24" cm="1">
        <f t="array" ref="U36:X36">IFERROR(IF(ISBLANK(INDEX(Seedningslag_6_mandspuljer[[Nr.⁶]:[Rating⁶]],4,)),"",INDEX(Seedningslag_6_mandspuljer[[Nr.⁶]:[Rating⁶]],4,)),"")</f>
        <v>45</v>
      </c>
      <c r="V36" s="25" t="str">
        <v>Lasse Frølich Rasmussen (ingen klub)</v>
      </c>
      <c r="W36" s="26">
        <v>37</v>
      </c>
      <c r="X36" s="83" t="str">
        <v>(Ingen rating) [1]</v>
      </c>
    </row>
    <row r="37" spans="6:24" x14ac:dyDescent="0.3">
      <c r="I37" s="16"/>
      <c r="M37" s="16"/>
      <c r="N37" s="18"/>
      <c r="Q37" s="16"/>
      <c r="R37" s="18"/>
      <c r="S37" s="17"/>
      <c r="U37" s="16"/>
      <c r="V37" s="16"/>
      <c r="W37" s="17"/>
      <c r="X37" s="16"/>
    </row>
    <row r="38" spans="6:24" x14ac:dyDescent="0.3">
      <c r="I38" s="16"/>
      <c r="M38" s="16"/>
      <c r="N38" s="18"/>
      <c r="Q38" s="16"/>
      <c r="R38" s="18"/>
      <c r="S38" s="17"/>
      <c r="U38" s="16"/>
      <c r="V38" s="16"/>
      <c r="W38" s="17"/>
      <c r="X38" s="16"/>
    </row>
    <row r="39" spans="6:24" x14ac:dyDescent="0.3">
      <c r="F39" s="289" t="s">
        <v>163</v>
      </c>
      <c r="G39" s="290"/>
      <c r="H39" s="290"/>
      <c r="I39" s="291"/>
      <c r="K39" s="289" t="s">
        <v>164</v>
      </c>
      <c r="L39" s="290"/>
      <c r="M39" s="290"/>
      <c r="N39" s="291"/>
      <c r="P39" s="289" t="s">
        <v>165</v>
      </c>
      <c r="Q39" s="290"/>
      <c r="R39" s="290"/>
      <c r="S39" s="291"/>
      <c r="U39" s="289" t="s">
        <v>166</v>
      </c>
      <c r="V39" s="290"/>
      <c r="W39" s="290"/>
      <c r="X39" s="291"/>
    </row>
    <row r="40" spans="6:24" x14ac:dyDescent="0.3">
      <c r="F40" s="170" t="str" cm="1">
        <f t="array" ref="F40:I40">IFERROR(IF(ISBLANK(INDEX(Tilmeldinger_billettype_1_seedning[#Headers],1,)),"",INDEX(Tilmeldinger_billettype_1_seedning[#Headers],1,)),"")</f>
        <v>Nr.</v>
      </c>
      <c r="G40" s="171" t="str">
        <v>Navn og bordtennisklub</v>
      </c>
      <c r="H40" s="172" t="str">
        <v>Alder</v>
      </c>
      <c r="I40" s="173" t="str">
        <v>Rating</v>
      </c>
      <c r="K40" s="170" t="str" cm="1">
        <f t="array" ref="K40:N40">IFERROR(IF(ISBLANK(INDEX(Tilmeldinger_billettype_1_seedning[#Headers],1,)),"",INDEX(Tilmeldinger_billettype_1_seedning[#Headers],1,)),"")</f>
        <v>Nr.</v>
      </c>
      <c r="L40" s="171" t="str">
        <v>Navn og bordtennisklub</v>
      </c>
      <c r="M40" s="172" t="str">
        <v>Alder</v>
      </c>
      <c r="N40" s="173" t="str">
        <v>Rating</v>
      </c>
      <c r="P40" s="170" t="str" cm="1">
        <f t="array" ref="P40:S40">IFERROR(IF(ISBLANK(INDEX(Tilmeldinger_billettype_1_seedning[#Headers],1,)),"",INDEX(Tilmeldinger_billettype_1_seedning[#Headers],1,)),"")</f>
        <v>Nr.</v>
      </c>
      <c r="Q40" s="171" t="str">
        <v>Navn og bordtennisklub</v>
      </c>
      <c r="R40" s="172" t="str">
        <v>Alder</v>
      </c>
      <c r="S40" s="173" t="str">
        <v>Rating</v>
      </c>
      <c r="U40" s="170" t="str" cm="1">
        <f t="array" ref="U40:X40">IFERROR(IF(ISBLANK(INDEX(Tilmeldinger_billettype_1_seedning[#Headers],1,)),"",INDEX(Tilmeldinger_billettype_1_seedning[#Headers],1,)),"")</f>
        <v>Nr.</v>
      </c>
      <c r="V40" s="171" t="str">
        <v>Navn og bordtennisklub</v>
      </c>
      <c r="W40" s="172" t="str">
        <v>Alder</v>
      </c>
      <c r="X40" s="173" t="str">
        <v>Rating</v>
      </c>
    </row>
    <row r="41" spans="6:24" x14ac:dyDescent="0.3">
      <c r="F41" s="19" cm="1">
        <f t="array" ref="F41:I41">IFERROR(IF(ISBLANK(INDEX(Seedningslag_6_mandspuljer[[Nr.¹]:[Rating¹]],5,)),"",INDEX(Seedningslag_6_mandspuljer[[Nr.¹]:[Rating¹]],5,)),"")</f>
        <v>5</v>
      </c>
      <c r="G41" s="20" t="str">
        <v>Nichlas Middelhede, Team Nørreå</v>
      </c>
      <c r="H41" s="21">
        <v>29</v>
      </c>
      <c r="I41" s="81" t="str">
        <v>2547</v>
      </c>
      <c r="K41" s="19" cm="1">
        <f t="array" ref="K41:N41">IFERROR(IF(ISBLANK(INDEX(Seedningslag_6_mandspuljer[[Nr.¹]:[Rating¹]],6,)),"",INDEX(Seedningslag_6_mandspuljer[[Nr.¹]:[Rating¹]],6,)),"")</f>
        <v>6</v>
      </c>
      <c r="L41" s="20" t="str">
        <v>John Sabalic, Rønde BTK</v>
      </c>
      <c r="M41" s="21">
        <v>57</v>
      </c>
      <c r="N41" s="81" t="str">
        <v>2455</v>
      </c>
      <c r="P41" s="19" cm="1">
        <f t="array" ref="P41:S41">IFERROR(IF(ISBLANK(INDEX(Seedningslag_6_mandspuljer[[Nr.¹]:[Rating¹]],7,)),"",INDEX(Seedningslag_6_mandspuljer[[Nr.¹]:[Rating¹]],7,)),"")</f>
        <v>7</v>
      </c>
      <c r="Q41" s="20" t="str">
        <v>Thomas Kjeldgård, Hørning BTK</v>
      </c>
      <c r="R41" s="21">
        <v>44</v>
      </c>
      <c r="S41" s="81" t="str">
        <v>2413</v>
      </c>
      <c r="U41" s="19" cm="1">
        <f t="array" ref="U41:X41">IFERROR(IF(ISBLANK(INDEX(Seedningslag_6_mandspuljer[[Nr.¹]:[Rating¹]],8,)),"",INDEX(Seedningslag_6_mandspuljer[[Nr.¹]:[Rating¹]],8,)),"")</f>
        <v>8</v>
      </c>
      <c r="V41" s="20" t="str">
        <v>Marc Kynde, BTK Viby</v>
      </c>
      <c r="W41" s="21">
        <v>24</v>
      </c>
      <c r="X41" s="81" t="str">
        <v>2381</v>
      </c>
    </row>
    <row r="42" spans="6:24" x14ac:dyDescent="0.3">
      <c r="F42" s="22" cm="1">
        <f t="array" ref="F42:I42">IFERROR(IF(ISBLANK(INDEX(Seedningslag_6_mandspuljer[[Nr.²]:[Rating²]],5,)),"",INDEX(Seedningslag_6_mandspuljer[[Nr.²]:[Rating²]],5,)),"")</f>
        <v>12</v>
      </c>
      <c r="G42" s="23" t="str">
        <v>Marius Dam, BTK Viby</v>
      </c>
      <c r="H42" s="79">
        <v>21</v>
      </c>
      <c r="I42" s="82" t="str">
        <v>2369</v>
      </c>
      <c r="K42" s="22" cm="1">
        <f t="array" ref="K42:N42">IFERROR(IF(ISBLANK(INDEX(Seedningslag_6_mandspuljer[[Nr.²]:[Rating²]],6,)),"",INDEX(Seedningslag_6_mandspuljer[[Nr.²]:[Rating²]],6,)),"")</f>
        <v>11</v>
      </c>
      <c r="L42" s="23" t="str">
        <v>Oscar Hovmøller, BTK Viby</v>
      </c>
      <c r="M42" s="79">
        <v>20</v>
      </c>
      <c r="N42" s="82" t="str">
        <v>2374</v>
      </c>
      <c r="P42" s="22" cm="1">
        <f t="array" ref="P42:S42">IFERROR(IF(ISBLANK(INDEX(Seedningslag_6_mandspuljer[[Nr.²]:[Rating²]],7,)),"",INDEX(Seedningslag_6_mandspuljer[[Nr.²]:[Rating²]],7,)),"")</f>
        <v>10</v>
      </c>
      <c r="Q42" s="23" t="str">
        <v>Emil Lynge Sørensen, Amager BTK</v>
      </c>
      <c r="R42" s="79">
        <v>19</v>
      </c>
      <c r="S42" s="82" t="str">
        <v>2376</v>
      </c>
      <c r="U42" s="22" cm="1">
        <f t="array" ref="U42:X42">IFERROR(IF(ISBLANK(INDEX(Seedningslag_6_mandspuljer[[Nr.²]:[Rating²]],8,)),"",INDEX(Seedningslag_6_mandspuljer[[Nr.²]:[Rating²]],8,)),"")</f>
        <v>9</v>
      </c>
      <c r="V42" s="23" t="str">
        <v>Jonas Ring Agerholm, Rønde BTK</v>
      </c>
      <c r="W42" s="79">
        <v>33</v>
      </c>
      <c r="X42" s="82" t="str">
        <v>2380</v>
      </c>
    </row>
    <row r="43" spans="6:24" x14ac:dyDescent="0.3">
      <c r="F43" s="22" cm="1">
        <f t="array" ref="F43:I43">IFERROR(IF(ISBLANK(INDEX(Seedningslag_6_mandspuljer[[Nr.³]:[Rating³]],5,)),"",INDEX(Seedningslag_6_mandspuljer[[Nr.³]:[Rating³]],5,)),"")</f>
        <v>21</v>
      </c>
      <c r="G43" s="23" t="str">
        <v>Dennis K. Nielsen, Team Nørreå</v>
      </c>
      <c r="H43" s="79">
        <v>36</v>
      </c>
      <c r="I43" s="82" t="str">
        <v>2068</v>
      </c>
      <c r="K43" s="22" cm="1">
        <f t="array" ref="K43:N43">IFERROR(IF(ISBLANK(INDEX(Seedningslag_6_mandspuljer[[Nr.³]:[Rating³]],6,)),"",INDEX(Seedningslag_6_mandspuljer[[Nr.³]:[Rating³]],6,)),"")</f>
        <v>22</v>
      </c>
      <c r="L43" s="23" t="str">
        <v>Daniel Wolf, Sisu/MBK</v>
      </c>
      <c r="M43" s="79">
        <v>26</v>
      </c>
      <c r="N43" s="82" t="str">
        <v>2067</v>
      </c>
      <c r="P43" s="22" cm="1">
        <f t="array" ref="P43:S43">IFERROR(IF(ISBLANK(INDEX(Seedningslag_6_mandspuljer[[Nr.³]:[Rating³]],7,)),"",INDEX(Seedningslag_6_mandspuljer[[Nr.³]:[Rating³]],7,)),"")</f>
        <v>23</v>
      </c>
      <c r="Q43" s="23" t="str">
        <v>Sebastian Kjær Jensen, Sjørring BTK</v>
      </c>
      <c r="R43" s="79">
        <v>27</v>
      </c>
      <c r="S43" s="82" t="str">
        <v>2064</v>
      </c>
      <c r="U43" s="22" cm="1">
        <f t="array" ref="U43:X43">IFERROR(IF(ISBLANK(INDEX(Seedningslag_6_mandspuljer[[Nr.³]:[Rating³]],8,)),"",INDEX(Seedningslag_6_mandspuljer[[Nr.³]:[Rating³]],8,)),"")</f>
        <v>24</v>
      </c>
      <c r="V43" s="23" t="str">
        <v>Jonathan Weiss, Sisu/MBK</v>
      </c>
      <c r="W43" s="79">
        <v>20</v>
      </c>
      <c r="X43" s="82" t="str">
        <v>2057</v>
      </c>
    </row>
    <row r="44" spans="6:24" x14ac:dyDescent="0.3">
      <c r="F44" s="22" cm="1">
        <f t="array" ref="F44:I44">IFERROR(IF(ISBLANK(INDEX(Seedningslag_6_mandspuljer[[Nr.⁴]:[Rating⁴]],5,)),"",INDEX(Seedningslag_6_mandspuljer[[Nr.⁴]:[Rating⁴]],5,)),"")</f>
        <v>28</v>
      </c>
      <c r="G44" s="23" t="str">
        <v>Laust Ravn Johansen, BTK Viby</v>
      </c>
      <c r="H44" s="79">
        <v>16</v>
      </c>
      <c r="I44" s="82" t="str">
        <v>2025</v>
      </c>
      <c r="K44" s="22" cm="1">
        <f t="array" ref="K44:N44">IFERROR(IF(ISBLANK(INDEX(Seedningslag_6_mandspuljer[[Nr.⁴]:[Rating⁴]],6,)),"",INDEX(Seedningslag_6_mandspuljer[[Nr.⁴]:[Rating⁴]],6,)),"")</f>
        <v>27</v>
      </c>
      <c r="L44" s="23" t="str">
        <v>Peter Skalborg Jensen, Sisu/MBK</v>
      </c>
      <c r="M44" s="79">
        <v>32</v>
      </c>
      <c r="N44" s="82" t="str">
        <v>2042</v>
      </c>
      <c r="P44" s="22" cm="1">
        <f t="array" ref="P44:S44">IFERROR(IF(ISBLANK(INDEX(Seedningslag_6_mandspuljer[[Nr.⁴]:[Rating⁴]],7,)),"",INDEX(Seedningslag_6_mandspuljer[[Nr.⁴]:[Rating⁴]],7,)),"")</f>
        <v>26</v>
      </c>
      <c r="Q44" s="23" t="str">
        <v>Hans Herluf Boisen, BTK Viby</v>
      </c>
      <c r="R44" s="79">
        <v>43</v>
      </c>
      <c r="S44" s="82" t="str">
        <v>2042</v>
      </c>
      <c r="U44" s="22" cm="1">
        <f t="array" ref="U44:X44">IFERROR(IF(ISBLANK(INDEX(Seedningslag_6_mandspuljer[[Nr.⁴]:[Rating⁴]],8,)),"",INDEX(Seedningslag_6_mandspuljer[[Nr.⁴]:[Rating⁴]],8,)),"")</f>
        <v>25</v>
      </c>
      <c r="V44" s="23" t="str">
        <v>Jesper Steffensen, Sisu/MBK</v>
      </c>
      <c r="W44" s="79">
        <v>47</v>
      </c>
      <c r="X44" s="82" t="str">
        <v>2048</v>
      </c>
    </row>
    <row r="45" spans="6:24" x14ac:dyDescent="0.3">
      <c r="F45" s="22" cm="1">
        <f t="array" ref="F45:I45">IFERROR(IF(ISBLANK(INDEX(Seedningslag_6_mandspuljer[[Nr.⁵]:[Rating⁵]],5,)),"",INDEX(Seedningslag_6_mandspuljer[[Nr.⁵]:[Rating⁵]],5,)),"")</f>
        <v>37</v>
      </c>
      <c r="G45" s="23" t="str">
        <v>Martin Svendsen, Holbæk BTK</v>
      </c>
      <c r="H45" s="79">
        <v>60</v>
      </c>
      <c r="I45" s="82" t="str">
        <v>1491</v>
      </c>
      <c r="K45" s="22" cm="1">
        <f t="array" ref="K45:N45">IFERROR(IF(ISBLANK(INDEX(Seedningslag_6_mandspuljer[[Nr.⁵]:[Rating⁵]],6,)),"",INDEX(Seedningslag_6_mandspuljer[[Nr.⁵]:[Rating⁵]],6,)),"")</f>
        <v>38</v>
      </c>
      <c r="L45" s="23" t="str">
        <v>Anders Holler, BTK Tateni</v>
      </c>
      <c r="M45" s="79">
        <v>15</v>
      </c>
      <c r="N45" s="82" t="str">
        <v>1485</v>
      </c>
      <c r="P45" s="22" cm="1">
        <f t="array" ref="P45:S45">IFERROR(IF(ISBLANK(INDEX(Seedningslag_6_mandspuljer[[Nr.⁵]:[Rating⁵]],7,)),"",INDEX(Seedningslag_6_mandspuljer[[Nr.⁵]:[Rating⁵]],7,)),"")</f>
        <v>39</v>
      </c>
      <c r="Q45" s="23" t="str">
        <v>Oliver Kjeldgaard Johansson, Hørning BTK</v>
      </c>
      <c r="R45" s="79">
        <v>15</v>
      </c>
      <c r="S45" s="82" t="str">
        <v>1363</v>
      </c>
      <c r="U45" s="22" cm="1">
        <f t="array" ref="U45:X45">IFERROR(IF(ISBLANK(INDEX(Seedningslag_6_mandspuljer[[Nr.⁵]:[Rating⁵]],8,)),"",INDEX(Seedningslag_6_mandspuljer[[Nr.⁵]:[Rating⁵]],8,)),"")</f>
        <v>40</v>
      </c>
      <c r="V45" s="23" t="str">
        <v>Milosz Miszczuk, Hørning BTK</v>
      </c>
      <c r="W45" s="79">
        <v>40</v>
      </c>
      <c r="X45" s="82" t="str">
        <v>1220</v>
      </c>
    </row>
    <row r="46" spans="6:24" x14ac:dyDescent="0.3">
      <c r="F46" s="24" cm="1">
        <f t="array" ref="F46:I46">IFERROR(IF(ISBLANK(INDEX(Seedningslag_6_mandspuljer[[Nr.⁶]:[Rating⁶]],5,)),"",INDEX(Seedningslag_6_mandspuljer[[Nr.⁶]:[Rating⁶]],5,)),"")</f>
        <v>44</v>
      </c>
      <c r="G46" s="25" t="str">
        <v>Amin Saad Al-Zayadi, Sisu/MBK</v>
      </c>
      <c r="H46" s="26">
        <v>10</v>
      </c>
      <c r="I46" s="83" t="str">
        <v>914</v>
      </c>
      <c r="K46" s="24" cm="1">
        <f t="array" ref="K46:N46">IFERROR(IF(ISBLANK(INDEX(Seedningslag_6_mandspuljer[[Nr.⁶]:[Rating⁶]],6,)),"",INDEX(Seedningslag_6_mandspuljer[[Nr.⁶]:[Rating⁶]],6,)),"")</f>
        <v>43</v>
      </c>
      <c r="L46" s="25" t="str">
        <v>Alfred Brøgger, Sisu/MBK</v>
      </c>
      <c r="M46" s="26">
        <v>13</v>
      </c>
      <c r="N46" s="83" t="str">
        <v>1067</v>
      </c>
      <c r="P46" s="24" cm="1">
        <f t="array" ref="P46:S46">IFERROR(IF(ISBLANK(INDEX(Seedningslag_6_mandspuljer[[Nr.⁶]:[Rating⁶]],7,)),"",INDEX(Seedningslag_6_mandspuljer[[Nr.⁶]:[Rating⁶]],7,)),"")</f>
        <v>42</v>
      </c>
      <c r="Q46" s="25" t="str">
        <v>Otto Svindt, Sisu/MBK</v>
      </c>
      <c r="R46" s="26">
        <v>10</v>
      </c>
      <c r="S46" s="83" t="str">
        <v>1117</v>
      </c>
      <c r="U46" s="24" cm="1">
        <f t="array" ref="U46:X46">IFERROR(IF(ISBLANK(INDEX(Seedningslag_6_mandspuljer[[Nr.⁶]:[Rating⁶]],8,)),"",INDEX(Seedningslag_6_mandspuljer[[Nr.⁶]:[Rating⁶]],8,)),"")</f>
        <v>41</v>
      </c>
      <c r="V46" s="25" t="str">
        <v>Frederik Kjeldgaard, Hørning BTK</v>
      </c>
      <c r="W46" s="26">
        <v>12</v>
      </c>
      <c r="X46" s="83" t="str">
        <v>1166</v>
      </c>
    </row>
    <row r="47" spans="6:24" x14ac:dyDescent="0.3">
      <c r="I47" s="16"/>
      <c r="M47" s="16"/>
      <c r="N47" s="18"/>
      <c r="Q47" s="16"/>
      <c r="R47" s="18"/>
      <c r="S47" s="17"/>
      <c r="U47" s="16"/>
      <c r="V47" s="16"/>
      <c r="W47" s="17"/>
      <c r="X47" s="16"/>
    </row>
    <row r="48" spans="6:24" x14ac:dyDescent="0.3">
      <c r="I48" s="16"/>
      <c r="M48" s="16"/>
      <c r="N48" s="18"/>
      <c r="Q48" s="16"/>
      <c r="R48" s="18"/>
      <c r="S48" s="17"/>
      <c r="U48" s="16"/>
      <c r="V48" s="18"/>
      <c r="W48" s="16"/>
      <c r="X48" s="16"/>
    </row>
    <row r="49" spans="6:24" x14ac:dyDescent="0.3">
      <c r="F49" s="289" t="s">
        <v>170</v>
      </c>
      <c r="G49" s="290"/>
      <c r="H49" s="290"/>
      <c r="I49" s="291"/>
      <c r="K49" s="289" t="s">
        <v>169</v>
      </c>
      <c r="L49" s="290"/>
      <c r="M49" s="290"/>
      <c r="N49" s="291"/>
      <c r="P49" s="289" t="s">
        <v>168</v>
      </c>
      <c r="Q49" s="290"/>
      <c r="R49" s="290"/>
      <c r="S49" s="291"/>
      <c r="U49" s="289" t="s">
        <v>167</v>
      </c>
      <c r="V49" s="290"/>
      <c r="W49" s="290"/>
      <c r="X49" s="291"/>
    </row>
    <row r="50" spans="6:24" x14ac:dyDescent="0.3">
      <c r="F50" s="170" t="str" cm="1">
        <f t="array" ref="F50:I50">IFERROR(IF(ISBLANK(INDEX(Tilmeldinger_billettype_1_seedning[#Headers],1,)),"",INDEX(Tilmeldinger_billettype_1_seedning[#Headers],1,)),"")</f>
        <v>Nr.</v>
      </c>
      <c r="G50" s="171" t="str">
        <v>Navn og bordtennisklub</v>
      </c>
      <c r="H50" s="172" t="str">
        <v>Alder</v>
      </c>
      <c r="I50" s="173" t="str">
        <v>Rating</v>
      </c>
      <c r="K50" s="170" t="str" cm="1">
        <f t="array" ref="K50:N50">IFERROR(IF(ISBLANK(INDEX(Tilmeldinger_billettype_1_seedning[#Headers],1,)),"",INDEX(Tilmeldinger_billettype_1_seedning[#Headers],1,)),"")</f>
        <v>Nr.</v>
      </c>
      <c r="L50" s="171" t="str">
        <v>Navn og bordtennisklub</v>
      </c>
      <c r="M50" s="172" t="str">
        <v>Alder</v>
      </c>
      <c r="N50" s="173" t="str">
        <v>Rating</v>
      </c>
      <c r="P50" s="170" t="str" cm="1">
        <f t="array" ref="P50:S50">IFERROR(IF(ISBLANK(INDEX(Tilmeldinger_billettype_1_seedning[#Headers],1,)),"",INDEX(Tilmeldinger_billettype_1_seedning[#Headers],1,)),"")</f>
        <v>Nr.</v>
      </c>
      <c r="Q50" s="171" t="str">
        <v>Navn og bordtennisklub</v>
      </c>
      <c r="R50" s="172" t="str">
        <v>Alder</v>
      </c>
      <c r="S50" s="173" t="str">
        <v>Rating</v>
      </c>
      <c r="U50" s="170" t="str" cm="1">
        <f t="array" ref="U50:X50">IFERROR(IF(ISBLANK(INDEX(Tilmeldinger_billettype_1_seedning[#Headers],1,)),"",INDEX(Tilmeldinger_billettype_1_seedning[#Headers],1,)),"")</f>
        <v>Nr.</v>
      </c>
      <c r="V50" s="171" t="str">
        <v>Navn og bordtennisklub</v>
      </c>
      <c r="W50" s="172" t="str">
        <v>Alder</v>
      </c>
      <c r="X50" s="173" t="str">
        <v>Rating</v>
      </c>
    </row>
    <row r="51" spans="6:24" x14ac:dyDescent="0.3">
      <c r="F51" s="19" t="str" cm="1">
        <f t="array" ref="F51">IFERROR(IF(ISBLANK(INDEX(Seedningslag_6_mandspuljer[[Nr.¹]:[Rating¹]],9,)),"",INDEX(Seedningslag_6_mandspuljer[[Nr.¹]:[Rating¹]],9,)),"")</f>
        <v/>
      </c>
      <c r="G51" s="20"/>
      <c r="H51" s="21"/>
      <c r="I51" s="81"/>
      <c r="K51" s="19" t="str" cm="1">
        <f t="array" ref="K51">IFERROR(IF(ISBLANK(INDEX(Seedningslag_6_mandspuljer[[Nr.¹]:[Rating¹]],10,)),"",INDEX(Seedningslag_6_mandspuljer[[Nr.¹]:[Rating¹]],10,)),"")</f>
        <v/>
      </c>
      <c r="L51" s="20"/>
      <c r="M51" s="21"/>
      <c r="N51" s="81"/>
      <c r="P51" s="19" t="str" cm="1">
        <f t="array" ref="P51">IFERROR(IF(ISBLANK(INDEX(Seedningslag_6_mandspuljer[[Nr.¹]:[Rating¹]],11,)),"",INDEX(Seedningslag_6_mandspuljer[[Nr.¹]:[Rating¹]],11,)),"")</f>
        <v/>
      </c>
      <c r="Q51" s="20"/>
      <c r="R51" s="21"/>
      <c r="S51" s="81"/>
      <c r="U51" s="19" t="str" cm="1">
        <f t="array" ref="U51">IFERROR(IF(ISBLANK(INDEX(Seedningslag_6_mandspuljer[[Nr.¹]:[Rating¹]],12,)),"",INDEX(Seedningslag_6_mandspuljer[[Nr.¹]:[Rating¹]],12,)),"")</f>
        <v/>
      </c>
      <c r="V51" s="20"/>
      <c r="W51" s="21"/>
      <c r="X51" s="81"/>
    </row>
    <row r="52" spans="6:24" x14ac:dyDescent="0.3">
      <c r="F52" s="22" t="str" cm="1">
        <f t="array" ref="F52">IFERROR(IF(ISBLANK(INDEX(Seedningslag_6_mandspuljer[[Nr.²]:[Rating²]],9,)),"",INDEX(Seedningslag_6_mandspuljer[[Nr.²]:[Rating²]],9,)),"")</f>
        <v/>
      </c>
      <c r="G52" s="23"/>
      <c r="H52" s="79"/>
      <c r="I52" s="82"/>
      <c r="K52" s="22" t="str" cm="1">
        <f t="array" ref="K52">IFERROR(IF(ISBLANK(INDEX(Seedningslag_6_mandspuljer[[Nr.²]:[Rating²]],10,)),"",INDEX(Seedningslag_6_mandspuljer[[Nr.²]:[Rating²]],10,)),"")</f>
        <v/>
      </c>
      <c r="L52" s="23"/>
      <c r="M52" s="79"/>
      <c r="N52" s="82"/>
      <c r="P52" s="22" t="str" cm="1">
        <f t="array" ref="P52">IFERROR(IF(ISBLANK(INDEX(Seedningslag_6_mandspuljer[[Nr.²]:[Rating²]],11,)),"",INDEX(Seedningslag_6_mandspuljer[[Nr.²]:[Rating²]],11,)),"")</f>
        <v/>
      </c>
      <c r="Q52" s="23"/>
      <c r="R52" s="79"/>
      <c r="S52" s="82"/>
      <c r="U52" s="22" t="str" cm="1">
        <f t="array" ref="U52">IFERROR(IF(ISBLANK(INDEX(Seedningslag_6_mandspuljer[[Nr.²]:[Rating²]],12,)),"",INDEX(Seedningslag_6_mandspuljer[[Nr.²]:[Rating²]],12,)),"")</f>
        <v/>
      </c>
      <c r="V52" s="23"/>
      <c r="W52" s="79"/>
      <c r="X52" s="82"/>
    </row>
    <row r="53" spans="6:24" x14ac:dyDescent="0.3">
      <c r="F53" s="22" t="str" cm="1">
        <f t="array" ref="F53">IFERROR(IF(ISBLANK(INDEX(Seedningslag_6_mandspuljer[[Nr.³]:[Rating³]],9,)),"",INDEX(Seedningslag_6_mandspuljer[[Nr.³]:[Rating³]],9,)),"")</f>
        <v/>
      </c>
      <c r="G53" s="23"/>
      <c r="H53" s="79"/>
      <c r="I53" s="82"/>
      <c r="K53" s="22" t="str" cm="1">
        <f t="array" ref="K53">IFERROR(IF(ISBLANK(INDEX(Seedningslag_6_mandspuljer[[Nr.³]:[Rating³]],10,)),"",INDEX(Seedningslag_6_mandspuljer[[Nr.³]:[Rating³]],10,)),"")</f>
        <v/>
      </c>
      <c r="L53" s="23"/>
      <c r="M53" s="79"/>
      <c r="N53" s="82"/>
      <c r="P53" s="22" t="str" cm="1">
        <f t="array" ref="P53">IFERROR(IF(ISBLANK(INDEX(Seedningslag_6_mandspuljer[[Nr.³]:[Rating³]],11,)),"",INDEX(Seedningslag_6_mandspuljer[[Nr.³]:[Rating³]],11,)),"")</f>
        <v/>
      </c>
      <c r="Q53" s="23"/>
      <c r="R53" s="79"/>
      <c r="S53" s="82"/>
      <c r="U53" s="22" t="str" cm="1">
        <f t="array" ref="U53">IFERROR(IF(ISBLANK(INDEX(Seedningslag_6_mandspuljer[[Nr.³]:[Rating³]],12,)),"",INDEX(Seedningslag_6_mandspuljer[[Nr.³]:[Rating³]],12,)),"")</f>
        <v/>
      </c>
      <c r="V53" s="23"/>
      <c r="W53" s="79"/>
      <c r="X53" s="82"/>
    </row>
    <row r="54" spans="6:24" x14ac:dyDescent="0.3">
      <c r="F54" s="22" t="str" cm="1">
        <f t="array" ref="F54">IFERROR(IF(ISBLANK(INDEX(Seedningslag_6_mandspuljer[[Nr.⁴]:[Rating⁴]],9,)),"",INDEX(Seedningslag_6_mandspuljer[[Nr.⁴]:[Rating⁴]],9,)),"")</f>
        <v/>
      </c>
      <c r="G54" s="23"/>
      <c r="H54" s="79"/>
      <c r="I54" s="82"/>
      <c r="K54" s="22" t="str" cm="1">
        <f t="array" ref="K54">IFERROR(IF(ISBLANK(INDEX(Seedningslag_6_mandspuljer[[Nr.⁴]:[Rating⁴]],10,)),"",INDEX(Seedningslag_6_mandspuljer[[Nr.⁴]:[Rating⁴]],10,)),"")</f>
        <v/>
      </c>
      <c r="L54" s="23"/>
      <c r="M54" s="79"/>
      <c r="N54" s="82"/>
      <c r="P54" s="22" t="str" cm="1">
        <f t="array" ref="P54">IFERROR(IF(ISBLANK(INDEX(Seedningslag_6_mandspuljer[[Nr.⁴]:[Rating⁴]],11,)),"",INDEX(Seedningslag_6_mandspuljer[[Nr.⁴]:[Rating⁴]],11,)),"")</f>
        <v/>
      </c>
      <c r="Q54" s="23"/>
      <c r="R54" s="79"/>
      <c r="S54" s="82"/>
      <c r="U54" s="22" t="str" cm="1">
        <f t="array" ref="U54">IFERROR(IF(ISBLANK(INDEX(Seedningslag_6_mandspuljer[[Nr.⁴]:[Rating⁴]],12,)),"",INDEX(Seedningslag_6_mandspuljer[[Nr.⁴]:[Rating⁴]],12,)),"")</f>
        <v/>
      </c>
      <c r="V54" s="23"/>
      <c r="W54" s="79"/>
      <c r="X54" s="82"/>
    </row>
    <row r="55" spans="6:24" x14ac:dyDescent="0.3">
      <c r="F55" s="22" t="str" cm="1">
        <f t="array" ref="F55">IFERROR(IF(ISBLANK(INDEX(Seedningslag_6_mandspuljer[[Nr.⁵]:[Rating⁵]],9,)),"",INDEX(Seedningslag_6_mandspuljer[[Nr.⁵]:[Rating⁵]],9,)),"")</f>
        <v/>
      </c>
      <c r="G55" s="23"/>
      <c r="H55" s="79"/>
      <c r="I55" s="82"/>
      <c r="K55" s="22" t="str" cm="1">
        <f t="array" ref="K55">IFERROR(IF(ISBLANK(INDEX(Seedningslag_6_mandspuljer[[Nr.⁵]:[Rating⁵]],10,)),"",INDEX(Seedningslag_6_mandspuljer[[Nr.⁵]:[Rating⁵]],10,)),"")</f>
        <v/>
      </c>
      <c r="L55" s="23"/>
      <c r="M55" s="79"/>
      <c r="N55" s="82"/>
      <c r="P55" s="22" t="str" cm="1">
        <f t="array" ref="P55">IFERROR(IF(ISBLANK(INDEX(Seedningslag_6_mandspuljer[[Nr.⁵]:[Rating⁵]],11,)),"",INDEX(Seedningslag_6_mandspuljer[[Nr.⁵]:[Rating⁵]],11,)),"")</f>
        <v/>
      </c>
      <c r="Q55" s="23"/>
      <c r="R55" s="79"/>
      <c r="S55" s="82"/>
      <c r="U55" s="22" t="str" cm="1">
        <f t="array" ref="U55">IFERROR(IF(ISBLANK(INDEX(Seedningslag_6_mandspuljer[[Nr.⁵]:[Rating⁵]],12,)),"",INDEX(Seedningslag_6_mandspuljer[[Nr.⁵]:[Rating⁵]],12,)),"")</f>
        <v/>
      </c>
      <c r="V55" s="23"/>
      <c r="W55" s="79"/>
      <c r="X55" s="82"/>
    </row>
    <row r="56" spans="6:24" x14ac:dyDescent="0.3">
      <c r="F56" s="24" t="str" cm="1">
        <f t="array" ref="F56">IFERROR(IF(ISBLANK(INDEX(Seedningslag_6_mandspuljer[[Nr.⁶]:[Rating⁶]],9,)),"",INDEX(Seedningslag_6_mandspuljer[[Nr.⁶]:[Rating⁶]],9,)),"")</f>
        <v/>
      </c>
      <c r="G56" s="25"/>
      <c r="H56" s="26"/>
      <c r="I56" s="83"/>
      <c r="K56" s="24" t="str" cm="1">
        <f t="array" ref="K56">IFERROR(IF(ISBLANK(INDEX(Seedningslag_6_mandspuljer[[Nr.⁶]:[Rating⁶]],10,)),"",INDEX(Seedningslag_6_mandspuljer[[Nr.⁶]:[Rating⁶]],10,)),"")</f>
        <v/>
      </c>
      <c r="L56" s="25"/>
      <c r="M56" s="26"/>
      <c r="N56" s="83"/>
      <c r="P56" s="24" t="str" cm="1">
        <f t="array" ref="P56">IFERROR(IF(ISBLANK(INDEX(Seedningslag_6_mandspuljer[[Nr.⁶]:[Rating⁶]],11,)),"",INDEX(Seedningslag_6_mandspuljer[[Nr.⁶]:[Rating⁶]],11,)),"")</f>
        <v/>
      </c>
      <c r="Q56" s="25"/>
      <c r="R56" s="26"/>
      <c r="S56" s="83"/>
      <c r="U56" s="24" t="str" cm="1">
        <f t="array" ref="U56">IFERROR(IF(ISBLANK(INDEX(Seedningslag_6_mandspuljer[[Nr.⁶]:[Rating⁶]],12,)),"",INDEX(Seedningslag_6_mandspuljer[[Nr.⁶]:[Rating⁶]],12,)),"")</f>
        <v/>
      </c>
      <c r="V56" s="25"/>
      <c r="W56" s="26"/>
      <c r="X56" s="83"/>
    </row>
    <row r="62" spans="6:24" ht="31.2" x14ac:dyDescent="0.6">
      <c r="F62" s="223" t="s">
        <v>176</v>
      </c>
      <c r="G62" s="223"/>
      <c r="H62" s="223"/>
      <c r="I62" s="223"/>
      <c r="J62" s="223"/>
      <c r="K62" s="223"/>
      <c r="L62" s="223"/>
      <c r="M62" s="223"/>
      <c r="N62" s="223"/>
      <c r="O62" s="223"/>
      <c r="P62" s="223"/>
      <c r="Q62" s="223"/>
      <c r="R62" s="223"/>
      <c r="S62" s="223"/>
      <c r="T62" s="223"/>
      <c r="U62" s="223"/>
      <c r="V62" s="223"/>
      <c r="W62" s="223"/>
      <c r="X62" s="223"/>
    </row>
    <row r="63" spans="6:24" x14ac:dyDescent="0.3">
      <c r="F63" s="257" t="str">
        <f>'🗂️ Filtre nøgletal'!$A$2</f>
        <v>🔃 Opdateret 05-08-2022 kl. 15:28</v>
      </c>
      <c r="G63" s="257"/>
      <c r="H63" s="257"/>
      <c r="I63" s="257"/>
      <c r="J63" s="257"/>
      <c r="K63" s="257"/>
      <c r="L63" s="257"/>
      <c r="M63" s="257"/>
      <c r="N63" s="257"/>
      <c r="O63" s="257"/>
      <c r="P63" s="257"/>
      <c r="Q63" s="257"/>
      <c r="R63" s="257"/>
      <c r="S63" s="257"/>
      <c r="T63" s="257"/>
      <c r="U63" s="257"/>
      <c r="V63" s="257"/>
      <c r="W63" s="257"/>
      <c r="X63" s="257"/>
    </row>
    <row r="64" spans="6:24" x14ac:dyDescent="0.3">
      <c r="F64" s="288" t="s">
        <v>72</v>
      </c>
      <c r="G64" s="288"/>
      <c r="H64" s="288"/>
      <c r="I64" s="288"/>
      <c r="J64" s="288"/>
      <c r="K64" s="288"/>
      <c r="L64" s="288"/>
      <c r="M64" s="288"/>
      <c r="N64" s="288"/>
      <c r="O64" s="288"/>
      <c r="P64" s="288"/>
      <c r="Q64" s="288"/>
      <c r="R64" s="288"/>
      <c r="S64" s="288"/>
      <c r="T64" s="288"/>
      <c r="U64" s="288"/>
      <c r="V64" s="288"/>
      <c r="W64" s="288"/>
      <c r="X64" s="288"/>
    </row>
    <row r="65" spans="6:24" x14ac:dyDescent="0.3">
      <c r="F65" s="288"/>
      <c r="G65" s="288"/>
      <c r="H65" s="288"/>
      <c r="I65" s="288"/>
      <c r="J65" s="288"/>
      <c r="K65" s="288"/>
      <c r="L65" s="288"/>
      <c r="M65" s="288"/>
      <c r="N65" s="288"/>
      <c r="O65" s="288"/>
      <c r="P65" s="288"/>
      <c r="Q65" s="288"/>
      <c r="R65" s="288"/>
      <c r="S65" s="288"/>
      <c r="T65" s="288"/>
      <c r="U65" s="288"/>
      <c r="V65" s="288"/>
      <c r="W65" s="288"/>
      <c r="X65" s="288"/>
    </row>
    <row r="66" spans="6:24" x14ac:dyDescent="0.3">
      <c r="F66"/>
      <c r="G66"/>
      <c r="H66"/>
      <c r="I66"/>
      <c r="K66"/>
      <c r="L66"/>
      <c r="M66"/>
      <c r="P66"/>
      <c r="Q66"/>
      <c r="R66"/>
      <c r="S66" s="18"/>
      <c r="W66" s="18"/>
      <c r="X66" s="17"/>
    </row>
    <row r="67" spans="6:24" x14ac:dyDescent="0.3">
      <c r="F67" s="292" t="s">
        <v>68</v>
      </c>
      <c r="G67" s="292"/>
      <c r="H67" s="292"/>
      <c r="I67" s="292"/>
      <c r="K67" s="292" t="s">
        <v>69</v>
      </c>
      <c r="L67" s="292"/>
      <c r="M67" s="292"/>
      <c r="N67" s="292"/>
      <c r="P67" s="292" t="s">
        <v>70</v>
      </c>
      <c r="Q67" s="292"/>
      <c r="R67" s="292"/>
      <c r="S67" s="292"/>
      <c r="U67" s="292" t="s">
        <v>71</v>
      </c>
      <c r="V67" s="292"/>
      <c r="W67" s="292"/>
      <c r="X67" s="292"/>
    </row>
    <row r="68" spans="6:24" x14ac:dyDescent="0.3">
      <c r="F68" s="202" t="s">
        <v>869</v>
      </c>
      <c r="G68" s="203" t="s">
        <v>870</v>
      </c>
      <c r="H68" s="204" t="s">
        <v>871</v>
      </c>
      <c r="I68" s="205" t="s">
        <v>872</v>
      </c>
      <c r="J68" s="210" t="s">
        <v>69</v>
      </c>
      <c r="K68" s="202" t="s">
        <v>873</v>
      </c>
      <c r="L68" s="203" t="s">
        <v>874</v>
      </c>
      <c r="M68" s="204" t="s">
        <v>875</v>
      </c>
      <c r="N68" s="205" t="s">
        <v>876</v>
      </c>
      <c r="O68" s="210" t="s">
        <v>70</v>
      </c>
      <c r="P68" s="202" t="s">
        <v>877</v>
      </c>
      <c r="Q68" s="203" t="s">
        <v>878</v>
      </c>
      <c r="R68" s="204" t="s">
        <v>879</v>
      </c>
      <c r="S68" s="205" t="s">
        <v>880</v>
      </c>
      <c r="T68" s="210" t="s">
        <v>71</v>
      </c>
      <c r="U68" s="202" t="s">
        <v>881</v>
      </c>
      <c r="V68" s="203" t="s">
        <v>882</v>
      </c>
      <c r="W68" s="204" t="s">
        <v>883</v>
      </c>
      <c r="X68" s="205" t="s">
        <v>884</v>
      </c>
    </row>
    <row r="69" spans="6:24" x14ac:dyDescent="0.3">
      <c r="F69" s="206">
        <v>1</v>
      </c>
      <c r="G69" s="149" t="s">
        <v>80</v>
      </c>
      <c r="H69" s="201">
        <v>28</v>
      </c>
      <c r="I69" s="207" t="s">
        <v>372</v>
      </c>
      <c r="J69" s="212">
        <v>2</v>
      </c>
      <c r="K69" s="206">
        <v>24</v>
      </c>
      <c r="L69" s="149" t="s">
        <v>940</v>
      </c>
      <c r="M69" s="201">
        <v>20</v>
      </c>
      <c r="N69" s="207" t="s">
        <v>941</v>
      </c>
      <c r="O69" s="212">
        <v>3</v>
      </c>
      <c r="P69" s="206">
        <v>25</v>
      </c>
      <c r="Q69" s="149" t="s">
        <v>573</v>
      </c>
      <c r="R69" s="201">
        <v>47</v>
      </c>
      <c r="S69" s="207" t="s">
        <v>654</v>
      </c>
      <c r="T69" s="212">
        <v>4</v>
      </c>
      <c r="U69" s="206">
        <v>48</v>
      </c>
      <c r="V69" s="149" t="s">
        <v>790</v>
      </c>
      <c r="W69" s="201">
        <v>25</v>
      </c>
      <c r="X69" s="207" t="s">
        <v>795</v>
      </c>
    </row>
    <row r="70" spans="6:24" x14ac:dyDescent="0.3">
      <c r="F70" s="206">
        <v>2</v>
      </c>
      <c r="G70" s="149" t="s">
        <v>285</v>
      </c>
      <c r="H70" s="201">
        <v>21</v>
      </c>
      <c r="I70" s="207" t="s">
        <v>286</v>
      </c>
      <c r="J70" s="210">
        <v>2</v>
      </c>
      <c r="K70" s="206">
        <v>23</v>
      </c>
      <c r="L70" s="149" t="s">
        <v>231</v>
      </c>
      <c r="M70" s="201">
        <v>27</v>
      </c>
      <c r="N70" s="207" t="s">
        <v>381</v>
      </c>
      <c r="O70" s="210">
        <v>3</v>
      </c>
      <c r="P70" s="206">
        <v>26</v>
      </c>
      <c r="Q70" s="149" t="s">
        <v>779</v>
      </c>
      <c r="R70" s="201">
        <v>43</v>
      </c>
      <c r="S70" s="207" t="s">
        <v>362</v>
      </c>
      <c r="T70" s="210">
        <v>4</v>
      </c>
      <c r="U70" s="206">
        <v>47</v>
      </c>
      <c r="V70" s="149" t="s">
        <v>457</v>
      </c>
      <c r="W70" s="201">
        <v>21</v>
      </c>
      <c r="X70" s="207" t="s">
        <v>794</v>
      </c>
    </row>
    <row r="71" spans="6:24" x14ac:dyDescent="0.3">
      <c r="F71" s="206">
        <v>3</v>
      </c>
      <c r="G71" s="149" t="s">
        <v>288</v>
      </c>
      <c r="H71" s="201">
        <v>29</v>
      </c>
      <c r="I71" s="207" t="s">
        <v>370</v>
      </c>
      <c r="J71" s="210">
        <v>2</v>
      </c>
      <c r="K71" s="206">
        <v>22</v>
      </c>
      <c r="L71" s="149" t="s">
        <v>230</v>
      </c>
      <c r="M71" s="201">
        <v>26</v>
      </c>
      <c r="N71" s="207" t="s">
        <v>236</v>
      </c>
      <c r="O71" s="210">
        <v>3</v>
      </c>
      <c r="P71" s="206">
        <v>27</v>
      </c>
      <c r="Q71" s="149" t="s">
        <v>284</v>
      </c>
      <c r="R71" s="201">
        <v>32</v>
      </c>
      <c r="S71" s="207" t="s">
        <v>362</v>
      </c>
      <c r="T71" s="210">
        <v>4</v>
      </c>
      <c r="U71" s="206">
        <v>46</v>
      </c>
      <c r="V71" s="149" t="s">
        <v>313</v>
      </c>
      <c r="W71" s="201">
        <v>69</v>
      </c>
      <c r="X71" s="207" t="s">
        <v>793</v>
      </c>
    </row>
    <row r="72" spans="6:24" x14ac:dyDescent="0.3">
      <c r="F72" s="206">
        <v>4</v>
      </c>
      <c r="G72" s="149" t="s">
        <v>461</v>
      </c>
      <c r="H72" s="201">
        <v>33</v>
      </c>
      <c r="I72" s="207" t="s">
        <v>462</v>
      </c>
      <c r="J72" s="210">
        <v>2</v>
      </c>
      <c r="K72" s="206">
        <v>21</v>
      </c>
      <c r="L72" s="149" t="s">
        <v>612</v>
      </c>
      <c r="M72" s="201">
        <v>36</v>
      </c>
      <c r="N72" s="207" t="s">
        <v>613</v>
      </c>
      <c r="O72" s="210">
        <v>3</v>
      </c>
      <c r="P72" s="206">
        <v>28</v>
      </c>
      <c r="Q72" s="149" t="s">
        <v>733</v>
      </c>
      <c r="R72" s="201">
        <v>16</v>
      </c>
      <c r="S72" s="207" t="s">
        <v>734</v>
      </c>
      <c r="T72" s="210">
        <v>4</v>
      </c>
      <c r="U72" s="206">
        <v>45</v>
      </c>
      <c r="V72" s="149" t="s">
        <v>267</v>
      </c>
      <c r="W72" s="201">
        <v>37</v>
      </c>
      <c r="X72" s="207" t="s">
        <v>792</v>
      </c>
    </row>
    <row r="73" spans="6:24" x14ac:dyDescent="0.3">
      <c r="F73" s="206">
        <v>5</v>
      </c>
      <c r="G73" s="149" t="s">
        <v>643</v>
      </c>
      <c r="H73" s="201">
        <v>29</v>
      </c>
      <c r="I73" s="207" t="s">
        <v>644</v>
      </c>
      <c r="J73" s="210">
        <v>2</v>
      </c>
      <c r="K73" s="206">
        <v>20</v>
      </c>
      <c r="L73" s="149" t="s">
        <v>531</v>
      </c>
      <c r="M73" s="201">
        <v>19</v>
      </c>
      <c r="N73" s="207" t="s">
        <v>532</v>
      </c>
      <c r="O73" s="210">
        <v>3</v>
      </c>
      <c r="P73" s="206">
        <v>29</v>
      </c>
      <c r="Q73" s="149" t="s">
        <v>258</v>
      </c>
      <c r="R73" s="201">
        <v>39</v>
      </c>
      <c r="S73" s="207" t="s">
        <v>382</v>
      </c>
      <c r="T73" s="210">
        <v>4</v>
      </c>
      <c r="U73" s="206">
        <v>44</v>
      </c>
      <c r="V73" s="149" t="s">
        <v>944</v>
      </c>
      <c r="W73" s="201">
        <v>10</v>
      </c>
      <c r="X73" s="207" t="s">
        <v>963</v>
      </c>
    </row>
    <row r="74" spans="6:24" x14ac:dyDescent="0.3">
      <c r="F74" s="206">
        <v>6</v>
      </c>
      <c r="G74" s="149" t="s">
        <v>282</v>
      </c>
      <c r="H74" s="201">
        <v>57</v>
      </c>
      <c r="I74" s="207" t="s">
        <v>377</v>
      </c>
      <c r="J74" s="210">
        <v>2</v>
      </c>
      <c r="K74" s="206">
        <v>19</v>
      </c>
      <c r="L74" s="149" t="s">
        <v>371</v>
      </c>
      <c r="M74" s="201">
        <v>24</v>
      </c>
      <c r="N74" s="207" t="s">
        <v>380</v>
      </c>
      <c r="O74" s="210">
        <v>3</v>
      </c>
      <c r="P74" s="206">
        <v>30</v>
      </c>
      <c r="Q74" s="149" t="s">
        <v>234</v>
      </c>
      <c r="R74" s="201">
        <v>30</v>
      </c>
      <c r="S74" s="207" t="s">
        <v>383</v>
      </c>
      <c r="T74" s="210">
        <v>4</v>
      </c>
      <c r="U74" s="206">
        <v>43</v>
      </c>
      <c r="V74" s="149" t="s">
        <v>353</v>
      </c>
      <c r="W74" s="201">
        <v>13</v>
      </c>
      <c r="X74" s="207" t="s">
        <v>656</v>
      </c>
    </row>
    <row r="75" spans="6:24" x14ac:dyDescent="0.3">
      <c r="F75" s="206">
        <v>7</v>
      </c>
      <c r="G75" s="149" t="s">
        <v>354</v>
      </c>
      <c r="H75" s="201">
        <v>44</v>
      </c>
      <c r="I75" s="207" t="s">
        <v>360</v>
      </c>
      <c r="J75" s="210">
        <v>2</v>
      </c>
      <c r="K75" s="206">
        <v>18</v>
      </c>
      <c r="L75" s="149" t="s">
        <v>226</v>
      </c>
      <c r="M75" s="201">
        <v>40</v>
      </c>
      <c r="N75" s="207" t="s">
        <v>379</v>
      </c>
      <c r="O75" s="210">
        <v>3</v>
      </c>
      <c r="P75" s="206">
        <v>31</v>
      </c>
      <c r="Q75" s="149" t="s">
        <v>437</v>
      </c>
      <c r="R75" s="201">
        <v>44</v>
      </c>
      <c r="S75" s="207" t="s">
        <v>440</v>
      </c>
      <c r="T75" s="210">
        <v>4</v>
      </c>
      <c r="U75" s="206">
        <v>42</v>
      </c>
      <c r="V75" s="149" t="s">
        <v>961</v>
      </c>
      <c r="W75" s="201">
        <v>10</v>
      </c>
      <c r="X75" s="207" t="s">
        <v>962</v>
      </c>
    </row>
    <row r="76" spans="6:24" x14ac:dyDescent="0.3">
      <c r="F76" s="206">
        <v>8</v>
      </c>
      <c r="G76" s="149" t="s">
        <v>287</v>
      </c>
      <c r="H76" s="201">
        <v>24</v>
      </c>
      <c r="I76" s="207" t="s">
        <v>378</v>
      </c>
      <c r="J76" s="210">
        <v>2</v>
      </c>
      <c r="K76" s="206">
        <v>17</v>
      </c>
      <c r="L76" s="149" t="s">
        <v>610</v>
      </c>
      <c r="M76" s="201">
        <v>35</v>
      </c>
      <c r="N76" s="207" t="s">
        <v>611</v>
      </c>
      <c r="O76" s="210">
        <v>3</v>
      </c>
      <c r="P76" s="206">
        <v>32</v>
      </c>
      <c r="Q76" s="149" t="s">
        <v>365</v>
      </c>
      <c r="R76" s="201">
        <v>16</v>
      </c>
      <c r="S76" s="207" t="s">
        <v>368</v>
      </c>
      <c r="T76" s="210">
        <v>4</v>
      </c>
      <c r="U76" s="206">
        <v>41</v>
      </c>
      <c r="V76" s="149" t="s">
        <v>355</v>
      </c>
      <c r="W76" s="201">
        <v>12</v>
      </c>
      <c r="X76" s="207" t="s">
        <v>387</v>
      </c>
    </row>
    <row r="77" spans="6:24" x14ac:dyDescent="0.3">
      <c r="F77" s="206">
        <v>9</v>
      </c>
      <c r="G77" s="149" t="s">
        <v>938</v>
      </c>
      <c r="H77" s="201">
        <v>33</v>
      </c>
      <c r="I77" s="207" t="s">
        <v>939</v>
      </c>
      <c r="J77" s="210">
        <v>2</v>
      </c>
      <c r="K77" s="206">
        <v>16</v>
      </c>
      <c r="L77" s="149" t="s">
        <v>603</v>
      </c>
      <c r="M77" s="201">
        <v>20</v>
      </c>
      <c r="N77" s="207" t="s">
        <v>604</v>
      </c>
      <c r="O77" s="210">
        <v>3</v>
      </c>
      <c r="P77" s="206">
        <v>33</v>
      </c>
      <c r="Q77" s="149" t="s">
        <v>459</v>
      </c>
      <c r="R77" s="201">
        <v>21</v>
      </c>
      <c r="S77" s="207" t="s">
        <v>655</v>
      </c>
      <c r="T77" s="210">
        <v>4</v>
      </c>
      <c r="U77" s="206">
        <v>40</v>
      </c>
      <c r="V77" s="149" t="s">
        <v>942</v>
      </c>
      <c r="W77" s="201">
        <v>40</v>
      </c>
      <c r="X77" s="207" t="s">
        <v>943</v>
      </c>
    </row>
    <row r="78" spans="6:24" x14ac:dyDescent="0.3">
      <c r="F78" s="206">
        <v>10</v>
      </c>
      <c r="G78" s="149" t="s">
        <v>601</v>
      </c>
      <c r="H78" s="201">
        <v>19</v>
      </c>
      <c r="I78" s="207" t="s">
        <v>602</v>
      </c>
      <c r="J78" s="210">
        <v>2</v>
      </c>
      <c r="K78" s="206">
        <v>15</v>
      </c>
      <c r="L78" s="149" t="s">
        <v>529</v>
      </c>
      <c r="M78" s="201">
        <v>52</v>
      </c>
      <c r="N78" s="207" t="s">
        <v>530</v>
      </c>
      <c r="O78" s="210">
        <v>3</v>
      </c>
      <c r="P78" s="206">
        <v>34</v>
      </c>
      <c r="Q78" s="149" t="s">
        <v>227</v>
      </c>
      <c r="R78" s="201">
        <v>71</v>
      </c>
      <c r="S78" s="207" t="s">
        <v>384</v>
      </c>
      <c r="T78" s="210">
        <v>4</v>
      </c>
      <c r="U78" s="206">
        <v>39</v>
      </c>
      <c r="V78" s="149" t="s">
        <v>356</v>
      </c>
      <c r="W78" s="201">
        <v>15</v>
      </c>
      <c r="X78" s="207" t="s">
        <v>361</v>
      </c>
    </row>
    <row r="79" spans="6:24" x14ac:dyDescent="0.3">
      <c r="F79" s="206">
        <v>11</v>
      </c>
      <c r="G79" s="149" t="s">
        <v>635</v>
      </c>
      <c r="H79" s="201">
        <v>20</v>
      </c>
      <c r="I79" s="207" t="s">
        <v>636</v>
      </c>
      <c r="J79" s="210">
        <v>2</v>
      </c>
      <c r="K79" s="206">
        <v>14</v>
      </c>
      <c r="L79" s="149" t="s">
        <v>805</v>
      </c>
      <c r="M79" s="201">
        <v>60</v>
      </c>
      <c r="N79" s="207" t="s">
        <v>806</v>
      </c>
      <c r="O79" s="210">
        <v>3</v>
      </c>
      <c r="P79" s="206">
        <v>35</v>
      </c>
      <c r="Q79" s="149" t="s">
        <v>909</v>
      </c>
      <c r="R79" s="201">
        <v>56</v>
      </c>
      <c r="S79" s="207" t="s">
        <v>910</v>
      </c>
      <c r="T79" s="210">
        <v>4</v>
      </c>
      <c r="U79" s="206">
        <v>38</v>
      </c>
      <c r="V79" s="149" t="s">
        <v>624</v>
      </c>
      <c r="W79" s="201">
        <v>15</v>
      </c>
      <c r="X79" s="207" t="s">
        <v>625</v>
      </c>
    </row>
    <row r="80" spans="6:24" x14ac:dyDescent="0.3">
      <c r="F80" s="206">
        <v>12</v>
      </c>
      <c r="G80" s="208" t="s">
        <v>268</v>
      </c>
      <c r="H80" s="209">
        <v>21</v>
      </c>
      <c r="I80" s="207" t="s">
        <v>269</v>
      </c>
      <c r="J80" s="210">
        <v>2</v>
      </c>
      <c r="K80" s="206">
        <v>13</v>
      </c>
      <c r="L80" s="208" t="s">
        <v>433</v>
      </c>
      <c r="M80" s="209">
        <v>28</v>
      </c>
      <c r="N80" s="207" t="s">
        <v>434</v>
      </c>
      <c r="O80" s="210">
        <v>3</v>
      </c>
      <c r="P80" s="206">
        <v>36</v>
      </c>
      <c r="Q80" s="208" t="s">
        <v>220</v>
      </c>
      <c r="R80" s="209">
        <v>50</v>
      </c>
      <c r="S80" s="207" t="s">
        <v>385</v>
      </c>
      <c r="T80" s="210">
        <v>4</v>
      </c>
      <c r="U80" s="206">
        <v>37</v>
      </c>
      <c r="V80" s="208" t="s">
        <v>349</v>
      </c>
      <c r="W80" s="209">
        <v>60</v>
      </c>
      <c r="X80" s="207" t="s">
        <v>386</v>
      </c>
    </row>
    <row r="81" spans="6:24" x14ac:dyDescent="0.3">
      <c r="F81" s="1"/>
      <c r="G81" s="41"/>
      <c r="H81" s="48"/>
      <c r="I81" s="36"/>
      <c r="J81" s="214"/>
      <c r="K81" s="1"/>
      <c r="L81" s="41"/>
      <c r="M81" s="48"/>
      <c r="N81" s="36"/>
      <c r="O81" s="214"/>
      <c r="P81" s="1"/>
      <c r="Q81" s="41"/>
      <c r="R81" s="48"/>
      <c r="S81" s="36"/>
      <c r="T81" s="214"/>
      <c r="U81" s="1"/>
      <c r="V81" s="41"/>
      <c r="W81" s="48"/>
      <c r="X81" s="36"/>
    </row>
    <row r="82" spans="6:24" x14ac:dyDescent="0.3">
      <c r="G82" s="10"/>
      <c r="I82" s="10"/>
      <c r="M82" s="16"/>
      <c r="Q82" s="16"/>
      <c r="S82" s="18"/>
      <c r="U82" s="16"/>
      <c r="V82" s="16"/>
      <c r="W82" s="18"/>
      <c r="X82" s="17"/>
    </row>
    <row r="83" spans="6:24" x14ac:dyDescent="0.3">
      <c r="G83" s="10"/>
      <c r="I83" s="10"/>
      <c r="M83" s="16"/>
      <c r="Q83" s="16"/>
      <c r="S83" s="18"/>
      <c r="U83" s="16"/>
      <c r="V83" s="16"/>
      <c r="W83" s="18"/>
      <c r="X83" s="17"/>
    </row>
    <row r="84" spans="6:24" x14ac:dyDescent="0.3">
      <c r="G84" s="10"/>
      <c r="I84" s="10"/>
      <c r="M84" s="16"/>
      <c r="Q84" s="16"/>
      <c r="S84" s="18"/>
      <c r="U84" s="16"/>
      <c r="V84" s="16"/>
      <c r="W84" s="18"/>
      <c r="X84" s="17"/>
    </row>
    <row r="85" spans="6:24" x14ac:dyDescent="0.3">
      <c r="G85" s="10"/>
      <c r="I85" s="10"/>
      <c r="M85" s="16"/>
      <c r="Q85" s="16"/>
      <c r="S85" s="18"/>
      <c r="U85" s="16"/>
      <c r="V85" s="16"/>
      <c r="W85" s="18"/>
      <c r="X85" s="17"/>
    </row>
    <row r="86" spans="6:24" x14ac:dyDescent="0.3">
      <c r="F86" s="288" t="s">
        <v>75</v>
      </c>
      <c r="G86" s="288"/>
      <c r="H86" s="288"/>
      <c r="I86" s="288"/>
      <c r="J86" s="288"/>
      <c r="K86" s="288"/>
      <c r="L86" s="288"/>
      <c r="M86" s="288"/>
      <c r="N86" s="288"/>
      <c r="O86" s="288"/>
      <c r="P86" s="288"/>
      <c r="Q86" s="288"/>
      <c r="R86" s="288"/>
      <c r="S86" s="288"/>
      <c r="T86" s="288"/>
      <c r="U86" s="288"/>
      <c r="V86" s="288"/>
      <c r="W86" s="288"/>
      <c r="X86" s="288"/>
    </row>
    <row r="87" spans="6:24" x14ac:dyDescent="0.3">
      <c r="F87" s="288"/>
      <c r="G87" s="288"/>
      <c r="H87" s="288"/>
      <c r="I87" s="288"/>
      <c r="J87" s="288"/>
      <c r="K87" s="288"/>
      <c r="L87" s="288"/>
      <c r="M87" s="288"/>
      <c r="N87" s="288"/>
      <c r="O87" s="288"/>
      <c r="P87" s="288"/>
      <c r="Q87" s="288"/>
      <c r="R87" s="288"/>
      <c r="S87" s="288"/>
      <c r="T87" s="288"/>
      <c r="U87" s="288"/>
      <c r="V87" s="288"/>
      <c r="W87" s="288"/>
      <c r="X87" s="288"/>
    </row>
    <row r="88" spans="6:24" x14ac:dyDescent="0.3">
      <c r="F88" s="257" t="str">
        <f>'💡🏆🎫 Status'!$I$39</f>
        <v>🏓 48 ud af 72 tilmeldinger (67%)</v>
      </c>
      <c r="G88" s="257"/>
      <c r="H88" s="257"/>
      <c r="I88" s="257"/>
      <c r="J88" s="257"/>
      <c r="K88" s="257"/>
      <c r="L88" s="257"/>
      <c r="M88" s="257"/>
      <c r="N88" s="257"/>
      <c r="O88" s="257"/>
      <c r="P88" s="257"/>
      <c r="Q88" s="257"/>
      <c r="R88" s="257"/>
      <c r="S88" s="257"/>
      <c r="T88" s="257"/>
      <c r="U88" s="257"/>
      <c r="V88" s="257"/>
      <c r="W88" s="257"/>
      <c r="X88" s="257"/>
    </row>
    <row r="89" spans="6:24" x14ac:dyDescent="0.3">
      <c r="F89" s="257" t="str">
        <f>$A$25</f>
        <v>⏩ Nr. 1-3 går videre til A-slutspil, og de resterende går i B-slutspil.</v>
      </c>
      <c r="G89" s="257"/>
      <c r="H89" s="257"/>
      <c r="I89" s="257"/>
      <c r="J89" s="257"/>
      <c r="K89" s="257"/>
      <c r="L89" s="257"/>
      <c r="M89" s="257"/>
      <c r="N89" s="257"/>
      <c r="O89" s="257"/>
      <c r="P89" s="257"/>
      <c r="Q89" s="257"/>
      <c r="R89" s="257"/>
      <c r="S89" s="257"/>
      <c r="T89" s="257"/>
      <c r="U89" s="257"/>
      <c r="V89" s="257"/>
      <c r="W89" s="257"/>
      <c r="X89" s="257"/>
    </row>
    <row r="90" spans="6:24" x14ac:dyDescent="0.3">
      <c r="F90" s="257" t="str">
        <f>'💡🏆🎫 Status'!$I$38</f>
        <v>🔃🏓 Rating opdateret pr. 27-05-2022</v>
      </c>
      <c r="G90" s="257"/>
      <c r="H90" s="257"/>
      <c r="I90" s="257"/>
      <c r="J90" s="257"/>
      <c r="K90" s="257"/>
      <c r="L90" s="257"/>
      <c r="M90" s="257"/>
      <c r="N90" s="257"/>
      <c r="O90" s="257"/>
      <c r="P90" s="257"/>
      <c r="Q90" s="257"/>
      <c r="R90" s="257"/>
      <c r="S90" s="257"/>
      <c r="T90" s="257"/>
      <c r="U90" s="257"/>
      <c r="V90" s="257"/>
      <c r="W90" s="257"/>
      <c r="X90" s="257"/>
    </row>
    <row r="91" spans="6:24" x14ac:dyDescent="0.3">
      <c r="F91"/>
      <c r="G91"/>
      <c r="H91"/>
      <c r="I91"/>
      <c r="K91"/>
      <c r="L91"/>
      <c r="M91"/>
      <c r="N91"/>
      <c r="P91"/>
      <c r="Q91"/>
      <c r="R91"/>
      <c r="S91"/>
    </row>
    <row r="92" spans="6:24" x14ac:dyDescent="0.3">
      <c r="F92"/>
      <c r="G92"/>
      <c r="H92"/>
      <c r="I92"/>
      <c r="K92"/>
      <c r="L92"/>
      <c r="M92"/>
      <c r="N92"/>
      <c r="P92"/>
      <c r="Q92"/>
      <c r="R92"/>
      <c r="S92"/>
    </row>
    <row r="93" spans="6:24" x14ac:dyDescent="0.3">
      <c r="F93" s="289" t="s">
        <v>159</v>
      </c>
      <c r="G93" s="290"/>
      <c r="H93" s="290"/>
      <c r="I93" s="291"/>
      <c r="K93" s="289" t="s">
        <v>160</v>
      </c>
      <c r="L93" s="290"/>
      <c r="M93" s="290"/>
      <c r="N93" s="291"/>
      <c r="P93" s="289" t="s">
        <v>161</v>
      </c>
      <c r="Q93" s="290"/>
      <c r="R93" s="290"/>
      <c r="S93" s="291"/>
      <c r="U93" s="289" t="s">
        <v>162</v>
      </c>
      <c r="V93" s="290"/>
      <c r="W93" s="290"/>
      <c r="X93" s="291"/>
    </row>
    <row r="94" spans="6:24" x14ac:dyDescent="0.3">
      <c r="F94" s="170" t="str" cm="1">
        <f t="array" ref="F94:I94">IFERROR(IF(ISBLANK(INDEX(Tilmeldinger_billettype_1_seedning[#Headers],1,)),"",INDEX(Tilmeldinger_billettype_1_seedning[#Headers],1,)),"")</f>
        <v>Nr.</v>
      </c>
      <c r="G94" s="171" t="str">
        <v>Navn og bordtennisklub</v>
      </c>
      <c r="H94" s="172" t="str">
        <v>Alder</v>
      </c>
      <c r="I94" s="173" t="str">
        <v>Rating</v>
      </c>
      <c r="K94" s="170" t="str" cm="1">
        <f t="array" ref="K94:N94">IFERROR(IF(ISBLANK(INDEX(Tilmeldinger_billettype_1_seedning[#Headers],1,)),"",INDEX(Tilmeldinger_billettype_1_seedning[#Headers],1,)),"")</f>
        <v>Nr.</v>
      </c>
      <c r="L94" s="171" t="str">
        <v>Navn og bordtennisklub</v>
      </c>
      <c r="M94" s="172" t="str">
        <v>Alder</v>
      </c>
      <c r="N94" s="173" t="str">
        <v>Rating</v>
      </c>
      <c r="P94" s="170" t="str" cm="1">
        <f t="array" ref="P94:S94">IFERROR(IF(ISBLANK(INDEX(Tilmeldinger_billettype_1_seedning[#Headers],1,)),"",INDEX(Tilmeldinger_billettype_1_seedning[#Headers],1,)),"")</f>
        <v>Nr.</v>
      </c>
      <c r="Q94" s="171" t="str">
        <v>Navn og bordtennisklub</v>
      </c>
      <c r="R94" s="172" t="str">
        <v>Alder</v>
      </c>
      <c r="S94" s="173" t="str">
        <v>Rating</v>
      </c>
      <c r="U94" s="170" t="str" cm="1">
        <f t="array" ref="U94:X94">IFERROR(IF(ISBLANK(INDEX(Tilmeldinger_billettype_1_seedning[#Headers],1,)),"",INDEX(Tilmeldinger_billettype_1_seedning[#Headers],1,)),"")</f>
        <v>Nr.</v>
      </c>
      <c r="V94" s="171" t="str">
        <v>Navn og bordtennisklub</v>
      </c>
      <c r="W94" s="172" t="str">
        <v>Alder</v>
      </c>
      <c r="X94" s="173" t="str">
        <v>Rating</v>
      </c>
    </row>
    <row r="95" spans="6:24" x14ac:dyDescent="0.3">
      <c r="F95" s="19" cm="1">
        <f t="array" ref="F95:I95">IFERROR(IF(ISBLANK(INDEX(Seedningslag_4_mandspuljer[[Nr.¹]:[Rating¹]],1,)),"",INDEX(Seedningslag_4_mandspuljer[[Nr.¹]:[Rating¹]],1,)),"")</f>
        <v>1</v>
      </c>
      <c r="G95" s="20" t="str">
        <v>Benjamin Sørensen, Hørning BTK</v>
      </c>
      <c r="H95" s="21">
        <v>28</v>
      </c>
      <c r="I95" s="81" t="str">
        <v>(1) 2551</v>
      </c>
      <c r="K95" s="19" cm="1">
        <f t="array" ref="K95:N95">IFERROR(IF(ISBLANK(INDEX(Seedningslag_4_mandspuljer[[Nr.¹]:[Rating¹]],2,)),"",INDEX(Seedningslag_4_mandspuljer[[Nr.¹]:[Rating¹]],2,)),"")</f>
        <v>2</v>
      </c>
      <c r="L95" s="20" t="str">
        <v>Simon Larsen, BTK Viby</v>
      </c>
      <c r="M95" s="21">
        <v>21</v>
      </c>
      <c r="N95" s="81" t="str">
        <v>(2) 2362</v>
      </c>
      <c r="P95" s="19" cm="1">
        <f t="array" ref="P95:S95">IFERROR(IF(ISBLANK(INDEX(Seedningslag_4_mandspuljer[[Nr.¹]:[Rating¹]],3,)),"",INDEX(Seedningslag_4_mandspuljer[[Nr.¹]:[Rating¹]],3,)),"")</f>
        <v>3</v>
      </c>
      <c r="Q95" s="20" t="str">
        <v>Emil Madsen, Hørning BTK</v>
      </c>
      <c r="R95" s="21">
        <v>29</v>
      </c>
      <c r="S95" s="81" t="str">
        <v>(3) 2553</v>
      </c>
      <c r="U95" s="19" cm="1">
        <f t="array" ref="U95:X95">IFERROR(IF(ISBLANK(INDEX(Seedningslag_4_mandspuljer[[Nr.¹]:[Rating¹]],4,)),"",INDEX(Seedningslag_4_mandspuljer[[Nr.¹]:[Rating¹]],4,)),"")</f>
        <v>4</v>
      </c>
      <c r="V95" s="20" t="str">
        <v>Simon Nykjær-Fisher, BTK Viby</v>
      </c>
      <c r="W95" s="21">
        <v>33</v>
      </c>
      <c r="X95" s="81" t="str">
        <v>2587</v>
      </c>
    </row>
    <row r="96" spans="6:24" x14ac:dyDescent="0.3">
      <c r="F96" s="22" cm="1">
        <f t="array" ref="F96:I96">IFERROR(IF(ISBLANK(INDEX(Seedningslag_4_mandspuljer[[Nr.²]:[Rating²]],1,)),"",INDEX(Seedningslag_4_mandspuljer[[Nr.²]:[Rating²]],1,)),"")</f>
        <v>24</v>
      </c>
      <c r="G96" s="23" t="str">
        <v>Jonathan Weiss, Sisu/MBK</v>
      </c>
      <c r="H96" s="79">
        <v>20</v>
      </c>
      <c r="I96" s="82" t="str">
        <v>2057</v>
      </c>
      <c r="K96" s="22" cm="1">
        <f t="array" ref="K96:N96">IFERROR(IF(ISBLANK(INDEX(Seedningslag_4_mandspuljer[[Nr.²]:[Rating²]],2,)),"",INDEX(Seedningslag_4_mandspuljer[[Nr.²]:[Rating²]],2,)),"")</f>
        <v>23</v>
      </c>
      <c r="L96" s="23" t="str">
        <v>Sebastian Kjær Jensen, Sjørring BTK</v>
      </c>
      <c r="M96" s="79">
        <v>27</v>
      </c>
      <c r="N96" s="82" t="str">
        <v>2064</v>
      </c>
      <c r="P96" s="22" cm="1">
        <f t="array" ref="P96:S96">IFERROR(IF(ISBLANK(INDEX(Seedningslag_4_mandspuljer[[Nr.²]:[Rating²]],3,)),"",INDEX(Seedningslag_4_mandspuljer[[Nr.²]:[Rating²]],3,)),"")</f>
        <v>22</v>
      </c>
      <c r="Q96" s="23" t="str">
        <v>Daniel Wolf, Sisu/MBK</v>
      </c>
      <c r="R96" s="79">
        <v>26</v>
      </c>
      <c r="S96" s="82" t="str">
        <v>2067</v>
      </c>
      <c r="U96" s="22" cm="1">
        <f t="array" ref="U96:X96">IFERROR(IF(ISBLANK(INDEX(Seedningslag_4_mandspuljer[[Nr.²]:[Rating²]],4,)),"",INDEX(Seedningslag_4_mandspuljer[[Nr.²]:[Rating²]],4,)),"")</f>
        <v>21</v>
      </c>
      <c r="V96" s="23" t="str">
        <v>Dennis K. Nielsen, Team Nørreå</v>
      </c>
      <c r="W96" s="79">
        <v>36</v>
      </c>
      <c r="X96" s="82" t="str">
        <v>2068</v>
      </c>
    </row>
    <row r="97" spans="6:24" x14ac:dyDescent="0.3">
      <c r="F97" s="22" cm="1">
        <f t="array" ref="F97:I97">IFERROR(IF(ISBLANK(INDEX(Seedningslag_4_mandspuljer[[Nr.³]:[Rating³]],1,)),"",INDEX(Seedningslag_4_mandspuljer[[Nr.³]:[Rating³]],1,)),"")</f>
        <v>25</v>
      </c>
      <c r="G97" s="23" t="str">
        <v>Jesper Steffensen, Sisu/MBK</v>
      </c>
      <c r="H97" s="79">
        <v>47</v>
      </c>
      <c r="I97" s="82" t="str">
        <v>2048</v>
      </c>
      <c r="K97" s="22" cm="1">
        <f t="array" ref="K97:N97">IFERROR(IF(ISBLANK(INDEX(Seedningslag_4_mandspuljer[[Nr.³]:[Rating³]],2,)),"",INDEX(Seedningslag_4_mandspuljer[[Nr.³]:[Rating³]],2,)),"")</f>
        <v>26</v>
      </c>
      <c r="L97" s="23" t="str">
        <v>Hans Herluf Boisen, BTK Viby</v>
      </c>
      <c r="M97" s="79">
        <v>43</v>
      </c>
      <c r="N97" s="82" t="str">
        <v>2042</v>
      </c>
      <c r="P97" s="22" cm="1">
        <f t="array" ref="P97:S97">IFERROR(IF(ISBLANK(INDEX(Seedningslag_4_mandspuljer[[Nr.³]:[Rating³]],3,)),"",INDEX(Seedningslag_4_mandspuljer[[Nr.³]:[Rating³]],3,)),"")</f>
        <v>27</v>
      </c>
      <c r="Q97" s="23" t="str">
        <v>Peter Skalborg Jensen, Sisu/MBK</v>
      </c>
      <c r="R97" s="79">
        <v>32</v>
      </c>
      <c r="S97" s="82" t="str">
        <v>2042</v>
      </c>
      <c r="U97" s="22" cm="1">
        <f t="array" ref="U97:X97">IFERROR(IF(ISBLANK(INDEX(Seedningslag_4_mandspuljer[[Nr.³]:[Rating³]],4,)),"",INDEX(Seedningslag_4_mandspuljer[[Nr.³]:[Rating³]],4,)),"")</f>
        <v>28</v>
      </c>
      <c r="V97" s="23" t="str">
        <v>Laust Ravn Johansen, BTK Viby</v>
      </c>
      <c r="W97" s="79">
        <v>16</v>
      </c>
      <c r="X97" s="82" t="str">
        <v>2025</v>
      </c>
    </row>
    <row r="98" spans="6:24" x14ac:dyDescent="0.3">
      <c r="F98" s="24" cm="1">
        <f t="array" ref="F98:I98">IFERROR(IF(ISBLANK(INDEX(Seedningslag_4_mandspuljer[[Nr.⁴]:[Rating⁴]],1,)),"",INDEX(Seedningslag_4_mandspuljer[[Nr.⁴]:[Rating⁴]],1,)),"")</f>
        <v>48</v>
      </c>
      <c r="G98" s="25" t="str">
        <v>Anton Andersson, Hillerød GI</v>
      </c>
      <c r="H98" s="26">
        <v>25</v>
      </c>
      <c r="I98" s="83" t="str">
        <v>(Ingen rating) [4]</v>
      </c>
      <c r="K98" s="24" cm="1">
        <f t="array" ref="K98:N98">IFERROR(IF(ISBLANK(INDEX(Seedningslag_4_mandspuljer[[Nr.⁴]:[Rating⁴]],2,)),"",INDEX(Seedningslag_4_mandspuljer[[Nr.⁴]:[Rating⁴]],2,)),"")</f>
        <v>47</v>
      </c>
      <c r="L98" s="25" t="str">
        <v>Rasmus Hansen (ingen klub)</v>
      </c>
      <c r="M98" s="26">
        <v>21</v>
      </c>
      <c r="N98" s="83" t="str">
        <v>(Ingen rating) [3]</v>
      </c>
      <c r="P98" s="24" cm="1">
        <f t="array" ref="P98:S98">IFERROR(IF(ISBLANK(INDEX(Seedningslag_4_mandspuljer[[Nr.⁴]:[Rating⁴]],3,)),"",INDEX(Seedningslag_4_mandspuljer[[Nr.⁴]:[Rating⁴]],3,)),"")</f>
        <v>46</v>
      </c>
      <c r="Q98" s="25" t="str">
        <v>Poul B. Pedersen (ingen klub)</v>
      </c>
      <c r="R98" s="26">
        <v>69</v>
      </c>
      <c r="S98" s="83" t="str">
        <v>(Ingen rating) [2]</v>
      </c>
      <c r="U98" s="24" cm="1">
        <f t="array" ref="U98:X98">IFERROR(IF(ISBLANK(INDEX(Seedningslag_4_mandspuljer[[Nr.⁴]:[Rating⁴]],4,)),"",INDEX(Seedningslag_4_mandspuljer[[Nr.⁴]:[Rating⁴]],4,)),"")</f>
        <v>45</v>
      </c>
      <c r="V98" s="25" t="str">
        <v>Lasse Frølich Rasmussen (ingen klub)</v>
      </c>
      <c r="W98" s="26">
        <v>37</v>
      </c>
      <c r="X98" s="83" t="str">
        <v>(Ingen rating) [1]</v>
      </c>
    </row>
    <row r="99" spans="6:24" x14ac:dyDescent="0.3">
      <c r="I99" s="16"/>
      <c r="K99" s="35"/>
      <c r="L99" s="35"/>
      <c r="M99" s="35"/>
      <c r="N99" s="35"/>
      <c r="Q99" s="16"/>
      <c r="S99" s="18"/>
      <c r="U99" s="16"/>
      <c r="V99" s="16"/>
      <c r="W99" s="18"/>
      <c r="X99" s="17"/>
    </row>
    <row r="100" spans="6:24" x14ac:dyDescent="0.3">
      <c r="I100" s="16"/>
      <c r="M100" s="16"/>
      <c r="Q100" s="16"/>
      <c r="S100" s="18"/>
      <c r="U100" s="16"/>
      <c r="V100" s="16"/>
      <c r="W100" s="18"/>
      <c r="X100" s="17"/>
    </row>
    <row r="101" spans="6:24" x14ac:dyDescent="0.3">
      <c r="F101" s="289" t="s">
        <v>163</v>
      </c>
      <c r="G101" s="290"/>
      <c r="H101" s="290"/>
      <c r="I101" s="291"/>
      <c r="K101" s="289" t="s">
        <v>164</v>
      </c>
      <c r="L101" s="290"/>
      <c r="M101" s="290"/>
      <c r="N101" s="291"/>
      <c r="P101" s="289" t="s">
        <v>165</v>
      </c>
      <c r="Q101" s="290"/>
      <c r="R101" s="290"/>
      <c r="S101" s="291"/>
      <c r="U101" s="289" t="s">
        <v>166</v>
      </c>
      <c r="V101" s="290"/>
      <c r="W101" s="290"/>
      <c r="X101" s="291"/>
    </row>
    <row r="102" spans="6:24" x14ac:dyDescent="0.3">
      <c r="F102" s="170" t="str" cm="1">
        <f t="array" ref="F102:I102">IFERROR(IF(ISBLANK(INDEX(Tilmeldinger_billettype_1_seedning[#Headers],1,)),"",INDEX(Tilmeldinger_billettype_1_seedning[#Headers],1,)),"")</f>
        <v>Nr.</v>
      </c>
      <c r="G102" s="171" t="str">
        <v>Navn og bordtennisklub</v>
      </c>
      <c r="H102" s="172" t="str">
        <v>Alder</v>
      </c>
      <c r="I102" s="173" t="str">
        <v>Rating</v>
      </c>
      <c r="K102" s="170" t="str" cm="1">
        <f t="array" ref="K102:N102">IFERROR(IF(ISBLANK(INDEX(Tilmeldinger_billettype_1_seedning[#Headers],1,)),"",INDEX(Tilmeldinger_billettype_1_seedning[#Headers],1,)),"")</f>
        <v>Nr.</v>
      </c>
      <c r="L102" s="171" t="str">
        <v>Navn og bordtennisklub</v>
      </c>
      <c r="M102" s="172" t="str">
        <v>Alder</v>
      </c>
      <c r="N102" s="173" t="str">
        <v>Rating</v>
      </c>
      <c r="P102" s="170" t="str" cm="1">
        <f t="array" ref="P102:S102">IFERROR(IF(ISBLANK(INDEX(Tilmeldinger_billettype_1_seedning[#Headers],1,)),"",INDEX(Tilmeldinger_billettype_1_seedning[#Headers],1,)),"")</f>
        <v>Nr.</v>
      </c>
      <c r="Q102" s="171" t="str">
        <v>Navn og bordtennisklub</v>
      </c>
      <c r="R102" s="172" t="str">
        <v>Alder</v>
      </c>
      <c r="S102" s="173" t="str">
        <v>Rating</v>
      </c>
      <c r="U102" s="170" t="str" cm="1">
        <f t="array" ref="U102:X102">IFERROR(IF(ISBLANK(INDEX(Tilmeldinger_billettype_1_seedning[#Headers],1,)),"",INDEX(Tilmeldinger_billettype_1_seedning[#Headers],1,)),"")</f>
        <v>Nr.</v>
      </c>
      <c r="V102" s="171" t="str">
        <v>Navn og bordtennisklub</v>
      </c>
      <c r="W102" s="172" t="str">
        <v>Alder</v>
      </c>
      <c r="X102" s="173" t="str">
        <v>Rating</v>
      </c>
    </row>
    <row r="103" spans="6:24" x14ac:dyDescent="0.3">
      <c r="F103" s="19" cm="1">
        <f t="array" ref="F103:I103">IFERROR(IF(ISBLANK(INDEX(Seedningslag_4_mandspuljer[[Nr.¹]:[Rating¹]],5,)),"",INDEX(Seedningslag_4_mandspuljer[[Nr.¹]:[Rating¹]],5,)),"")</f>
        <v>5</v>
      </c>
      <c r="G103" s="20" t="str">
        <v>Nichlas Middelhede, Team Nørreå</v>
      </c>
      <c r="H103" s="21">
        <v>29</v>
      </c>
      <c r="I103" s="81" t="str">
        <v>2547</v>
      </c>
      <c r="K103" s="19" cm="1">
        <f t="array" ref="K103:N103">IFERROR(IF(ISBLANK(INDEX(Seedningslag_4_mandspuljer[[Nr.¹]:[Rating¹]],6,)),"",INDEX(Seedningslag_4_mandspuljer[[Nr.¹]:[Rating¹]],6,)),"")</f>
        <v>6</v>
      </c>
      <c r="L103" s="20" t="str">
        <v>John Sabalic, Rønde BTK</v>
      </c>
      <c r="M103" s="21">
        <v>57</v>
      </c>
      <c r="N103" s="81" t="str">
        <v>2455</v>
      </c>
      <c r="P103" s="19" cm="1">
        <f t="array" ref="P103:S103">IFERROR(IF(ISBLANK(INDEX(Seedningslag_4_mandspuljer[[Nr.¹]:[Rating¹]],7,)),"",INDEX(Seedningslag_4_mandspuljer[[Nr.¹]:[Rating¹]],7,)),"")</f>
        <v>7</v>
      </c>
      <c r="Q103" s="20" t="str">
        <v>Thomas Kjeldgård, Hørning BTK</v>
      </c>
      <c r="R103" s="21">
        <v>44</v>
      </c>
      <c r="S103" s="81" t="str">
        <v>2413</v>
      </c>
      <c r="U103" s="19" cm="1">
        <f t="array" ref="U103:X103">IFERROR(IF(ISBLANK(INDEX(Seedningslag_4_mandspuljer[[Nr.¹]:[Rating¹]],8,)),"",INDEX(Seedningslag_4_mandspuljer[[Nr.¹]:[Rating¹]],8,)),"")</f>
        <v>8</v>
      </c>
      <c r="V103" s="20" t="str">
        <v>Marc Kynde, BTK Viby</v>
      </c>
      <c r="W103" s="21">
        <v>24</v>
      </c>
      <c r="X103" s="81" t="str">
        <v>2381</v>
      </c>
    </row>
    <row r="104" spans="6:24" x14ac:dyDescent="0.3">
      <c r="F104" s="22" cm="1">
        <f t="array" ref="F104:I104">IFERROR(IF(ISBLANK(INDEX(Seedningslag_4_mandspuljer[[Nr.²]:[Rating²]],5,)),"",INDEX(Seedningslag_4_mandspuljer[[Nr.²]:[Rating²]],5,)),"")</f>
        <v>20</v>
      </c>
      <c r="G104" s="23" t="str">
        <v>Johan Grønhøj, Sisu/MBK</v>
      </c>
      <c r="H104" s="79">
        <v>19</v>
      </c>
      <c r="I104" s="82" t="str">
        <v>2092</v>
      </c>
      <c r="K104" s="22" cm="1">
        <f t="array" ref="K104:N104">IFERROR(IF(ISBLANK(INDEX(Seedningslag_4_mandspuljer[[Nr.²]:[Rating²]],6,)),"",INDEX(Seedningslag_4_mandspuljer[[Nr.²]:[Rating²]],6,)),"")</f>
        <v>19</v>
      </c>
      <c r="L104" s="23" t="str">
        <v>Benjamin Lillelund, Sisu/MBK</v>
      </c>
      <c r="M104" s="79">
        <v>24</v>
      </c>
      <c r="N104" s="82" t="str">
        <v>2094</v>
      </c>
      <c r="P104" s="22" cm="1">
        <f t="array" ref="P104:S104">IFERROR(IF(ISBLANK(INDEX(Seedningslag_4_mandspuljer[[Nr.²]:[Rating²]],7,)),"",INDEX(Seedningslag_4_mandspuljer[[Nr.²]:[Rating²]],7,)),"")</f>
        <v>18</v>
      </c>
      <c r="Q104" s="23" t="str">
        <v>Casper Staal, Sisu/MBK</v>
      </c>
      <c r="R104" s="79">
        <v>40</v>
      </c>
      <c r="S104" s="82" t="str">
        <v>2119</v>
      </c>
      <c r="U104" s="22" cm="1">
        <f t="array" ref="U104:X104">IFERROR(IF(ISBLANK(INDEX(Seedningslag_4_mandspuljer[[Nr.²]:[Rating²]],8,)),"",INDEX(Seedningslag_4_mandspuljer[[Nr.²]:[Rating²]],8,)),"")</f>
        <v>17</v>
      </c>
      <c r="V104" s="23" t="str">
        <v>Nick Sommer, Team Nørreå</v>
      </c>
      <c r="W104" s="79">
        <v>35</v>
      </c>
      <c r="X104" s="82" t="str">
        <v>2229</v>
      </c>
    </row>
    <row r="105" spans="6:24" x14ac:dyDescent="0.3">
      <c r="F105" s="22" cm="1">
        <f t="array" ref="F105:I105">IFERROR(IF(ISBLANK(INDEX(Seedningslag_4_mandspuljer[[Nr.³]:[Rating³]],5,)),"",INDEX(Seedningslag_4_mandspuljer[[Nr.³]:[Rating³]],5,)),"")</f>
        <v>29</v>
      </c>
      <c r="G105" s="23" t="str">
        <v>Mathias Heidmann, Sisu/MBK</v>
      </c>
      <c r="H105" s="79">
        <v>39</v>
      </c>
      <c r="I105" s="82" t="str">
        <v>1944</v>
      </c>
      <c r="K105" s="22" cm="1">
        <f t="array" ref="K105:N105">IFERROR(IF(ISBLANK(INDEX(Seedningslag_4_mandspuljer[[Nr.³]:[Rating³]],6,)),"",INDEX(Seedningslag_4_mandspuljer[[Nr.³]:[Rating³]],6,)),"")</f>
        <v>30</v>
      </c>
      <c r="L105" s="23" t="str">
        <v>Christian H. Andersen, Sisu/MBK</v>
      </c>
      <c r="M105" s="79">
        <v>30</v>
      </c>
      <c r="N105" s="82" t="str">
        <v>1942</v>
      </c>
      <c r="P105" s="22" cm="1">
        <f t="array" ref="P105:S105">IFERROR(IF(ISBLANK(INDEX(Seedningslag_4_mandspuljer[[Nr.³]:[Rating³]],7,)),"",INDEX(Seedningslag_4_mandspuljer[[Nr.³]:[Rating³]],7,)),"")</f>
        <v>31</v>
      </c>
      <c r="Q105" s="23" t="str">
        <v>Thomas Bjerregaard, BTK Midtjylland</v>
      </c>
      <c r="R105" s="79">
        <v>44</v>
      </c>
      <c r="S105" s="82" t="str">
        <v>1867</v>
      </c>
      <c r="U105" s="22" cm="1">
        <f t="array" ref="U105:X105">IFERROR(IF(ISBLANK(INDEX(Seedningslag_4_mandspuljer[[Nr.³]:[Rating³]],8,)),"",INDEX(Seedningslag_4_mandspuljer[[Nr.³]:[Rating³]],8,)),"")</f>
        <v>32</v>
      </c>
      <c r="V105" s="23" t="str">
        <v>Bastian Diness, Sisu/MBK</v>
      </c>
      <c r="W105" s="79">
        <v>16</v>
      </c>
      <c r="X105" s="82" t="str">
        <v>1790</v>
      </c>
    </row>
    <row r="106" spans="6:24" x14ac:dyDescent="0.3">
      <c r="F106" s="24" cm="1">
        <f t="array" ref="F106:I106">IFERROR(IF(ISBLANK(INDEX(Seedningslag_4_mandspuljer[[Nr.⁴]:[Rating⁴]],5,)),"",INDEX(Seedningslag_4_mandspuljer[[Nr.⁴]:[Rating⁴]],5,)),"")</f>
        <v>44</v>
      </c>
      <c r="G106" s="25" t="str">
        <v>Amin Saad Al-Zayadi, Sisu/MBK</v>
      </c>
      <c r="H106" s="26">
        <v>10</v>
      </c>
      <c r="I106" s="83" t="str">
        <v>914</v>
      </c>
      <c r="K106" s="24" cm="1">
        <f t="array" ref="K106:N106">IFERROR(IF(ISBLANK(INDEX(Seedningslag_4_mandspuljer[[Nr.⁴]:[Rating⁴]],6,)),"",INDEX(Seedningslag_4_mandspuljer[[Nr.⁴]:[Rating⁴]],6,)),"")</f>
        <v>43</v>
      </c>
      <c r="L106" s="25" t="str">
        <v>Alfred Brøgger, Sisu/MBK</v>
      </c>
      <c r="M106" s="26">
        <v>13</v>
      </c>
      <c r="N106" s="83" t="str">
        <v>1067</v>
      </c>
      <c r="P106" s="24" cm="1">
        <f t="array" ref="P106:S106">IFERROR(IF(ISBLANK(INDEX(Seedningslag_4_mandspuljer[[Nr.⁴]:[Rating⁴]],7,)),"",INDEX(Seedningslag_4_mandspuljer[[Nr.⁴]:[Rating⁴]],7,)),"")</f>
        <v>42</v>
      </c>
      <c r="Q106" s="25" t="str">
        <v>Otto Svindt, Sisu/MBK</v>
      </c>
      <c r="R106" s="26">
        <v>10</v>
      </c>
      <c r="S106" s="83" t="str">
        <v>1117</v>
      </c>
      <c r="U106" s="24" cm="1">
        <f t="array" ref="U106:X106">IFERROR(IF(ISBLANK(INDEX(Seedningslag_4_mandspuljer[[Nr.⁴]:[Rating⁴]],8,)),"",INDEX(Seedningslag_4_mandspuljer[[Nr.⁴]:[Rating⁴]],8,)),"")</f>
        <v>41</v>
      </c>
      <c r="V106" s="25" t="str">
        <v>Frederik Kjeldgaard, Hørning BTK</v>
      </c>
      <c r="W106" s="26">
        <v>12</v>
      </c>
      <c r="X106" s="83" t="str">
        <v>1166</v>
      </c>
    </row>
    <row r="107" spans="6:24" x14ac:dyDescent="0.3">
      <c r="I107" s="16"/>
      <c r="M107" s="16"/>
      <c r="Q107" s="16"/>
      <c r="S107" s="18"/>
      <c r="U107" s="16"/>
      <c r="V107" s="16"/>
      <c r="W107" s="18"/>
      <c r="X107" s="17"/>
    </row>
    <row r="108" spans="6:24" x14ac:dyDescent="0.3">
      <c r="I108" s="16"/>
      <c r="M108" s="16"/>
      <c r="Q108" s="16"/>
      <c r="S108" s="18"/>
      <c r="U108" s="16"/>
      <c r="V108" s="16"/>
      <c r="W108" s="18"/>
      <c r="X108" s="17"/>
    </row>
    <row r="109" spans="6:24" x14ac:dyDescent="0.3">
      <c r="F109" s="289" t="s">
        <v>170</v>
      </c>
      <c r="G109" s="290"/>
      <c r="H109" s="290"/>
      <c r="I109" s="291"/>
      <c r="K109" s="289" t="s">
        <v>169</v>
      </c>
      <c r="L109" s="290"/>
      <c r="M109" s="290"/>
      <c r="N109" s="291"/>
      <c r="P109" s="289" t="s">
        <v>168</v>
      </c>
      <c r="Q109" s="290"/>
      <c r="R109" s="290"/>
      <c r="S109" s="291"/>
      <c r="U109" s="289" t="s">
        <v>167</v>
      </c>
      <c r="V109" s="290"/>
      <c r="W109" s="290"/>
      <c r="X109" s="291"/>
    </row>
    <row r="110" spans="6:24" x14ac:dyDescent="0.3">
      <c r="F110" s="170" t="str" cm="1">
        <f t="array" ref="F110:I110">IFERROR(IF(ISBLANK(INDEX(Tilmeldinger_billettype_1_seedning[#Headers],1,)),"",INDEX(Tilmeldinger_billettype_1_seedning[#Headers],1,)),"")</f>
        <v>Nr.</v>
      </c>
      <c r="G110" s="171" t="str">
        <v>Navn og bordtennisklub</v>
      </c>
      <c r="H110" s="172" t="str">
        <v>Alder</v>
      </c>
      <c r="I110" s="173" t="str">
        <v>Rating</v>
      </c>
      <c r="K110" s="170" t="str" cm="1">
        <f t="array" ref="K110:N110">IFERROR(IF(ISBLANK(INDEX(Tilmeldinger_billettype_1_seedning[#Headers],1,)),"",INDEX(Tilmeldinger_billettype_1_seedning[#Headers],1,)),"")</f>
        <v>Nr.</v>
      </c>
      <c r="L110" s="171" t="str">
        <v>Navn og bordtennisklub</v>
      </c>
      <c r="M110" s="172" t="str">
        <v>Alder</v>
      </c>
      <c r="N110" s="173" t="str">
        <v>Rating</v>
      </c>
      <c r="P110" s="170" t="str" cm="1">
        <f t="array" ref="P110:S110">IFERROR(IF(ISBLANK(INDEX(Tilmeldinger_billettype_1_seedning[#Headers],1,)),"",INDEX(Tilmeldinger_billettype_1_seedning[#Headers],1,)),"")</f>
        <v>Nr.</v>
      </c>
      <c r="Q110" s="171" t="str">
        <v>Navn og bordtennisklub</v>
      </c>
      <c r="R110" s="172" t="str">
        <v>Alder</v>
      </c>
      <c r="S110" s="173" t="str">
        <v>Rating</v>
      </c>
      <c r="U110" s="170" t="str" cm="1">
        <f t="array" ref="U110:X110">IFERROR(IF(ISBLANK(INDEX(Tilmeldinger_billettype_1_seedning[#Headers],1,)),"",INDEX(Tilmeldinger_billettype_1_seedning[#Headers],1,)),"")</f>
        <v>Nr.</v>
      </c>
      <c r="V110" s="171" t="str">
        <v>Navn og bordtennisklub</v>
      </c>
      <c r="W110" s="172" t="str">
        <v>Alder</v>
      </c>
      <c r="X110" s="173" t="str">
        <v>Rating</v>
      </c>
    </row>
    <row r="111" spans="6:24" x14ac:dyDescent="0.3">
      <c r="F111" s="19" cm="1">
        <f t="array" ref="F111:I111">IFERROR(IF(ISBLANK(INDEX(Seedningslag_4_mandspuljer[[Nr.¹]:[Rating¹]],9,)),"",INDEX(Seedningslag_4_mandspuljer[[Nr.¹]:[Rating¹]],9,)),"")</f>
        <v>9</v>
      </c>
      <c r="G111" s="20" t="str">
        <v>Jonas Ring Agerholm, Rønde BTK</v>
      </c>
      <c r="H111" s="21">
        <v>33</v>
      </c>
      <c r="I111" s="81" t="str">
        <v>2380</v>
      </c>
      <c r="K111" s="19" cm="1">
        <f t="array" ref="K111:N111">IFERROR(IF(ISBLANK(INDEX(Seedningslag_4_mandspuljer[[Nr.¹]:[Rating¹]],10,)),"",INDEX(Seedningslag_4_mandspuljer[[Nr.¹]:[Rating¹]],10,)),"")</f>
        <v>10</v>
      </c>
      <c r="L111" s="20" t="str">
        <v>Emil Lynge Sørensen, Amager BTK</v>
      </c>
      <c r="M111" s="21">
        <v>19</v>
      </c>
      <c r="N111" s="81" t="str">
        <v>2376</v>
      </c>
      <c r="P111" s="19" cm="1">
        <f t="array" ref="P111:S111">IFERROR(IF(ISBLANK(INDEX(Seedningslag_4_mandspuljer[[Nr.¹]:[Rating¹]],11,)),"",INDEX(Seedningslag_4_mandspuljer[[Nr.¹]:[Rating¹]],11,)),"")</f>
        <v>11</v>
      </c>
      <c r="Q111" s="20" t="str">
        <v>Oscar Hovmøller, BTK Viby</v>
      </c>
      <c r="R111" s="21">
        <v>20</v>
      </c>
      <c r="S111" s="81" t="str">
        <v>2374</v>
      </c>
      <c r="U111" s="19" cm="1">
        <f t="array" ref="U111:X111">IFERROR(IF(ISBLANK(INDEX(Seedningslag_4_mandspuljer[[Nr.¹]:[Rating¹]],12,)),"",INDEX(Seedningslag_4_mandspuljer[[Nr.¹]:[Rating¹]],12,)),"")</f>
        <v>12</v>
      </c>
      <c r="V111" s="20" t="str">
        <v>Marius Dam, BTK Viby</v>
      </c>
      <c r="W111" s="21">
        <v>21</v>
      </c>
      <c r="X111" s="81" t="str">
        <v>2369</v>
      </c>
    </row>
    <row r="112" spans="6:24" x14ac:dyDescent="0.3">
      <c r="F112" s="22" cm="1">
        <f t="array" ref="F112:I112">IFERROR(IF(ISBLANK(INDEX(Seedningslag_4_mandspuljer[[Nr.²]:[Rating²]],9,)),"",INDEX(Seedningslag_4_mandspuljer[[Nr.²]:[Rating²]],9,)),"")</f>
        <v>16</v>
      </c>
      <c r="G112" s="23" t="str">
        <v>Mickey Elsborg, Vejle BTK</v>
      </c>
      <c r="H112" s="79">
        <v>20</v>
      </c>
      <c r="I112" s="82" t="str">
        <v>2265</v>
      </c>
      <c r="K112" s="22" cm="1">
        <f t="array" ref="K112:N112">IFERROR(IF(ISBLANK(INDEX(Seedningslag_4_mandspuljer[[Nr.²]:[Rating²]],10,)),"",INDEX(Seedningslag_4_mandspuljer[[Nr.²]:[Rating²]],10,)),"")</f>
        <v>15</v>
      </c>
      <c r="L112" s="23" t="str">
        <v>Jan Nordhøj, Hvidovre BTK</v>
      </c>
      <c r="M112" s="79">
        <v>52</v>
      </c>
      <c r="N112" s="82" t="str">
        <v>2269</v>
      </c>
      <c r="P112" s="22" cm="1">
        <f t="array" ref="P112:S112">IFERROR(IF(ISBLANK(INDEX(Seedningslag_4_mandspuljer[[Nr.²]:[Rating²]],11,)),"",INDEX(Seedningslag_4_mandspuljer[[Nr.²]:[Rating²]],11,)),"")</f>
        <v>14</v>
      </c>
      <c r="Q112" s="23" t="str">
        <v>Peter Bruhn, Brønderslev</v>
      </c>
      <c r="R112" s="79">
        <v>60</v>
      </c>
      <c r="S112" s="82" t="str">
        <v>2284</v>
      </c>
      <c r="U112" s="22" cm="1">
        <f t="array" ref="U112:X112">IFERROR(IF(ISBLANK(INDEX(Seedningslag_4_mandspuljer[[Nr.²]:[Rating²]],12,)),"",INDEX(Seedningslag_4_mandspuljer[[Nr.²]:[Rating²]],12,)),"")</f>
        <v>13</v>
      </c>
      <c r="V112" s="23" t="str">
        <v>Mads Larsen, Silkeborg BTK</v>
      </c>
      <c r="W112" s="79">
        <v>28</v>
      </c>
      <c r="X112" s="82" t="str">
        <v>2352</v>
      </c>
    </row>
    <row r="113" spans="6:24" x14ac:dyDescent="0.3">
      <c r="F113" s="22" cm="1">
        <f t="array" ref="F113:I113">IFERROR(IF(ISBLANK(INDEX(Seedningslag_4_mandspuljer[[Nr.³]:[Rating³]],9,)),"",INDEX(Seedningslag_4_mandspuljer[[Nr.³]:[Rating³]],9,)),"")</f>
        <v>33</v>
      </c>
      <c r="G113" s="23" t="str">
        <v>Sebastian Sørensen, Esbjerg BTK</v>
      </c>
      <c r="H113" s="79">
        <v>21</v>
      </c>
      <c r="I113" s="82" t="str">
        <v>1685</v>
      </c>
      <c r="K113" s="22" cm="1">
        <f t="array" ref="K113:N113">IFERROR(IF(ISBLANK(INDEX(Seedningslag_4_mandspuljer[[Nr.³]:[Rating³]],10,)),"",INDEX(Seedningslag_4_mandspuljer[[Nr.³]:[Rating³]],10,)),"")</f>
        <v>34</v>
      </c>
      <c r="L113" s="23" t="str">
        <v>Bent O. Jakobsen, Sisu/MBK</v>
      </c>
      <c r="M113" s="79">
        <v>71</v>
      </c>
      <c r="N113" s="82" t="str">
        <v>1647</v>
      </c>
      <c r="P113" s="22" cm="1">
        <f t="array" ref="P113:S113">IFERROR(IF(ISBLANK(INDEX(Seedningslag_4_mandspuljer[[Nr.³]:[Rating³]],11,)),"",INDEX(Seedningslag_4_mandspuljer[[Nr.³]:[Rating³]],11,)),"")</f>
        <v>35</v>
      </c>
      <c r="Q113" s="23" t="str">
        <v>Lars Jørgensen, Silkeborg BTK</v>
      </c>
      <c r="R113" s="79">
        <v>56</v>
      </c>
      <c r="S113" s="82" t="str">
        <v>1643</v>
      </c>
      <c r="U113" s="22" cm="1">
        <f t="array" ref="U113:X113">IFERROR(IF(ISBLANK(INDEX(Seedningslag_4_mandspuljer[[Nr.³]:[Rating³]],12,)),"",INDEX(Seedningslag_4_mandspuljer[[Nr.³]:[Rating³]],12,)),"")</f>
        <v>36</v>
      </c>
      <c r="V113" s="23" t="str">
        <v>Jesper Skivesen, Silkeborg BTK</v>
      </c>
      <c r="W113" s="79">
        <v>50</v>
      </c>
      <c r="X113" s="82" t="str">
        <v>1547</v>
      </c>
    </row>
    <row r="114" spans="6:24" x14ac:dyDescent="0.3">
      <c r="F114" s="24" cm="1">
        <f t="array" ref="F114:I114">IFERROR(IF(ISBLANK(INDEX(Seedningslag_4_mandspuljer[[Nr.⁴]:[Rating⁴]],9,)),"",INDEX(Seedningslag_4_mandspuljer[[Nr.⁴]:[Rating⁴]],9,)),"")</f>
        <v>40</v>
      </c>
      <c r="G114" s="25" t="str">
        <v>Milosz Miszczuk, Hørning BTK</v>
      </c>
      <c r="H114" s="26">
        <v>40</v>
      </c>
      <c r="I114" s="83" t="str">
        <v>1220</v>
      </c>
      <c r="K114" s="24" cm="1">
        <f t="array" ref="K114:N114">IFERROR(IF(ISBLANK(INDEX(Seedningslag_4_mandspuljer[[Nr.⁴]:[Rating⁴]],10,)),"",INDEX(Seedningslag_4_mandspuljer[[Nr.⁴]:[Rating⁴]],10,)),"")</f>
        <v>39</v>
      </c>
      <c r="L114" s="25" t="str">
        <v>Oliver Kjeldgaard Johansson, Hørning BTK</v>
      </c>
      <c r="M114" s="26">
        <v>15</v>
      </c>
      <c r="N114" s="83" t="str">
        <v>1363</v>
      </c>
      <c r="P114" s="24" cm="1">
        <f t="array" ref="P114:S114">IFERROR(IF(ISBLANK(INDEX(Seedningslag_4_mandspuljer[[Nr.⁴]:[Rating⁴]],11,)),"",INDEX(Seedningslag_4_mandspuljer[[Nr.⁴]:[Rating⁴]],11,)),"")</f>
        <v>38</v>
      </c>
      <c r="Q114" s="25" t="str">
        <v>Anders Holler, BTK Tateni</v>
      </c>
      <c r="R114" s="26">
        <v>15</v>
      </c>
      <c r="S114" s="83" t="str">
        <v>1485</v>
      </c>
      <c r="U114" s="24" cm="1">
        <f t="array" ref="U114:X114">IFERROR(IF(ISBLANK(INDEX(Seedningslag_4_mandspuljer[[Nr.⁴]:[Rating⁴]],12,)),"",INDEX(Seedningslag_4_mandspuljer[[Nr.⁴]:[Rating⁴]],12,)),"")</f>
        <v>37</v>
      </c>
      <c r="V114" s="25" t="str">
        <v>Martin Svendsen, Holbæk BTK</v>
      </c>
      <c r="W114" s="26">
        <v>60</v>
      </c>
      <c r="X114" s="83" t="str">
        <v>1491</v>
      </c>
    </row>
    <row r="115" spans="6:24" x14ac:dyDescent="0.3">
      <c r="I115" s="16"/>
      <c r="M115" s="16"/>
      <c r="Q115" s="16"/>
      <c r="S115" s="18"/>
      <c r="U115" s="16"/>
      <c r="V115" s="16"/>
      <c r="W115" s="18"/>
      <c r="X115" s="17"/>
    </row>
    <row r="116" spans="6:24" x14ac:dyDescent="0.3">
      <c r="I116" s="16"/>
      <c r="M116" s="16"/>
      <c r="Q116" s="16"/>
      <c r="S116" s="18"/>
      <c r="U116" s="16"/>
      <c r="V116" s="16"/>
      <c r="W116" s="18"/>
      <c r="X116" s="17"/>
    </row>
    <row r="117" spans="6:24" x14ac:dyDescent="0.3">
      <c r="F117" s="289" t="s">
        <v>171</v>
      </c>
      <c r="G117" s="290"/>
      <c r="H117" s="290"/>
      <c r="I117" s="291"/>
      <c r="K117" s="289" t="s">
        <v>172</v>
      </c>
      <c r="L117" s="290"/>
      <c r="M117" s="290"/>
      <c r="N117" s="291"/>
      <c r="P117" s="289" t="s">
        <v>173</v>
      </c>
      <c r="Q117" s="290"/>
      <c r="R117" s="290"/>
      <c r="S117" s="291"/>
      <c r="U117" s="289" t="s">
        <v>174</v>
      </c>
      <c r="V117" s="290"/>
      <c r="W117" s="290"/>
      <c r="X117" s="291"/>
    </row>
    <row r="118" spans="6:24" x14ac:dyDescent="0.3">
      <c r="F118" s="170" t="str" cm="1">
        <f t="array" ref="F118:I118">IFERROR(IF(ISBLANK(INDEX(Tilmeldinger_billettype_1_seedning[#Headers],1,)),"",INDEX(Tilmeldinger_billettype_1_seedning[#Headers],1,)),"")</f>
        <v>Nr.</v>
      </c>
      <c r="G118" s="171" t="str">
        <v>Navn og bordtennisklub</v>
      </c>
      <c r="H118" s="172" t="str">
        <v>Alder</v>
      </c>
      <c r="I118" s="173" t="str">
        <v>Rating</v>
      </c>
      <c r="K118" s="170" t="str" cm="1">
        <f t="array" ref="K118:N118">IFERROR(IF(ISBLANK(INDEX(Tilmeldinger_billettype_1_seedning[#Headers],1,)),"",INDEX(Tilmeldinger_billettype_1_seedning[#Headers],1,)),"")</f>
        <v>Nr.</v>
      </c>
      <c r="L118" s="171" t="str">
        <v>Navn og bordtennisklub</v>
      </c>
      <c r="M118" s="172" t="str">
        <v>Alder</v>
      </c>
      <c r="N118" s="173" t="str">
        <v>Rating</v>
      </c>
      <c r="P118" s="170" t="str" cm="1">
        <f t="array" ref="P118:S118">IFERROR(IF(ISBLANK(INDEX(Tilmeldinger_billettype_1_seedning[#Headers],1,)),"",INDEX(Tilmeldinger_billettype_1_seedning[#Headers],1,)),"")</f>
        <v>Nr.</v>
      </c>
      <c r="Q118" s="171" t="str">
        <v>Navn og bordtennisklub</v>
      </c>
      <c r="R118" s="172" t="str">
        <v>Alder</v>
      </c>
      <c r="S118" s="173" t="str">
        <v>Rating</v>
      </c>
      <c r="U118" s="170" t="str" cm="1">
        <f t="array" ref="U118:X118">IFERROR(IF(ISBLANK(INDEX(Tilmeldinger_billettype_1_seedning[#Headers],1,)),"",INDEX(Tilmeldinger_billettype_1_seedning[#Headers],1,)),"")</f>
        <v>Nr.</v>
      </c>
      <c r="V118" s="171" t="str">
        <v>Navn og bordtennisklub</v>
      </c>
      <c r="W118" s="172" t="str">
        <v>Alder</v>
      </c>
      <c r="X118" s="173" t="str">
        <v>Rating</v>
      </c>
    </row>
    <row r="119" spans="6:24" x14ac:dyDescent="0.3">
      <c r="F119" s="19" t="str" cm="1">
        <f t="array" ref="F119">IFERROR(IF(ISBLANK(INDEX(Seedningslag_4_mandspuljer[[Nr.¹]:[Rating¹]],13,)),"",INDEX(Seedningslag_4_mandspuljer[[Nr.¹]:[Rating¹]],13,)),"")</f>
        <v/>
      </c>
      <c r="G119" s="20"/>
      <c r="H119" s="21"/>
      <c r="I119" s="81"/>
      <c r="K119" s="19" t="str" cm="1">
        <f t="array" ref="K119">IFERROR(IF(ISBLANK(INDEX(Seedningslag_4_mandspuljer[[Nr.¹]:[Rating¹]],14,)),"",INDEX(Seedningslag_4_mandspuljer[[Nr.¹]:[Rating¹]],14,)),"")</f>
        <v/>
      </c>
      <c r="L119" s="20"/>
      <c r="M119" s="21"/>
      <c r="N119" s="81"/>
      <c r="P119" s="19" t="str" cm="1">
        <f t="array" ref="P119">IFERROR(IF(ISBLANK(INDEX(Seedningslag_4_mandspuljer[[Nr.¹]:[Rating¹]],15,)),"",INDEX(Seedningslag_4_mandspuljer[[Nr.¹]:[Rating¹]],15,)),"")</f>
        <v/>
      </c>
      <c r="Q119" s="20"/>
      <c r="R119" s="21"/>
      <c r="S119" s="81"/>
      <c r="U119" s="19" t="str" cm="1">
        <f t="array" ref="U119">IFERROR(IF(ISBLANK(INDEX(Seedningslag_4_mandspuljer[[Nr.¹]:[Rating¹]],16,)),"",INDEX(Seedningslag_4_mandspuljer[[Nr.¹]:[Rating¹]],16,)),"")</f>
        <v/>
      </c>
      <c r="V119" s="20"/>
      <c r="W119" s="21"/>
      <c r="X119" s="81"/>
    </row>
    <row r="120" spans="6:24" x14ac:dyDescent="0.3">
      <c r="F120" s="22" t="str" cm="1">
        <f t="array" ref="F120">IFERROR(IF(ISBLANK(INDEX(Seedningslag_4_mandspuljer[[Nr.²]:[Rating²]],13,)),"",INDEX(Seedningslag_4_mandspuljer[[Nr.²]:[Rating²]],13,)),"")</f>
        <v/>
      </c>
      <c r="G120" s="23"/>
      <c r="H120" s="79"/>
      <c r="I120" s="82"/>
      <c r="K120" s="22" t="str" cm="1">
        <f t="array" ref="K120">IFERROR(IF(ISBLANK(INDEX(Seedningslag_4_mandspuljer[[Nr.²]:[Rating²]],14,)),"",INDEX(Seedningslag_4_mandspuljer[[Nr.²]:[Rating²]],14,)),"")</f>
        <v/>
      </c>
      <c r="L120" s="23"/>
      <c r="M120" s="79"/>
      <c r="N120" s="82"/>
      <c r="P120" s="22" t="str" cm="1">
        <f t="array" ref="P120">IFERROR(IF(ISBLANK(INDEX(Seedningslag_4_mandspuljer[[Nr.²]:[Rating²]],15,)),"",INDEX(Seedningslag_4_mandspuljer[[Nr.²]:[Rating²]],15,)),"")</f>
        <v/>
      </c>
      <c r="Q120" s="23"/>
      <c r="R120" s="79"/>
      <c r="S120" s="82"/>
      <c r="U120" s="22" t="str" cm="1">
        <f t="array" ref="U120">IFERROR(IF(ISBLANK(INDEX(Seedningslag_4_mandspuljer[[Nr.²]:[Rating²]],16,)),"",INDEX(Seedningslag_4_mandspuljer[[Nr.²]:[Rating²]],16,)),"")</f>
        <v/>
      </c>
      <c r="V120" s="23"/>
      <c r="W120" s="79"/>
      <c r="X120" s="82"/>
    </row>
    <row r="121" spans="6:24" x14ac:dyDescent="0.3">
      <c r="F121" s="22" t="str" cm="1">
        <f t="array" ref="F121">IFERROR(IF(ISBLANK(INDEX(Seedningslag_4_mandspuljer[[Nr.³]:[Rating³]],13,)),"",INDEX(Seedningslag_4_mandspuljer[[Nr.³]:[Rating³]],13,)),"")</f>
        <v/>
      </c>
      <c r="G121" s="23"/>
      <c r="H121" s="79"/>
      <c r="I121" s="82"/>
      <c r="K121" s="22" t="str" cm="1">
        <f t="array" ref="K121">IFERROR(IF(ISBLANK(INDEX(Seedningslag_4_mandspuljer[[Nr.³]:[Rating³]],14,)),"",INDEX(Seedningslag_4_mandspuljer[[Nr.³]:[Rating³]],14,)),"")</f>
        <v/>
      </c>
      <c r="L121" s="23"/>
      <c r="M121" s="79"/>
      <c r="N121" s="82"/>
      <c r="P121" s="22" t="str" cm="1">
        <f t="array" ref="P121">IFERROR(IF(ISBLANK(INDEX(Seedningslag_4_mandspuljer[[Nr.³]:[Rating³]],15,)),"",INDEX(Seedningslag_4_mandspuljer[[Nr.³]:[Rating³]],15,)),"")</f>
        <v/>
      </c>
      <c r="Q121" s="23"/>
      <c r="R121" s="79"/>
      <c r="S121" s="82"/>
      <c r="U121" s="22" t="str" cm="1">
        <f t="array" ref="U121">IFERROR(IF(ISBLANK(INDEX(Seedningslag_4_mandspuljer[[Nr.³]:[Rating³]],16,)),"",INDEX(Seedningslag_4_mandspuljer[[Nr.³]:[Rating³]],16,)),"")</f>
        <v/>
      </c>
      <c r="V121" s="23"/>
      <c r="W121" s="79"/>
      <c r="X121" s="82"/>
    </row>
    <row r="122" spans="6:24" x14ac:dyDescent="0.3">
      <c r="F122" s="24" t="str" cm="1">
        <f t="array" ref="F122">IFERROR(IF(ISBLANK(INDEX(Seedningslag_4_mandspuljer[[Nr.⁴]:[Rating⁴]],13,)),"",INDEX(Seedningslag_4_mandspuljer[[Nr.⁴]:[Rating⁴]],13,)),"")</f>
        <v/>
      </c>
      <c r="G122" s="25"/>
      <c r="H122" s="26"/>
      <c r="I122" s="83"/>
      <c r="K122" s="24" t="str" cm="1">
        <f t="array" ref="K122">IFERROR(IF(ISBLANK(INDEX(Seedningslag_4_mandspuljer[[Nr.⁴]:[Rating⁴]],14,)),"",INDEX(Seedningslag_4_mandspuljer[[Nr.⁴]:[Rating⁴]],14,)),"")</f>
        <v/>
      </c>
      <c r="L122" s="25"/>
      <c r="M122" s="26"/>
      <c r="N122" s="83"/>
      <c r="P122" s="24" t="str" cm="1">
        <f t="array" ref="P122">IFERROR(IF(ISBLANK(INDEX(Seedningslag_4_mandspuljer[[Nr.⁴]:[Rating⁴]],15,)),"",INDEX(Seedningslag_4_mandspuljer[[Nr.⁴]:[Rating⁴]],15,)),"")</f>
        <v/>
      </c>
      <c r="Q122" s="25"/>
      <c r="R122" s="26"/>
      <c r="S122" s="83"/>
      <c r="U122" s="24" t="str" cm="1">
        <f t="array" ref="U122">IFERROR(IF(ISBLANK(INDEX(Seedningslag_4_mandspuljer[[Nr.⁴]:[Rating⁴]],16,)),"",INDEX(Seedningslag_4_mandspuljer[[Nr.⁴]:[Rating⁴]],16,)),"")</f>
        <v/>
      </c>
      <c r="V122" s="25"/>
      <c r="W122" s="26"/>
      <c r="X122" s="83"/>
    </row>
    <row r="140" spans="6:19" x14ac:dyDescent="0.3">
      <c r="F140"/>
      <c r="G140"/>
      <c r="H140"/>
      <c r="I140"/>
      <c r="K140"/>
      <c r="L140"/>
      <c r="M140"/>
      <c r="N140"/>
      <c r="P140"/>
      <c r="Q140"/>
      <c r="R140"/>
      <c r="S140"/>
    </row>
  </sheetData>
  <sheetProtection selectLockedCells="1" autoFilter="0"/>
  <mergeCells count="52">
    <mergeCell ref="F86:X87"/>
    <mergeCell ref="F62:X62"/>
    <mergeCell ref="F64:X65"/>
    <mergeCell ref="K67:N67"/>
    <mergeCell ref="U67:X67"/>
    <mergeCell ref="F67:I67"/>
    <mergeCell ref="P67:S67"/>
    <mergeCell ref="F63:X63"/>
    <mergeCell ref="F117:I117"/>
    <mergeCell ref="K117:N117"/>
    <mergeCell ref="P117:S117"/>
    <mergeCell ref="U117:X117"/>
    <mergeCell ref="F93:I93"/>
    <mergeCell ref="F101:I101"/>
    <mergeCell ref="K101:N101"/>
    <mergeCell ref="P101:S101"/>
    <mergeCell ref="U101:X101"/>
    <mergeCell ref="U93:X93"/>
    <mergeCell ref="P93:S93"/>
    <mergeCell ref="K93:N93"/>
    <mergeCell ref="F90:X90"/>
    <mergeCell ref="F88:X88"/>
    <mergeCell ref="F109:I109"/>
    <mergeCell ref="K109:N109"/>
    <mergeCell ref="P109:S109"/>
    <mergeCell ref="U109:X109"/>
    <mergeCell ref="F89:X89"/>
    <mergeCell ref="F49:I49"/>
    <mergeCell ref="K49:N49"/>
    <mergeCell ref="P49:S49"/>
    <mergeCell ref="U49:X49"/>
    <mergeCell ref="A24:AC24"/>
    <mergeCell ref="F39:I39"/>
    <mergeCell ref="K39:N39"/>
    <mergeCell ref="P39:S39"/>
    <mergeCell ref="U39:X39"/>
    <mergeCell ref="A25:AC25"/>
    <mergeCell ref="A1:AC1"/>
    <mergeCell ref="A3:AC4"/>
    <mergeCell ref="A22:AC23"/>
    <mergeCell ref="F29:I29"/>
    <mergeCell ref="F6:I6"/>
    <mergeCell ref="K6:N6"/>
    <mergeCell ref="P6:S6"/>
    <mergeCell ref="U6:X6"/>
    <mergeCell ref="K29:N29"/>
    <mergeCell ref="P29:S29"/>
    <mergeCell ref="U29:X29"/>
    <mergeCell ref="A6:D6"/>
    <mergeCell ref="A26:AC26"/>
    <mergeCell ref="A2:AC2"/>
    <mergeCell ref="Z6:AC6"/>
  </mergeCells>
  <printOptions horizontalCentered="1"/>
  <pageMargins left="0.70866141732283472" right="0.70866141732283472" top="1.1811023622047245" bottom="0.74803149606299213" header="0.31496062992125984" footer="0.31496062992125984"/>
  <pageSetup paperSize="8" scale="39" orientation="landscape" r:id="rId1"/>
  <headerFooter>
    <oddHeader>&amp;C&amp;D
&amp;F</oddHeader>
    <oddFooter>&amp;CSide &amp;"-,Fed"&amp;P&amp;"-,Normal" af &amp;"-,Fed"&amp;N</oddFooter>
  </headerFooter>
  <picture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E6486-959D-4A2F-A478-6C049D0C23FE}">
  <sheetPr>
    <tabColor theme="9" tint="-0.499984740745262"/>
    <pageSetUpPr fitToPage="1"/>
  </sheetPr>
  <dimension ref="A1:E27"/>
  <sheetViews>
    <sheetView showGridLines="0" zoomScaleNormal="100" zoomScaleSheetLayoutView="100" workbookViewId="0">
      <pane ySplit="2" topLeftCell="A3" activePane="bottomLeft" state="frozen"/>
      <selection sqref="A1:AA1"/>
      <selection pane="bottomLeft" sqref="A1:AA1"/>
    </sheetView>
  </sheetViews>
  <sheetFormatPr defaultColWidth="8.88671875" defaultRowHeight="14.4" x14ac:dyDescent="0.3"/>
  <cols>
    <col min="1" max="1" width="62.88671875" style="13" customWidth="1"/>
    <col min="2" max="2" width="11.109375" style="13" customWidth="1"/>
    <col min="3" max="3" width="26.21875" style="9" customWidth="1"/>
    <col min="4" max="4" width="11.109375" style="9" customWidth="1"/>
    <col min="5" max="5" width="32" style="9" customWidth="1"/>
    <col min="6" max="16384" width="8.88671875" style="9"/>
  </cols>
  <sheetData>
    <row r="1" spans="1:5" ht="31.2" x14ac:dyDescent="0.6">
      <c r="A1" s="223" t="s">
        <v>812</v>
      </c>
      <c r="B1" s="223"/>
      <c r="C1" s="223"/>
      <c r="D1" s="223"/>
      <c r="E1" s="223"/>
    </row>
    <row r="2" spans="1:5" x14ac:dyDescent="0.3">
      <c r="A2" s="257" t="str">
        <f>"🔃 Opdateret "&amp;TEXT(CUBEVALUE("ThisWorkbookDataModel",CUBEMEMBER("ThisWorkbookDataModel","[Measures].[🔃 Sidst opdateret]")),"dd-mm-åååå kl. tt:mm")</f>
        <v>🔃 Opdateret 05-08-2022 kl. 15:28</v>
      </c>
      <c r="B2" s="257"/>
      <c r="C2" s="257"/>
      <c r="D2" s="257"/>
      <c r="E2" s="257"/>
    </row>
    <row r="3" spans="1:5" customFormat="1" x14ac:dyDescent="0.3"/>
    <row r="4" spans="1:5" x14ac:dyDescent="0.3">
      <c r="C4" s="163"/>
    </row>
    <row r="5" spans="1:5" x14ac:dyDescent="0.3">
      <c r="C5" s="163"/>
    </row>
    <row r="6" spans="1:5" x14ac:dyDescent="0.3">
      <c r="C6" s="163"/>
    </row>
    <row r="7" spans="1:5" x14ac:dyDescent="0.3">
      <c r="C7" s="163"/>
    </row>
    <row r="8" spans="1:5" x14ac:dyDescent="0.3">
      <c r="C8" s="163"/>
    </row>
    <row r="9" spans="1:5" x14ac:dyDescent="0.3">
      <c r="C9" s="163"/>
    </row>
    <row r="10" spans="1:5" x14ac:dyDescent="0.3">
      <c r="C10" s="163"/>
    </row>
    <row r="11" spans="1:5" x14ac:dyDescent="0.3">
      <c r="C11" s="163"/>
    </row>
    <row r="12" spans="1:5" x14ac:dyDescent="0.3">
      <c r="C12" s="163"/>
    </row>
    <row r="13" spans="1:5" x14ac:dyDescent="0.3">
      <c r="C13" s="163"/>
    </row>
    <row r="14" spans="1:5" x14ac:dyDescent="0.3">
      <c r="C14" s="163"/>
    </row>
    <row r="15" spans="1:5" x14ac:dyDescent="0.3">
      <c r="C15" s="163"/>
    </row>
    <row r="16" spans="1:5" x14ac:dyDescent="0.3">
      <c r="C16" s="163"/>
    </row>
    <row r="17" spans="3:3" x14ac:dyDescent="0.3">
      <c r="C17" s="163"/>
    </row>
    <row r="18" spans="3:3" x14ac:dyDescent="0.3">
      <c r="C18" s="163"/>
    </row>
    <row r="19" spans="3:3" x14ac:dyDescent="0.3">
      <c r="C19" s="163"/>
    </row>
    <row r="20" spans="3:3" x14ac:dyDescent="0.3">
      <c r="C20" s="163"/>
    </row>
    <row r="21" spans="3:3" x14ac:dyDescent="0.3">
      <c r="C21" s="163"/>
    </row>
    <row r="22" spans="3:3" x14ac:dyDescent="0.3">
      <c r="C22" s="163"/>
    </row>
    <row r="23" spans="3:3" x14ac:dyDescent="0.3">
      <c r="C23" s="163"/>
    </row>
    <row r="24" spans="3:3" x14ac:dyDescent="0.3">
      <c r="C24" s="163"/>
    </row>
    <row r="25" spans="3:3" x14ac:dyDescent="0.3">
      <c r="C25" s="163"/>
    </row>
    <row r="26" spans="3:3" x14ac:dyDescent="0.3">
      <c r="C26" s="163"/>
    </row>
    <row r="27" spans="3:3" x14ac:dyDescent="0.3">
      <c r="C27" s="163"/>
    </row>
  </sheetData>
  <sheetProtection selectLockedCells="1" autoFilter="0"/>
  <mergeCells count="2">
    <mergeCell ref="A1:E1"/>
    <mergeCell ref="A2:E2"/>
  </mergeCells>
  <printOptions horizontalCentered="1"/>
  <pageMargins left="0.70866141732283472" right="0.70866141732283472" top="1.1811023622047245" bottom="0.74803149606299213" header="0.31496062992125984" footer="0.31496062992125984"/>
  <pageSetup paperSize="8" scale="37" orientation="landscape" r:id="rId1"/>
  <headerFooter>
    <oddHeader>&amp;C&amp;D
&amp;F</oddHeader>
    <oddFooter>&amp;CSide &amp;"-,Fed"&amp;P&amp;"-,Normal" af &amp;"-,Fed"&amp;N</oddFooter>
  </headerFooter>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E8BF0-3559-4DE3-8C2B-EA8C0D12A1BC}">
  <sheetPr>
    <tabColor theme="9" tint="-0.499984740745262"/>
    <pageSetUpPr fitToPage="1"/>
  </sheetPr>
  <dimension ref="A1:M100"/>
  <sheetViews>
    <sheetView showGridLines="0" zoomScaleNormal="100" zoomScaleSheetLayoutView="100" workbookViewId="0">
      <pane xSplit="3" ySplit="2" topLeftCell="D3" activePane="bottomRight" state="frozen"/>
      <selection sqref="A1:AA1"/>
      <selection pane="topRight" sqref="A1:AA1"/>
      <selection pane="bottomLeft" sqref="A1:AA1"/>
      <selection pane="bottomRight" activeCell="A33" sqref="A33"/>
    </sheetView>
  </sheetViews>
  <sheetFormatPr defaultRowHeight="14.4" x14ac:dyDescent="0.3"/>
  <cols>
    <col min="1" max="1" width="3" bestFit="1" customWidth="1"/>
    <col min="2" max="2" width="25.88671875" bestFit="1" customWidth="1"/>
    <col min="3" max="3" width="44.6640625" bestFit="1" customWidth="1"/>
    <col min="4" max="4" width="32.21875" bestFit="1" customWidth="1"/>
    <col min="5" max="5" width="9.77734375" bestFit="1" customWidth="1"/>
    <col min="6" max="6" width="30.44140625" bestFit="1" customWidth="1"/>
    <col min="7" max="7" width="46.77734375" bestFit="1" customWidth="1"/>
    <col min="8" max="8" width="22.21875" bestFit="1" customWidth="1"/>
    <col min="9" max="9" width="17.77734375" bestFit="1" customWidth="1"/>
    <col min="10" max="10" width="17.88671875" bestFit="1" customWidth="1"/>
    <col min="11" max="11" width="14.109375" bestFit="1" customWidth="1"/>
    <col min="12" max="12" width="14.88671875" bestFit="1" customWidth="1"/>
    <col min="13" max="13" width="27" bestFit="1" customWidth="1"/>
  </cols>
  <sheetData>
    <row r="1" spans="1:13" ht="31.2" x14ac:dyDescent="0.6">
      <c r="A1" s="223" t="s">
        <v>188</v>
      </c>
      <c r="B1" s="223"/>
      <c r="C1" s="223"/>
      <c r="D1" s="223"/>
      <c r="E1" s="223"/>
      <c r="F1" s="223"/>
      <c r="G1" s="223"/>
      <c r="H1" s="223"/>
      <c r="I1" s="223"/>
      <c r="J1" s="223"/>
      <c r="K1" s="223"/>
      <c r="L1" s="223"/>
      <c r="M1" s="223"/>
    </row>
    <row r="2" spans="1:13" x14ac:dyDescent="0.3">
      <c r="A2" s="257" t="str">
        <f>'🗂️ Filtre nøgletal'!$A$2</f>
        <v>🔃 Opdateret 05-08-2022 kl. 15:28</v>
      </c>
      <c r="B2" s="257"/>
      <c r="C2" s="257"/>
      <c r="D2" s="257"/>
      <c r="E2" s="257"/>
      <c r="F2" s="257"/>
      <c r="G2" s="257"/>
      <c r="H2" s="257"/>
      <c r="I2" s="257"/>
      <c r="J2" s="257"/>
      <c r="K2" s="257"/>
      <c r="L2" s="257"/>
      <c r="M2" s="257"/>
    </row>
    <row r="3" spans="1:13" s="30" customFormat="1" x14ac:dyDescent="0.3">
      <c r="A3" s="149"/>
      <c r="B3" s="149"/>
      <c r="C3" s="149"/>
      <c r="M3"/>
    </row>
    <row r="4" spans="1:13" s="30" customFormat="1" x14ac:dyDescent="0.3">
      <c r="A4" s="293"/>
      <c r="B4" s="297"/>
      <c r="C4" s="297"/>
      <c r="D4" s="294"/>
      <c r="E4" s="296"/>
      <c r="F4" s="296"/>
      <c r="G4" s="296"/>
      <c r="H4" s="296"/>
      <c r="I4" s="296"/>
      <c r="J4" s="296"/>
      <c r="K4" s="296"/>
      <c r="L4" s="296"/>
      <c r="M4" s="296"/>
    </row>
    <row r="5" spans="1:13" s="29" customFormat="1" x14ac:dyDescent="0.3">
      <c r="A5" s="294"/>
      <c r="B5" s="296"/>
      <c r="C5" s="298"/>
      <c r="D5" s="294"/>
      <c r="E5" s="296"/>
      <c r="F5" s="296"/>
      <c r="G5" s="296"/>
      <c r="H5" s="296"/>
      <c r="I5" s="296"/>
      <c r="J5" s="296"/>
      <c r="K5" s="296"/>
      <c r="L5" s="296"/>
      <c r="M5" s="296"/>
    </row>
    <row r="6" spans="1:13" s="4" customFormat="1" x14ac:dyDescent="0.3">
      <c r="A6" s="294"/>
      <c r="B6" s="175" t="s">
        <v>177</v>
      </c>
      <c r="C6" s="157">
        <v>83</v>
      </c>
      <c r="D6" s="294"/>
      <c r="E6" s="296"/>
      <c r="F6" s="296"/>
      <c r="G6" s="296"/>
      <c r="H6" s="296"/>
      <c r="I6" s="296"/>
      <c r="J6" s="296"/>
      <c r="K6" s="296"/>
      <c r="L6" s="296"/>
      <c r="M6" s="296"/>
    </row>
    <row r="7" spans="1:13" s="28" customFormat="1" x14ac:dyDescent="0.3">
      <c r="A7" s="294"/>
      <c r="B7" s="175" t="s">
        <v>178</v>
      </c>
      <c r="C7" s="157">
        <v>23</v>
      </c>
      <c r="D7" s="294"/>
      <c r="E7" s="296"/>
      <c r="F7" s="296"/>
      <c r="G7" s="296"/>
      <c r="H7" s="296"/>
      <c r="I7" s="296"/>
      <c r="J7" s="296"/>
      <c r="K7" s="296"/>
      <c r="L7" s="296"/>
      <c r="M7" s="296"/>
    </row>
    <row r="8" spans="1:13" s="28" customFormat="1" x14ac:dyDescent="0.3">
      <c r="A8" s="294"/>
      <c r="B8" s="175" t="s">
        <v>425</v>
      </c>
      <c r="C8" s="157">
        <v>192</v>
      </c>
      <c r="D8" s="294"/>
      <c r="E8" s="296"/>
      <c r="F8" s="296"/>
      <c r="G8" s="296"/>
      <c r="H8" s="296"/>
      <c r="I8" s="296"/>
      <c r="J8" s="296"/>
      <c r="K8" s="296"/>
      <c r="L8" s="296"/>
      <c r="M8" s="296"/>
    </row>
    <row r="9" spans="1:13" s="28" customFormat="1" x14ac:dyDescent="0.3">
      <c r="A9" s="294"/>
      <c r="B9" s="175" t="s">
        <v>426</v>
      </c>
      <c r="C9" s="157">
        <v>102</v>
      </c>
      <c r="D9" s="294"/>
      <c r="E9" s="296"/>
      <c r="F9" s="296"/>
      <c r="G9" s="296"/>
      <c r="H9" s="296"/>
      <c r="I9" s="296"/>
      <c r="J9" s="296"/>
      <c r="K9" s="296"/>
      <c r="L9" s="296"/>
      <c r="M9" s="296"/>
    </row>
    <row r="10" spans="1:13" s="3" customFormat="1" x14ac:dyDescent="0.3">
      <c r="A10" s="294"/>
      <c r="B10" s="174" t="s">
        <v>140</v>
      </c>
      <c r="C10" s="152">
        <v>60</v>
      </c>
      <c r="D10" s="294"/>
      <c r="E10" s="296"/>
      <c r="F10" s="296"/>
      <c r="G10" s="296"/>
      <c r="H10" s="296"/>
      <c r="I10" s="296"/>
      <c r="J10" s="296"/>
      <c r="K10" s="296"/>
      <c r="L10" s="296"/>
      <c r="M10" s="296"/>
    </row>
    <row r="11" spans="1:13" s="3" customFormat="1" x14ac:dyDescent="0.3">
      <c r="A11" s="294"/>
      <c r="B11" s="174" t="s">
        <v>977</v>
      </c>
      <c r="C11" s="152">
        <v>8</v>
      </c>
      <c r="D11" s="294"/>
      <c r="E11" s="296"/>
      <c r="F11" s="296"/>
      <c r="G11" s="296"/>
      <c r="H11" s="296"/>
      <c r="I11" s="296"/>
      <c r="J11" s="296"/>
      <c r="K11" s="296"/>
      <c r="L11" s="296"/>
      <c r="M11" s="296"/>
    </row>
    <row r="12" spans="1:13" s="3" customFormat="1" x14ac:dyDescent="0.3">
      <c r="A12" s="294"/>
      <c r="B12" s="174" t="s">
        <v>427</v>
      </c>
      <c r="C12" s="152">
        <v>90</v>
      </c>
      <c r="D12" s="294"/>
      <c r="E12" s="296"/>
      <c r="F12" s="296"/>
      <c r="G12" s="296"/>
      <c r="H12" s="296"/>
      <c r="I12" s="296"/>
      <c r="J12" s="296"/>
      <c r="K12" s="296"/>
      <c r="L12" s="296"/>
      <c r="M12" s="296"/>
    </row>
    <row r="13" spans="1:13" s="3" customFormat="1" x14ac:dyDescent="0.3">
      <c r="A13" s="294"/>
      <c r="B13" s="174" t="s">
        <v>978</v>
      </c>
      <c r="C13" s="152">
        <v>11</v>
      </c>
      <c r="D13" s="294"/>
      <c r="E13" s="296"/>
      <c r="F13" s="296"/>
      <c r="G13" s="296"/>
      <c r="H13" s="296"/>
      <c r="I13" s="296"/>
      <c r="J13" s="296"/>
      <c r="K13" s="296"/>
      <c r="L13" s="296"/>
      <c r="M13" s="296"/>
    </row>
    <row r="14" spans="1:13" s="3" customFormat="1" x14ac:dyDescent="0.3">
      <c r="A14" s="294"/>
      <c r="B14" s="174" t="s">
        <v>141</v>
      </c>
      <c r="C14" s="153">
        <v>1.5</v>
      </c>
      <c r="D14" s="294"/>
      <c r="E14" s="296"/>
      <c r="F14" s="296"/>
      <c r="G14" s="296"/>
      <c r="H14" s="296"/>
      <c r="I14" s="296"/>
      <c r="J14" s="296"/>
      <c r="K14" s="296"/>
      <c r="L14" s="296"/>
      <c r="M14" s="296"/>
    </row>
    <row r="15" spans="1:13" s="3" customFormat="1" x14ac:dyDescent="0.3">
      <c r="A15" s="294"/>
      <c r="B15" s="174" t="s">
        <v>142</v>
      </c>
      <c r="C15" s="152">
        <v>16</v>
      </c>
      <c r="D15" s="294"/>
      <c r="E15" s="296"/>
      <c r="F15" s="296"/>
      <c r="G15" s="296"/>
      <c r="H15" s="296"/>
      <c r="I15" s="296"/>
      <c r="J15" s="296"/>
      <c r="K15" s="296"/>
      <c r="L15" s="296"/>
      <c r="M15" s="296"/>
    </row>
    <row r="16" spans="1:13" s="3" customFormat="1" x14ac:dyDescent="0.3">
      <c r="A16" s="294"/>
      <c r="B16" s="174" t="s">
        <v>143</v>
      </c>
      <c r="C16" s="156" t="s">
        <v>927</v>
      </c>
      <c r="D16" s="294"/>
      <c r="E16" s="296"/>
      <c r="F16" s="296"/>
      <c r="G16" s="296"/>
      <c r="H16" s="296"/>
      <c r="I16" s="296"/>
      <c r="J16" s="296"/>
      <c r="K16" s="296"/>
      <c r="L16" s="296"/>
      <c r="M16" s="296"/>
    </row>
    <row r="17" spans="1:13" s="3" customFormat="1" x14ac:dyDescent="0.3">
      <c r="A17" s="294"/>
      <c r="B17" s="174" t="s">
        <v>144</v>
      </c>
      <c r="C17" s="156" t="s">
        <v>225</v>
      </c>
      <c r="D17" s="294"/>
      <c r="E17" s="296"/>
      <c r="F17" s="296"/>
      <c r="G17" s="296"/>
      <c r="H17" s="296"/>
      <c r="I17" s="296"/>
      <c r="J17" s="296"/>
      <c r="K17" s="296"/>
      <c r="L17" s="296"/>
      <c r="M17" s="296"/>
    </row>
    <row r="18" spans="1:13" s="3" customFormat="1" x14ac:dyDescent="0.3">
      <c r="A18" s="294"/>
      <c r="B18" s="174" t="s">
        <v>147</v>
      </c>
      <c r="C18" s="152">
        <v>61</v>
      </c>
      <c r="D18" s="294"/>
      <c r="E18" s="296"/>
      <c r="F18" s="296"/>
      <c r="G18" s="296"/>
      <c r="H18" s="296"/>
      <c r="I18" s="296"/>
      <c r="J18" s="296"/>
      <c r="K18" s="296"/>
      <c r="L18" s="296"/>
      <c r="M18" s="296"/>
    </row>
    <row r="19" spans="1:13" s="3" customFormat="1" x14ac:dyDescent="0.3">
      <c r="A19" s="294"/>
      <c r="B19" s="174" t="s">
        <v>148</v>
      </c>
      <c r="C19" s="152">
        <v>31.655555555555555</v>
      </c>
      <c r="D19" s="294"/>
      <c r="E19" s="296"/>
      <c r="F19" s="296"/>
      <c r="G19" s="296"/>
      <c r="H19" s="296"/>
      <c r="I19" s="296"/>
      <c r="J19" s="296"/>
      <c r="K19" s="296"/>
      <c r="L19" s="296"/>
      <c r="M19" s="296"/>
    </row>
    <row r="20" spans="1:13" s="3" customFormat="1" x14ac:dyDescent="0.3">
      <c r="A20" s="294"/>
      <c r="B20" s="174" t="s">
        <v>247</v>
      </c>
      <c r="C20" s="156" t="s">
        <v>971</v>
      </c>
      <c r="D20" s="294"/>
      <c r="E20" s="296"/>
      <c r="F20" s="296"/>
      <c r="G20" s="296"/>
      <c r="H20" s="296"/>
      <c r="I20" s="296"/>
      <c r="J20" s="296"/>
      <c r="K20" s="296"/>
      <c r="L20" s="296"/>
      <c r="M20" s="296"/>
    </row>
    <row r="21" spans="1:13" s="3" customFormat="1" x14ac:dyDescent="0.3">
      <c r="A21" s="294"/>
      <c r="B21" s="174" t="s">
        <v>248</v>
      </c>
      <c r="C21" s="156" t="s">
        <v>976</v>
      </c>
      <c r="D21" s="294"/>
      <c r="E21" s="296"/>
      <c r="F21" s="296"/>
      <c r="G21" s="296"/>
      <c r="H21" s="296"/>
      <c r="I21" s="296"/>
      <c r="J21" s="296"/>
      <c r="K21" s="296"/>
      <c r="L21" s="296"/>
      <c r="M21" s="296"/>
    </row>
    <row r="22" spans="1:13" s="3" customFormat="1" x14ac:dyDescent="0.3">
      <c r="A22" s="294"/>
      <c r="B22" s="174" t="s">
        <v>769</v>
      </c>
      <c r="C22" s="155">
        <v>1673</v>
      </c>
      <c r="D22" s="294"/>
      <c r="E22" s="296"/>
      <c r="F22" s="296"/>
      <c r="G22" s="296"/>
      <c r="H22" s="296"/>
      <c r="I22" s="296"/>
      <c r="J22" s="296"/>
      <c r="K22" s="296"/>
      <c r="L22" s="296"/>
      <c r="M22" s="296"/>
    </row>
    <row r="23" spans="1:13" s="27" customFormat="1" x14ac:dyDescent="0.3">
      <c r="A23" s="294"/>
      <c r="B23" s="174" t="s">
        <v>770</v>
      </c>
      <c r="C23" s="155">
        <v>2046.551282051282</v>
      </c>
      <c r="D23" s="294"/>
      <c r="E23" s="296"/>
      <c r="F23" s="296"/>
      <c r="G23" s="296"/>
      <c r="H23" s="296"/>
      <c r="I23" s="296"/>
      <c r="J23" s="296"/>
      <c r="K23" s="296"/>
      <c r="L23" s="296"/>
      <c r="M23" s="296"/>
    </row>
    <row r="24" spans="1:13" s="27" customFormat="1" x14ac:dyDescent="0.3">
      <c r="A24" s="294"/>
      <c r="B24" s="174" t="s">
        <v>145</v>
      </c>
      <c r="C24" s="154">
        <v>12300</v>
      </c>
      <c r="D24" s="294"/>
      <c r="E24" s="296"/>
      <c r="F24" s="296"/>
      <c r="G24" s="296"/>
      <c r="H24" s="296"/>
      <c r="I24" s="296"/>
      <c r="J24" s="296"/>
      <c r="K24" s="296"/>
      <c r="L24" s="296"/>
      <c r="M24" s="296"/>
    </row>
    <row r="25" spans="1:13" s="27" customFormat="1" x14ac:dyDescent="0.3">
      <c r="A25" s="294"/>
      <c r="B25" s="174" t="s">
        <v>146</v>
      </c>
      <c r="C25" s="154">
        <v>-11100</v>
      </c>
      <c r="D25" s="294"/>
      <c r="E25" s="296"/>
      <c r="F25" s="296"/>
      <c r="G25" s="296"/>
      <c r="H25" s="296"/>
      <c r="I25" s="296"/>
      <c r="J25" s="296"/>
      <c r="K25" s="296"/>
      <c r="L25" s="296"/>
      <c r="M25" s="296"/>
    </row>
    <row r="26" spans="1:13" s="28" customFormat="1" x14ac:dyDescent="0.3">
      <c r="A26" s="294"/>
      <c r="B26" s="174" t="s">
        <v>428</v>
      </c>
      <c r="C26" s="154">
        <v>1200</v>
      </c>
      <c r="D26" s="294"/>
      <c r="E26" s="296"/>
      <c r="F26" s="296"/>
      <c r="G26" s="296"/>
      <c r="H26" s="296"/>
      <c r="I26" s="296"/>
      <c r="J26" s="296"/>
      <c r="K26" s="296"/>
      <c r="L26" s="296"/>
      <c r="M26" s="296"/>
    </row>
    <row r="27" spans="1:13" x14ac:dyDescent="0.3">
      <c r="A27" s="294"/>
      <c r="B27" s="296"/>
      <c r="C27" s="296"/>
      <c r="D27" s="294"/>
      <c r="E27" s="296"/>
      <c r="F27" s="296"/>
      <c r="G27" s="296"/>
      <c r="H27" s="296"/>
      <c r="I27" s="296"/>
      <c r="J27" s="296"/>
      <c r="K27" s="296"/>
      <c r="L27" s="296"/>
      <c r="M27" s="296"/>
    </row>
    <row r="28" spans="1:13" s="30" customFormat="1" x14ac:dyDescent="0.3">
      <c r="A28" s="295"/>
      <c r="B28" s="299"/>
      <c r="C28" s="299"/>
      <c r="D28" s="294"/>
      <c r="E28" s="296"/>
      <c r="F28" s="296"/>
      <c r="G28" s="296"/>
      <c r="H28" s="296"/>
      <c r="I28" s="296"/>
      <c r="J28" s="296"/>
      <c r="K28" s="296"/>
      <c r="L28" s="296"/>
      <c r="M28" s="296"/>
    </row>
    <row r="30" spans="1:13" x14ac:dyDescent="0.3">
      <c r="A30" s="260" t="s">
        <v>239</v>
      </c>
      <c r="B30" s="260"/>
      <c r="C30" s="260"/>
      <c r="D30" s="260"/>
      <c r="E30" s="260"/>
      <c r="F30" s="260"/>
      <c r="G30" s="260"/>
      <c r="H30" s="260"/>
      <c r="I30" s="260"/>
      <c r="J30" s="260"/>
      <c r="K30" s="260"/>
      <c r="L30" s="260"/>
      <c r="M30" s="260"/>
    </row>
    <row r="31" spans="1:13" x14ac:dyDescent="0.3">
      <c r="A31" s="260"/>
      <c r="B31" s="260"/>
      <c r="C31" s="260"/>
      <c r="D31" s="260"/>
      <c r="E31" s="260"/>
      <c r="F31" s="260"/>
      <c r="G31" s="260"/>
      <c r="H31" s="260"/>
      <c r="I31" s="260"/>
      <c r="J31" s="260"/>
      <c r="K31" s="260"/>
      <c r="L31" s="260"/>
      <c r="M31" s="260"/>
    </row>
    <row r="32" spans="1:13" x14ac:dyDescent="0.3">
      <c r="A32" s="226" t="s">
        <v>244</v>
      </c>
      <c r="B32" s="226"/>
      <c r="C32" s="226"/>
      <c r="D32" s="226"/>
      <c r="E32" s="226"/>
      <c r="F32" s="226"/>
      <c r="G32" s="226"/>
      <c r="H32" s="226"/>
      <c r="I32" s="226"/>
      <c r="J32" s="226"/>
      <c r="K32" s="226"/>
      <c r="L32" s="226"/>
      <c r="M32" s="226"/>
    </row>
    <row r="33" spans="1:13" x14ac:dyDescent="0.3">
      <c r="B33" s="8" t="s">
        <v>414</v>
      </c>
      <c r="C33" s="219" t="s">
        <v>152</v>
      </c>
      <c r="D33" s="219" t="s">
        <v>515</v>
      </c>
      <c r="E33" s="1" t="s">
        <v>514</v>
      </c>
      <c r="F33" s="1" t="s">
        <v>615</v>
      </c>
      <c r="G33" s="219" t="s">
        <v>517</v>
      </c>
      <c r="H33" s="219" t="s">
        <v>516</v>
      </c>
      <c r="I33" s="8" t="s">
        <v>450</v>
      </c>
      <c r="J33" s="8" t="s">
        <v>783</v>
      </c>
      <c r="K33" s="8" t="s">
        <v>145</v>
      </c>
      <c r="L33" s="8" t="s">
        <v>146</v>
      </c>
      <c r="M33" s="8" t="s">
        <v>428</v>
      </c>
    </row>
    <row r="34" spans="1:13" x14ac:dyDescent="0.3">
      <c r="A34" s="34">
        <v>1</v>
      </c>
      <c r="B34" s="31" t="s">
        <v>982</v>
      </c>
      <c r="C34" s="2" t="s">
        <v>1070</v>
      </c>
      <c r="D34" s="32" t="s">
        <v>983</v>
      </c>
      <c r="E34" s="158" t="s">
        <v>228</v>
      </c>
      <c r="F34" s="158" t="s">
        <v>614</v>
      </c>
      <c r="G34" s="2" t="s">
        <v>505</v>
      </c>
      <c r="H34" s="2" t="s">
        <v>465</v>
      </c>
      <c r="I34" s="31" t="s">
        <v>463</v>
      </c>
      <c r="J34" s="31" t="s">
        <v>800</v>
      </c>
      <c r="K34" s="159">
        <v>150</v>
      </c>
      <c r="L34" s="159">
        <v>-150</v>
      </c>
      <c r="M34" s="159">
        <v>0</v>
      </c>
    </row>
    <row r="35" spans="1:13" x14ac:dyDescent="0.3">
      <c r="A35" s="34">
        <v>2</v>
      </c>
      <c r="B35" s="31" t="s">
        <v>957</v>
      </c>
      <c r="C35" s="2" t="s">
        <v>1071</v>
      </c>
      <c r="D35" s="32" t="s">
        <v>958</v>
      </c>
      <c r="E35" s="158" t="s">
        <v>228</v>
      </c>
      <c r="F35" s="158" t="s">
        <v>959</v>
      </c>
      <c r="G35" s="2" t="s">
        <v>507</v>
      </c>
      <c r="H35" s="2" t="s">
        <v>465</v>
      </c>
      <c r="I35" s="31" t="s">
        <v>463</v>
      </c>
      <c r="J35" s="31" t="s">
        <v>800</v>
      </c>
      <c r="K35" s="159">
        <v>125</v>
      </c>
      <c r="L35" s="159">
        <v>-100</v>
      </c>
      <c r="M35" s="159">
        <v>25</v>
      </c>
    </row>
    <row r="36" spans="1:13" x14ac:dyDescent="0.3">
      <c r="A36" s="34">
        <v>3</v>
      </c>
      <c r="B36" s="31" t="s">
        <v>928</v>
      </c>
      <c r="C36" s="2" t="s">
        <v>1072</v>
      </c>
      <c r="D36" s="32" t="s">
        <v>1174</v>
      </c>
      <c r="E36" s="158" t="s">
        <v>228</v>
      </c>
      <c r="F36" s="158" t="s">
        <v>929</v>
      </c>
      <c r="G36" s="2" t="s">
        <v>508</v>
      </c>
      <c r="H36" s="2" t="s">
        <v>465</v>
      </c>
      <c r="I36" s="31" t="s">
        <v>463</v>
      </c>
      <c r="J36" s="31" t="s">
        <v>800</v>
      </c>
      <c r="K36" s="159">
        <v>125</v>
      </c>
      <c r="L36" s="159">
        <v>-100</v>
      </c>
      <c r="M36" s="159">
        <v>25</v>
      </c>
    </row>
    <row r="37" spans="1:13" x14ac:dyDescent="0.3">
      <c r="A37" s="34">
        <v>4</v>
      </c>
      <c r="B37" s="31" t="s">
        <v>930</v>
      </c>
      <c r="C37" s="2" t="s">
        <v>1073</v>
      </c>
      <c r="D37" s="32" t="s">
        <v>931</v>
      </c>
      <c r="E37" s="158" t="s">
        <v>228</v>
      </c>
      <c r="F37" s="158" t="s">
        <v>932</v>
      </c>
      <c r="G37" s="2" t="s">
        <v>510</v>
      </c>
      <c r="H37" s="2" t="s">
        <v>465</v>
      </c>
      <c r="I37" s="31" t="s">
        <v>463</v>
      </c>
      <c r="J37" s="31" t="s">
        <v>800</v>
      </c>
      <c r="K37" s="159">
        <v>125</v>
      </c>
      <c r="L37" s="159">
        <v>-100</v>
      </c>
      <c r="M37" s="159">
        <v>25</v>
      </c>
    </row>
    <row r="38" spans="1:13" x14ac:dyDescent="0.3">
      <c r="A38" s="34">
        <v>5</v>
      </c>
      <c r="B38" s="31" t="s">
        <v>933</v>
      </c>
      <c r="C38" s="2" t="s">
        <v>1074</v>
      </c>
      <c r="D38" s="32" t="s">
        <v>934</v>
      </c>
      <c r="E38" s="158" t="s">
        <v>228</v>
      </c>
      <c r="F38" s="158" t="s">
        <v>960</v>
      </c>
      <c r="G38" s="2" t="s">
        <v>507</v>
      </c>
      <c r="H38" s="2" t="s">
        <v>465</v>
      </c>
      <c r="I38" s="31" t="s">
        <v>463</v>
      </c>
      <c r="J38" s="31" t="s">
        <v>800</v>
      </c>
      <c r="K38" s="159">
        <v>125</v>
      </c>
      <c r="L38" s="159">
        <v>-100</v>
      </c>
      <c r="M38" s="159">
        <v>25</v>
      </c>
    </row>
    <row r="39" spans="1:13" x14ac:dyDescent="0.3">
      <c r="A39" s="34">
        <v>6</v>
      </c>
      <c r="B39" s="31" t="s">
        <v>935</v>
      </c>
      <c r="C39" s="2" t="s">
        <v>1075</v>
      </c>
      <c r="D39" s="32" t="s">
        <v>936</v>
      </c>
      <c r="E39" s="158" t="s">
        <v>228</v>
      </c>
      <c r="F39" s="158" t="s">
        <v>937</v>
      </c>
      <c r="G39" s="2" t="s">
        <v>507</v>
      </c>
      <c r="H39" s="2" t="s">
        <v>465</v>
      </c>
      <c r="I39" s="31" t="s">
        <v>463</v>
      </c>
      <c r="J39" s="31" t="s">
        <v>800</v>
      </c>
      <c r="K39" s="159">
        <v>125</v>
      </c>
      <c r="L39" s="159">
        <v>-100</v>
      </c>
      <c r="M39" s="159">
        <v>25</v>
      </c>
    </row>
    <row r="40" spans="1:13" x14ac:dyDescent="0.3">
      <c r="A40" s="34">
        <v>7</v>
      </c>
      <c r="B40" s="31" t="s">
        <v>906</v>
      </c>
      <c r="C40" s="2" t="s">
        <v>1076</v>
      </c>
      <c r="D40" s="32" t="s">
        <v>907</v>
      </c>
      <c r="E40" s="158" t="s">
        <v>228</v>
      </c>
      <c r="F40" s="158" t="s">
        <v>908</v>
      </c>
      <c r="G40" s="2" t="s">
        <v>505</v>
      </c>
      <c r="H40" s="2" t="s">
        <v>465</v>
      </c>
      <c r="I40" s="31" t="s">
        <v>463</v>
      </c>
      <c r="J40" s="31" t="s">
        <v>800</v>
      </c>
      <c r="K40" s="159">
        <v>125</v>
      </c>
      <c r="L40" s="159">
        <v>-100</v>
      </c>
      <c r="M40" s="159">
        <v>25</v>
      </c>
    </row>
    <row r="41" spans="1:13" x14ac:dyDescent="0.3">
      <c r="A41" s="34">
        <v>8</v>
      </c>
      <c r="B41" s="31" t="s">
        <v>817</v>
      </c>
      <c r="C41" s="2" t="s">
        <v>1077</v>
      </c>
      <c r="D41" s="32" t="s">
        <v>802</v>
      </c>
      <c r="E41" s="158" t="s">
        <v>228</v>
      </c>
      <c r="F41" s="158" t="s">
        <v>803</v>
      </c>
      <c r="G41" s="2" t="s">
        <v>804</v>
      </c>
      <c r="H41" s="2" t="s">
        <v>465</v>
      </c>
      <c r="I41" s="31" t="s">
        <v>463</v>
      </c>
      <c r="J41" s="31" t="s">
        <v>800</v>
      </c>
      <c r="K41" s="159">
        <v>125</v>
      </c>
      <c r="L41" s="159">
        <v>-100</v>
      </c>
      <c r="M41" s="159">
        <v>25</v>
      </c>
    </row>
    <row r="42" spans="1:13" x14ac:dyDescent="0.3">
      <c r="A42" s="34">
        <v>9</v>
      </c>
      <c r="B42" s="31" t="s">
        <v>818</v>
      </c>
      <c r="C42" s="2" t="s">
        <v>1078</v>
      </c>
      <c r="D42" s="32" t="s">
        <v>789</v>
      </c>
      <c r="E42" s="158" t="s">
        <v>228</v>
      </c>
      <c r="F42" s="158" t="s">
        <v>614</v>
      </c>
      <c r="G42" s="2" t="s">
        <v>799</v>
      </c>
      <c r="H42" s="2" t="s">
        <v>465</v>
      </c>
      <c r="I42" s="31" t="s">
        <v>463</v>
      </c>
      <c r="J42" s="31" t="s">
        <v>800</v>
      </c>
      <c r="K42" s="159">
        <v>275</v>
      </c>
      <c r="L42" s="159">
        <v>-250</v>
      </c>
      <c r="M42" s="159">
        <v>25</v>
      </c>
    </row>
    <row r="43" spans="1:13" x14ac:dyDescent="0.3">
      <c r="A43" s="34">
        <v>10</v>
      </c>
      <c r="B43" s="31" t="s">
        <v>819</v>
      </c>
      <c r="C43" s="2" t="s">
        <v>1079</v>
      </c>
      <c r="D43" s="32" t="s">
        <v>781</v>
      </c>
      <c r="E43" s="158" t="s">
        <v>228</v>
      </c>
      <c r="F43" s="158" t="s">
        <v>556</v>
      </c>
      <c r="G43" s="2" t="s">
        <v>502</v>
      </c>
      <c r="H43" s="2" t="s">
        <v>465</v>
      </c>
      <c r="I43" s="31" t="s">
        <v>463</v>
      </c>
      <c r="J43" s="31" t="s">
        <v>800</v>
      </c>
      <c r="K43" s="159">
        <v>275</v>
      </c>
      <c r="L43" s="159">
        <v>-250</v>
      </c>
      <c r="M43" s="159">
        <v>25</v>
      </c>
    </row>
    <row r="44" spans="1:13" x14ac:dyDescent="0.3">
      <c r="A44" s="34">
        <v>11</v>
      </c>
      <c r="B44" s="31" t="s">
        <v>1082</v>
      </c>
      <c r="C44" s="2" t="s">
        <v>1083</v>
      </c>
      <c r="D44" s="32" t="s">
        <v>1084</v>
      </c>
      <c r="E44" s="158" t="s">
        <v>228</v>
      </c>
      <c r="F44" s="158" t="s">
        <v>1085</v>
      </c>
      <c r="G44" s="2" t="s">
        <v>1086</v>
      </c>
      <c r="H44" s="2" t="s">
        <v>465</v>
      </c>
      <c r="I44" s="31" t="s">
        <v>1069</v>
      </c>
      <c r="J44" s="31" t="s">
        <v>800</v>
      </c>
      <c r="K44" s="159"/>
      <c r="L44" s="159"/>
      <c r="M44" s="159"/>
    </row>
    <row r="45" spans="1:13" x14ac:dyDescent="0.3">
      <c r="A45" s="34">
        <v>12</v>
      </c>
      <c r="B45" s="31" t="s">
        <v>820</v>
      </c>
      <c r="C45" s="2" t="s">
        <v>1080</v>
      </c>
      <c r="D45" s="32" t="s">
        <v>1171</v>
      </c>
      <c r="E45" s="158" t="s">
        <v>228</v>
      </c>
      <c r="F45" s="158" t="s">
        <v>732</v>
      </c>
      <c r="G45" s="2" t="s">
        <v>502</v>
      </c>
      <c r="H45" s="2" t="s">
        <v>465</v>
      </c>
      <c r="I45" s="31" t="s">
        <v>463</v>
      </c>
      <c r="J45" s="31" t="s">
        <v>800</v>
      </c>
      <c r="K45" s="159">
        <v>125</v>
      </c>
      <c r="L45" s="159">
        <v>-100</v>
      </c>
      <c r="M45" s="159">
        <v>25</v>
      </c>
    </row>
    <row r="46" spans="1:13" x14ac:dyDescent="0.3">
      <c r="A46" s="34">
        <v>13</v>
      </c>
      <c r="B46" s="31" t="s">
        <v>821</v>
      </c>
      <c r="C46" s="2" t="s">
        <v>1087</v>
      </c>
      <c r="D46" s="32" t="s">
        <v>641</v>
      </c>
      <c r="E46" s="158" t="s">
        <v>228</v>
      </c>
      <c r="F46" s="158" t="s">
        <v>642</v>
      </c>
      <c r="G46" s="2" t="s">
        <v>607</v>
      </c>
      <c r="H46" s="2" t="s">
        <v>465</v>
      </c>
      <c r="I46" s="31" t="s">
        <v>1081</v>
      </c>
      <c r="J46" s="31" t="s">
        <v>800</v>
      </c>
      <c r="K46" s="159">
        <v>275</v>
      </c>
      <c r="L46" s="159">
        <v>-250</v>
      </c>
      <c r="M46" s="159">
        <v>25</v>
      </c>
    </row>
    <row r="47" spans="1:13" x14ac:dyDescent="0.3">
      <c r="A47" s="34">
        <v>14</v>
      </c>
      <c r="B47" s="31" t="s">
        <v>822</v>
      </c>
      <c r="C47" s="2" t="s">
        <v>1088</v>
      </c>
      <c r="D47" s="32" t="s">
        <v>1172</v>
      </c>
      <c r="E47" s="158" t="s">
        <v>228</v>
      </c>
      <c r="F47" s="158" t="s">
        <v>633</v>
      </c>
      <c r="G47" s="2" t="s">
        <v>502</v>
      </c>
      <c r="H47" s="2" t="s">
        <v>465</v>
      </c>
      <c r="I47" s="31" t="s">
        <v>1081</v>
      </c>
      <c r="J47" s="31" t="s">
        <v>800</v>
      </c>
      <c r="K47" s="159">
        <v>275</v>
      </c>
      <c r="L47" s="159">
        <v>-250</v>
      </c>
      <c r="M47" s="159">
        <v>25</v>
      </c>
    </row>
    <row r="48" spans="1:13" x14ac:dyDescent="0.3">
      <c r="A48" s="34">
        <v>15</v>
      </c>
      <c r="B48" s="31" t="s">
        <v>1089</v>
      </c>
      <c r="C48" s="2" t="s">
        <v>1090</v>
      </c>
      <c r="D48" s="32" t="s">
        <v>1091</v>
      </c>
      <c r="E48" s="158" t="s">
        <v>228</v>
      </c>
      <c r="F48" s="158" t="s">
        <v>1092</v>
      </c>
      <c r="G48" s="2" t="s">
        <v>508</v>
      </c>
      <c r="H48" s="2" t="s">
        <v>465</v>
      </c>
      <c r="I48" s="31" t="s">
        <v>1069</v>
      </c>
      <c r="J48" s="31" t="s">
        <v>801</v>
      </c>
      <c r="K48" s="159"/>
      <c r="L48" s="159"/>
      <c r="M48" s="159"/>
    </row>
    <row r="49" spans="1:13" x14ac:dyDescent="0.3">
      <c r="A49" s="34">
        <v>16</v>
      </c>
      <c r="B49" s="31" t="s">
        <v>823</v>
      </c>
      <c r="C49" s="2" t="s">
        <v>1093</v>
      </c>
      <c r="D49" s="32" t="s">
        <v>634</v>
      </c>
      <c r="E49" s="158" t="s">
        <v>228</v>
      </c>
      <c r="F49" s="158" t="s">
        <v>650</v>
      </c>
      <c r="G49" s="2" t="s">
        <v>507</v>
      </c>
      <c r="H49" s="2" t="s">
        <v>465</v>
      </c>
      <c r="I49" s="31" t="s">
        <v>1094</v>
      </c>
      <c r="J49" s="31" t="s">
        <v>800</v>
      </c>
      <c r="K49" s="159">
        <v>150</v>
      </c>
      <c r="L49" s="159">
        <v>-150</v>
      </c>
      <c r="M49" s="159">
        <v>0</v>
      </c>
    </row>
    <row r="50" spans="1:13" x14ac:dyDescent="0.3">
      <c r="A50" s="34">
        <v>17</v>
      </c>
      <c r="B50" s="31" t="s">
        <v>824</v>
      </c>
      <c r="C50" s="2" t="s">
        <v>1095</v>
      </c>
      <c r="D50" s="32" t="s">
        <v>621</v>
      </c>
      <c r="E50" s="158" t="s">
        <v>228</v>
      </c>
      <c r="F50" s="158" t="s">
        <v>622</v>
      </c>
      <c r="G50" s="2" t="s">
        <v>623</v>
      </c>
      <c r="H50" s="2" t="s">
        <v>465</v>
      </c>
      <c r="I50" s="31" t="s">
        <v>1081</v>
      </c>
      <c r="J50" s="31" t="s">
        <v>800</v>
      </c>
      <c r="K50" s="159">
        <v>125</v>
      </c>
      <c r="L50" s="159">
        <v>-100</v>
      </c>
      <c r="M50" s="159">
        <v>25</v>
      </c>
    </row>
    <row r="51" spans="1:13" x14ac:dyDescent="0.3">
      <c r="A51" s="34">
        <v>18</v>
      </c>
      <c r="B51" s="31" t="s">
        <v>825</v>
      </c>
      <c r="C51" s="2" t="s">
        <v>1096</v>
      </c>
      <c r="D51" s="32" t="s">
        <v>605</v>
      </c>
      <c r="E51" s="158" t="s">
        <v>228</v>
      </c>
      <c r="F51" s="158" t="s">
        <v>606</v>
      </c>
      <c r="G51" s="2" t="s">
        <v>607</v>
      </c>
      <c r="H51" s="2" t="s">
        <v>465</v>
      </c>
      <c r="I51" s="31" t="s">
        <v>1081</v>
      </c>
      <c r="J51" s="31" t="s">
        <v>800</v>
      </c>
      <c r="K51" s="159">
        <v>275</v>
      </c>
      <c r="L51" s="159">
        <v>-250</v>
      </c>
      <c r="M51" s="159">
        <v>25</v>
      </c>
    </row>
    <row r="52" spans="1:13" x14ac:dyDescent="0.3">
      <c r="A52" s="34">
        <v>19</v>
      </c>
      <c r="B52" s="31" t="s">
        <v>826</v>
      </c>
      <c r="C52" s="2" t="s">
        <v>1097</v>
      </c>
      <c r="D52" s="32" t="s">
        <v>608</v>
      </c>
      <c r="E52" s="158" t="s">
        <v>228</v>
      </c>
      <c r="F52" s="158" t="s">
        <v>609</v>
      </c>
      <c r="G52" s="2" t="s">
        <v>607</v>
      </c>
      <c r="H52" s="2" t="s">
        <v>465</v>
      </c>
      <c r="I52" s="31" t="s">
        <v>1081</v>
      </c>
      <c r="J52" s="31" t="s">
        <v>800</v>
      </c>
      <c r="K52" s="159">
        <v>275</v>
      </c>
      <c r="L52" s="159">
        <v>-250</v>
      </c>
      <c r="M52" s="159">
        <v>25</v>
      </c>
    </row>
    <row r="53" spans="1:13" x14ac:dyDescent="0.3">
      <c r="A53" s="34">
        <v>20</v>
      </c>
      <c r="B53" s="31" t="s">
        <v>827</v>
      </c>
      <c r="C53" s="2" t="s">
        <v>1098</v>
      </c>
      <c r="D53" s="32" t="s">
        <v>595</v>
      </c>
      <c r="E53" s="158" t="s">
        <v>228</v>
      </c>
      <c r="F53" s="158" t="s">
        <v>596</v>
      </c>
      <c r="G53" s="2" t="s">
        <v>597</v>
      </c>
      <c r="H53" s="2" t="s">
        <v>465</v>
      </c>
      <c r="I53" s="31" t="s">
        <v>1081</v>
      </c>
      <c r="J53" s="31" t="s">
        <v>800</v>
      </c>
      <c r="K53" s="159">
        <v>275</v>
      </c>
      <c r="L53" s="159">
        <v>-250</v>
      </c>
      <c r="M53" s="159">
        <v>25</v>
      </c>
    </row>
    <row r="54" spans="1:13" x14ac:dyDescent="0.3">
      <c r="A54" s="34">
        <v>21</v>
      </c>
      <c r="B54" s="31" t="s">
        <v>828</v>
      </c>
      <c r="C54" s="2" t="s">
        <v>1099</v>
      </c>
      <c r="D54" s="32" t="s">
        <v>598</v>
      </c>
      <c r="E54" s="158" t="s">
        <v>228</v>
      </c>
      <c r="F54" s="158" t="s">
        <v>599</v>
      </c>
      <c r="G54" s="2" t="s">
        <v>600</v>
      </c>
      <c r="H54" s="2" t="s">
        <v>465</v>
      </c>
      <c r="I54" s="31" t="s">
        <v>1081</v>
      </c>
      <c r="J54" s="31" t="s">
        <v>800</v>
      </c>
      <c r="K54" s="159">
        <v>275</v>
      </c>
      <c r="L54" s="159">
        <v>-250</v>
      </c>
      <c r="M54" s="159">
        <v>25</v>
      </c>
    </row>
    <row r="55" spans="1:13" x14ac:dyDescent="0.3">
      <c r="A55" s="34">
        <v>22</v>
      </c>
      <c r="B55" s="31" t="s">
        <v>829</v>
      </c>
      <c r="C55" s="2" t="s">
        <v>1100</v>
      </c>
      <c r="D55" s="32" t="s">
        <v>581</v>
      </c>
      <c r="E55" s="158" t="s">
        <v>229</v>
      </c>
      <c r="F55" s="158" t="s">
        <v>582</v>
      </c>
      <c r="G55" s="2" t="s">
        <v>507</v>
      </c>
      <c r="H55" s="2" t="s">
        <v>465</v>
      </c>
      <c r="I55" s="31" t="s">
        <v>1081</v>
      </c>
      <c r="J55" s="31" t="s">
        <v>800</v>
      </c>
      <c r="K55" s="159">
        <v>150</v>
      </c>
      <c r="L55" s="159">
        <v>-150</v>
      </c>
      <c r="M55" s="159">
        <v>0</v>
      </c>
    </row>
    <row r="56" spans="1:13" x14ac:dyDescent="0.3">
      <c r="A56" s="34">
        <v>23</v>
      </c>
      <c r="B56" s="31" t="s">
        <v>830</v>
      </c>
      <c r="C56" s="2" t="s">
        <v>1101</v>
      </c>
      <c r="D56" s="32" t="s">
        <v>577</v>
      </c>
      <c r="E56" s="158" t="s">
        <v>229</v>
      </c>
      <c r="F56" s="158" t="s">
        <v>578</v>
      </c>
      <c r="G56" s="2" t="s">
        <v>507</v>
      </c>
      <c r="H56" s="2" t="s">
        <v>465</v>
      </c>
      <c r="I56" s="31" t="s">
        <v>1081</v>
      </c>
      <c r="J56" s="31" t="s">
        <v>800</v>
      </c>
      <c r="K56" s="159">
        <v>150</v>
      </c>
      <c r="L56" s="159">
        <v>-150</v>
      </c>
      <c r="M56" s="159">
        <v>0</v>
      </c>
    </row>
    <row r="57" spans="1:13" x14ac:dyDescent="0.3">
      <c r="A57" s="34">
        <v>24</v>
      </c>
      <c r="B57" s="31" t="s">
        <v>831</v>
      </c>
      <c r="C57" s="2" t="s">
        <v>1102</v>
      </c>
      <c r="D57" s="32" t="s">
        <v>572</v>
      </c>
      <c r="E57" s="158" t="s">
        <v>228</v>
      </c>
      <c r="F57" s="158" t="s">
        <v>651</v>
      </c>
      <c r="G57" s="2" t="s">
        <v>507</v>
      </c>
      <c r="H57" s="2" t="s">
        <v>465</v>
      </c>
      <c r="I57" s="31" t="s">
        <v>1081</v>
      </c>
      <c r="J57" s="31" t="s">
        <v>800</v>
      </c>
      <c r="K57" s="159">
        <v>275</v>
      </c>
      <c r="L57" s="159">
        <v>-250</v>
      </c>
      <c r="M57" s="159">
        <v>25</v>
      </c>
    </row>
    <row r="58" spans="1:13" x14ac:dyDescent="0.3">
      <c r="A58" s="34">
        <v>25</v>
      </c>
      <c r="B58" s="31" t="s">
        <v>832</v>
      </c>
      <c r="C58" s="2" t="s">
        <v>1103</v>
      </c>
      <c r="D58" s="32" t="s">
        <v>535</v>
      </c>
      <c r="E58" s="158" t="s">
        <v>228</v>
      </c>
      <c r="F58" s="158" t="s">
        <v>539</v>
      </c>
      <c r="G58" s="2" t="s">
        <v>505</v>
      </c>
      <c r="H58" s="2" t="s">
        <v>465</v>
      </c>
      <c r="I58" s="31" t="s">
        <v>1081</v>
      </c>
      <c r="J58" s="31" t="s">
        <v>800</v>
      </c>
      <c r="K58" s="159">
        <v>150</v>
      </c>
      <c r="L58" s="159">
        <v>-150</v>
      </c>
      <c r="M58" s="159">
        <v>0</v>
      </c>
    </row>
    <row r="59" spans="1:13" x14ac:dyDescent="0.3">
      <c r="A59" s="34">
        <v>26</v>
      </c>
      <c r="B59" s="31" t="s">
        <v>833</v>
      </c>
      <c r="C59" s="2" t="s">
        <v>1104</v>
      </c>
      <c r="D59" s="32" t="s">
        <v>527</v>
      </c>
      <c r="E59" s="158" t="s">
        <v>228</v>
      </c>
      <c r="F59" s="158" t="s">
        <v>540</v>
      </c>
      <c r="G59" s="2" t="s">
        <v>507</v>
      </c>
      <c r="H59" s="2" t="s">
        <v>465</v>
      </c>
      <c r="I59" s="31" t="s">
        <v>1081</v>
      </c>
      <c r="J59" s="31" t="s">
        <v>800</v>
      </c>
      <c r="K59" s="159">
        <v>275</v>
      </c>
      <c r="L59" s="159">
        <v>-250</v>
      </c>
      <c r="M59" s="159">
        <v>25</v>
      </c>
    </row>
    <row r="60" spans="1:13" x14ac:dyDescent="0.3">
      <c r="A60" s="34">
        <v>27</v>
      </c>
      <c r="B60" s="31" t="s">
        <v>834</v>
      </c>
      <c r="C60" s="2" t="s">
        <v>1105</v>
      </c>
      <c r="D60" s="32" t="s">
        <v>528</v>
      </c>
      <c r="E60" s="158" t="s">
        <v>228</v>
      </c>
      <c r="F60" s="158" t="s">
        <v>541</v>
      </c>
      <c r="G60" s="2" t="s">
        <v>506</v>
      </c>
      <c r="H60" s="2" t="s">
        <v>465</v>
      </c>
      <c r="I60" s="31" t="s">
        <v>1081</v>
      </c>
      <c r="J60" s="31" t="s">
        <v>800</v>
      </c>
      <c r="K60" s="159">
        <v>275</v>
      </c>
      <c r="L60" s="159">
        <v>-250</v>
      </c>
      <c r="M60" s="159">
        <v>25</v>
      </c>
    </row>
    <row r="61" spans="1:13" x14ac:dyDescent="0.3">
      <c r="A61" s="34">
        <v>28</v>
      </c>
      <c r="B61" s="31" t="s">
        <v>835</v>
      </c>
      <c r="C61" s="2" t="s">
        <v>1106</v>
      </c>
      <c r="D61" s="32" t="s">
        <v>784</v>
      </c>
      <c r="E61" s="158" t="s">
        <v>228</v>
      </c>
      <c r="F61" s="158" t="s">
        <v>542</v>
      </c>
      <c r="G61" s="2" t="s">
        <v>507</v>
      </c>
      <c r="H61" s="2" t="s">
        <v>465</v>
      </c>
      <c r="I61" s="31" t="s">
        <v>1081</v>
      </c>
      <c r="J61" s="31" t="s">
        <v>800</v>
      </c>
      <c r="K61" s="159">
        <v>150</v>
      </c>
      <c r="L61" s="159">
        <v>-150</v>
      </c>
      <c r="M61" s="159">
        <v>0</v>
      </c>
    </row>
    <row r="62" spans="1:13" x14ac:dyDescent="0.3">
      <c r="A62" s="34">
        <v>29</v>
      </c>
      <c r="B62" s="31" t="s">
        <v>836</v>
      </c>
      <c r="C62" s="2" t="s">
        <v>1107</v>
      </c>
      <c r="D62" s="32" t="s">
        <v>474</v>
      </c>
      <c r="E62" s="158" t="s">
        <v>229</v>
      </c>
      <c r="F62" s="158" t="s">
        <v>614</v>
      </c>
      <c r="G62" s="2" t="s">
        <v>501</v>
      </c>
      <c r="H62" s="2" t="s">
        <v>464</v>
      </c>
      <c r="I62" s="31" t="s">
        <v>1081</v>
      </c>
      <c r="J62" s="31" t="s">
        <v>800</v>
      </c>
      <c r="K62" s="159">
        <v>150</v>
      </c>
      <c r="L62" s="159">
        <v>-150</v>
      </c>
      <c r="M62" s="159">
        <v>0</v>
      </c>
    </row>
    <row r="63" spans="1:13" x14ac:dyDescent="0.3">
      <c r="A63" s="34">
        <v>30</v>
      </c>
      <c r="B63" s="31" t="s">
        <v>836</v>
      </c>
      <c r="C63" s="2" t="s">
        <v>1108</v>
      </c>
      <c r="D63" s="32" t="s">
        <v>1175</v>
      </c>
      <c r="E63" s="158" t="s">
        <v>229</v>
      </c>
      <c r="F63" s="158" t="s">
        <v>614</v>
      </c>
      <c r="G63" s="2" t="s">
        <v>501</v>
      </c>
      <c r="H63" s="2" t="s">
        <v>464</v>
      </c>
      <c r="I63" s="31" t="s">
        <v>1081</v>
      </c>
      <c r="J63" s="31" t="s">
        <v>800</v>
      </c>
      <c r="K63" s="159">
        <v>150</v>
      </c>
      <c r="L63" s="159">
        <v>-150</v>
      </c>
      <c r="M63" s="159">
        <v>0</v>
      </c>
    </row>
    <row r="64" spans="1:13" x14ac:dyDescent="0.3">
      <c r="A64" s="34">
        <v>31</v>
      </c>
      <c r="B64" s="31" t="s">
        <v>837</v>
      </c>
      <c r="C64" s="2" t="s">
        <v>1109</v>
      </c>
      <c r="D64" s="32" t="s">
        <v>475</v>
      </c>
      <c r="E64" s="158" t="s">
        <v>228</v>
      </c>
      <c r="F64" s="158" t="s">
        <v>543</v>
      </c>
      <c r="G64" s="2" t="s">
        <v>502</v>
      </c>
      <c r="H64" s="2" t="s">
        <v>465</v>
      </c>
      <c r="I64" s="31" t="s">
        <v>1081</v>
      </c>
      <c r="J64" s="31" t="s">
        <v>800</v>
      </c>
      <c r="K64" s="159">
        <v>275</v>
      </c>
      <c r="L64" s="159">
        <v>-250</v>
      </c>
      <c r="M64" s="159">
        <v>25</v>
      </c>
    </row>
    <row r="65" spans="1:13" x14ac:dyDescent="0.3">
      <c r="A65" s="34">
        <v>32</v>
      </c>
      <c r="B65" s="31" t="s">
        <v>838</v>
      </c>
      <c r="C65" s="2" t="s">
        <v>1110</v>
      </c>
      <c r="D65" s="32" t="s">
        <v>476</v>
      </c>
      <c r="E65" s="158" t="s">
        <v>228</v>
      </c>
      <c r="F65" s="158" t="s">
        <v>614</v>
      </c>
      <c r="G65" s="2" t="s">
        <v>501</v>
      </c>
      <c r="H65" s="2" t="s">
        <v>464</v>
      </c>
      <c r="I65" s="31" t="s">
        <v>1081</v>
      </c>
      <c r="J65" s="31" t="s">
        <v>800</v>
      </c>
      <c r="K65" s="159">
        <v>275</v>
      </c>
      <c r="L65" s="159">
        <v>-250</v>
      </c>
      <c r="M65" s="159">
        <v>25</v>
      </c>
    </row>
    <row r="66" spans="1:13" x14ac:dyDescent="0.3">
      <c r="A66" s="34">
        <v>33</v>
      </c>
      <c r="B66" s="31" t="s">
        <v>839</v>
      </c>
      <c r="C66" s="2" t="s">
        <v>1111</v>
      </c>
      <c r="D66" s="32" t="s">
        <v>477</v>
      </c>
      <c r="E66" s="158" t="s">
        <v>228</v>
      </c>
      <c r="F66" s="158" t="s">
        <v>614</v>
      </c>
      <c r="G66" s="2" t="s">
        <v>501</v>
      </c>
      <c r="H66" s="2" t="s">
        <v>464</v>
      </c>
      <c r="I66" s="31" t="s">
        <v>1081</v>
      </c>
      <c r="J66" s="31" t="s">
        <v>800</v>
      </c>
      <c r="K66" s="159">
        <v>150</v>
      </c>
      <c r="L66" s="159">
        <v>-150</v>
      </c>
      <c r="M66" s="159">
        <v>0</v>
      </c>
    </row>
    <row r="67" spans="1:13" x14ac:dyDescent="0.3">
      <c r="A67" s="34">
        <v>34</v>
      </c>
      <c r="B67" s="31" t="s">
        <v>840</v>
      </c>
      <c r="C67" s="2" t="s">
        <v>1112</v>
      </c>
      <c r="D67" s="32" t="s">
        <v>478</v>
      </c>
      <c r="E67" s="158" t="s">
        <v>228</v>
      </c>
      <c r="F67" s="158" t="s">
        <v>652</v>
      </c>
      <c r="G67" s="2" t="s">
        <v>503</v>
      </c>
      <c r="H67" s="2" t="s">
        <v>465</v>
      </c>
      <c r="I67" s="31" t="s">
        <v>1081</v>
      </c>
      <c r="J67" s="31" t="s">
        <v>800</v>
      </c>
      <c r="K67" s="159">
        <v>275</v>
      </c>
      <c r="L67" s="159">
        <v>-250</v>
      </c>
      <c r="M67" s="159">
        <v>25</v>
      </c>
    </row>
    <row r="68" spans="1:13" x14ac:dyDescent="0.3">
      <c r="A68" s="34">
        <v>35</v>
      </c>
      <c r="B68" s="31" t="s">
        <v>1113</v>
      </c>
      <c r="C68" s="2" t="s">
        <v>1114</v>
      </c>
      <c r="D68" s="32" t="s">
        <v>1115</v>
      </c>
      <c r="E68" s="158" t="s">
        <v>228</v>
      </c>
      <c r="F68" s="158" t="s">
        <v>1116</v>
      </c>
      <c r="G68" s="2" t="s">
        <v>504</v>
      </c>
      <c r="H68" s="2" t="s">
        <v>465</v>
      </c>
      <c r="I68" s="31" t="s">
        <v>1069</v>
      </c>
      <c r="J68" s="31" t="s">
        <v>800</v>
      </c>
      <c r="K68" s="159"/>
      <c r="L68" s="159"/>
      <c r="M68" s="159"/>
    </row>
    <row r="69" spans="1:13" x14ac:dyDescent="0.3">
      <c r="A69" s="34">
        <v>36</v>
      </c>
      <c r="B69" s="31" t="s">
        <v>841</v>
      </c>
      <c r="C69" s="2" t="s">
        <v>1117</v>
      </c>
      <c r="D69" s="32" t="s">
        <v>479</v>
      </c>
      <c r="E69" s="158" t="s">
        <v>228</v>
      </c>
      <c r="F69" s="158" t="s">
        <v>544</v>
      </c>
      <c r="G69" s="2" t="s">
        <v>504</v>
      </c>
      <c r="H69" s="2" t="s">
        <v>465</v>
      </c>
      <c r="I69" s="31" t="s">
        <v>1081</v>
      </c>
      <c r="J69" s="31" t="s">
        <v>800</v>
      </c>
      <c r="K69" s="159">
        <v>125</v>
      </c>
      <c r="L69" s="159">
        <v>-100</v>
      </c>
      <c r="M69" s="159">
        <v>25</v>
      </c>
    </row>
    <row r="70" spans="1:13" x14ac:dyDescent="0.3">
      <c r="A70" s="34">
        <v>37</v>
      </c>
      <c r="B70" s="31" t="s">
        <v>842</v>
      </c>
      <c r="C70" s="2" t="s">
        <v>1118</v>
      </c>
      <c r="D70" s="32" t="s">
        <v>480</v>
      </c>
      <c r="E70" s="158" t="s">
        <v>228</v>
      </c>
      <c r="F70" s="158" t="s">
        <v>545</v>
      </c>
      <c r="G70" s="2" t="s">
        <v>505</v>
      </c>
      <c r="H70" s="2" t="s">
        <v>465</v>
      </c>
      <c r="I70" s="31" t="s">
        <v>1081</v>
      </c>
      <c r="J70" s="31" t="s">
        <v>800</v>
      </c>
      <c r="K70" s="159">
        <v>275</v>
      </c>
      <c r="L70" s="159">
        <v>-250</v>
      </c>
      <c r="M70" s="159">
        <v>25</v>
      </c>
    </row>
    <row r="71" spans="1:13" x14ac:dyDescent="0.3">
      <c r="A71" s="34">
        <v>38</v>
      </c>
      <c r="B71" s="31" t="s">
        <v>1119</v>
      </c>
      <c r="C71" s="2" t="s">
        <v>1120</v>
      </c>
      <c r="D71" s="32" t="s">
        <v>1121</v>
      </c>
      <c r="E71" s="158" t="s">
        <v>228</v>
      </c>
      <c r="F71" s="158" t="s">
        <v>614</v>
      </c>
      <c r="G71" s="2" t="s">
        <v>501</v>
      </c>
      <c r="H71" s="2" t="s">
        <v>465</v>
      </c>
      <c r="I71" s="31" t="s">
        <v>1069</v>
      </c>
      <c r="J71" s="31" t="s">
        <v>800</v>
      </c>
      <c r="K71" s="159"/>
      <c r="L71" s="159"/>
      <c r="M71" s="159"/>
    </row>
    <row r="72" spans="1:13" x14ac:dyDescent="0.3">
      <c r="A72" s="34">
        <v>39</v>
      </c>
      <c r="B72" s="31" t="s">
        <v>843</v>
      </c>
      <c r="C72" s="2" t="s">
        <v>1122</v>
      </c>
      <c r="D72" s="32" t="s">
        <v>481</v>
      </c>
      <c r="E72" s="158" t="s">
        <v>229</v>
      </c>
      <c r="F72" s="158" t="s">
        <v>546</v>
      </c>
      <c r="G72" s="2" t="s">
        <v>506</v>
      </c>
      <c r="H72" s="2" t="s">
        <v>465</v>
      </c>
      <c r="I72" s="31" t="s">
        <v>1081</v>
      </c>
      <c r="J72" s="31" t="s">
        <v>800</v>
      </c>
      <c r="K72" s="159">
        <v>150</v>
      </c>
      <c r="L72" s="159">
        <v>-150</v>
      </c>
      <c r="M72" s="159">
        <v>0</v>
      </c>
    </row>
    <row r="73" spans="1:13" x14ac:dyDescent="0.3">
      <c r="A73" s="34">
        <v>40</v>
      </c>
      <c r="B73" s="31" t="s">
        <v>844</v>
      </c>
      <c r="C73" s="2" t="s">
        <v>1123</v>
      </c>
      <c r="D73" s="32" t="s">
        <v>482</v>
      </c>
      <c r="E73" s="158" t="s">
        <v>229</v>
      </c>
      <c r="F73" s="158" t="s">
        <v>547</v>
      </c>
      <c r="G73" s="2" t="s">
        <v>507</v>
      </c>
      <c r="H73" s="2" t="s">
        <v>465</v>
      </c>
      <c r="I73" s="31" t="s">
        <v>1081</v>
      </c>
      <c r="J73" s="31" t="s">
        <v>800</v>
      </c>
      <c r="K73" s="159">
        <v>150</v>
      </c>
      <c r="L73" s="159">
        <v>-150</v>
      </c>
      <c r="M73" s="159">
        <v>0</v>
      </c>
    </row>
    <row r="74" spans="1:13" x14ac:dyDescent="0.3">
      <c r="A74" s="34">
        <v>41</v>
      </c>
      <c r="B74" s="31" t="s">
        <v>1124</v>
      </c>
      <c r="C74" s="2" t="s">
        <v>1125</v>
      </c>
      <c r="D74" s="32" t="s">
        <v>1126</v>
      </c>
      <c r="E74" s="158" t="s">
        <v>228</v>
      </c>
      <c r="F74" s="158" t="s">
        <v>1127</v>
      </c>
      <c r="G74" s="2" t="s">
        <v>1128</v>
      </c>
      <c r="H74" s="2" t="s">
        <v>465</v>
      </c>
      <c r="I74" s="31" t="s">
        <v>1069</v>
      </c>
      <c r="J74" s="31" t="s">
        <v>800</v>
      </c>
      <c r="K74" s="159"/>
      <c r="L74" s="159"/>
      <c r="M74" s="159"/>
    </row>
    <row r="75" spans="1:13" x14ac:dyDescent="0.3">
      <c r="A75" s="34">
        <v>42</v>
      </c>
      <c r="B75" s="31" t="s">
        <v>845</v>
      </c>
      <c r="C75" s="2" t="s">
        <v>1129</v>
      </c>
      <c r="D75" s="32" t="s">
        <v>483</v>
      </c>
      <c r="E75" s="158" t="s">
        <v>228</v>
      </c>
      <c r="F75" s="158" t="s">
        <v>548</v>
      </c>
      <c r="G75" s="2" t="s">
        <v>507</v>
      </c>
      <c r="H75" s="2" t="s">
        <v>465</v>
      </c>
      <c r="I75" s="31" t="s">
        <v>1081</v>
      </c>
      <c r="J75" s="31" t="s">
        <v>800</v>
      </c>
      <c r="K75" s="159">
        <v>125</v>
      </c>
      <c r="L75" s="159">
        <v>-100</v>
      </c>
      <c r="M75" s="159">
        <v>25</v>
      </c>
    </row>
    <row r="76" spans="1:13" x14ac:dyDescent="0.3">
      <c r="A76" s="34">
        <v>43</v>
      </c>
      <c r="B76" s="31" t="s">
        <v>846</v>
      </c>
      <c r="C76" s="2" t="s">
        <v>1130</v>
      </c>
      <c r="D76" s="32" t="s">
        <v>484</v>
      </c>
      <c r="E76" s="158" t="s">
        <v>228</v>
      </c>
      <c r="F76" s="158" t="s">
        <v>549</v>
      </c>
      <c r="G76" s="2" t="s">
        <v>508</v>
      </c>
      <c r="H76" s="2" t="s">
        <v>465</v>
      </c>
      <c r="I76" s="31" t="s">
        <v>1081</v>
      </c>
      <c r="J76" s="31" t="s">
        <v>800</v>
      </c>
      <c r="K76" s="159">
        <v>125</v>
      </c>
      <c r="L76" s="159">
        <v>-100</v>
      </c>
      <c r="M76" s="159">
        <v>25</v>
      </c>
    </row>
    <row r="77" spans="1:13" x14ac:dyDescent="0.3">
      <c r="A77" s="34">
        <v>44</v>
      </c>
      <c r="B77" s="31" t="s">
        <v>847</v>
      </c>
      <c r="C77" s="2" t="s">
        <v>1131</v>
      </c>
      <c r="D77" s="32" t="s">
        <v>485</v>
      </c>
      <c r="E77" s="158" t="s">
        <v>228</v>
      </c>
      <c r="F77" s="158" t="s">
        <v>550</v>
      </c>
      <c r="G77" s="2" t="s">
        <v>508</v>
      </c>
      <c r="H77" s="2" t="s">
        <v>465</v>
      </c>
      <c r="I77" s="31" t="s">
        <v>1081</v>
      </c>
      <c r="J77" s="31" t="s">
        <v>800</v>
      </c>
      <c r="K77" s="159">
        <v>125</v>
      </c>
      <c r="L77" s="159">
        <v>-100</v>
      </c>
      <c r="M77" s="159">
        <v>25</v>
      </c>
    </row>
    <row r="78" spans="1:13" x14ac:dyDescent="0.3">
      <c r="A78" s="34">
        <v>45</v>
      </c>
      <c r="B78" s="31" t="s">
        <v>848</v>
      </c>
      <c r="C78" s="2" t="s">
        <v>1132</v>
      </c>
      <c r="D78" s="32" t="s">
        <v>993</v>
      </c>
      <c r="E78" s="158" t="s">
        <v>228</v>
      </c>
      <c r="F78" s="158" t="s">
        <v>551</v>
      </c>
      <c r="G78" s="2" t="s">
        <v>508</v>
      </c>
      <c r="H78" s="2" t="s">
        <v>465</v>
      </c>
      <c r="I78" s="31" t="s">
        <v>1081</v>
      </c>
      <c r="J78" s="31" t="s">
        <v>800</v>
      </c>
      <c r="K78" s="159">
        <v>125</v>
      </c>
      <c r="L78" s="159">
        <v>-100</v>
      </c>
      <c r="M78" s="159">
        <v>25</v>
      </c>
    </row>
    <row r="79" spans="1:13" x14ac:dyDescent="0.3">
      <c r="A79" s="34">
        <v>46</v>
      </c>
      <c r="B79" s="31" t="s">
        <v>849</v>
      </c>
      <c r="C79" s="2" t="s">
        <v>1133</v>
      </c>
      <c r="D79" s="32" t="s">
        <v>1173</v>
      </c>
      <c r="E79" s="158" t="s">
        <v>228</v>
      </c>
      <c r="F79" s="158" t="s">
        <v>653</v>
      </c>
      <c r="G79" s="2" t="s">
        <v>507</v>
      </c>
      <c r="H79" s="2" t="s">
        <v>465</v>
      </c>
      <c r="I79" s="31" t="s">
        <v>1081</v>
      </c>
      <c r="J79" s="31" t="s">
        <v>800</v>
      </c>
      <c r="K79" s="159">
        <v>125</v>
      </c>
      <c r="L79" s="159">
        <v>-100</v>
      </c>
      <c r="M79" s="159">
        <v>25</v>
      </c>
    </row>
    <row r="80" spans="1:13" x14ac:dyDescent="0.3">
      <c r="A80" s="34">
        <v>47</v>
      </c>
      <c r="B80" s="31" t="s">
        <v>850</v>
      </c>
      <c r="C80" s="2" t="s">
        <v>1134</v>
      </c>
      <c r="D80" s="32" t="s">
        <v>985</v>
      </c>
      <c r="E80" s="158" t="s">
        <v>228</v>
      </c>
      <c r="F80" s="158" t="s">
        <v>552</v>
      </c>
      <c r="G80" s="2" t="s">
        <v>509</v>
      </c>
      <c r="H80" s="2" t="s">
        <v>465</v>
      </c>
      <c r="I80" s="31" t="s">
        <v>1081</v>
      </c>
      <c r="J80" s="31" t="s">
        <v>800</v>
      </c>
      <c r="K80" s="159">
        <v>125</v>
      </c>
      <c r="L80" s="159">
        <v>-100</v>
      </c>
      <c r="M80" s="159">
        <v>25</v>
      </c>
    </row>
    <row r="81" spans="1:13" x14ac:dyDescent="0.3">
      <c r="A81" s="34">
        <v>48</v>
      </c>
      <c r="B81" s="31" t="s">
        <v>851</v>
      </c>
      <c r="C81" s="2" t="s">
        <v>1135</v>
      </c>
      <c r="D81" s="32" t="s">
        <v>486</v>
      </c>
      <c r="E81" s="158" t="s">
        <v>228</v>
      </c>
      <c r="F81" s="158" t="s">
        <v>614</v>
      </c>
      <c r="G81" s="2" t="s">
        <v>501</v>
      </c>
      <c r="H81" s="2" t="s">
        <v>464</v>
      </c>
      <c r="I81" s="31" t="s">
        <v>1081</v>
      </c>
      <c r="J81" s="31" t="s">
        <v>800</v>
      </c>
      <c r="K81" s="159">
        <v>275</v>
      </c>
      <c r="L81" s="159">
        <v>-250</v>
      </c>
      <c r="M81" s="159">
        <v>25</v>
      </c>
    </row>
    <row r="82" spans="1:13" x14ac:dyDescent="0.3">
      <c r="A82" s="34">
        <v>49</v>
      </c>
      <c r="B82" s="31" t="s">
        <v>852</v>
      </c>
      <c r="C82" s="2" t="s">
        <v>1136</v>
      </c>
      <c r="D82" s="32" t="s">
        <v>487</v>
      </c>
      <c r="E82" s="158" t="s">
        <v>228</v>
      </c>
      <c r="F82" s="158" t="s">
        <v>553</v>
      </c>
      <c r="G82" s="2" t="s">
        <v>508</v>
      </c>
      <c r="H82" s="2" t="s">
        <v>465</v>
      </c>
      <c r="I82" s="31" t="s">
        <v>1081</v>
      </c>
      <c r="J82" s="31" t="s">
        <v>801</v>
      </c>
      <c r="K82" s="159">
        <v>275</v>
      </c>
      <c r="L82" s="159">
        <v>-250</v>
      </c>
      <c r="M82" s="159">
        <v>25</v>
      </c>
    </row>
    <row r="83" spans="1:13" x14ac:dyDescent="0.3">
      <c r="A83" s="34">
        <v>50</v>
      </c>
      <c r="B83" s="31" t="s">
        <v>853</v>
      </c>
      <c r="C83" s="2" t="s">
        <v>1137</v>
      </c>
      <c r="D83" s="32" t="s">
        <v>488</v>
      </c>
      <c r="E83" s="158" t="s">
        <v>228</v>
      </c>
      <c r="F83" s="158" t="s">
        <v>554</v>
      </c>
      <c r="G83" s="2" t="s">
        <v>502</v>
      </c>
      <c r="H83" s="2" t="s">
        <v>465</v>
      </c>
      <c r="I83" s="31" t="s">
        <v>1081</v>
      </c>
      <c r="J83" s="31" t="s">
        <v>800</v>
      </c>
      <c r="K83" s="159">
        <v>275</v>
      </c>
      <c r="L83" s="159">
        <v>-250</v>
      </c>
      <c r="M83" s="159">
        <v>25</v>
      </c>
    </row>
    <row r="84" spans="1:13" x14ac:dyDescent="0.3">
      <c r="A84" s="34">
        <v>51</v>
      </c>
      <c r="B84" s="31" t="s">
        <v>854</v>
      </c>
      <c r="C84" s="2" t="s">
        <v>1138</v>
      </c>
      <c r="D84" s="32" t="s">
        <v>489</v>
      </c>
      <c r="E84" s="158" t="s">
        <v>228</v>
      </c>
      <c r="F84" s="158" t="s">
        <v>555</v>
      </c>
      <c r="G84" s="2" t="s">
        <v>502</v>
      </c>
      <c r="H84" s="2" t="s">
        <v>465</v>
      </c>
      <c r="I84" s="31" t="s">
        <v>1081</v>
      </c>
      <c r="J84" s="31" t="s">
        <v>801</v>
      </c>
      <c r="K84" s="159">
        <v>275</v>
      </c>
      <c r="L84" s="159">
        <v>-250</v>
      </c>
      <c r="M84" s="159">
        <v>25</v>
      </c>
    </row>
    <row r="85" spans="1:13" x14ac:dyDescent="0.3">
      <c r="A85" s="34">
        <v>52</v>
      </c>
      <c r="B85" s="31" t="s">
        <v>855</v>
      </c>
      <c r="C85" s="2" t="s">
        <v>1139</v>
      </c>
      <c r="D85" s="32" t="s">
        <v>994</v>
      </c>
      <c r="E85" s="158" t="s">
        <v>228</v>
      </c>
      <c r="F85" s="158" t="s">
        <v>556</v>
      </c>
      <c r="G85" s="2" t="s">
        <v>507</v>
      </c>
      <c r="H85" s="2" t="s">
        <v>465</v>
      </c>
      <c r="I85" s="31" t="s">
        <v>1081</v>
      </c>
      <c r="J85" s="31" t="s">
        <v>801</v>
      </c>
      <c r="K85" s="159">
        <v>275</v>
      </c>
      <c r="L85" s="159">
        <v>-250</v>
      </c>
      <c r="M85" s="159">
        <v>25</v>
      </c>
    </row>
    <row r="86" spans="1:13" x14ac:dyDescent="0.3">
      <c r="A86" s="34">
        <v>53</v>
      </c>
      <c r="B86" s="31" t="s">
        <v>856</v>
      </c>
      <c r="C86" s="2" t="s">
        <v>1140</v>
      </c>
      <c r="D86" s="32" t="s">
        <v>490</v>
      </c>
      <c r="E86" s="158" t="s">
        <v>228</v>
      </c>
      <c r="F86" s="158" t="s">
        <v>557</v>
      </c>
      <c r="G86" s="2" t="s">
        <v>510</v>
      </c>
      <c r="H86" s="2" t="s">
        <v>465</v>
      </c>
      <c r="I86" s="31" t="s">
        <v>1081</v>
      </c>
      <c r="J86" s="31" t="s">
        <v>801</v>
      </c>
      <c r="K86" s="159">
        <v>125</v>
      </c>
      <c r="L86" s="159">
        <v>-100</v>
      </c>
      <c r="M86" s="159">
        <v>25</v>
      </c>
    </row>
    <row r="87" spans="1:13" x14ac:dyDescent="0.3">
      <c r="A87" s="34">
        <v>54</v>
      </c>
      <c r="B87" s="31" t="s">
        <v>857</v>
      </c>
      <c r="C87" s="2" t="s">
        <v>1141</v>
      </c>
      <c r="D87" s="32" t="s">
        <v>491</v>
      </c>
      <c r="E87" s="158" t="s">
        <v>228</v>
      </c>
      <c r="F87" s="158" t="s">
        <v>558</v>
      </c>
      <c r="G87" s="2" t="s">
        <v>502</v>
      </c>
      <c r="H87" s="2" t="s">
        <v>465</v>
      </c>
      <c r="I87" s="31" t="s">
        <v>1081</v>
      </c>
      <c r="J87" s="31" t="s">
        <v>800</v>
      </c>
      <c r="K87" s="159">
        <v>275</v>
      </c>
      <c r="L87" s="159">
        <v>-250</v>
      </c>
      <c r="M87" s="159">
        <v>25</v>
      </c>
    </row>
    <row r="88" spans="1:13" x14ac:dyDescent="0.3">
      <c r="A88" s="34">
        <v>55</v>
      </c>
      <c r="B88" s="31" t="s">
        <v>858</v>
      </c>
      <c r="C88" s="2" t="s">
        <v>1142</v>
      </c>
      <c r="D88" s="32" t="s">
        <v>492</v>
      </c>
      <c r="E88" s="158" t="s">
        <v>228</v>
      </c>
      <c r="F88" s="158" t="s">
        <v>614</v>
      </c>
      <c r="G88" s="2" t="s">
        <v>501</v>
      </c>
      <c r="H88" s="2" t="s">
        <v>464</v>
      </c>
      <c r="I88" s="31" t="s">
        <v>1081</v>
      </c>
      <c r="J88" s="31" t="s">
        <v>800</v>
      </c>
      <c r="K88" s="159">
        <v>275</v>
      </c>
      <c r="L88" s="159">
        <v>-250</v>
      </c>
      <c r="M88" s="159">
        <v>25</v>
      </c>
    </row>
    <row r="89" spans="1:13" x14ac:dyDescent="0.3">
      <c r="A89" s="34">
        <v>56</v>
      </c>
      <c r="B89" s="31" t="s">
        <v>1143</v>
      </c>
      <c r="C89" s="2" t="s">
        <v>1144</v>
      </c>
      <c r="D89" s="32" t="s">
        <v>1145</v>
      </c>
      <c r="E89" s="158" t="s">
        <v>228</v>
      </c>
      <c r="F89" s="158" t="s">
        <v>1146</v>
      </c>
      <c r="G89" s="2" t="s">
        <v>507</v>
      </c>
      <c r="H89" s="2" t="s">
        <v>465</v>
      </c>
      <c r="I89" s="31" t="s">
        <v>1069</v>
      </c>
      <c r="J89" s="31" t="s">
        <v>800</v>
      </c>
      <c r="K89" s="159"/>
      <c r="L89" s="159"/>
      <c r="M89" s="159"/>
    </row>
    <row r="90" spans="1:13" x14ac:dyDescent="0.3">
      <c r="A90" s="34">
        <v>57</v>
      </c>
      <c r="B90" s="31" t="s">
        <v>859</v>
      </c>
      <c r="C90" s="2" t="s">
        <v>1147</v>
      </c>
      <c r="D90" s="32" t="s">
        <v>1176</v>
      </c>
      <c r="E90" s="158" t="s">
        <v>228</v>
      </c>
      <c r="F90" s="158" t="s">
        <v>559</v>
      </c>
      <c r="G90" s="2" t="s">
        <v>507</v>
      </c>
      <c r="H90" s="2" t="s">
        <v>465</v>
      </c>
      <c r="I90" s="31" t="s">
        <v>1081</v>
      </c>
      <c r="J90" s="31" t="s">
        <v>800</v>
      </c>
      <c r="K90" s="159">
        <v>275</v>
      </c>
      <c r="L90" s="159">
        <v>-250</v>
      </c>
      <c r="M90" s="159">
        <v>25</v>
      </c>
    </row>
    <row r="91" spans="1:13" x14ac:dyDescent="0.3">
      <c r="A91" s="34">
        <v>58</v>
      </c>
      <c r="B91" s="31" t="s">
        <v>1148</v>
      </c>
      <c r="C91" s="2" t="s">
        <v>1149</v>
      </c>
      <c r="D91" s="32" t="s">
        <v>1150</v>
      </c>
      <c r="E91" s="158" t="s">
        <v>228</v>
      </c>
      <c r="F91" s="158" t="s">
        <v>1151</v>
      </c>
      <c r="G91" s="2" t="s">
        <v>1152</v>
      </c>
      <c r="H91" s="2" t="s">
        <v>465</v>
      </c>
      <c r="I91" s="31" t="s">
        <v>1069</v>
      </c>
      <c r="J91" s="31" t="s">
        <v>800</v>
      </c>
      <c r="K91" s="159"/>
      <c r="L91" s="159"/>
      <c r="M91" s="159"/>
    </row>
    <row r="92" spans="1:13" x14ac:dyDescent="0.3">
      <c r="A92" s="34">
        <v>59</v>
      </c>
      <c r="B92" s="31" t="s">
        <v>860</v>
      </c>
      <c r="C92" s="2" t="s">
        <v>1153</v>
      </c>
      <c r="D92" s="32" t="s">
        <v>493</v>
      </c>
      <c r="E92" s="158" t="s">
        <v>228</v>
      </c>
      <c r="F92" s="158" t="s">
        <v>560</v>
      </c>
      <c r="G92" s="2" t="s">
        <v>507</v>
      </c>
      <c r="H92" s="2" t="s">
        <v>465</v>
      </c>
      <c r="I92" s="31" t="s">
        <v>1081</v>
      </c>
      <c r="J92" s="31" t="s">
        <v>800</v>
      </c>
      <c r="K92" s="159">
        <v>125</v>
      </c>
      <c r="L92" s="159">
        <v>-100</v>
      </c>
      <c r="M92" s="159">
        <v>25</v>
      </c>
    </row>
    <row r="93" spans="1:13" x14ac:dyDescent="0.3">
      <c r="A93" s="34">
        <v>60</v>
      </c>
      <c r="B93" s="31" t="s">
        <v>861</v>
      </c>
      <c r="C93" s="2" t="s">
        <v>1154</v>
      </c>
      <c r="D93" s="32" t="s">
        <v>1068</v>
      </c>
      <c r="E93" s="158" t="s">
        <v>228</v>
      </c>
      <c r="F93" s="158" t="s">
        <v>561</v>
      </c>
      <c r="G93" s="2" t="s">
        <v>507</v>
      </c>
      <c r="H93" s="2" t="s">
        <v>465</v>
      </c>
      <c r="I93" s="31" t="s">
        <v>1081</v>
      </c>
      <c r="J93" s="31" t="s">
        <v>800</v>
      </c>
      <c r="K93" s="159">
        <v>275</v>
      </c>
      <c r="L93" s="159">
        <v>-250</v>
      </c>
      <c r="M93" s="159">
        <v>25</v>
      </c>
    </row>
    <row r="94" spans="1:13" x14ac:dyDescent="0.3">
      <c r="A94" s="34">
        <v>61</v>
      </c>
      <c r="B94" s="31" t="s">
        <v>862</v>
      </c>
      <c r="C94" s="2" t="s">
        <v>1155</v>
      </c>
      <c r="D94" s="32" t="s">
        <v>494</v>
      </c>
      <c r="E94" s="158" t="s">
        <v>228</v>
      </c>
      <c r="F94" s="158" t="s">
        <v>562</v>
      </c>
      <c r="G94" s="2" t="s">
        <v>511</v>
      </c>
      <c r="H94" s="2" t="s">
        <v>465</v>
      </c>
      <c r="I94" s="31" t="s">
        <v>1081</v>
      </c>
      <c r="J94" s="31" t="s">
        <v>801</v>
      </c>
      <c r="K94" s="159">
        <v>275</v>
      </c>
      <c r="L94" s="159">
        <v>-250</v>
      </c>
      <c r="M94" s="159">
        <v>25</v>
      </c>
    </row>
    <row r="95" spans="1:13" x14ac:dyDescent="0.3">
      <c r="A95" s="34">
        <v>62</v>
      </c>
      <c r="B95" s="31" t="s">
        <v>863</v>
      </c>
      <c r="C95" s="2" t="s">
        <v>1156</v>
      </c>
      <c r="D95" s="32" t="s">
        <v>495</v>
      </c>
      <c r="E95" s="158" t="s">
        <v>228</v>
      </c>
      <c r="F95" s="158" t="s">
        <v>563</v>
      </c>
      <c r="G95" s="2" t="s">
        <v>507</v>
      </c>
      <c r="H95" s="2" t="s">
        <v>465</v>
      </c>
      <c r="I95" s="31" t="s">
        <v>1081</v>
      </c>
      <c r="J95" s="31" t="s">
        <v>800</v>
      </c>
      <c r="K95" s="159">
        <v>275</v>
      </c>
      <c r="L95" s="159">
        <v>-250</v>
      </c>
      <c r="M95" s="159">
        <v>25</v>
      </c>
    </row>
    <row r="96" spans="1:13" x14ac:dyDescent="0.3">
      <c r="A96" s="34">
        <v>63</v>
      </c>
      <c r="B96" s="31" t="s">
        <v>864</v>
      </c>
      <c r="C96" s="2" t="s">
        <v>1157</v>
      </c>
      <c r="D96" s="32" t="s">
        <v>496</v>
      </c>
      <c r="E96" s="158" t="s">
        <v>228</v>
      </c>
      <c r="F96" s="158" t="s">
        <v>564</v>
      </c>
      <c r="G96" s="2" t="s">
        <v>507</v>
      </c>
      <c r="H96" s="2" t="s">
        <v>465</v>
      </c>
      <c r="I96" s="31" t="s">
        <v>1081</v>
      </c>
      <c r="J96" s="31" t="s">
        <v>800</v>
      </c>
      <c r="K96" s="159">
        <v>275</v>
      </c>
      <c r="L96" s="159">
        <v>-250</v>
      </c>
      <c r="M96" s="159">
        <v>25</v>
      </c>
    </row>
    <row r="97" spans="1:13" x14ac:dyDescent="0.3">
      <c r="A97" s="34">
        <v>64</v>
      </c>
      <c r="B97" s="31" t="s">
        <v>865</v>
      </c>
      <c r="C97" s="2" t="s">
        <v>1158</v>
      </c>
      <c r="D97" s="32" t="s">
        <v>497</v>
      </c>
      <c r="E97" s="158" t="s">
        <v>228</v>
      </c>
      <c r="F97" s="158" t="s">
        <v>565</v>
      </c>
      <c r="G97" s="2" t="s">
        <v>507</v>
      </c>
      <c r="H97" s="2" t="s">
        <v>465</v>
      </c>
      <c r="I97" s="31" t="s">
        <v>1081</v>
      </c>
      <c r="J97" s="31" t="s">
        <v>800</v>
      </c>
      <c r="K97" s="159">
        <v>275</v>
      </c>
      <c r="L97" s="159">
        <v>-250</v>
      </c>
      <c r="M97" s="159">
        <v>25</v>
      </c>
    </row>
    <row r="98" spans="1:13" x14ac:dyDescent="0.3">
      <c r="A98" s="34">
        <v>65</v>
      </c>
      <c r="B98" s="31" t="s">
        <v>866</v>
      </c>
      <c r="C98" s="2" t="s">
        <v>1159</v>
      </c>
      <c r="D98" s="32" t="s">
        <v>498</v>
      </c>
      <c r="E98" s="158" t="s">
        <v>228</v>
      </c>
      <c r="F98" s="158" t="s">
        <v>566</v>
      </c>
      <c r="G98" s="2" t="s">
        <v>505</v>
      </c>
      <c r="H98" s="2" t="s">
        <v>465</v>
      </c>
      <c r="I98" s="31" t="s">
        <v>1081</v>
      </c>
      <c r="J98" s="31" t="s">
        <v>800</v>
      </c>
      <c r="K98" s="159">
        <v>275</v>
      </c>
      <c r="L98" s="159">
        <v>-250</v>
      </c>
      <c r="M98" s="159">
        <v>25</v>
      </c>
    </row>
    <row r="99" spans="1:13" x14ac:dyDescent="0.3">
      <c r="A99" s="34">
        <v>66</v>
      </c>
      <c r="B99" s="31" t="s">
        <v>867</v>
      </c>
      <c r="C99" s="2" t="s">
        <v>1160</v>
      </c>
      <c r="D99" s="32" t="s">
        <v>499</v>
      </c>
      <c r="E99" s="158" t="s">
        <v>228</v>
      </c>
      <c r="F99" s="158" t="s">
        <v>567</v>
      </c>
      <c r="G99" s="2" t="s">
        <v>505</v>
      </c>
      <c r="H99" s="2" t="s">
        <v>465</v>
      </c>
      <c r="I99" s="31" t="s">
        <v>1081</v>
      </c>
      <c r="J99" s="31" t="s">
        <v>800</v>
      </c>
      <c r="K99" s="159">
        <v>150</v>
      </c>
      <c r="L99" s="159">
        <v>-150</v>
      </c>
      <c r="M99" s="159">
        <v>0</v>
      </c>
    </row>
    <row r="100" spans="1:13" x14ac:dyDescent="0.3">
      <c r="A100" s="34">
        <v>67</v>
      </c>
      <c r="B100" s="31" t="s">
        <v>868</v>
      </c>
      <c r="C100" s="2" t="s">
        <v>1161</v>
      </c>
      <c r="D100" s="32" t="s">
        <v>500</v>
      </c>
      <c r="E100" s="158" t="s">
        <v>228</v>
      </c>
      <c r="F100" s="158" t="s">
        <v>568</v>
      </c>
      <c r="G100" s="2" t="s">
        <v>508</v>
      </c>
      <c r="H100" s="2" t="s">
        <v>465</v>
      </c>
      <c r="I100" s="31" t="s">
        <v>1081</v>
      </c>
      <c r="J100" s="31" t="s">
        <v>801</v>
      </c>
      <c r="K100" s="159">
        <v>275</v>
      </c>
      <c r="L100" s="159">
        <v>-250</v>
      </c>
      <c r="M100" s="159">
        <v>25</v>
      </c>
    </row>
  </sheetData>
  <sheetProtection selectLockedCells="1" autoFilter="0"/>
  <mergeCells count="8">
    <mergeCell ref="A1:M1"/>
    <mergeCell ref="A2:M2"/>
    <mergeCell ref="A32:M32"/>
    <mergeCell ref="A30:M31"/>
    <mergeCell ref="A4:A28"/>
    <mergeCell ref="D4:M28"/>
    <mergeCell ref="B4:C5"/>
    <mergeCell ref="B27:C28"/>
  </mergeCells>
  <printOptions horizontalCentered="1"/>
  <pageMargins left="0.70866141732283472" right="0.70866141732283472" top="1.1811023622047245" bottom="0.74803149606299213" header="0.31496062992125984" footer="0.31496062992125984"/>
  <pageSetup paperSize="8" scale="47" orientation="landscape" r:id="rId3"/>
  <headerFooter>
    <oddHeader>&amp;C&amp;D
&amp;F</oddHeader>
    <oddFooter>&amp;CSide &amp;"-,Fed"&amp;P&amp;"-,Normal" af &amp;"-,Fed"&amp;N</oddFooter>
  </headerFooter>
  <drawing r:id="rId4"/>
  <picture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_rels/item189.xml.rels><?xml version="1.0" encoding="UTF-8" standalone="yes"?>
<Relationships xmlns="http://schemas.openxmlformats.org/package/2006/relationships"><Relationship Id="rId1" Type="http://schemas.openxmlformats.org/officeDocument/2006/relationships/customXmlProps" Target="itemProps189.xml"/></Relationships>
</file>

<file path=customXml/_rels/item190.xml.rels><?xml version="1.0" encoding="UTF-8" standalone="yes"?>
<Relationships xmlns="http://schemas.openxmlformats.org/package/2006/relationships"><Relationship Id="rId1" Type="http://schemas.openxmlformats.org/officeDocument/2006/relationships/customXmlProps" Target="itemProps190.xml"/></Relationships>
</file>

<file path=customXml/_rels/item191.xml.rels><?xml version="1.0" encoding="UTF-8" standalone="yes"?>
<Relationships xmlns="http://schemas.openxmlformats.org/package/2006/relationships"><Relationship Id="rId1" Type="http://schemas.openxmlformats.org/officeDocument/2006/relationships/customXmlProps" Target="itemProps191.xml"/></Relationships>
</file>

<file path=customXml/_rels/item192.xml.rels><?xml version="1.0" encoding="UTF-8" standalone="yes"?>
<Relationships xmlns="http://schemas.openxmlformats.org/package/2006/relationships"><Relationship Id="rId1" Type="http://schemas.openxmlformats.org/officeDocument/2006/relationships/customXmlProps" Target="itemProps192.xml"/></Relationships>
</file>

<file path=customXml/_rels/item193.xml.rels><?xml version="1.0" encoding="UTF-8" standalone="yes"?>
<Relationships xmlns="http://schemas.openxmlformats.org/package/2006/relationships"><Relationship Id="rId1" Type="http://schemas.openxmlformats.org/officeDocument/2006/relationships/customXmlProps" Target="itemProps193.xml"/></Relationships>
</file>

<file path=customXml/_rels/item194.xml.rels><?xml version="1.0" encoding="UTF-8" standalone="yes"?>
<Relationships xmlns="http://schemas.openxmlformats.org/package/2006/relationships"><Relationship Id="rId1" Type="http://schemas.openxmlformats.org/officeDocument/2006/relationships/customXmlProps" Target="itemProps194.xml"/></Relationships>
</file>

<file path=customXml/_rels/item195.xml.rels><?xml version="1.0" encoding="UTF-8" standalone="yes"?>
<Relationships xmlns="http://schemas.openxmlformats.org/package/2006/relationships"><Relationship Id="rId1" Type="http://schemas.openxmlformats.org/officeDocument/2006/relationships/customXmlProps" Target="itemProps195.xml"/></Relationships>
</file>

<file path=customXml/_rels/item196.xml.rels><?xml version="1.0" encoding="UTF-8" standalone="yes"?>
<Relationships xmlns="http://schemas.openxmlformats.org/package/2006/relationships"><Relationship Id="rId1" Type="http://schemas.openxmlformats.org/officeDocument/2006/relationships/customXmlProps" Target="itemProps196.xml"/></Relationships>
</file>

<file path=customXml/_rels/item197.xml.rels><?xml version="1.0" encoding="UTF-8" standalone="yes"?>
<Relationships xmlns="http://schemas.openxmlformats.org/package/2006/relationships"><Relationship Id="rId1" Type="http://schemas.openxmlformats.org/officeDocument/2006/relationships/customXmlProps" Target="itemProps197.xml"/></Relationships>
</file>

<file path=customXml/_rels/item198.xml.rels><?xml version="1.0" encoding="UTF-8" standalone="yes"?>
<Relationships xmlns="http://schemas.openxmlformats.org/package/2006/relationships"><Relationship Id="rId1" Type="http://schemas.openxmlformats.org/officeDocument/2006/relationships/customXmlProps" Target="itemProps198.xml"/></Relationships>
</file>

<file path=customXml/_rels/item199.xml.rels><?xml version="1.0" encoding="UTF-8" standalone="yes"?>
<Relationships xmlns="http://schemas.openxmlformats.org/package/2006/relationships"><Relationship Id="rId1" Type="http://schemas.openxmlformats.org/officeDocument/2006/relationships/customXmlProps" Target="itemProps199.xml"/></Relationships>
</file>

<file path=customXml/_rels/item200.xml.rels><?xml version="1.0" encoding="UTF-8" standalone="yes"?>
<Relationships xmlns="http://schemas.openxmlformats.org/package/2006/relationships"><Relationship Id="rId1" Type="http://schemas.openxmlformats.org/officeDocument/2006/relationships/customXmlProps" Target="itemProps200.xml"/></Relationships>
</file>

<file path=customXml/_rels/item201.xml.rels><?xml version="1.0" encoding="UTF-8" standalone="yes"?>
<Relationships xmlns="http://schemas.openxmlformats.org/package/2006/relationships"><Relationship Id="rId1" Type="http://schemas.openxmlformats.org/officeDocument/2006/relationships/customXmlProps" Target="itemProps201.xml"/></Relationships>
</file>

<file path=customXml/_rels/item202.xml.rels><?xml version="1.0" encoding="UTF-8" standalone="yes"?>
<Relationships xmlns="http://schemas.openxmlformats.org/package/2006/relationships"><Relationship Id="rId1" Type="http://schemas.openxmlformats.org/officeDocument/2006/relationships/customXmlProps" Target="itemProps202.xml"/></Relationships>
</file>

<file path=customXml/_rels/item203.xml.rels><?xml version="1.0" encoding="UTF-8" standalone="yes"?>
<Relationships xmlns="http://schemas.openxmlformats.org/package/2006/relationships"><Relationship Id="rId1" Type="http://schemas.openxmlformats.org/officeDocument/2006/relationships/customXmlProps" Target="itemProps203.xml"/></Relationships>
</file>

<file path=customXml/_rels/item204.xml.rels><?xml version="1.0" encoding="UTF-8" standalone="yes"?>
<Relationships xmlns="http://schemas.openxmlformats.org/package/2006/relationships"><Relationship Id="rId1" Type="http://schemas.openxmlformats.org/officeDocument/2006/relationships/customXmlProps" Target="itemProps204.xml"/></Relationships>
</file>

<file path=customXml/_rels/item205.xml.rels><?xml version="1.0" encoding="UTF-8" standalone="yes"?>
<Relationships xmlns="http://schemas.openxmlformats.org/package/2006/relationships"><Relationship Id="rId1" Type="http://schemas.openxmlformats.org/officeDocument/2006/relationships/customXmlProps" Target="itemProps205.xml"/></Relationships>
</file>

<file path=customXml/_rels/item206.xml.rels><?xml version="1.0" encoding="UTF-8" standalone="yes"?>
<Relationships xmlns="http://schemas.openxmlformats.org/package/2006/relationships"><Relationship Id="rId1" Type="http://schemas.openxmlformats.org/officeDocument/2006/relationships/customXmlProps" Target="itemProps206.xml"/></Relationships>
</file>

<file path=customXml/_rels/item207.xml.rels><?xml version="1.0" encoding="UTF-8" standalone="yes"?>
<Relationships xmlns="http://schemas.openxmlformats.org/package/2006/relationships"><Relationship Id="rId1" Type="http://schemas.openxmlformats.org/officeDocument/2006/relationships/customXmlProps" Target="itemProps207.xml"/></Relationships>
</file>

<file path=customXml/_rels/item208.xml.rels><?xml version="1.0" encoding="UTF-8" standalone="yes"?>
<Relationships xmlns="http://schemas.openxmlformats.org/package/2006/relationships"><Relationship Id="rId1" Type="http://schemas.openxmlformats.org/officeDocument/2006/relationships/customXmlProps" Target="itemProps208.xml"/></Relationships>
</file>

<file path=customXml/_rels/item209.xml.rels><?xml version="1.0" encoding="UTF-8" standalone="yes"?>
<Relationships xmlns="http://schemas.openxmlformats.org/package/2006/relationships"><Relationship Id="rId1" Type="http://schemas.openxmlformats.org/officeDocument/2006/relationships/customXmlProps" Target="itemProps209.xml"/></Relationships>
</file>

<file path=customXml/_rels/item210.xml.rels><?xml version="1.0" encoding="UTF-8" standalone="yes"?>
<Relationships xmlns="http://schemas.openxmlformats.org/package/2006/relationships"><Relationship Id="rId1" Type="http://schemas.openxmlformats.org/officeDocument/2006/relationships/customXmlProps" Target="itemProps210.xml"/></Relationships>
</file>

<file path=customXml/_rels/item211.xml.rels><?xml version="1.0" encoding="UTF-8" standalone="yes"?>
<Relationships xmlns="http://schemas.openxmlformats.org/package/2006/relationships"><Relationship Id="rId1" Type="http://schemas.openxmlformats.org/officeDocument/2006/relationships/customXmlProps" Target="itemProps211.xml"/></Relationships>
</file>

<file path=customXml/_rels/item212.xml.rels><?xml version="1.0" encoding="UTF-8" standalone="yes"?>
<Relationships xmlns="http://schemas.openxmlformats.org/package/2006/relationships"><Relationship Id="rId1" Type="http://schemas.openxmlformats.org/officeDocument/2006/relationships/customXmlProps" Target="itemProps212.xml"/></Relationships>
</file>

<file path=customXml/_rels/item213.xml.rels><?xml version="1.0" encoding="UTF-8" standalone="yes"?>
<Relationships xmlns="http://schemas.openxmlformats.org/package/2006/relationships"><Relationship Id="rId1" Type="http://schemas.openxmlformats.org/officeDocument/2006/relationships/customXmlProps" Target="itemProps213.xml"/></Relationships>
</file>

<file path=customXml/_rels/item214.xml.rels><?xml version="1.0" encoding="UTF-8" standalone="yes"?>
<Relationships xmlns="http://schemas.openxmlformats.org/package/2006/relationships"><Relationship Id="rId1" Type="http://schemas.openxmlformats.org/officeDocument/2006/relationships/customXmlProps" Target="itemProps214.xml"/></Relationships>
</file>

<file path=customXml/_rels/item215.xml.rels><?xml version="1.0" encoding="UTF-8" standalone="yes"?>
<Relationships xmlns="http://schemas.openxmlformats.org/package/2006/relationships"><Relationship Id="rId1" Type="http://schemas.openxmlformats.org/officeDocument/2006/relationships/customXmlProps" Target="itemProps215.xml"/></Relationships>
</file>

<file path=customXml/_rels/item216.xml.rels><?xml version="1.0" encoding="UTF-8" standalone="yes"?>
<Relationships xmlns="http://schemas.openxmlformats.org/package/2006/relationships"><Relationship Id="rId1" Type="http://schemas.openxmlformats.org/officeDocument/2006/relationships/customXmlProps" Target="itemProps216.xml"/></Relationships>
</file>

<file path=customXml/_rels/item217.xml.rels><?xml version="1.0" encoding="UTF-8" standalone="yes"?>
<Relationships xmlns="http://schemas.openxmlformats.org/package/2006/relationships"><Relationship Id="rId1" Type="http://schemas.openxmlformats.org/officeDocument/2006/relationships/customXmlProps" Target="itemProps217.xml"/></Relationships>
</file>

<file path=customXml/_rels/item218.xml.rels><?xml version="1.0" encoding="UTF-8" standalone="yes"?>
<Relationships xmlns="http://schemas.openxmlformats.org/package/2006/relationships"><Relationship Id="rId1" Type="http://schemas.openxmlformats.org/officeDocument/2006/relationships/customXmlProps" Target="itemProps218.xml"/></Relationships>
</file>

<file path=customXml/_rels/item219.xml.rels><?xml version="1.0" encoding="UTF-8" standalone="yes"?>
<Relationships xmlns="http://schemas.openxmlformats.org/package/2006/relationships"><Relationship Id="rId1" Type="http://schemas.openxmlformats.org/officeDocument/2006/relationships/customXmlProps" Target="itemProps219.xml"/></Relationships>
</file>

<file path=customXml/_rels/item220.xml.rels><?xml version="1.0" encoding="UTF-8" standalone="yes"?>
<Relationships xmlns="http://schemas.openxmlformats.org/package/2006/relationships"><Relationship Id="rId1" Type="http://schemas.openxmlformats.org/officeDocument/2006/relationships/customXmlProps" Target="itemProps220.xml"/></Relationships>
</file>

<file path=customXml/_rels/item221.xml.rels><?xml version="1.0" encoding="UTF-8" standalone="yes"?>
<Relationships xmlns="http://schemas.openxmlformats.org/package/2006/relationships"><Relationship Id="rId1" Type="http://schemas.openxmlformats.org/officeDocument/2006/relationships/customXmlProps" Target="itemProps221.xml"/></Relationships>
</file>

<file path=customXml/_rels/item222.xml.rels><?xml version="1.0" encoding="UTF-8" standalone="yes"?>
<Relationships xmlns="http://schemas.openxmlformats.org/package/2006/relationships"><Relationship Id="rId1" Type="http://schemas.openxmlformats.org/officeDocument/2006/relationships/customXmlProps" Target="itemProps222.xml"/></Relationships>
</file>

<file path=customXml/_rels/item223.xml.rels><?xml version="1.0" encoding="UTF-8" standalone="yes"?>
<Relationships xmlns="http://schemas.openxmlformats.org/package/2006/relationships"><Relationship Id="rId1" Type="http://schemas.openxmlformats.org/officeDocument/2006/relationships/customXmlProps" Target="itemProps223.xml"/></Relationships>
</file>

<file path=customXml/_rels/item224.xml.rels><?xml version="1.0" encoding="UTF-8" standalone="yes"?>
<Relationships xmlns="http://schemas.openxmlformats.org/package/2006/relationships"><Relationship Id="rId1" Type="http://schemas.openxmlformats.org/officeDocument/2006/relationships/customXmlProps" Target="itemProps224.xml"/></Relationships>
</file>

<file path=customXml/_rels/item225.xml.rels><?xml version="1.0" encoding="UTF-8" standalone="yes"?>
<Relationships xmlns="http://schemas.openxmlformats.org/package/2006/relationships"><Relationship Id="rId1" Type="http://schemas.openxmlformats.org/officeDocument/2006/relationships/customXmlProps" Target="itemProps225.xml"/></Relationships>
</file>

<file path=customXml/_rels/item226.xml.rels><?xml version="1.0" encoding="UTF-8" standalone="yes"?>
<Relationships xmlns="http://schemas.openxmlformats.org/package/2006/relationships"><Relationship Id="rId1" Type="http://schemas.openxmlformats.org/officeDocument/2006/relationships/customXmlProps" Target="itemProps226.xml"/></Relationships>
</file>

<file path=customXml/_rels/item227.xml.rels><?xml version="1.0" encoding="UTF-8" standalone="yes"?>
<Relationships xmlns="http://schemas.openxmlformats.org/package/2006/relationships"><Relationship Id="rId1" Type="http://schemas.openxmlformats.org/officeDocument/2006/relationships/customXmlProps" Target="itemProps227.xml"/></Relationships>
</file>

<file path=customXml/_rels/item228.xml.rels><?xml version="1.0" encoding="UTF-8" standalone="yes"?>
<Relationships xmlns="http://schemas.openxmlformats.org/package/2006/relationships"><Relationship Id="rId1" Type="http://schemas.openxmlformats.org/officeDocument/2006/relationships/customXmlProps" Target="itemProps228.xml"/></Relationships>
</file>

<file path=customXml/_rels/item229.xml.rels><?xml version="1.0" encoding="UTF-8" standalone="yes"?>
<Relationships xmlns="http://schemas.openxmlformats.org/package/2006/relationships"><Relationship Id="rId1" Type="http://schemas.openxmlformats.org/officeDocument/2006/relationships/customXmlProps" Target="itemProps229.xml"/></Relationships>
</file>

<file path=customXml/_rels/item230.xml.rels><?xml version="1.0" encoding="UTF-8" standalone="yes"?>
<Relationships xmlns="http://schemas.openxmlformats.org/package/2006/relationships"><Relationship Id="rId1" Type="http://schemas.openxmlformats.org/officeDocument/2006/relationships/customXmlProps" Target="itemProps230.xml"/></Relationships>
</file>

<file path=customXml/_rels/item231.xml.rels><?xml version="1.0" encoding="UTF-8" standalone="yes"?>
<Relationships xmlns="http://schemas.openxmlformats.org/package/2006/relationships"><Relationship Id="rId1" Type="http://schemas.openxmlformats.org/officeDocument/2006/relationships/customXmlProps" Target="itemProps231.xml"/></Relationships>
</file>

<file path=customXml/_rels/item232.xml.rels><?xml version="1.0" encoding="UTF-8" standalone="yes"?>
<Relationships xmlns="http://schemas.openxmlformats.org/package/2006/relationships"><Relationship Id="rId1" Type="http://schemas.openxmlformats.org/officeDocument/2006/relationships/customXmlProps" Target="itemProps232.xml"/></Relationships>
</file>

<file path=customXml/_rels/item233.xml.rels><?xml version="1.0" encoding="UTF-8" standalone="yes"?>
<Relationships xmlns="http://schemas.openxmlformats.org/package/2006/relationships"><Relationship Id="rId1" Type="http://schemas.openxmlformats.org/officeDocument/2006/relationships/customXmlProps" Target="itemProps233.xml"/></Relationships>
</file>

<file path=customXml/_rels/item234.xml.rels><?xml version="1.0" encoding="UTF-8" standalone="yes"?>
<Relationships xmlns="http://schemas.openxmlformats.org/package/2006/relationships"><Relationship Id="rId1" Type="http://schemas.openxmlformats.org/officeDocument/2006/relationships/customXmlProps" Target="itemProps234.xml"/></Relationships>
</file>

<file path=customXml/_rels/item235.xml.rels><?xml version="1.0" encoding="UTF-8" standalone="yes"?>
<Relationships xmlns="http://schemas.openxmlformats.org/package/2006/relationships"><Relationship Id="rId1" Type="http://schemas.openxmlformats.org/officeDocument/2006/relationships/customXmlProps" Target="itemProps235.xml"/></Relationships>
</file>

<file path=customXml/_rels/item236.xml.rels><?xml version="1.0" encoding="UTF-8" standalone="yes"?>
<Relationships xmlns="http://schemas.openxmlformats.org/package/2006/relationships"><Relationship Id="rId1" Type="http://schemas.openxmlformats.org/officeDocument/2006/relationships/customXmlProps" Target="itemProps236.xml"/></Relationships>
</file>

<file path=customXml/_rels/item237.xml.rels><?xml version="1.0" encoding="UTF-8" standalone="yes"?>
<Relationships xmlns="http://schemas.openxmlformats.org/package/2006/relationships"><Relationship Id="rId1" Type="http://schemas.openxmlformats.org/officeDocument/2006/relationships/customXmlProps" Target="itemProps237.xml"/></Relationships>
</file>

<file path=customXml/_rels/item238.xml.rels><?xml version="1.0" encoding="UTF-8" standalone="yes"?>
<Relationships xmlns="http://schemas.openxmlformats.org/package/2006/relationships"><Relationship Id="rId1" Type="http://schemas.openxmlformats.org/officeDocument/2006/relationships/customXmlProps" Target="itemProps238.xml"/></Relationships>
</file>

<file path=customXml/_rels/item239.xml.rels><?xml version="1.0" encoding="UTF-8" standalone="yes"?>
<Relationships xmlns="http://schemas.openxmlformats.org/package/2006/relationships"><Relationship Id="rId1" Type="http://schemas.openxmlformats.org/officeDocument/2006/relationships/customXmlProps" Target="itemProps239.xml"/></Relationships>
</file>

<file path=customXml/_rels/item240.xml.rels><?xml version="1.0" encoding="UTF-8" standalone="yes"?>
<Relationships xmlns="http://schemas.openxmlformats.org/package/2006/relationships"><Relationship Id="rId1" Type="http://schemas.openxmlformats.org/officeDocument/2006/relationships/customXmlProps" Target="itemProps240.xml"/></Relationships>
</file>

<file path=customXml/_rels/item241.xml.rels><?xml version="1.0" encoding="UTF-8" standalone="yes"?>
<Relationships xmlns="http://schemas.openxmlformats.org/package/2006/relationships"><Relationship Id="rId1" Type="http://schemas.openxmlformats.org/officeDocument/2006/relationships/customXmlProps" Target="itemProps241.xml"/></Relationships>
</file>

<file path=customXml/_rels/item242.xml.rels><?xml version="1.0" encoding="UTF-8" standalone="yes"?>
<Relationships xmlns="http://schemas.openxmlformats.org/package/2006/relationships"><Relationship Id="rId1" Type="http://schemas.openxmlformats.org/officeDocument/2006/relationships/customXmlProps" Target="itemProps242.xml"/></Relationships>
</file>

<file path=customXml/_rels/item243.xml.rels><?xml version="1.0" encoding="UTF-8" standalone="yes"?>
<Relationships xmlns="http://schemas.openxmlformats.org/package/2006/relationships"><Relationship Id="rId1" Type="http://schemas.openxmlformats.org/officeDocument/2006/relationships/customXmlProps" Target="itemProps243.xml"/></Relationships>
</file>

<file path=customXml/_rels/item244.xml.rels><?xml version="1.0" encoding="UTF-8" standalone="yes"?>
<Relationships xmlns="http://schemas.openxmlformats.org/package/2006/relationships"><Relationship Id="rId1" Type="http://schemas.openxmlformats.org/officeDocument/2006/relationships/customXmlProps" Target="itemProps244.xml"/></Relationships>
</file>

<file path=customXml/_rels/item245.xml.rels><?xml version="1.0" encoding="UTF-8" standalone="yes"?>
<Relationships xmlns="http://schemas.openxmlformats.org/package/2006/relationships"><Relationship Id="rId1" Type="http://schemas.openxmlformats.org/officeDocument/2006/relationships/customXmlProps" Target="itemProps245.xml"/></Relationships>
</file>

<file path=customXml/_rels/item246.xml.rels><?xml version="1.0" encoding="UTF-8" standalone="yes"?>
<Relationships xmlns="http://schemas.openxmlformats.org/package/2006/relationships"><Relationship Id="rId1" Type="http://schemas.openxmlformats.org/officeDocument/2006/relationships/customXmlProps" Target="itemProps246.xml"/></Relationships>
</file>

<file path=customXml/_rels/item247.xml.rels><?xml version="1.0" encoding="UTF-8" standalone="yes"?>
<Relationships xmlns="http://schemas.openxmlformats.org/package/2006/relationships"><Relationship Id="rId1" Type="http://schemas.openxmlformats.org/officeDocument/2006/relationships/customXmlProps" Target="itemProps247.xml"/></Relationships>
</file>

<file path=customXml/_rels/item248.xml.rels><?xml version="1.0" encoding="UTF-8" standalone="yes"?>
<Relationships xmlns="http://schemas.openxmlformats.org/package/2006/relationships"><Relationship Id="rId1" Type="http://schemas.openxmlformats.org/officeDocument/2006/relationships/customXmlProps" Target="itemProps248.xml"/></Relationships>
</file>

<file path=customXml/_rels/item249.xml.rels><?xml version="1.0" encoding="UTF-8" standalone="yes"?>
<Relationships xmlns="http://schemas.openxmlformats.org/package/2006/relationships"><Relationship Id="rId1" Type="http://schemas.openxmlformats.org/officeDocument/2006/relationships/customXmlProps" Target="itemProps249.xml"/></Relationships>
</file>

<file path=customXml/_rels/item250.xml.rels><?xml version="1.0" encoding="UTF-8" standalone="yes"?>
<Relationships xmlns="http://schemas.openxmlformats.org/package/2006/relationships"><Relationship Id="rId1" Type="http://schemas.openxmlformats.org/officeDocument/2006/relationships/customXmlProps" Target="itemProps250.xml"/></Relationships>
</file>

<file path=customXml/_rels/item251.xml.rels><?xml version="1.0" encoding="UTF-8" standalone="yes"?>
<Relationships xmlns="http://schemas.openxmlformats.org/package/2006/relationships"><Relationship Id="rId1" Type="http://schemas.openxmlformats.org/officeDocument/2006/relationships/customXmlProps" Target="itemProps251.xml"/></Relationships>
</file>

<file path=customXml/_rels/item252.xml.rels><?xml version="1.0" encoding="UTF-8" standalone="yes"?>
<Relationships xmlns="http://schemas.openxmlformats.org/package/2006/relationships"><Relationship Id="rId1" Type="http://schemas.openxmlformats.org/officeDocument/2006/relationships/customXmlProps" Target="itemProps252.xml"/></Relationships>
</file>

<file path=customXml/_rels/item253.xml.rels><?xml version="1.0" encoding="UTF-8" standalone="yes"?>
<Relationships xmlns="http://schemas.openxmlformats.org/package/2006/relationships"><Relationship Id="rId1" Type="http://schemas.openxmlformats.org/officeDocument/2006/relationships/customXmlProps" Target="itemProps253.xml"/></Relationships>
</file>

<file path=customXml/_rels/item254.xml.rels><?xml version="1.0" encoding="UTF-8" standalone="yes"?>
<Relationships xmlns="http://schemas.openxmlformats.org/package/2006/relationships"><Relationship Id="rId1" Type="http://schemas.openxmlformats.org/officeDocument/2006/relationships/customXmlProps" Target="itemProps254.xml"/></Relationships>
</file>

<file path=customXml/_rels/item255.xml.rels><?xml version="1.0" encoding="UTF-8" standalone="yes"?>
<Relationships xmlns="http://schemas.openxmlformats.org/package/2006/relationships"><Relationship Id="rId1" Type="http://schemas.openxmlformats.org/officeDocument/2006/relationships/customXmlProps" Target="itemProps255.xml"/></Relationships>
</file>

<file path=customXml/_rels/item256.xml.rels><?xml version="1.0" encoding="UTF-8" standalone="yes"?>
<Relationships xmlns="http://schemas.openxmlformats.org/package/2006/relationships"><Relationship Id="rId1" Type="http://schemas.openxmlformats.org/officeDocument/2006/relationships/customXmlProps" Target="itemProps256.xml"/></Relationships>
</file>

<file path=customXml/_rels/item257.xml.rels><?xml version="1.0" encoding="UTF-8" standalone="yes"?>
<Relationships xmlns="http://schemas.openxmlformats.org/package/2006/relationships"><Relationship Id="rId1" Type="http://schemas.openxmlformats.org/officeDocument/2006/relationships/customXmlProps" Target="itemProps257.xml"/></Relationships>
</file>

<file path=customXml/_rels/item258.xml.rels><?xml version="1.0" encoding="UTF-8" standalone="yes"?>
<Relationships xmlns="http://schemas.openxmlformats.org/package/2006/relationships"><Relationship Id="rId1" Type="http://schemas.openxmlformats.org/officeDocument/2006/relationships/customXmlProps" Target="itemProps258.xml"/></Relationships>
</file>

<file path=customXml/_rels/item259.xml.rels><?xml version="1.0" encoding="UTF-8" standalone="yes"?>
<Relationships xmlns="http://schemas.openxmlformats.org/package/2006/relationships"><Relationship Id="rId1" Type="http://schemas.openxmlformats.org/officeDocument/2006/relationships/customXmlProps" Target="itemProps259.xml"/></Relationships>
</file>

<file path=customXml/_rels/item260.xml.rels><?xml version="1.0" encoding="UTF-8" standalone="yes"?>
<Relationships xmlns="http://schemas.openxmlformats.org/package/2006/relationships"><Relationship Id="rId1" Type="http://schemas.openxmlformats.org/officeDocument/2006/relationships/customXmlProps" Target="itemProps260.xml"/></Relationships>
</file>

<file path=customXml/_rels/item261.xml.rels><?xml version="1.0" encoding="UTF-8" standalone="yes"?>
<Relationships xmlns="http://schemas.openxmlformats.org/package/2006/relationships"><Relationship Id="rId1" Type="http://schemas.openxmlformats.org/officeDocument/2006/relationships/customXmlProps" Target="itemProps261.xml"/></Relationships>
</file>

<file path=customXml/_rels/item262.xml.rels><?xml version="1.0" encoding="UTF-8" standalone="yes"?>
<Relationships xmlns="http://schemas.openxmlformats.org/package/2006/relationships"><Relationship Id="rId1" Type="http://schemas.openxmlformats.org/officeDocument/2006/relationships/customXmlProps" Target="itemProps262.xml"/></Relationships>
</file>

<file path=customXml/_rels/item263.xml.rels><?xml version="1.0" encoding="UTF-8" standalone="yes"?>
<Relationships xmlns="http://schemas.openxmlformats.org/package/2006/relationships"><Relationship Id="rId1" Type="http://schemas.openxmlformats.org/officeDocument/2006/relationships/customXmlProps" Target="itemProps263.xml"/></Relationships>
</file>

<file path=customXml/_rels/item264.xml.rels><?xml version="1.0" encoding="UTF-8" standalone="yes"?>
<Relationships xmlns="http://schemas.openxmlformats.org/package/2006/relationships"><Relationship Id="rId1" Type="http://schemas.openxmlformats.org/officeDocument/2006/relationships/customXmlProps" Target="itemProps264.xml"/></Relationships>
</file>

<file path=customXml/_rels/item265.xml.rels><?xml version="1.0" encoding="UTF-8" standalone="yes"?>
<Relationships xmlns="http://schemas.openxmlformats.org/package/2006/relationships"><Relationship Id="rId1" Type="http://schemas.openxmlformats.org/officeDocument/2006/relationships/customXmlProps" Target="itemProps265.xml"/></Relationships>
</file>

<file path=customXml/_rels/item266.xml.rels><?xml version="1.0" encoding="UTF-8" standalone="yes"?>
<Relationships xmlns="http://schemas.openxmlformats.org/package/2006/relationships"><Relationship Id="rId1" Type="http://schemas.openxmlformats.org/officeDocument/2006/relationships/customXmlProps" Target="itemProps266.xml"/></Relationships>
</file>

<file path=customXml/_rels/item267.xml.rels><?xml version="1.0" encoding="UTF-8" standalone="yes"?>
<Relationships xmlns="http://schemas.openxmlformats.org/package/2006/relationships"><Relationship Id="rId1" Type="http://schemas.openxmlformats.org/officeDocument/2006/relationships/customXmlProps" Target="itemProps267.xml"/></Relationships>
</file>

<file path=customXml/_rels/item268.xml.rels><?xml version="1.0" encoding="UTF-8" standalone="yes"?>
<Relationships xmlns="http://schemas.openxmlformats.org/package/2006/relationships"><Relationship Id="rId1" Type="http://schemas.openxmlformats.org/officeDocument/2006/relationships/customXmlProps" Target="itemProps268.xml"/></Relationships>
</file>

<file path=customXml/_rels/item269.xml.rels><?xml version="1.0" encoding="UTF-8" standalone="yes"?>
<Relationships xmlns="http://schemas.openxmlformats.org/package/2006/relationships"><Relationship Id="rId1" Type="http://schemas.openxmlformats.org/officeDocument/2006/relationships/customXmlProps" Target="itemProps269.xml"/></Relationships>
</file>

<file path=customXml/_rels/item270.xml.rels><?xml version="1.0" encoding="UTF-8" standalone="yes"?>
<Relationships xmlns="http://schemas.openxmlformats.org/package/2006/relationships"><Relationship Id="rId1" Type="http://schemas.openxmlformats.org/officeDocument/2006/relationships/customXmlProps" Target="itemProps270.xml"/></Relationships>
</file>

<file path=customXml/_rels/item271.xml.rels><?xml version="1.0" encoding="UTF-8" standalone="yes"?>
<Relationships xmlns="http://schemas.openxmlformats.org/package/2006/relationships"><Relationship Id="rId1" Type="http://schemas.openxmlformats.org/officeDocument/2006/relationships/customXmlProps" Target="itemProps271.xml"/></Relationships>
</file>

<file path=customXml/_rels/item272.xml.rels><?xml version="1.0" encoding="UTF-8" standalone="yes"?>
<Relationships xmlns="http://schemas.openxmlformats.org/package/2006/relationships"><Relationship Id="rId1" Type="http://schemas.openxmlformats.org/officeDocument/2006/relationships/customXmlProps" Target="itemProps272.xml"/></Relationships>
</file>

<file path=customXml/_rels/item273.xml.rels><?xml version="1.0" encoding="UTF-8" standalone="yes"?>
<Relationships xmlns="http://schemas.openxmlformats.org/package/2006/relationships"><Relationship Id="rId1" Type="http://schemas.openxmlformats.org/officeDocument/2006/relationships/customXmlProps" Target="itemProps273.xml"/></Relationships>
</file>

<file path=customXml/_rels/item274.xml.rels><?xml version="1.0" encoding="UTF-8" standalone="yes"?>
<Relationships xmlns="http://schemas.openxmlformats.org/package/2006/relationships"><Relationship Id="rId1" Type="http://schemas.openxmlformats.org/officeDocument/2006/relationships/customXmlProps" Target="itemProps274.xml"/></Relationships>
</file>

<file path=customXml/_rels/item275.xml.rels><?xml version="1.0" encoding="UTF-8" standalone="yes"?>
<Relationships xmlns="http://schemas.openxmlformats.org/package/2006/relationships"><Relationship Id="rId1" Type="http://schemas.openxmlformats.org/officeDocument/2006/relationships/customXmlProps" Target="itemProps275.xml"/></Relationships>
</file>

<file path=customXml/_rels/item276.xml.rels><?xml version="1.0" encoding="UTF-8" standalone="yes"?>
<Relationships xmlns="http://schemas.openxmlformats.org/package/2006/relationships"><Relationship Id="rId1" Type="http://schemas.openxmlformats.org/officeDocument/2006/relationships/customXmlProps" Target="itemProps276.xml"/></Relationships>
</file>

<file path=customXml/_rels/item277.xml.rels><?xml version="1.0" encoding="UTF-8" standalone="yes"?>
<Relationships xmlns="http://schemas.openxmlformats.org/package/2006/relationships"><Relationship Id="rId1" Type="http://schemas.openxmlformats.org/officeDocument/2006/relationships/customXmlProps" Target="itemProps277.xml"/></Relationships>
</file>

<file path=customXml/_rels/item278.xml.rels><?xml version="1.0" encoding="UTF-8" standalone="yes"?>
<Relationships xmlns="http://schemas.openxmlformats.org/package/2006/relationships"><Relationship Id="rId1" Type="http://schemas.openxmlformats.org/officeDocument/2006/relationships/customXmlProps" Target="itemProps278.xml"/></Relationships>
</file>

<file path=customXml/_rels/item279.xml.rels><?xml version="1.0" encoding="UTF-8" standalone="yes"?>
<Relationships xmlns="http://schemas.openxmlformats.org/package/2006/relationships"><Relationship Id="rId1" Type="http://schemas.openxmlformats.org/officeDocument/2006/relationships/customXmlProps" Target="itemProps279.xml"/></Relationships>
</file>

<file path=customXml/_rels/item280.xml.rels><?xml version="1.0" encoding="UTF-8" standalone="yes"?>
<Relationships xmlns="http://schemas.openxmlformats.org/package/2006/relationships"><Relationship Id="rId1" Type="http://schemas.openxmlformats.org/officeDocument/2006/relationships/customXmlProps" Target="itemProps280.xml"/></Relationships>
</file>

<file path=customXml/_rels/item281.xml.rels><?xml version="1.0" encoding="UTF-8" standalone="yes"?>
<Relationships xmlns="http://schemas.openxmlformats.org/package/2006/relationships"><Relationship Id="rId1" Type="http://schemas.openxmlformats.org/officeDocument/2006/relationships/customXmlProps" Target="itemProps281.xml"/></Relationships>
</file>

<file path=customXml/_rels/item282.xml.rels><?xml version="1.0" encoding="UTF-8" standalone="yes"?>
<Relationships xmlns="http://schemas.openxmlformats.org/package/2006/relationships"><Relationship Id="rId1" Type="http://schemas.openxmlformats.org/officeDocument/2006/relationships/customXmlProps" Target="itemProps282.xml"/></Relationships>
</file>

<file path=customXml/_rels/item283.xml.rels><?xml version="1.0" encoding="UTF-8" standalone="yes"?>
<Relationships xmlns="http://schemas.openxmlformats.org/package/2006/relationships"><Relationship Id="rId1" Type="http://schemas.openxmlformats.org/officeDocument/2006/relationships/customXmlProps" Target="itemProps283.xml"/></Relationships>
</file>

<file path=customXml/_rels/item284.xml.rels><?xml version="1.0" encoding="UTF-8" standalone="yes"?>
<Relationships xmlns="http://schemas.openxmlformats.org/package/2006/relationships"><Relationship Id="rId1" Type="http://schemas.openxmlformats.org/officeDocument/2006/relationships/customXmlProps" Target="itemProps284.xml"/></Relationships>
</file>

<file path=customXml/_rels/item285.xml.rels><?xml version="1.0" encoding="UTF-8" standalone="yes"?>
<Relationships xmlns="http://schemas.openxmlformats.org/package/2006/relationships"><Relationship Id="rId1" Type="http://schemas.openxmlformats.org/officeDocument/2006/relationships/customXmlProps" Target="itemProps285.xml"/></Relationships>
</file>

<file path=customXml/_rels/item286.xml.rels><?xml version="1.0" encoding="UTF-8" standalone="yes"?>
<Relationships xmlns="http://schemas.openxmlformats.org/package/2006/relationships"><Relationship Id="rId1" Type="http://schemas.openxmlformats.org/officeDocument/2006/relationships/customXmlProps" Target="itemProps286.xml"/></Relationships>
</file>

<file path=customXml/_rels/item287.xml.rels><?xml version="1.0" encoding="UTF-8" standalone="yes"?>
<Relationships xmlns="http://schemas.openxmlformats.org/package/2006/relationships"><Relationship Id="rId1" Type="http://schemas.openxmlformats.org/officeDocument/2006/relationships/customXmlProps" Target="itemProps287.xml"/></Relationships>
</file>

<file path=customXml/_rels/item288.xml.rels><?xml version="1.0" encoding="UTF-8" standalone="yes"?>
<Relationships xmlns="http://schemas.openxmlformats.org/package/2006/relationships"><Relationship Id="rId1" Type="http://schemas.openxmlformats.org/officeDocument/2006/relationships/customXmlProps" Target="itemProps288.xml"/></Relationships>
</file>

<file path=customXml/_rels/item289.xml.rels><?xml version="1.0" encoding="UTF-8" standalone="yes"?>
<Relationships xmlns="http://schemas.openxmlformats.org/package/2006/relationships"><Relationship Id="rId1" Type="http://schemas.openxmlformats.org/officeDocument/2006/relationships/customXmlProps" Target="itemProps289.xml"/></Relationships>
</file>

<file path=customXml/_rels/item290.xml.rels><?xml version="1.0" encoding="UTF-8" standalone="yes"?>
<Relationships xmlns="http://schemas.openxmlformats.org/package/2006/relationships"><Relationship Id="rId1" Type="http://schemas.openxmlformats.org/officeDocument/2006/relationships/customXmlProps" Target="itemProps290.xml"/></Relationships>
</file>

<file path=customXml/_rels/item291.xml.rels><?xml version="1.0" encoding="UTF-8" standalone="yes"?>
<Relationships xmlns="http://schemas.openxmlformats.org/package/2006/relationships"><Relationship Id="rId1" Type="http://schemas.openxmlformats.org/officeDocument/2006/relationships/customXmlProps" Target="itemProps291.xml"/></Relationships>
</file>

<file path=customXml/_rels/item292.xml.rels><?xml version="1.0" encoding="UTF-8" standalone="yes"?>
<Relationships xmlns="http://schemas.openxmlformats.org/package/2006/relationships"><Relationship Id="rId1" Type="http://schemas.openxmlformats.org/officeDocument/2006/relationships/customXmlProps" Target="itemProps292.xml"/></Relationships>
</file>

<file path=customXml/_rels/item293.xml.rels><?xml version="1.0" encoding="UTF-8" standalone="yes"?>
<Relationships xmlns="http://schemas.openxmlformats.org/package/2006/relationships"><Relationship Id="rId1" Type="http://schemas.openxmlformats.org/officeDocument/2006/relationships/customXmlProps" Target="itemProps293.xml"/></Relationships>
</file>

<file path=customXml/_rels/item294.xml.rels><?xml version="1.0" encoding="UTF-8" standalone="yes"?>
<Relationships xmlns="http://schemas.openxmlformats.org/package/2006/relationships"><Relationship Id="rId1" Type="http://schemas.openxmlformats.org/officeDocument/2006/relationships/customXmlProps" Target="itemProps294.xml"/></Relationships>
</file>

<file path=customXml/_rels/item295.xml.rels><?xml version="1.0" encoding="UTF-8" standalone="yes"?>
<Relationships xmlns="http://schemas.openxmlformats.org/package/2006/relationships"><Relationship Id="rId1" Type="http://schemas.openxmlformats.org/officeDocument/2006/relationships/customXmlProps" Target="itemProps295.xml"/></Relationships>
</file>

<file path=customXml/_rels/item296.xml.rels><?xml version="1.0" encoding="UTF-8" standalone="yes"?>
<Relationships xmlns="http://schemas.openxmlformats.org/package/2006/relationships"><Relationship Id="rId1" Type="http://schemas.openxmlformats.org/officeDocument/2006/relationships/customXmlProps" Target="itemProps296.xml"/></Relationships>
</file>

<file path=customXml/_rels/item297.xml.rels><?xml version="1.0" encoding="UTF-8" standalone="yes"?>
<Relationships xmlns="http://schemas.openxmlformats.org/package/2006/relationships"><Relationship Id="rId1" Type="http://schemas.openxmlformats.org/officeDocument/2006/relationships/customXmlProps" Target="itemProps297.xml"/></Relationships>
</file>

<file path=customXml/_rels/item298.xml.rels><?xml version="1.0" encoding="UTF-8" standalone="yes"?>
<Relationships xmlns="http://schemas.openxmlformats.org/package/2006/relationships"><Relationship Id="rId1" Type="http://schemas.openxmlformats.org/officeDocument/2006/relationships/customXmlProps" Target="itemProps298.xml"/></Relationships>
</file>

<file path=customXml/_rels/item299.xml.rels><?xml version="1.0" encoding="UTF-8" standalone="yes"?>
<Relationships xmlns="http://schemas.openxmlformats.org/package/2006/relationships"><Relationship Id="rId1" Type="http://schemas.openxmlformats.org/officeDocument/2006/relationships/customXmlProps" Target="itemProps299.xml"/></Relationships>
</file>

<file path=customXml/_rels/item300.xml.rels><?xml version="1.0" encoding="UTF-8" standalone="yes"?>
<Relationships xmlns="http://schemas.openxmlformats.org/package/2006/relationships"><Relationship Id="rId1" Type="http://schemas.openxmlformats.org/officeDocument/2006/relationships/customXmlProps" Target="itemProps300.xml"/></Relationships>
</file>

<file path=customXml/_rels/item301.xml.rels><?xml version="1.0" encoding="UTF-8" standalone="yes"?>
<Relationships xmlns="http://schemas.openxmlformats.org/package/2006/relationships"><Relationship Id="rId1" Type="http://schemas.openxmlformats.org/officeDocument/2006/relationships/customXmlProps" Target="itemProps301.xml"/></Relationships>
</file>

<file path=customXml/_rels/item302.xml.rels><?xml version="1.0" encoding="UTF-8" standalone="yes"?>
<Relationships xmlns="http://schemas.openxmlformats.org/package/2006/relationships"><Relationship Id="rId1" Type="http://schemas.openxmlformats.org/officeDocument/2006/relationships/customXmlProps" Target="itemProps302.xml"/></Relationships>
</file>

<file path=customXml/_rels/item303.xml.rels><?xml version="1.0" encoding="UTF-8" standalone="yes"?>
<Relationships xmlns="http://schemas.openxmlformats.org/package/2006/relationships"><Relationship Id="rId1" Type="http://schemas.openxmlformats.org/officeDocument/2006/relationships/customXmlProps" Target="itemProps303.xml"/></Relationships>
</file>

<file path=customXml/_rels/item304.xml.rels><?xml version="1.0" encoding="UTF-8" standalone="yes"?>
<Relationships xmlns="http://schemas.openxmlformats.org/package/2006/relationships"><Relationship Id="rId1" Type="http://schemas.openxmlformats.org/officeDocument/2006/relationships/customXmlProps" Target="itemProps304.xml"/></Relationships>
</file>

<file path=customXml/_rels/item305.xml.rels><?xml version="1.0" encoding="UTF-8" standalone="yes"?>
<Relationships xmlns="http://schemas.openxmlformats.org/package/2006/relationships"><Relationship Id="rId1" Type="http://schemas.openxmlformats.org/officeDocument/2006/relationships/customXmlProps" Target="itemProps305.xml"/></Relationships>
</file>

<file path=customXml/_rels/item306.xml.rels><?xml version="1.0" encoding="UTF-8" standalone="yes"?>
<Relationships xmlns="http://schemas.openxmlformats.org/package/2006/relationships"><Relationship Id="rId1" Type="http://schemas.openxmlformats.org/officeDocument/2006/relationships/customXmlProps" Target="itemProps306.xml"/></Relationships>
</file>

<file path=customXml/_rels/item307.xml.rels><?xml version="1.0" encoding="UTF-8" standalone="yes"?>
<Relationships xmlns="http://schemas.openxmlformats.org/package/2006/relationships"><Relationship Id="rId1" Type="http://schemas.openxmlformats.org/officeDocument/2006/relationships/customXmlProps" Target="itemProps307.xml"/></Relationships>
</file>

<file path=customXml/_rels/item308.xml.rels><?xml version="1.0" encoding="UTF-8" standalone="yes"?>
<Relationships xmlns="http://schemas.openxmlformats.org/package/2006/relationships"><Relationship Id="rId1" Type="http://schemas.openxmlformats.org/officeDocument/2006/relationships/customXmlProps" Target="itemProps308.xml"/></Relationships>
</file>

<file path=customXml/_rels/item309.xml.rels><?xml version="1.0" encoding="UTF-8" standalone="yes"?>
<Relationships xmlns="http://schemas.openxmlformats.org/package/2006/relationships"><Relationship Id="rId1" Type="http://schemas.openxmlformats.org/officeDocument/2006/relationships/customXmlProps" Target="itemProps309.xml"/></Relationships>
</file>

<file path=customXml/_rels/item310.xml.rels><?xml version="1.0" encoding="UTF-8" standalone="yes"?>
<Relationships xmlns="http://schemas.openxmlformats.org/package/2006/relationships"><Relationship Id="rId1" Type="http://schemas.openxmlformats.org/officeDocument/2006/relationships/customXmlProps" Target="itemProps310.xml"/></Relationships>
</file>

<file path=customXml/_rels/item311.xml.rels><?xml version="1.0" encoding="UTF-8" standalone="yes"?>
<Relationships xmlns="http://schemas.openxmlformats.org/package/2006/relationships"><Relationship Id="rId1" Type="http://schemas.openxmlformats.org/officeDocument/2006/relationships/customXmlProps" Target="itemProps311.xml"/></Relationships>
</file>

<file path=customXml/_rels/item312.xml.rels><?xml version="1.0" encoding="UTF-8" standalone="yes"?>
<Relationships xmlns="http://schemas.openxmlformats.org/package/2006/relationships"><Relationship Id="rId1" Type="http://schemas.openxmlformats.org/officeDocument/2006/relationships/customXmlProps" Target="itemProps312.xml"/></Relationships>
</file>

<file path=customXml/_rels/item313.xml.rels><?xml version="1.0" encoding="UTF-8" standalone="yes"?>
<Relationships xmlns="http://schemas.openxmlformats.org/package/2006/relationships"><Relationship Id="rId1" Type="http://schemas.openxmlformats.org/officeDocument/2006/relationships/customXmlProps" Target="itemProps313.xml"/></Relationships>
</file>

<file path=customXml/_rels/item314.xml.rels><?xml version="1.0" encoding="UTF-8" standalone="yes"?>
<Relationships xmlns="http://schemas.openxmlformats.org/package/2006/relationships"><Relationship Id="rId1" Type="http://schemas.openxmlformats.org/officeDocument/2006/relationships/customXmlProps" Target="itemProps314.xml"/></Relationships>
</file>

<file path=customXml/_rels/item315.xml.rels><?xml version="1.0" encoding="UTF-8" standalone="yes"?>
<Relationships xmlns="http://schemas.openxmlformats.org/package/2006/relationships"><Relationship Id="rId1" Type="http://schemas.openxmlformats.org/officeDocument/2006/relationships/customXmlProps" Target="itemProps315.xml"/></Relationships>
</file>

<file path=customXml/_rels/item316.xml.rels><?xml version="1.0" encoding="UTF-8" standalone="yes"?>
<Relationships xmlns="http://schemas.openxmlformats.org/package/2006/relationships"><Relationship Id="rId1" Type="http://schemas.openxmlformats.org/officeDocument/2006/relationships/customXmlProps" Target="itemProps316.xml"/></Relationships>
</file>

<file path=customXml/_rels/item317.xml.rels><?xml version="1.0" encoding="UTF-8" standalone="yes"?>
<Relationships xmlns="http://schemas.openxmlformats.org/package/2006/relationships"><Relationship Id="rId1" Type="http://schemas.openxmlformats.org/officeDocument/2006/relationships/customXmlProps" Target="itemProps317.xml"/></Relationships>
</file>

<file path=customXml/_rels/item318.xml.rels><?xml version="1.0" encoding="UTF-8" standalone="yes"?>
<Relationships xmlns="http://schemas.openxmlformats.org/package/2006/relationships"><Relationship Id="rId1" Type="http://schemas.openxmlformats.org/officeDocument/2006/relationships/customXmlProps" Target="itemProps318.xml"/></Relationships>
</file>

<file path=customXml/_rels/item319.xml.rels><?xml version="1.0" encoding="UTF-8" standalone="yes"?>
<Relationships xmlns="http://schemas.openxmlformats.org/package/2006/relationships"><Relationship Id="rId1" Type="http://schemas.openxmlformats.org/officeDocument/2006/relationships/customXmlProps" Target="itemProps319.xml"/></Relationships>
</file>

<file path=customXml/_rels/item320.xml.rels><?xml version="1.0" encoding="UTF-8" standalone="yes"?>
<Relationships xmlns="http://schemas.openxmlformats.org/package/2006/relationships"><Relationship Id="rId1" Type="http://schemas.openxmlformats.org/officeDocument/2006/relationships/customXmlProps" Target="itemProps320.xml"/></Relationships>
</file>

<file path=customXml/_rels/item321.xml.rels><?xml version="1.0" encoding="UTF-8" standalone="yes"?>
<Relationships xmlns="http://schemas.openxmlformats.org/package/2006/relationships"><Relationship Id="rId1" Type="http://schemas.openxmlformats.org/officeDocument/2006/relationships/customXmlProps" Target="itemProps321.xml"/></Relationships>
</file>

<file path=customXml/_rels/item322.xml.rels><?xml version="1.0" encoding="UTF-8" standalone="yes"?>
<Relationships xmlns="http://schemas.openxmlformats.org/package/2006/relationships"><Relationship Id="rId1" Type="http://schemas.openxmlformats.org/officeDocument/2006/relationships/customXmlProps" Target="itemProps322.xml"/></Relationships>
</file>

<file path=customXml/_rels/item323.xml.rels><?xml version="1.0" encoding="UTF-8" standalone="yes"?>
<Relationships xmlns="http://schemas.openxmlformats.org/package/2006/relationships"><Relationship Id="rId1" Type="http://schemas.openxmlformats.org/officeDocument/2006/relationships/customXmlProps" Target="itemProps323.xml"/></Relationships>
</file>

<file path=customXml/_rels/item324.xml.rels><?xml version="1.0" encoding="UTF-8" standalone="yes"?>
<Relationships xmlns="http://schemas.openxmlformats.org/package/2006/relationships"><Relationship Id="rId1" Type="http://schemas.openxmlformats.org/officeDocument/2006/relationships/customXmlProps" Target="itemProps324.xml"/></Relationships>
</file>

<file path=customXml/_rels/item325.xml.rels><?xml version="1.0" encoding="UTF-8" standalone="yes"?>
<Relationships xmlns="http://schemas.openxmlformats.org/package/2006/relationships"><Relationship Id="rId1" Type="http://schemas.openxmlformats.org/officeDocument/2006/relationships/customXmlProps" Target="itemProps325.xml"/></Relationships>
</file>

<file path=customXml/_rels/item326.xml.rels><?xml version="1.0" encoding="UTF-8" standalone="yes"?>
<Relationships xmlns="http://schemas.openxmlformats.org/package/2006/relationships"><Relationship Id="rId1" Type="http://schemas.openxmlformats.org/officeDocument/2006/relationships/customXmlProps" Target="itemProps326.xml"/></Relationships>
</file>

<file path=customXml/_rels/item327.xml.rels><?xml version="1.0" encoding="UTF-8" standalone="yes"?>
<Relationships xmlns="http://schemas.openxmlformats.org/package/2006/relationships"><Relationship Id="rId1" Type="http://schemas.openxmlformats.org/officeDocument/2006/relationships/customXmlProps" Target="itemProps327.xml"/></Relationships>
</file>

<file path=customXml/_rels/item328.xml.rels><?xml version="1.0" encoding="UTF-8" standalone="yes"?>
<Relationships xmlns="http://schemas.openxmlformats.org/package/2006/relationships"><Relationship Id="rId1" Type="http://schemas.openxmlformats.org/officeDocument/2006/relationships/customXmlProps" Target="itemProps328.xml"/></Relationships>
</file>

<file path=customXml/_rels/item329.xml.rels><?xml version="1.0" encoding="UTF-8" standalone="yes"?>
<Relationships xmlns="http://schemas.openxmlformats.org/package/2006/relationships"><Relationship Id="rId1" Type="http://schemas.openxmlformats.org/officeDocument/2006/relationships/customXmlProps" Target="itemProps329.xml"/></Relationships>
</file>

<file path=customXml/_rels/item330.xml.rels><?xml version="1.0" encoding="UTF-8" standalone="yes"?>
<Relationships xmlns="http://schemas.openxmlformats.org/package/2006/relationships"><Relationship Id="rId1" Type="http://schemas.openxmlformats.org/officeDocument/2006/relationships/customXmlProps" Target="itemProps330.xml"/></Relationships>
</file>

<file path=customXml/_rels/item331.xml.rels><?xml version="1.0" encoding="UTF-8" standalone="yes"?>
<Relationships xmlns="http://schemas.openxmlformats.org/package/2006/relationships"><Relationship Id="rId1" Type="http://schemas.openxmlformats.org/officeDocument/2006/relationships/customXmlProps" Target="itemProps331.xml"/></Relationships>
</file>

<file path=customXml/_rels/item332.xml.rels><?xml version="1.0" encoding="UTF-8" standalone="yes"?>
<Relationships xmlns="http://schemas.openxmlformats.org/package/2006/relationships"><Relationship Id="rId1" Type="http://schemas.openxmlformats.org/officeDocument/2006/relationships/customXmlProps" Target="itemProps332.xml"/></Relationships>
</file>

<file path=customXml/_rels/item333.xml.rels><?xml version="1.0" encoding="UTF-8" standalone="yes"?>
<Relationships xmlns="http://schemas.openxmlformats.org/package/2006/relationships"><Relationship Id="rId1" Type="http://schemas.openxmlformats.org/officeDocument/2006/relationships/customXmlProps" Target="itemProps333.xml"/></Relationships>
</file>

<file path=customXml/_rels/item334.xml.rels><?xml version="1.0" encoding="UTF-8" standalone="yes"?>
<Relationships xmlns="http://schemas.openxmlformats.org/package/2006/relationships"><Relationship Id="rId1" Type="http://schemas.openxmlformats.org/officeDocument/2006/relationships/customXmlProps" Target="itemProps334.xml"/></Relationships>
</file>

<file path=customXml/_rels/item335.xml.rels><?xml version="1.0" encoding="UTF-8" standalone="yes"?>
<Relationships xmlns="http://schemas.openxmlformats.org/package/2006/relationships"><Relationship Id="rId1" Type="http://schemas.openxmlformats.org/officeDocument/2006/relationships/customXmlProps" Target="itemProps335.xml"/></Relationships>
</file>

<file path=customXml/_rels/item336.xml.rels><?xml version="1.0" encoding="UTF-8" standalone="yes"?>
<Relationships xmlns="http://schemas.openxmlformats.org/package/2006/relationships"><Relationship Id="rId1" Type="http://schemas.openxmlformats.org/officeDocument/2006/relationships/customXmlProps" Target="itemProps336.xml"/></Relationships>
</file>

<file path=customXml/_rels/item337.xml.rels><?xml version="1.0" encoding="UTF-8" standalone="yes"?>
<Relationships xmlns="http://schemas.openxmlformats.org/package/2006/relationships"><Relationship Id="rId1" Type="http://schemas.openxmlformats.org/officeDocument/2006/relationships/customXmlProps" Target="itemProps337.xml"/></Relationships>
</file>

<file path=customXml/_rels/item338.xml.rels><?xml version="1.0" encoding="UTF-8" standalone="yes"?>
<Relationships xmlns="http://schemas.openxmlformats.org/package/2006/relationships"><Relationship Id="rId1" Type="http://schemas.openxmlformats.org/officeDocument/2006/relationships/customXmlProps" Target="itemProps338.xml"/></Relationships>
</file>

<file path=customXml/_rels/item339.xml.rels><?xml version="1.0" encoding="UTF-8" standalone="yes"?>
<Relationships xmlns="http://schemas.openxmlformats.org/package/2006/relationships"><Relationship Id="rId1" Type="http://schemas.openxmlformats.org/officeDocument/2006/relationships/customXmlProps" Target="itemProps339.xml"/></Relationships>
</file>

<file path=customXml/item1.xml>��
</file>

<file path=customXml/item2.xml>��
</file>

<file path=customXml/item3.xml>��
</file>

<file path=customXml/item4.xml>��=ذ�=ذ�=ذ�=ذ�=ذ�=ذ�=�d�=�d�=�d�=�d�<ث�<ث�=�d�=�d�=�d�=�d�=���=���<ث�<ث�=�d�=�d�<����<����<����<����=�e�=�e�=�d�=�d�=�e�=�e�=�e�=�e�=�d�=�d�=�d�=�d�<ث�<ث�<ث�<ث�=�e�=�e�=�e�=�e�=�d�=�d�=�e�=�e�<����<����=�e�=�e�<؁�<؁�<؁�<؁�=��=��<ث�<ث�=�e�=�e�=���=���=�e�=�e�=ز�=ز�=ذ�=ذ�=�d�=�d�=�d�=�d�=�d�=�d�=�d�=�d�
</file>

<file path=customXml/item5.xml>��
</file>

<file path=customXml/item6.xml>��
</file>

<file path=customXml/item7.xml>��
</file>

<file path=customXml/item8.xml>��
</file>

<file path=customXml/item9.xml>��
</file>

<file path=customXml/item10.xml>��=ذ�=ذ�=ذ�=ذ�=ذ�=ذ�=�d�=�d�=�d�=�d�<ث�<ث�=�d�=�d�=�d�=�d�=���=���<ث�<ث�=�d�=�d�<����<����<����<����=�e�=�e�=�d�=�d�=�e�=�e�=�e�=�e�=�d�=�d�=�d�=�d�<ث�<ث�<ث�<ث�=�e�=�e�=�e�=�e�=�d�=�d�=�e�=�e�<����<����=�e�=�e�<؁�<؁�<؁�<؁�=��=��<ث�<ث�=�e�=�e�=���=���<ث�<ث�=ز�=ز�=�d�=�d�=�d�=�d�=�d�=�d�=�d�=�d�=�d�=�d�<ث�<ث�=�d�=�d�=�e�=�e�=�e�=�e�
</file>

<file path=customXml/item11.xml>��=ذ�=ذ�=ذ�=ذ�=ذ�=ذ�=�d�=�d�=�d�=�d�<ث�<ث�=�d�=�d�=�d�=�d�=���=���<ث�<ث�=�d�=�d�<����<����<����<����=�e�=�e�=�d�=�d�=�e�=�e�=�e�=�e�=�d�=�d�=�d�=�d�<ث�<ث�<ث�<ث�=�e�=�e�=�e�=�e�=�d�=�d�=�e�=�e�<����<����=�e�=�e�<؁�<؁�<؁�<؁�=��=��<ث�<ث�=�e�=�e�=���=���=�e�=�e�=ز�=ز�=ذ�=ذ�=�d�=�d�=�d�=�d�=�d�=�d�=�d�=�d�=�d�=�d�
</file>

<file path=customXml/item12.xml>��
</file>

<file path=customXml/item13.xml>��
</file>

<file path=customXml/item14.xml>��
</file>

<file path=customXml/item15.xml>��
</file>

<file path=customXml/item16.xml>��
</file>

<file path=customXml/item17.xml>��
</file>

<file path=customXml/item18.xml>��=ذ�=ذ�=ذ�=ذ�=ذ�=ذ�=�d�=�d�=�d�=�d�<ث�<ث�=�d�=�d�=�d�=�d�=���=���<ث�<ث�=�d�=�d�<����<����<����<����=�e�=�e�=�d�=�d�=�e�=�e�=�e�=�e�=�d�=�d�=�d�=�d�<ث�<ث�<ث�<ث�=�e�=�e�=�e�=�e�=�d�=�d�=�e�=�e�<����<����=�e�=�e�<؁�<؁�<؁�<؁�=��=��<ث�<ث�=�e�=�e�=���=���=�e�=�e�=ز�=ز�=ذ�=ذ�=�d�=�d�=�d�=�d�=�d�=�d�=�d�=�d�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��=ذ�=ذ�=ذ�=ذ�=ذ�=ذ�=�d�=�d�=�d�=�d�<ث�<ث�=�d�=�d�=�d�=�d�=���=���<ث�<ث�=�d�=�d�<����<����<����<����=�e�=�e�=�d�=�d�=�e�=�e�=�e�=�e�=�d�=�d�=�d�=�d�<ث�<ث�<ث�<ث�=�e�=�e�=�e�=�e�=�d�=�d�=�e�=�e�<����<����=�e�=�e�<؁�<؁�<؁�<؁�=��=��<ث�<ث�=�e�=�e�=���=���<ث�<ث�=ز�=ز�=�d�=�d�=�d�=�d�=�d�=�d�=�d�=�d�=�d�=�d�<ث�<ث�=�d�=�d�<ث�<ث�<ث�<ث�
</file>

<file path=customXml/item33.xml>��
</file>

<file path=customXml/item34.xml>��
</file>

<file path=customXml/item35.xml>��
</file>

<file path=customXml/item36.xml>��=�e�=�e�=���=���=�e�=�e�<ث�<ث�<؁�<؁�<؁�<؁�=ذ�=ذ�=ذ�=ذ�=�d�=�d�=�d�=�d�=�d�=�d�=�e�=�e�=�e�=�e�=�e�=�e�=�e�=�e�=�e�=�e�=��=��=�d�=�d�=�d�=�d�=�d�=�d�=�d�=�d�=�d�=�d�=�d�=�d�<ث�<ث�=ز�=ز�<ث�<ث�<ث�<ث�<ث�<ث�=ذ�=ذ�<ث�<ث�(=�e�((=�e�(=���(=���(<����(<����(=�e�(=�e�(=ت�(=ت�(=�d�=�d�=��=��=�e�=�e�=���=���=�d�=�d�=�e�=�e�=�d�=�d�=�d�=�d�=�e�=�e�=�d�=�d�=�e�=�e�=�e�=�e�=�e�=�e�=�e�=�e�<ث�<ث�=�d�=�d�=�d�=�d�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��=ذ�=ذ�=ذ�=ذ�=ذ�=ذ�=�d�=�d�=�d�=�d�<ث�<ث�=�d�=�d�=�d�=�d�=���=���<ث�<ث�=�d�=�d�<����<����<����<����=�e�=�e�=�d�=�d�=�e�=�e�=�e�=�e�=�d�=�d�=�d�=�d�<ث�<ث�<ث�<ث�=�e�=�e�=�e�=�e�=�d�=�d�=�e�=�e�<����<����=�e�=�e�<؁�<؁�<؁�<؁�=��=��<ث�<ث�=�e�=�e�=���=���<ث�<ث�=ز�=ز�=�d�=�d�=�d�=�d�=�d�=�d�=�d�=�d�=�d�=�d�<ث�<ث�=�d�=�d�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��=ذ�=ذ�=ذ�=ذ�=ذ�=ذ�=�d�=�d�=�d�=�d�<ث�<ث�=�d�=�d�=�d�=�d�=���=���<ث�<ث�=�d�=�d�<����<����<����<����=�e�=�e�=�d�=�d�=�e�=�e�=�e�=�e�=�d�=�d�=�d�=�d�<ث�<ث�<ث�<ث�=�e�=�e�=�e�=�e�=�d�=�d�=�e�=�e�<����<����=�e�=�e�<؁�<؁�<؁�<؁�=��=��<ث�<ث�=�e�=�e�=���=���=�e�=�e�=ز�=ز�=ذ�=ذ�=�d�=�d�=�d�=�d�=�d�=�d�=�d�=�d�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��=ذ�=ذ�=ذ�=�d�<ث�=�d�(=�e�(=���(=�d�<����(=�e�=ت�(=�e�=�e�=�d�=�d�<ث�<ث�=�e�=�d�=�e�(=�e�=�e�<؁�<؁�=��<ث�=�e�=���<ث�=ز�=�d�=�d�=�d�=�d�<ث�=����=����=����=��=����=�e�=���=�d�=�e�=�d�=�d�=�e�=�d�=�e�=����=�e�=�e�=����=�e�<ث�=�d�=�d�=ذ�=ذ�=ذ�=�d�<ث�=�d�(=�e�(=���(=�d�<����(=�e�=ت�(=�e�=�e�=�d�=�d�<ث�<ث�=�e�=�d�=�e�(=�e�=�e�<؁�<؁�=��<ث�=�e�=���<ث�=ز�=�d�=�d�=�d�=�d�<ث�=����=����=����=��=����=�e�=���=�d�=�e�=�d�=�d�=�e�=�d�=�e�=����=�e�=�e�=����=�e�<ث�=�d�=�d�=ذ�=ذ�=ذ�=ذ�=ذ�=ذ�=ذ�=ذ�=ذ�=�d�=�d�=�d�<ث�<ث�<ث�=�d�=�d�=�d�(=�e�((=�e�((=�e�(=���(=���(=���(=�d�=�d�=�d�<����(<����(<����(=�e�=�e�=�e�=ت�(=ت�(=ت�(=�e�=�e�=�e�=�e�=�e�=�e�=�d�=�d�=�d�=�d�=�d�=�d�<ث�<ث�<ث�<ث�<ث�<ث�=�e�=�e�=�e�=�d�=�d�=�d�=�e�(=�e�(=�e�(=�e�=�e�=�e�=�e�=�e�=�e�<؁�<؁�<؁�<؁�<؁�<؁�=��=��=��<ث�<ث�<ث�=�e�=�e�=�e�=���=���=���<ث�<ث�<ث�=ز�=ز�=ز�=�d�=�d�=�d�=�d�=�d�=�d�=�d�=�d�=�d�=�d�=�d�=�d�<ث�<ث�<ث�=����=����=����=����=����=����=����=����=����=��=��=��=����=����=����=�e�=�e�=�e�=���=���=���=�d�=�d�=�d�=�e�=�e�=�e�=�d�=�d�=�d�=�d�=�d�=�d�=�e�=�e�=�e�=�d�=�d�=�d�=�e�=�e�=�e�=����=����=����=�e�=�e�=�e�=�e�=�e�=�e�=����=����=����=�e�=�e�=�e�<ث�<ث�<ث�=�d�=�d�=�d�=�d�=�d�=�d�=ذ�=ذ�=ذ�=ذ�=ذ�=ذ�=ذ�=ذ�=ذ�=�d�=�d�=�d�<ث�<ث�<ث�=�d�=�d�=�d�(=�e�((=�e�((=�e�(=���(=���(=���(=�d�=�d�=�d�<����(<����(<����(=�e�=�e�=�e�=ت�(=ت�(=ت�(=�e�=�e�=�e�=�e�=�e�=�e�=�d�=�d�=�d�=�d�=�d�=�d�<ث�<ث�<ث�<ث�<ث�<ث�=�e�=�e�=�e�=�d�=�d�=�d�=�e�(=�e�(=�e�(=�e�=�e�=�e�=�e�=�e�=�e�<؁�<؁�<؁�<؁�<؁�<؁�=��=��=��<ث�<ث�<ث�=�e�=�e�=�e�=���=���=���<ث�<ث�<ث�=ز�=ز�=ز�=�d�=�d�=�d�=�d�=�d�=�d�=�d�=�d�=�d�=�d�=�d�=�d�<ث�<ث�<ث�=����=����=����=����=����=����=����=����=����=��=��=��=����=����=����=�e�=�e�=�e�=���=���=���=�d�=�d�=�d�=�e�=�e�=�e�=�d�=�d�=�d�=�d�=�d�=�d�=�e�=�e�=�e�=�d�=�d�=�d�=�e�=�e�=�e�=����=����=����=�e�=�e�=�e�=�e�=�e�=�e�=����=����=����=�e�=�e�=�e�<ث�<ث�<ث�=�d�=�d�=�d�=�d�=�d�=�d�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��=ذ�=ذ�=ذ�=ذ�=ذ�=ذ�=�d�=�d�=�d�=�d�<ث�<ث�=�d�=�d�=�d�=�d�=���=���<ث�<ث�=�d�=�d�<����<����<����<����=�e�=�e�=�d�=�d�=�e�=�e�=�e�=�e�=�d�=�d�=�d�=�d�<ث�<ث�<���<���<ث�<ث�=�e�=�e�=�e�=�e�=�d�=�d�=�e�=�e�<����<����=�e�=�e�<؁�<؁�<؁�<؁�=��=��<ث�<ث�=�e�=�e�=���=���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��=ذ�=ذ�=ذ�=ذ�=ذ�=ذ�=�d�=�d�=�d�=�d�<ث�<ث�=�d�=�d�=�d�=�d�=���=���<ث�<ث�=�d�=�d�<����<����<����<����=�e�=�e�=�d�=�d�=�e�=�e�=�e�=�e�=�d�=�d�=�d�=�d�<ث�<ث�<���<���<ث�<ث�=�e�=�e�=�e�=�e�=�d�=�d�=�e�=�e�<����<����=�e�=�e�<؁�<؁�<؁�<؁�=��=��=���=���=���=���=���<ث�<ث�=�e�=�e�=�e�=�e�=�e�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��=ذ�=ذ�=ذ�=ذ�=ذ�=ذ�=�d�=�d�=�d�=�d�<ث�<ث�=�d�=�d�=�d�=�d�=���=���<ث�<ث�=�d�=�d�<����<����<����<����=�e�=�e�=�d�=�d�=�e�=�e�=�e�=�e�=�d�=�d�=�d�=�d�<ث�<ث�<ث�<ث�=�e�=�e�=�e�=�e�=�d�=�d�=�e�=�e�<����<����=�e�=�e�<؁�<؁�<؁�<؁�=��=��<ث�<ث�=�e�=�e�=���=���<ث�<ث�=ز�=ز�=�d�=�d�=�d�=�d�=�d�=�d�=�d�=�d�=�d�=�d�<ث�<ث�=�d�=�d�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
</file>

<file path=customXml/item151.xml>��
</file>

<file path=customXml/item152.xml>��=ذ�=ذ�=ذ�=ذ�=ذ�=ذ�=�d�=�d�=�d�=�d�<ث�<ث�=�d�=�d�=�d�=�d�=���=���<ث�<ث�=�d�=�d�<����<����<����<����=�e�=�e�=�d�=�d�=�e�=�e�=�e�=�e�=�d�=�d�=�d�=�d�<ث�<ث�<ث�<ث�=�e�=�e�=�e�=�e�=�d�=�d�=�e�=�e�<����<����=�e�=�e�<؁�<؁�<؁�<؁�=��=��<ث�<ث�=�e�=�e�=���=���<ث�<ث�=ز�=ز�=�d�=�d�=�d�=�d�=�d�=�d�=�d�=�d�=�d�=�d�<ث�<ث�=�d�=�d�
</file>

<file path=customXml/item153.xml>��
</file>

<file path=customXml/item154.xml>��
</file>

<file path=customXml/item155.xml>��
</file>

<file path=customXml/item156.xml>��
</file>

<file path=customXml/item157.xml>��
</file>

<file path=customXml/item158.xml>��
</file>

<file path=customXml/item159.xml>��
</file>

<file path=customXml/item160.xml>��
</file>

<file path=customXml/item161.xml>��=ذ�=ذ�=ذ�=ذ�=ذ�=ذ�=�d�=�d�=�d�=�d�<ث�<ث�=�d�=�d�=�d�=�d�=���=���<ث�<ث�=�d�=�d�<����<����<����<����=�e�=�e�=�d�=�d�=�e�=�e�=�e�=�e�=�d�=�d�=�d�=�d�<ث�<ث�<���<���<ث�<ث�=�e�=�e�=�e�=�e�=�d�=�d�=�e�=�e�<����<����=�e�=�e�<؁�<؁�<؁�<؁�=��=��<ث�<ث�=���=���=���=���=���=�e�=�e�=�e�=�e�=�e�
</file>

<file path=customXml/item162.xml>��
</file>

<file path=customXml/item163.xml>��
</file>

<file path=customXml/item164.xml>��
</file>

<file path=customXml/item165.xml>��
</file>

<file path=customXml/item166.xml>��
</file>

<file path=customXml/item167.xml>��=ذ�=ذ�=ذ�=ذ�=ذ�=ذ�=�d�=�d�=�d�=�d�<ث�<ث�=�d�=�d�=�d�=�d�=���=���<ث�<ث�=�d�=�d�<����<����<����<����=�e�=�e�=�d�=�d�=�e�=�e�=�e�=�e�=�d�=�d�=�d�=�d�<ث�<ث�<ث�<ث�=�e�=�e�=�e�=�e�=�d�=�d�=�e�=�e�<����<����=�e�=�e�<؁�<؁�<؁�<؁�=��=��<ث�<ث�=�e�=�e�=���=���<ث�<ث�=ز�=ز�=�d�=�d�=�d�=�d�=�d�=�d�=�d�=�d�=�d�=�d�<ث�<ث�=�d�=�d�=�e�=�e�=�e�=�e�
</file>

<file path=customXml/item168.xml>��
</file>

<file path=customXml/item169.xml>��
</file>

<file path=customXml/item170.xml>��
</file>

<file path=customXml/item171.xml>��
</file>

<file path=customXml/item172.xml>��
</file>

<file path=customXml/item173.xml>��
</file>

<file path=customXml/item174.xml>��
</file>

<file path=customXml/item175.xml>��
</file>

<file path=customXml/item176.xml>��
</file>

<file path=customXml/item177.xml>��
</file>

<file path=customXml/item178.xml>��
</file>

<file path=customXml/item179.xml>��
</file>

<file path=customXml/item180.xml>��
</file>

<file path=customXml/item181.xml>��
</file>

<file path=customXml/item182.xml>��
</file>

<file path=customXml/item183.xml>��
</file>

<file path=customXml/item184.xml>��
</file>

<file path=customXml/item185.xml>��
</file>

<file path=customXml/item186.xml>��
</file>

<file path=customXml/item187.xml>��=�e�=�e�=���=���=�e�=�e�<ث�<ث�<؁�<؁�<؁�<؁�=ذ�=ذ�=ذ�=ذ�=�d�=�d�=�d�=�d�=�d�=�d�=�e�=�e�=�e�=�e�=�e�=�e�=�e�=�e�=��=��=�d�=�d�=�d�=�d�=�d�=�d�=�d�=�d�<ث�<ث�=ز�=ز�<ث�<ث�<ث�<ث�<ث�<ث�=ذ�=ذ�<ث�<ث�(=�e�((=�e�(=���(=���(<����(<����(=�e�(=�e�(=ت�(=ت�(=�d�=�d�=�d�=�d�=�d�=�d�=�e�=�e�=��=��=�e�=�e�=���=���=�d�=�d�=�e�=�e�=�d�=�d�=�d�=�d�=�e�=�e�=�d�=�d�=�e�=�e�=�e�=�e�=�e�=�e�=�e�=�e�<ث�<ث�=�d�=�d�=�d�=�d�
</file>

<file path=customXml/item188.xml>��=ذ�=ذ�=ذ�=ذ�=ذ�=ذ�=�d�=�d�=�d�=�d�<ث�<ث�=�d�=�d�=�d�=�d�=���=���<ث�<ث�=�d�=�d�<����<����<����<����=�e�=�e�=�d�=�d�=�e�=�e�=�e�=�e�=�d�=�d�=�d�=�d�<ث�<ث�<���<���<ث�<ث�=�e�=�e�=�e�=�e�=�d�=�d�=�e�=�e�<����<����=�e�=�e�<؁�<؁�<؁�<؁�=��=��<ث�<ث�=�e�=�e�=���=���=�e�=�e�
</file>

<file path=customXml/item189.xml>��
</file>

<file path=customXml/item190.xml>��
</file>

<file path=customXml/item191.xml>��
</file>

<file path=customXml/item192.xml>��
</file>

<file path=customXml/item193.xml>��
</file>

<file path=customXml/item194.xml>��
</file>

<file path=customXml/item195.xml>��
</file>

<file path=customXml/item196.xml>��
</file>

<file path=customXml/item197.xml>��
</file>

<file path=customXml/item198.xml>��
</file>

<file path=customXml/item199.xml>��
</file>

<file path=customXml/item200.xml>��
</file>

<file path=customXml/item201.xml>��
</file>

<file path=customXml/item202.xml>��
</file>

<file path=customXml/item203.xml>��=ذ�=ذ�=ذ�=ذ�=ذ�=ذ�=�d�=�d�=�d�=�d�<ث�<ث�=�d�=�d�=�d�=�d�=���=���<ث�<ث�=�d�=�d�<����<����<����<����=�e�=�e�=�d�=�d�=�e�=�e�=�e�=�e�=�d�=�d�=�d�=�d�<ث�<ث�<���<���<ث�<ث�=�e�=�e�=�e�=�e�=�d�=�d�=�e�=�e�<����<����=�e�=�e�<؁�<؁�<؁�<؁�=��=��=���=���=���=���=���=�e�=�e�=�e�=�e�=�e�<ث�<ث�<ث�<ث�<ث�
</file>

<file path=customXml/item204.xml>��
</file>

<file path=customXml/item205.xml>��
</file>

<file path=customXml/item206.xml>��
</file>

<file path=customXml/item207.xml>��
</file>

<file path=customXml/item208.xml>��=ذ�=ذ�=ذ�=ذ�=ذ�=ذ�=�d�=�d�=�d�=�d�<ث�<ث�=�d�=�d�=�d�=�d�=���=���<ث�<ث�=�d�=�d�<����<����<����<����=�e�=�e�=�d�=�d�=�e�=�e�=�e�=�e�=�d�=�d�=�d�=�d�<ث�<ث�<ث�<ث�=�e�=�e�=�e�=�e�=�d�=�d�=�e�=�e�<����<����=�e�=�e�<؁�<؁�<؁�<؁�=��=��<ث�<ث�=�e�=�e�=���=���=�e�=�e�=ز�=ز�=ذ�=ذ�
</file>

<file path=customXml/item209.xml>��
</file>

<file path=customXml/item210.xml>��
</file>

<file path=customXml/item211.xml>��
</file>

<file path=customXml/item212.xml>��
</file>

<file path=customXml/item213.xml>��
</file>

<file path=customXml/item214.xml>��
</file>

<file path=customXml/item215.xml>��
</file>

<file path=customXml/item216.xml>��
</file>

<file path=customXml/item217.xml>��
</file>

<file path=customXml/item218.xml>��
</file>

<file path=customXml/item219.xml>��
</file>

<file path=customXml/item220.xml>��
</file>

<file path=customXml/item221.xml>��
</file>

<file path=customXml/item222.xml>��
</file>

<file path=customXml/item223.xml>��
</file>

<file path=customXml/item224.xml>��=ذ�=ذ�=ذ�=ذ�=ذ�=ذ�=�d�=�d�=�d�=�d�<ث�<ث�=�d�=�d�=�d�=�d�=���=���<ث�<ث�=�d�=�d�<����<����<����<����=�e�=�e�=�d�=�d�=�e�=�e�=�e�=�e�=�d�=�d�=�d�=�d�<ث�<ث�<���<���<ث�<ث�=�e�=�e�=�e�=�e�=�d�=�d�=�e�=�e�<����<����=�e�=�e�<؁�<؁�<؁�<؁�=��=��<ث�<ث�=�e�=�e�=���=���=�e�=�e�=ز�=ز�
</file>

<file path=customXml/item225.xml>��=ذ�=ذ�=ذ�=ذ�=ذ�=ذ�=�d�=�d�<ث�<ث�=�d�=�d�(=�e�((=�e�(=���(=���(=�d�=�d�<����(<����(=�e�=�e�=ت�(=ت�(=�e�=�e�=�e�=�e�=�d�=�d�=�d�=�d�<ث�<ث�<ث�<ث�=�e�=�e�=�e�=�e�=�e�(=�e�(=�e�=�e�=�e�=�e�<؁�<؁�<؁�<؁�=��=��<ث�<ث�=�e�=�e�=���=���<ث�<ث�=ز�=ز�=�d�=�d�=�d�=�d�=�d�=�d�=�d�=�d�<ث�<ث�<ث�<���<ث�<���
</file>

<file path=customXml/item226.xml>��
</file>

<file path=customXml/item227.xml>��<ث�<ث�=ذ�=ذ�=ذ�=ذ�=ذ�=ذ�=�d�=�d�=�e�=�e�=�d�=�d�<ث�<ث�=���=���=�d�=�d�=�d�=�d�=���=���<ث�<ث�=�d�=�d�<����<����<����<����=�e�=�e�=�d�=�d�=�e�=�e�=�e�=�e�=�d�=�d�=�d�=�d�<ث�<ث�<���<���<ث�<ث�=�e�=�e�=�e�=�e�=�d�=�d�=�e�=�e�<����<����=�e�=�e�<؁�<؁�<؁�<؁�
</file>

<file path=customXml/item228.xml>��
</file>

<file path=customXml/item229.xml>��
</file>

<file path=customXml/item230.xml>��
</file>

<file path=customXml/item231.xml>��
</file>

<file path=customXml/item232.xml>��
</file>

<file path=customXml/item233.xml>��
</file>

<file path=customXml/item234.xml>��=ذ�=ذ�=ذ�=ذ�=ذ�=ذ�=�d�=�d�=�d�=�d�<ث�<ث�=�d�=�d�=�d�=�d�=���=���<ث�<ث�=�d�=�d�<����<����<����<����=�e�=�e�=�d�=�d�=�e�=�e�=�e�=�e�=�d�=�d�=�d�=�d�<ث�<ث�<���<���<ث�<ث�=�e�=�e�=�e�=�e�=�d�=�d�=�e�=�e�<����<����=�e�=�e�<؁�<؁�<؁�<؁�=��=��<ث�<ث�=���=���=���=���=���=�e�=�e�=�e�=�e�=�e�
</file>

<file path=customXml/item235.xml>��
</file>

<file path=customXml/item236.xml>��
</file>

<file path=customXml/item237.xml>��
</file>

<file path=customXml/item238.xml>��
</file>

<file path=customXml/item239.xml>��
</file>

<file path=customXml/item240.xml>��
</file>

<file path=customXml/item241.xml>��
</file>

<file path=customXml/item242.xml>��
</file>

<file path=customXml/item243.xml>��
</file>

<file path=customXml/item244.xml>��
</file>

<file path=customXml/item245.xml>��
</file>

<file path=customXml/item246.xml>��
</file>

<file path=customXml/item247.xml>��
</file>

<file path=customXml/item248.xml>��
</file>

<file path=customXml/item249.xml>��
</file>

<file path=customXml/item250.xml>��
</file>

<file path=customXml/item251.xml>��
</file>

<file path=customXml/item252.xml>��
</file>

<file path=customXml/item253.xml>��
</file>

<file path=customXml/item254.xml>��
</file>

<file path=customXml/item255.xml>��
</file>

<file path=customXml/item256.xml>��
</file>

<file path=customXml/item257.xml>��
</file>

<file path=customXml/item258.xml>��
</file>

<file path=customXml/item259.xml>��
</file>

<file path=customXml/item260.xml>��
</file>

<file path=customXml/item261.xml>��
</file>

<file path=customXml/item262.xml>��
</file>

<file path=customXml/item263.xml>��
</file>

<file path=customXml/item264.xml>��
</file>

<file path=customXml/item265.xml>��
</file>

<file path=customXml/item266.xml>��
</file>

<file path=customXml/item267.xml>��
</file>

<file path=customXml/item268.xml>��
</file>

<file path=customXml/item269.xml>��
</file>

<file path=customXml/item270.xml>��=ذ�=ذ�=ذ�=ذ�=ذ�=ذ�=�d�=�d�=�d�=�d�<ث�<ث�=�d�=�d�=�d�=�d�=���=���<ث�<ث�=�d�=�d�<����<����<����<����=�e�=�e�=�d�=�d�=�e�=�e�=�e�=�e�=�d�=�d�=�d�=�d�<ث�<ث�<���<���<ث�<ث�=�e�=�e�=�e�=�e�=�d�=�d�=�e�=�e�<����<����=�e�=�e�<؁�<؁�<؁�<؁�=��=��<ث�<ث�=�e�=�e�=���=���=�e�=�e�=ز�=ز�
</file>

<file path=customXml/item271.xml>��
</file>

<file path=customXml/item272.xml>��
</file>

<file path=customXml/item273.xml>��=ذ�=ذ�=ذ�=ذ�=ذ�=ذ�=�d�=�d�=�d�=�d�<ث�<ث�=�d�=�d�=�d�=�d�=���=���<ث�<ث�=�d�=�d�<����<����<����<����=�e�=�e�=�d�=�d�=�e�=�e�=�e�=�e�=�d�=�d�=�d�=�d�<ث�<ث�<ث�<ث�=�e�=�e�=�e�=�e�=�d�=�d�=�e�=�e�<����<����=�e�=�e�<؁�<؁�<؁�<؁�=��=��<ث�<ث�=�e�=�e�=���=���<ث�<ث�=ز�=ز�=�d�=�d�=�d�=�d�=�d�=�d�=�d�=�d�=�d�=�d�<ث�<ث�=�d�=�d�
</file>

<file path=customXml/item274.xml>��
</file>

<file path=customXml/item275.xml>��
</file>

<file path=customXml/item276.xml>��
</file>

<file path=customXml/item277.xml>��
</file>

<file path=customXml/item278.xml>��
</file>

<file path=customXml/item279.xml>��
</file>

<file path=customXml/item280.xml>��
</file>

<file path=customXml/item281.xml>��
</file>

<file path=customXml/item282.xml>��
</file>

<file path=customXml/item283.xml>��
</file>

<file path=customXml/item284.xml>��
</file>

<file path=customXml/item285.xml>��
</file>

<file path=customXml/item286.xml>��
</file>

<file path=customXml/item287.xml>��
</file>

<file path=customXml/item288.xml>��
</file>

<file path=customXml/item289.xml>��
</file>

<file path=customXml/item290.xml>��
</file>

<file path=customXml/item291.xml>��=ذ�=ذ�=ذ�=ذ�=ذ�=ذ�=�d�=�d�=�d�=�d�<ث�<ث�=�d�=�d�=�d�=�d�=���=���<ث�<ث�=�d�=�d�<����<����<����<����=�e�=�e�=�d�=�d�=�e�=�e�=�e�=�e�=�d�=�d�=�d�=�d�<ث�<ث�<ث�<ث�=�e�=�e�=�e�=�e�=�d�=�d�=�e�=�e�<����<����=�e�=�e�<؁�<؁�<؁�<؁�=��=��<ث�<ث�=�e�=�e�=���=���<ث�<ث�=ز�=ز�=�d�=�d�=�d�=�d�=�d�=�d�=�d�=�d�=�d�=�d�<ث�<ث�=�d�=�d�
</file>

<file path=customXml/item292.xml>��
</file>

<file path=customXml/item293.xml>��
</file>

<file path=customXml/item294.xml>��
</file>

<file path=customXml/item295.xml>��
</file>

<file path=customXml/item296.xml>��=ذ�=ذ�=ذ�=ذ�=ذ�=ذ�=�d�=�d�=�d�=�d�<ث�<ث�=�d�=�d�=�d�=�d�=���=���<ث�<ث�=�d�=�d�<����<����<����<����=�e�=�e�=�d�=�d�=�e�=�e�=�e�=�e�=�d�=�d�=�d�=�d�<ث�<ث�<ث�<ث�=�e�=�e�=�e�=�e�=�d�=�d�=�e�=�e�<����<����=�e�=�e�<؁�<؁�<؁�<؁�=��=��<ث�<ث�=�e�=�e�=���=���=�e�=�e�=ز�=ز�=ذ�=ذ�=�d�=�d�=�d�=�d�=�d�=�d�=�d�=�d�
</file>

<file path=customXml/item297.xml>��
</file>

<file path=customXml/item298.xml>��
</file>

<file path=customXml/item299.xml>��
</file>

<file path=customXml/item300.xml>��
</file>

<file path=customXml/item301.xml>��
</file>

<file path=customXml/item302.xml>��
</file>

<file path=customXml/item303.xml>��
</file>

<file path=customXml/item304.xml>��
</file>

<file path=customXml/item305.xml>��
</file>

<file path=customXml/item306.xml>��=ذ�=ذ�=ذ�=ذ�=ذ�=ذ�=�d�=�d�=�d�=�d�<ث�<ث�=�d�=�d�=�d�=�d�=���=���<ث�<ث�=�d�=�d�<����<����<����<����=�e�=�e�=�d�=�d�=�e�=�e�=�e�=�e�=�d�=�d�=�d�=�d�<ث�<ث�<ث�<ث�=�e�=�e�=�e�=�e�=�d�=�d�=�e�=�e�<����<����=�e�=�e�<؁�<؁�<؁�<؁�=��=��<ث�<ث�=�e�=�e�=���=���=�e�=�e�=ز�=ز�=ذ�=ذ�=�d�=�d�=�d�=�d�=�d�=�d�=�d�=�d�
</file>

<file path=customXml/item307.xml>��
</file>

<file path=customXml/item308.xml>��
</file>

<file path=customXml/item309.xml>��
</file>

<file path=customXml/item310.xml>��
</file>

<file path=customXml/item311.xml>��
</file>

<file path=customXml/item312.xml>��
</file>

<file path=customXml/item313.xml>��
</file>

<file path=customXml/item314.xml>��
</file>

<file path=customXml/item315.xml>��
</file>

<file path=customXml/item316.xml>��
</file>

<file path=customXml/item317.xml>��
</file>

<file path=customXml/item318.xml>��
</file>

<file path=customXml/item319.xml>��
</file>

<file path=customXml/item320.xml>��
</file>

<file path=customXml/item321.xml>��
</file>

<file path=customXml/item322.xml>��
</file>

<file path=customXml/item323.xml>��
</file>

<file path=customXml/item324.xml>��
</file>

<file path=customXml/item325.xml>��
</file>

<file path=customXml/item326.xml>��=ذ�=ذ�=ذ�=ذ�=ذ�=ذ�=�d�=�d�=�d�=�d�<ث�<ث�=�d�=�d�=�d�=�d�=���=���<ث�<ث�=�d�=�d�<����<����<����<����=�e�=�e�=�d�=�d�=�e�=�e�=�e�=�e�=�d�=�d�=�d�=�d�<ث�<ث�<���<���<ث�<ث�=�e�=�e�=�e�=�e�=�d�=�d�=�e�=�e�<����<����=�e�=�e�<؁�<؁�<؁�<؁�=��=��<ث�<ث�=�e�=�e�=���=���=�e�=�e�=ز�=ز�
</file>

<file path=customXml/item327.xml>��
</file>

<file path=customXml/item328.xml>��
</file>

<file path=customXml/item329.xml>��
</file>

<file path=customXml/item330.xml>��=ذ�=ذ�=ذ�=ذ�=ذ�=ذ�=�d�=�d�<ث�<ث�=�d�=�d�(=�e�((=�e�(=���(=���(=�d�=�d�<����(<����(=�e�=�e�=ت�(=ت�(=�e�=�e�=�e�=�e�=�d�=�d�=�d�=�d�<ث�<ث�<ث�<ث�=�e�=�e�=�e�=�e�=�e�(=�e�(=�e�=�e�=�e�=�e�<؁�<؁�<؁�<؁�=��=��<ث�<ث�=�e�=�e�=���=���<ث�<ث�=ز�=ز�=�d�=�d�=�d�=�d�=�d�=�d�=�d�=�d�<ث�<ث�<ث�<���<ث�<���
</file>

<file path=customXml/item331.xml>��
</file>

<file path=customXml/item332.xml>��
</file>

<file path=customXml/item333.xml>��
</file>

<file path=customXml/item334.xml>��
</file>

<file path=customXml/item335.xml>��
</file>

<file path=customXml/item336.xml>��
</file>

<file path=customXml/item337.xml>��
</file>

<file path=customXml/item338.xml>��
</file>

<file path=customXml/item339.xml>��
</file>

<file path=customXml/itemProps1.xml><?xml version="1.0" encoding="utf-8"?>
<ds:datastoreItem xmlns:ds="http://schemas.openxmlformats.org/officeDocument/2006/customXml" ds:itemID="{6A89D971-8098-4133-9FE4-91894D11EED8}">
  <ds:schemaRefs/>
</ds:datastoreItem>
</file>

<file path=customXml/itemProps2.xml><?xml version="1.0" encoding="utf-8"?>
<ds:datastoreItem xmlns:ds="http://schemas.openxmlformats.org/officeDocument/2006/customXml" ds:itemID="{8CBA6297-B7AA-4D97-B3A3-F526F4D8F491}">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DB014C60-D4A5-4192-8CB5-FF911FC6E607}">
  <ds:schemaRefs/>
</ds:datastoreItem>
</file>

<file path=customXml/itemProps4.xml><?xml version="1.0" encoding="utf-8"?>
<ds:datastoreItem xmlns:ds="http://schemas.openxmlformats.org/officeDocument/2006/customXml" ds:itemID="{11315F1E-CA6F-40CF-9751-E60FC241BB7E}">
  <ds:schemaRefs/>
</ds:datastoreItem>
</file>

<file path=customXml/itemProps5.xml><?xml version="1.0" encoding="utf-8"?>
<ds:datastoreItem xmlns:ds="http://schemas.openxmlformats.org/officeDocument/2006/customXml" ds:itemID="{7C14CFE5-18BD-4A2F-B5D8-CC58C5C75C33}">
  <ds:schemaRefs/>
</ds:datastoreItem>
</file>

<file path=customXml/itemProps6.xml><?xml version="1.0" encoding="utf-8"?>
<ds:datastoreItem xmlns:ds="http://schemas.openxmlformats.org/officeDocument/2006/customXml" ds:itemID="{BA16A974-3E1B-49F3-A0C1-7D6A06540F13}">
  <ds:schemaRefs/>
</ds:datastoreItem>
</file>

<file path=customXml/itemProps7.xml><?xml version="1.0" encoding="utf-8"?>
<ds:datastoreItem xmlns:ds="http://schemas.openxmlformats.org/officeDocument/2006/customXml" ds:itemID="{469ACAB4-98AA-4EDD-A1BF-15085ADF32F6}">
  <ds:schemaRefs/>
</ds:datastoreItem>
</file>

<file path=customXml/itemProps8.xml><?xml version="1.0" encoding="utf-8"?>
<ds:datastoreItem xmlns:ds="http://schemas.openxmlformats.org/officeDocument/2006/customXml" ds:itemID="{41BAB267-F051-48C8-AA28-575A5866CF3E}">
  <ds:schemaRefs/>
</ds:datastoreItem>
</file>

<file path=customXml/itemProps9.xml><?xml version="1.0" encoding="utf-8"?>
<ds:datastoreItem xmlns:ds="http://schemas.openxmlformats.org/officeDocument/2006/customXml" ds:itemID="{E1323408-3FF7-4E61-B377-473A3CB4585A}">
  <ds:schemaRefs/>
</ds:datastoreItem>
</file>

<file path=customXml/itemProps10.xml><?xml version="1.0" encoding="utf-8"?>
<ds:datastoreItem xmlns:ds="http://schemas.openxmlformats.org/officeDocument/2006/customXml" ds:itemID="{6A6CE567-2E68-43B3-940C-51C9EE525DFB}">
  <ds:schemaRefs/>
</ds:datastoreItem>
</file>

<file path=customXml/itemProps11.xml><?xml version="1.0" encoding="utf-8"?>
<ds:datastoreItem xmlns:ds="http://schemas.openxmlformats.org/officeDocument/2006/customXml" ds:itemID="{1D14D93E-1AFB-4BDB-A455-62D3F2B5B326}">
  <ds:schemaRefs/>
</ds:datastoreItem>
</file>

<file path=customXml/itemProps12.xml><?xml version="1.0" encoding="utf-8"?>
<ds:datastoreItem xmlns:ds="http://schemas.openxmlformats.org/officeDocument/2006/customXml" ds:itemID="{A1F4FBFF-D03D-47BA-9AE1-1B947BCC21EA}">
  <ds:schemaRefs/>
</ds:datastoreItem>
</file>

<file path=customXml/itemProps13.xml><?xml version="1.0" encoding="utf-8"?>
<ds:datastoreItem xmlns:ds="http://schemas.openxmlformats.org/officeDocument/2006/customXml" ds:itemID="{41D14260-E329-4EF7-960A-A02974EBAC38}">
  <ds:schemaRefs/>
</ds:datastoreItem>
</file>

<file path=customXml/itemProps14.xml><?xml version="1.0" encoding="utf-8"?>
<ds:datastoreItem xmlns:ds="http://schemas.openxmlformats.org/officeDocument/2006/customXml" ds:itemID="{F55BDF08-5ED5-44F2-ABF6-22301B8A394B}">
  <ds:schemaRefs/>
</ds:datastoreItem>
</file>

<file path=customXml/itemProps15.xml><?xml version="1.0" encoding="utf-8"?>
<ds:datastoreItem xmlns:ds="http://schemas.openxmlformats.org/officeDocument/2006/customXml" ds:itemID="{CCCD857B-491D-4984-9703-96D0C834FD15}">
  <ds:schemaRefs/>
</ds:datastoreItem>
</file>

<file path=customXml/itemProps16.xml><?xml version="1.0" encoding="utf-8"?>
<ds:datastoreItem xmlns:ds="http://schemas.openxmlformats.org/officeDocument/2006/customXml" ds:itemID="{24113C84-AD7D-4E7B-BB01-6610386F0181}">
  <ds:schemaRefs/>
</ds:datastoreItem>
</file>

<file path=customXml/itemProps17.xml><?xml version="1.0" encoding="utf-8"?>
<ds:datastoreItem xmlns:ds="http://schemas.openxmlformats.org/officeDocument/2006/customXml" ds:itemID="{5AF5176D-12FF-4227-A49A-981EEA3C4506}">
  <ds:schemaRefs/>
</ds:datastoreItem>
</file>

<file path=customXml/itemProps18.xml><?xml version="1.0" encoding="utf-8"?>
<ds:datastoreItem xmlns:ds="http://schemas.openxmlformats.org/officeDocument/2006/customXml" ds:itemID="{FC4316DB-4F26-4D7B-9511-B5038D4447D3}">
  <ds:schemaRefs/>
</ds:datastoreItem>
</file>

<file path=customXml/itemProps19.xml><?xml version="1.0" encoding="utf-8"?>
<ds:datastoreItem xmlns:ds="http://schemas.openxmlformats.org/officeDocument/2006/customXml" ds:itemID="{B2AC3AD3-7E1C-4AC2-8DBF-B49D75A4D8BC}">
  <ds:schemaRefs/>
</ds:datastoreItem>
</file>

<file path=customXml/itemProps20.xml><?xml version="1.0" encoding="utf-8"?>
<ds:datastoreItem xmlns:ds="http://schemas.openxmlformats.org/officeDocument/2006/customXml" ds:itemID="{2922F0E0-A5EF-4CDD-BBC5-E37B8165520F}">
  <ds:schemaRefs/>
</ds:datastoreItem>
</file>

<file path=customXml/itemProps21.xml><?xml version="1.0" encoding="utf-8"?>
<ds:datastoreItem xmlns:ds="http://schemas.openxmlformats.org/officeDocument/2006/customXml" ds:itemID="{1B8B00C6-D69A-4956-8628-E3B3A59967A3}">
  <ds:schemaRefs/>
</ds:datastoreItem>
</file>

<file path=customXml/itemProps22.xml><?xml version="1.0" encoding="utf-8"?>
<ds:datastoreItem xmlns:ds="http://schemas.openxmlformats.org/officeDocument/2006/customXml" ds:itemID="{51BA95D5-BB0B-4F0F-8032-393E656AF6E5}">
  <ds:schemaRefs/>
</ds:datastoreItem>
</file>

<file path=customXml/itemProps23.xml><?xml version="1.0" encoding="utf-8"?>
<ds:datastoreItem xmlns:ds="http://schemas.openxmlformats.org/officeDocument/2006/customXml" ds:itemID="{39FDC873-F870-4601-A88C-6A8620C80643}">
  <ds:schemaRefs/>
</ds:datastoreItem>
</file>

<file path=customXml/itemProps24.xml><?xml version="1.0" encoding="utf-8"?>
<ds:datastoreItem xmlns:ds="http://schemas.openxmlformats.org/officeDocument/2006/customXml" ds:itemID="{08979DB1-810F-4249-B837-ADDABADEEEB8}">
  <ds:schemaRefs/>
</ds:datastoreItem>
</file>

<file path=customXml/itemProps25.xml><?xml version="1.0" encoding="utf-8"?>
<ds:datastoreItem xmlns:ds="http://schemas.openxmlformats.org/officeDocument/2006/customXml" ds:itemID="{51F53C30-13C9-411E-8D57-61C4F01F8FE8}">
  <ds:schemaRefs/>
</ds:datastoreItem>
</file>

<file path=customXml/itemProps26.xml><?xml version="1.0" encoding="utf-8"?>
<ds:datastoreItem xmlns:ds="http://schemas.openxmlformats.org/officeDocument/2006/customXml" ds:itemID="{AE147C79-A8DD-4C8A-948B-978B8C8740BA}">
  <ds:schemaRefs/>
</ds:datastoreItem>
</file>

<file path=customXml/itemProps27.xml><?xml version="1.0" encoding="utf-8"?>
<ds:datastoreItem xmlns:ds="http://schemas.openxmlformats.org/officeDocument/2006/customXml" ds:itemID="{E8D3E68A-70BF-4B8E-9C90-7BD0BE6AA829}">
  <ds:schemaRefs/>
</ds:datastoreItem>
</file>

<file path=customXml/itemProps28.xml><?xml version="1.0" encoding="utf-8"?>
<ds:datastoreItem xmlns:ds="http://schemas.openxmlformats.org/officeDocument/2006/customXml" ds:itemID="{F25E6228-8768-4055-B30D-450E6837AE32}">
  <ds:schemaRefs/>
</ds:datastoreItem>
</file>

<file path=customXml/itemProps29.xml><?xml version="1.0" encoding="utf-8"?>
<ds:datastoreItem xmlns:ds="http://schemas.openxmlformats.org/officeDocument/2006/customXml" ds:itemID="{CB950BC3-684B-450C-8CCE-213412A4E77C}">
  <ds:schemaRefs/>
</ds:datastoreItem>
</file>

<file path=customXml/itemProps30.xml><?xml version="1.0" encoding="utf-8"?>
<ds:datastoreItem xmlns:ds="http://schemas.openxmlformats.org/officeDocument/2006/customXml" ds:itemID="{AEC1C82C-517A-43AA-B7AA-81887EC8E73D}">
  <ds:schemaRefs/>
</ds:datastoreItem>
</file>

<file path=customXml/itemProps31.xml><?xml version="1.0" encoding="utf-8"?>
<ds:datastoreItem xmlns:ds="http://schemas.openxmlformats.org/officeDocument/2006/customXml" ds:itemID="{B6358B73-9353-4848-9254-5E15F8EF6587}">
  <ds:schemaRefs/>
</ds:datastoreItem>
</file>

<file path=customXml/itemProps32.xml><?xml version="1.0" encoding="utf-8"?>
<ds:datastoreItem xmlns:ds="http://schemas.openxmlformats.org/officeDocument/2006/customXml" ds:itemID="{A526F426-0C95-4765-B14F-63110CAB649F}">
  <ds:schemaRefs/>
</ds:datastoreItem>
</file>

<file path=customXml/itemProps33.xml><?xml version="1.0" encoding="utf-8"?>
<ds:datastoreItem xmlns:ds="http://schemas.openxmlformats.org/officeDocument/2006/customXml" ds:itemID="{5C0C60BE-76D9-457A-94DD-215E6DAEF66E}">
  <ds:schemaRefs/>
</ds:datastoreItem>
</file>

<file path=customXml/itemProps34.xml><?xml version="1.0" encoding="utf-8"?>
<ds:datastoreItem xmlns:ds="http://schemas.openxmlformats.org/officeDocument/2006/customXml" ds:itemID="{61545358-7F8C-4BD7-92C7-092048F7010D}">
  <ds:schemaRefs/>
</ds:datastoreItem>
</file>

<file path=customXml/itemProps35.xml><?xml version="1.0" encoding="utf-8"?>
<ds:datastoreItem xmlns:ds="http://schemas.openxmlformats.org/officeDocument/2006/customXml" ds:itemID="{DAF10DCE-B342-4024-9D39-53D7E20335D6}">
  <ds:schemaRefs/>
</ds:datastoreItem>
</file>

<file path=customXml/itemProps36.xml><?xml version="1.0" encoding="utf-8"?>
<ds:datastoreItem xmlns:ds="http://schemas.openxmlformats.org/officeDocument/2006/customXml" ds:itemID="{9BDD9B67-433D-4ACF-8877-D0998679707B}">
  <ds:schemaRefs/>
</ds:datastoreItem>
</file>

<file path=customXml/itemProps37.xml><?xml version="1.0" encoding="utf-8"?>
<ds:datastoreItem xmlns:ds="http://schemas.openxmlformats.org/officeDocument/2006/customXml" ds:itemID="{BD7F5E18-D3F7-42C8-9A0D-A2730EAAEE7F}">
  <ds:schemaRefs/>
</ds:datastoreItem>
</file>

<file path=customXml/itemProps38.xml><?xml version="1.0" encoding="utf-8"?>
<ds:datastoreItem xmlns:ds="http://schemas.openxmlformats.org/officeDocument/2006/customXml" ds:itemID="{1A1F5D54-A5B4-4322-9473-9869A1AB480D}">
  <ds:schemaRefs/>
</ds:datastoreItem>
</file>

<file path=customXml/itemProps39.xml><?xml version="1.0" encoding="utf-8"?>
<ds:datastoreItem xmlns:ds="http://schemas.openxmlformats.org/officeDocument/2006/customXml" ds:itemID="{EBC38995-20D2-4E9D-8885-7F1A649D0DF9}">
  <ds:schemaRefs/>
</ds:datastoreItem>
</file>

<file path=customXml/itemProps40.xml><?xml version="1.0" encoding="utf-8"?>
<ds:datastoreItem xmlns:ds="http://schemas.openxmlformats.org/officeDocument/2006/customXml" ds:itemID="{D6D961F0-39ED-4224-A63B-F6EE86F2D37F}">
  <ds:schemaRefs/>
</ds:datastoreItem>
</file>

<file path=customXml/itemProps41.xml><?xml version="1.0" encoding="utf-8"?>
<ds:datastoreItem xmlns:ds="http://schemas.openxmlformats.org/officeDocument/2006/customXml" ds:itemID="{AECB407D-621A-4366-9E37-DCC99DF7A2B6}">
  <ds:schemaRefs/>
</ds:datastoreItem>
</file>

<file path=customXml/itemProps42.xml><?xml version="1.0" encoding="utf-8"?>
<ds:datastoreItem xmlns:ds="http://schemas.openxmlformats.org/officeDocument/2006/customXml" ds:itemID="{5B77B3AA-C33B-4E86-84F1-4DDF1E31F814}">
  <ds:schemaRefs/>
</ds:datastoreItem>
</file>

<file path=customXml/itemProps43.xml><?xml version="1.0" encoding="utf-8"?>
<ds:datastoreItem xmlns:ds="http://schemas.openxmlformats.org/officeDocument/2006/customXml" ds:itemID="{866E973E-16E3-412C-A609-6923EE0AE58F}">
  <ds:schemaRefs/>
</ds:datastoreItem>
</file>

<file path=customXml/itemProps44.xml><?xml version="1.0" encoding="utf-8"?>
<ds:datastoreItem xmlns:ds="http://schemas.openxmlformats.org/officeDocument/2006/customXml" ds:itemID="{31282AE0-CA5A-47D1-BAEA-A437D463B6D2}">
  <ds:schemaRefs/>
</ds:datastoreItem>
</file>

<file path=customXml/itemProps45.xml><?xml version="1.0" encoding="utf-8"?>
<ds:datastoreItem xmlns:ds="http://schemas.openxmlformats.org/officeDocument/2006/customXml" ds:itemID="{26111D49-1CFF-4B0F-AECA-C01E25D19D27}">
  <ds:schemaRefs/>
</ds:datastoreItem>
</file>

<file path=customXml/itemProps46.xml><?xml version="1.0" encoding="utf-8"?>
<ds:datastoreItem xmlns:ds="http://schemas.openxmlformats.org/officeDocument/2006/customXml" ds:itemID="{23942C0A-7D08-48ED-B49D-5C29E246AD99}">
  <ds:schemaRefs/>
</ds:datastoreItem>
</file>

<file path=customXml/itemProps47.xml><?xml version="1.0" encoding="utf-8"?>
<ds:datastoreItem xmlns:ds="http://schemas.openxmlformats.org/officeDocument/2006/customXml" ds:itemID="{A904A0B3-B510-4B5B-A83E-541297CC14BC}">
  <ds:schemaRefs/>
</ds:datastoreItem>
</file>

<file path=customXml/itemProps48.xml><?xml version="1.0" encoding="utf-8"?>
<ds:datastoreItem xmlns:ds="http://schemas.openxmlformats.org/officeDocument/2006/customXml" ds:itemID="{676CE4C6-17B0-4E7B-84CE-8E424EFC97E9}">
  <ds:schemaRefs/>
</ds:datastoreItem>
</file>

<file path=customXml/itemProps49.xml><?xml version="1.0" encoding="utf-8"?>
<ds:datastoreItem xmlns:ds="http://schemas.openxmlformats.org/officeDocument/2006/customXml" ds:itemID="{11E0A912-0117-47D4-BFCB-9D8B36E2387E}">
  <ds:schemaRefs/>
</ds:datastoreItem>
</file>

<file path=customXml/itemProps50.xml><?xml version="1.0" encoding="utf-8"?>
<ds:datastoreItem xmlns:ds="http://schemas.openxmlformats.org/officeDocument/2006/customXml" ds:itemID="{21515A9D-2BA1-4A0A-8C55-5BE84F67C0B8}">
  <ds:schemaRefs/>
</ds:datastoreItem>
</file>

<file path=customXml/itemProps51.xml><?xml version="1.0" encoding="utf-8"?>
<ds:datastoreItem xmlns:ds="http://schemas.openxmlformats.org/officeDocument/2006/customXml" ds:itemID="{58C390F0-107B-4A55-85ED-E2FA5EE8B79D}">
  <ds:schemaRefs/>
</ds:datastoreItem>
</file>

<file path=customXml/itemProps52.xml><?xml version="1.0" encoding="utf-8"?>
<ds:datastoreItem xmlns:ds="http://schemas.openxmlformats.org/officeDocument/2006/customXml" ds:itemID="{47EAEC00-0450-41ED-8B25-B493200EAAE4}">
  <ds:schemaRefs/>
</ds:datastoreItem>
</file>

<file path=customXml/itemProps53.xml><?xml version="1.0" encoding="utf-8"?>
<ds:datastoreItem xmlns:ds="http://schemas.openxmlformats.org/officeDocument/2006/customXml" ds:itemID="{40AC1A06-72D3-4159-9885-21EF0DD0EB6C}">
  <ds:schemaRefs/>
</ds:datastoreItem>
</file>

<file path=customXml/itemProps54.xml><?xml version="1.0" encoding="utf-8"?>
<ds:datastoreItem xmlns:ds="http://schemas.openxmlformats.org/officeDocument/2006/customXml" ds:itemID="{D490118C-8CCC-4E2F-90B3-4E73A9724078}">
  <ds:schemaRefs/>
</ds:datastoreItem>
</file>

<file path=customXml/itemProps55.xml><?xml version="1.0" encoding="utf-8"?>
<ds:datastoreItem xmlns:ds="http://schemas.openxmlformats.org/officeDocument/2006/customXml" ds:itemID="{F2D10049-A3CC-446B-BC87-29E3D953FB96}">
  <ds:schemaRefs/>
</ds:datastoreItem>
</file>

<file path=customXml/itemProps56.xml><?xml version="1.0" encoding="utf-8"?>
<ds:datastoreItem xmlns:ds="http://schemas.openxmlformats.org/officeDocument/2006/customXml" ds:itemID="{3B234B4A-0696-4239-9392-03917456B091}">
  <ds:schemaRefs/>
</ds:datastoreItem>
</file>

<file path=customXml/itemProps57.xml><?xml version="1.0" encoding="utf-8"?>
<ds:datastoreItem xmlns:ds="http://schemas.openxmlformats.org/officeDocument/2006/customXml" ds:itemID="{A11E85FC-3828-4BCB-BBE3-647A9C972C97}">
  <ds:schemaRefs/>
</ds:datastoreItem>
</file>

<file path=customXml/itemProps58.xml><?xml version="1.0" encoding="utf-8"?>
<ds:datastoreItem xmlns:ds="http://schemas.openxmlformats.org/officeDocument/2006/customXml" ds:itemID="{DC89007A-165A-4B1D-A2B3-25930096D0B8}">
  <ds:schemaRefs/>
</ds:datastoreItem>
</file>

<file path=customXml/itemProps59.xml><?xml version="1.0" encoding="utf-8"?>
<ds:datastoreItem xmlns:ds="http://schemas.openxmlformats.org/officeDocument/2006/customXml" ds:itemID="{2BD9AF68-E768-40CB-9568-57BEB3DE1D5C}">
  <ds:schemaRefs/>
</ds:datastoreItem>
</file>

<file path=customXml/itemProps60.xml><?xml version="1.0" encoding="utf-8"?>
<ds:datastoreItem xmlns:ds="http://schemas.openxmlformats.org/officeDocument/2006/customXml" ds:itemID="{F7FFCE05-98E3-4C2C-A00A-4735EE9F1388}">
  <ds:schemaRefs/>
</ds:datastoreItem>
</file>

<file path=customXml/itemProps61.xml><?xml version="1.0" encoding="utf-8"?>
<ds:datastoreItem xmlns:ds="http://schemas.openxmlformats.org/officeDocument/2006/customXml" ds:itemID="{AB9DED92-4ACB-4D6F-95E4-DE302B05E71F}">
  <ds:schemaRefs/>
</ds:datastoreItem>
</file>

<file path=customXml/itemProps62.xml><?xml version="1.0" encoding="utf-8"?>
<ds:datastoreItem xmlns:ds="http://schemas.openxmlformats.org/officeDocument/2006/customXml" ds:itemID="{DD90CD8F-2B0A-4C45-9817-FAD7464D0E68}">
  <ds:schemaRefs/>
</ds:datastoreItem>
</file>

<file path=customXml/itemProps63.xml><?xml version="1.0" encoding="utf-8"?>
<ds:datastoreItem xmlns:ds="http://schemas.openxmlformats.org/officeDocument/2006/customXml" ds:itemID="{6FCF00CB-E935-4917-8FFE-E1599C3D2087}">
  <ds:schemaRefs/>
</ds:datastoreItem>
</file>

<file path=customXml/itemProps64.xml><?xml version="1.0" encoding="utf-8"?>
<ds:datastoreItem xmlns:ds="http://schemas.openxmlformats.org/officeDocument/2006/customXml" ds:itemID="{82B84B46-2E77-4D22-8139-2E515D709D88}">
  <ds:schemaRefs/>
</ds:datastoreItem>
</file>

<file path=customXml/itemProps65.xml><?xml version="1.0" encoding="utf-8"?>
<ds:datastoreItem xmlns:ds="http://schemas.openxmlformats.org/officeDocument/2006/customXml" ds:itemID="{AB11C3E7-ADA7-421E-ACD7-2F80A4ED1EA0}">
  <ds:schemaRefs/>
</ds:datastoreItem>
</file>

<file path=customXml/itemProps66.xml><?xml version="1.0" encoding="utf-8"?>
<ds:datastoreItem xmlns:ds="http://schemas.openxmlformats.org/officeDocument/2006/customXml" ds:itemID="{2D0BEB05-71CB-4DF7-A38D-D75E5C80E70C}">
  <ds:schemaRefs/>
</ds:datastoreItem>
</file>

<file path=customXml/itemProps67.xml><?xml version="1.0" encoding="utf-8"?>
<ds:datastoreItem xmlns:ds="http://schemas.openxmlformats.org/officeDocument/2006/customXml" ds:itemID="{3AD84EA1-6F66-4A62-9DE9-EF345F00F252}">
  <ds:schemaRefs/>
</ds:datastoreItem>
</file>

<file path=customXml/itemProps68.xml><?xml version="1.0" encoding="utf-8"?>
<ds:datastoreItem xmlns:ds="http://schemas.openxmlformats.org/officeDocument/2006/customXml" ds:itemID="{79B7717E-E38C-456C-918B-0F5355160CD1}">
  <ds:schemaRefs/>
</ds:datastoreItem>
</file>

<file path=customXml/itemProps69.xml><?xml version="1.0" encoding="utf-8"?>
<ds:datastoreItem xmlns:ds="http://schemas.openxmlformats.org/officeDocument/2006/customXml" ds:itemID="{0530B8BC-7253-4200-AFF9-9B3B0258F509}">
  <ds:schemaRefs/>
</ds:datastoreItem>
</file>

<file path=customXml/itemProps70.xml><?xml version="1.0" encoding="utf-8"?>
<ds:datastoreItem xmlns:ds="http://schemas.openxmlformats.org/officeDocument/2006/customXml" ds:itemID="{7A64B818-ADF2-4E39-AE85-7F3759002A3B}">
  <ds:schemaRefs/>
</ds:datastoreItem>
</file>

<file path=customXml/itemProps71.xml><?xml version="1.0" encoding="utf-8"?>
<ds:datastoreItem xmlns:ds="http://schemas.openxmlformats.org/officeDocument/2006/customXml" ds:itemID="{D50757F3-88DA-4FC7-8174-E6797CA12A35}">
  <ds:schemaRefs/>
</ds:datastoreItem>
</file>

<file path=customXml/itemProps72.xml><?xml version="1.0" encoding="utf-8"?>
<ds:datastoreItem xmlns:ds="http://schemas.openxmlformats.org/officeDocument/2006/customXml" ds:itemID="{DDC88E13-4AB5-42E6-AD73-61BA839F9C5C}">
  <ds:schemaRefs/>
</ds:datastoreItem>
</file>

<file path=customXml/itemProps73.xml><?xml version="1.0" encoding="utf-8"?>
<ds:datastoreItem xmlns:ds="http://schemas.openxmlformats.org/officeDocument/2006/customXml" ds:itemID="{8A621209-1A20-4219-B27E-060BCB6D8C01}">
  <ds:schemaRefs/>
</ds:datastoreItem>
</file>

<file path=customXml/itemProps74.xml><?xml version="1.0" encoding="utf-8"?>
<ds:datastoreItem xmlns:ds="http://schemas.openxmlformats.org/officeDocument/2006/customXml" ds:itemID="{8D41657F-75F9-4D37-8DD1-57FBDF39F640}">
  <ds:schemaRefs/>
</ds:datastoreItem>
</file>

<file path=customXml/itemProps75.xml><?xml version="1.0" encoding="utf-8"?>
<ds:datastoreItem xmlns:ds="http://schemas.openxmlformats.org/officeDocument/2006/customXml" ds:itemID="{6A9E78A0-26F0-4ED4-B188-862E16C53E40}">
  <ds:schemaRefs/>
</ds:datastoreItem>
</file>

<file path=customXml/itemProps76.xml><?xml version="1.0" encoding="utf-8"?>
<ds:datastoreItem xmlns:ds="http://schemas.openxmlformats.org/officeDocument/2006/customXml" ds:itemID="{7CCA7EE5-388C-4EAC-A5E1-47F43D963126}">
  <ds:schemaRefs/>
</ds:datastoreItem>
</file>

<file path=customXml/itemProps77.xml><?xml version="1.0" encoding="utf-8"?>
<ds:datastoreItem xmlns:ds="http://schemas.openxmlformats.org/officeDocument/2006/customXml" ds:itemID="{88874A4D-6F50-442E-8A36-D9EC99A352BF}">
  <ds:schemaRefs/>
</ds:datastoreItem>
</file>

<file path=customXml/itemProps78.xml><?xml version="1.0" encoding="utf-8"?>
<ds:datastoreItem xmlns:ds="http://schemas.openxmlformats.org/officeDocument/2006/customXml" ds:itemID="{2C3905F1-A4FC-49A5-A627-2E53C5CC7415}">
  <ds:schemaRefs/>
</ds:datastoreItem>
</file>

<file path=customXml/itemProps79.xml><?xml version="1.0" encoding="utf-8"?>
<ds:datastoreItem xmlns:ds="http://schemas.openxmlformats.org/officeDocument/2006/customXml" ds:itemID="{8E941967-B6F8-45DA-AEFD-E1C630BB2498}">
  <ds:schemaRefs/>
</ds:datastoreItem>
</file>

<file path=customXml/itemProps80.xml><?xml version="1.0" encoding="utf-8"?>
<ds:datastoreItem xmlns:ds="http://schemas.openxmlformats.org/officeDocument/2006/customXml" ds:itemID="{6705289E-670A-4A46-9687-065B35DFB68B}">
  <ds:schemaRefs/>
</ds:datastoreItem>
</file>

<file path=customXml/itemProps81.xml><?xml version="1.0" encoding="utf-8"?>
<ds:datastoreItem xmlns:ds="http://schemas.openxmlformats.org/officeDocument/2006/customXml" ds:itemID="{FE215DC8-1A6B-419F-8969-25DC139AAC2E}">
  <ds:schemaRefs/>
</ds:datastoreItem>
</file>

<file path=customXml/itemProps82.xml><?xml version="1.0" encoding="utf-8"?>
<ds:datastoreItem xmlns:ds="http://schemas.openxmlformats.org/officeDocument/2006/customXml" ds:itemID="{9787C682-D160-41AC-BD4A-EEEAE87C0B03}">
  <ds:schemaRefs/>
</ds:datastoreItem>
</file>

<file path=customXml/itemProps83.xml><?xml version="1.0" encoding="utf-8"?>
<ds:datastoreItem xmlns:ds="http://schemas.openxmlformats.org/officeDocument/2006/customXml" ds:itemID="{71E4BF87-EA3D-4978-82BE-F67C5DDBF51C}">
  <ds:schemaRefs/>
</ds:datastoreItem>
</file>

<file path=customXml/itemProps84.xml><?xml version="1.0" encoding="utf-8"?>
<ds:datastoreItem xmlns:ds="http://schemas.openxmlformats.org/officeDocument/2006/customXml" ds:itemID="{3E7CB6C9-7D9C-4358-BF1C-C0ACC9352520}">
  <ds:schemaRefs/>
</ds:datastoreItem>
</file>

<file path=customXml/itemProps85.xml><?xml version="1.0" encoding="utf-8"?>
<ds:datastoreItem xmlns:ds="http://schemas.openxmlformats.org/officeDocument/2006/customXml" ds:itemID="{77570C05-D6BD-4335-9339-4C6038899074}">
  <ds:schemaRefs/>
</ds:datastoreItem>
</file>

<file path=customXml/itemProps86.xml><?xml version="1.0" encoding="utf-8"?>
<ds:datastoreItem xmlns:ds="http://schemas.openxmlformats.org/officeDocument/2006/customXml" ds:itemID="{634887FB-B138-4D9C-95D5-D519C9629971}">
  <ds:schemaRefs/>
</ds:datastoreItem>
</file>

<file path=customXml/itemProps87.xml><?xml version="1.0" encoding="utf-8"?>
<ds:datastoreItem xmlns:ds="http://schemas.openxmlformats.org/officeDocument/2006/customXml" ds:itemID="{163E11CA-7150-4741-AC31-66D392ED0798}">
  <ds:schemaRefs/>
</ds:datastoreItem>
</file>

<file path=customXml/itemProps88.xml><?xml version="1.0" encoding="utf-8"?>
<ds:datastoreItem xmlns:ds="http://schemas.openxmlformats.org/officeDocument/2006/customXml" ds:itemID="{49DCDECE-BEE3-48BB-B1B6-E6C7BC95BA26}">
  <ds:schemaRefs/>
</ds:datastoreItem>
</file>

<file path=customXml/itemProps89.xml><?xml version="1.0" encoding="utf-8"?>
<ds:datastoreItem xmlns:ds="http://schemas.openxmlformats.org/officeDocument/2006/customXml" ds:itemID="{6A0BC688-CB10-4DB6-A84D-47D2CC8141CB}">
  <ds:schemaRefs/>
</ds:datastoreItem>
</file>

<file path=customXml/itemProps90.xml><?xml version="1.0" encoding="utf-8"?>
<ds:datastoreItem xmlns:ds="http://schemas.openxmlformats.org/officeDocument/2006/customXml" ds:itemID="{3EA02D15-7516-4D39-8837-26EB7B5F2908}">
  <ds:schemaRefs/>
</ds:datastoreItem>
</file>

<file path=customXml/itemProps91.xml><?xml version="1.0" encoding="utf-8"?>
<ds:datastoreItem xmlns:ds="http://schemas.openxmlformats.org/officeDocument/2006/customXml" ds:itemID="{EB67F82A-6DE8-4893-9004-0DBD55434F77}">
  <ds:schemaRefs/>
</ds:datastoreItem>
</file>

<file path=customXml/itemProps92.xml><?xml version="1.0" encoding="utf-8"?>
<ds:datastoreItem xmlns:ds="http://schemas.openxmlformats.org/officeDocument/2006/customXml" ds:itemID="{BCA281F2-5F9E-4437-9BD3-7599DCD4A7D9}">
  <ds:schemaRefs/>
</ds:datastoreItem>
</file>

<file path=customXml/itemProps93.xml><?xml version="1.0" encoding="utf-8"?>
<ds:datastoreItem xmlns:ds="http://schemas.openxmlformats.org/officeDocument/2006/customXml" ds:itemID="{5FB455DF-1E9D-4441-AFFC-71F88D654F04}">
  <ds:schemaRefs/>
</ds:datastoreItem>
</file>

<file path=customXml/itemProps94.xml><?xml version="1.0" encoding="utf-8"?>
<ds:datastoreItem xmlns:ds="http://schemas.openxmlformats.org/officeDocument/2006/customXml" ds:itemID="{84FC13BA-2D58-4B84-9028-B371C41C2D2C}">
  <ds:schemaRefs/>
</ds:datastoreItem>
</file>

<file path=customXml/itemProps95.xml><?xml version="1.0" encoding="utf-8"?>
<ds:datastoreItem xmlns:ds="http://schemas.openxmlformats.org/officeDocument/2006/customXml" ds:itemID="{6A46DA27-4518-443A-B443-73F6556004AD}">
  <ds:schemaRefs/>
</ds:datastoreItem>
</file>

<file path=customXml/itemProps96.xml><?xml version="1.0" encoding="utf-8"?>
<ds:datastoreItem xmlns:ds="http://schemas.openxmlformats.org/officeDocument/2006/customXml" ds:itemID="{AE32A5FA-B8BA-46FC-AD22-53A2849F328F}">
  <ds:schemaRefs/>
</ds:datastoreItem>
</file>

<file path=customXml/itemProps97.xml><?xml version="1.0" encoding="utf-8"?>
<ds:datastoreItem xmlns:ds="http://schemas.openxmlformats.org/officeDocument/2006/customXml" ds:itemID="{9B66C0C2-003C-4CBD-8FF8-CC2571C1E3FD}">
  <ds:schemaRefs/>
</ds:datastoreItem>
</file>

<file path=customXml/itemProps98.xml><?xml version="1.0" encoding="utf-8"?>
<ds:datastoreItem xmlns:ds="http://schemas.openxmlformats.org/officeDocument/2006/customXml" ds:itemID="{99C9F28B-7EAD-4B2A-80AA-64C793D94C9E}">
  <ds:schemaRefs/>
</ds:datastoreItem>
</file>

<file path=customXml/itemProps99.xml><?xml version="1.0" encoding="utf-8"?>
<ds:datastoreItem xmlns:ds="http://schemas.openxmlformats.org/officeDocument/2006/customXml" ds:itemID="{19F7F33C-DB1F-465D-B378-B56A117EAEC0}">
  <ds:schemaRefs/>
</ds:datastoreItem>
</file>

<file path=customXml/itemProps100.xml><?xml version="1.0" encoding="utf-8"?>
<ds:datastoreItem xmlns:ds="http://schemas.openxmlformats.org/officeDocument/2006/customXml" ds:itemID="{3B6298AB-20DC-411F-9E31-F0B03CC44808}">
  <ds:schemaRefs/>
</ds:datastoreItem>
</file>

<file path=customXml/itemProps101.xml><?xml version="1.0" encoding="utf-8"?>
<ds:datastoreItem xmlns:ds="http://schemas.openxmlformats.org/officeDocument/2006/customXml" ds:itemID="{BFD1321D-7FB4-4E36-B199-79DD6D597915}">
  <ds:schemaRefs/>
</ds:datastoreItem>
</file>

<file path=customXml/itemProps102.xml><?xml version="1.0" encoding="utf-8"?>
<ds:datastoreItem xmlns:ds="http://schemas.openxmlformats.org/officeDocument/2006/customXml" ds:itemID="{504B9BED-53FC-42DD-9382-BF7EF689CD6F}">
  <ds:schemaRefs/>
</ds:datastoreItem>
</file>

<file path=customXml/itemProps103.xml><?xml version="1.0" encoding="utf-8"?>
<ds:datastoreItem xmlns:ds="http://schemas.openxmlformats.org/officeDocument/2006/customXml" ds:itemID="{8037CEFE-1416-4AB8-A375-2D8926B3759F}">
  <ds:schemaRefs/>
</ds:datastoreItem>
</file>

<file path=customXml/itemProps104.xml><?xml version="1.0" encoding="utf-8"?>
<ds:datastoreItem xmlns:ds="http://schemas.openxmlformats.org/officeDocument/2006/customXml" ds:itemID="{1ED1CBA5-E447-49E3-AB29-CCD7F3140128}">
  <ds:schemaRefs/>
</ds:datastoreItem>
</file>

<file path=customXml/itemProps105.xml><?xml version="1.0" encoding="utf-8"?>
<ds:datastoreItem xmlns:ds="http://schemas.openxmlformats.org/officeDocument/2006/customXml" ds:itemID="{E0DBDE7B-24D7-4137-A6B8-2CB3E541D09E}">
  <ds:schemaRefs/>
</ds:datastoreItem>
</file>

<file path=customXml/itemProps106.xml><?xml version="1.0" encoding="utf-8"?>
<ds:datastoreItem xmlns:ds="http://schemas.openxmlformats.org/officeDocument/2006/customXml" ds:itemID="{ABBBDFC9-7228-4DD6-BD25-40C6C340A5C5}">
  <ds:schemaRefs/>
</ds:datastoreItem>
</file>

<file path=customXml/itemProps107.xml><?xml version="1.0" encoding="utf-8"?>
<ds:datastoreItem xmlns:ds="http://schemas.openxmlformats.org/officeDocument/2006/customXml" ds:itemID="{34EE6071-FC4B-4096-96A4-D31A4B4987DA}">
  <ds:schemaRefs/>
</ds:datastoreItem>
</file>

<file path=customXml/itemProps108.xml><?xml version="1.0" encoding="utf-8"?>
<ds:datastoreItem xmlns:ds="http://schemas.openxmlformats.org/officeDocument/2006/customXml" ds:itemID="{EBC71687-D3A5-4522-BD68-A035F50AC174}">
  <ds:schemaRefs/>
</ds:datastoreItem>
</file>

<file path=customXml/itemProps109.xml><?xml version="1.0" encoding="utf-8"?>
<ds:datastoreItem xmlns:ds="http://schemas.openxmlformats.org/officeDocument/2006/customXml" ds:itemID="{4C82FD12-376E-4F86-B8A8-C589C0956713}">
  <ds:schemaRefs/>
</ds:datastoreItem>
</file>

<file path=customXml/itemProps110.xml><?xml version="1.0" encoding="utf-8"?>
<ds:datastoreItem xmlns:ds="http://schemas.openxmlformats.org/officeDocument/2006/customXml" ds:itemID="{4FB23629-CF29-4686-A548-98299C42B8C7}">
  <ds:schemaRefs/>
</ds:datastoreItem>
</file>

<file path=customXml/itemProps111.xml><?xml version="1.0" encoding="utf-8"?>
<ds:datastoreItem xmlns:ds="http://schemas.openxmlformats.org/officeDocument/2006/customXml" ds:itemID="{8A6C7B5B-BAB6-47DC-AD58-25F3193055D3}">
  <ds:schemaRefs/>
</ds:datastoreItem>
</file>

<file path=customXml/itemProps112.xml><?xml version="1.0" encoding="utf-8"?>
<ds:datastoreItem xmlns:ds="http://schemas.openxmlformats.org/officeDocument/2006/customXml" ds:itemID="{7663ED02-2891-4046-80DE-63222231F9BE}">
  <ds:schemaRefs/>
</ds:datastoreItem>
</file>

<file path=customXml/itemProps113.xml><?xml version="1.0" encoding="utf-8"?>
<ds:datastoreItem xmlns:ds="http://schemas.openxmlformats.org/officeDocument/2006/customXml" ds:itemID="{3A923D5B-ED06-4CF8-8914-D734C1D72E4D}">
  <ds:schemaRefs/>
</ds:datastoreItem>
</file>

<file path=customXml/itemProps114.xml><?xml version="1.0" encoding="utf-8"?>
<ds:datastoreItem xmlns:ds="http://schemas.openxmlformats.org/officeDocument/2006/customXml" ds:itemID="{F6E01239-25BE-4AB3-80BF-5F9FF3D8BDD8}">
  <ds:schemaRefs/>
</ds:datastoreItem>
</file>

<file path=customXml/itemProps115.xml><?xml version="1.0" encoding="utf-8"?>
<ds:datastoreItem xmlns:ds="http://schemas.openxmlformats.org/officeDocument/2006/customXml" ds:itemID="{EC265FD7-B500-488B-A3DD-7A2293BE9A05}">
  <ds:schemaRefs/>
</ds:datastoreItem>
</file>

<file path=customXml/itemProps116.xml><?xml version="1.0" encoding="utf-8"?>
<ds:datastoreItem xmlns:ds="http://schemas.openxmlformats.org/officeDocument/2006/customXml" ds:itemID="{4D7F6C51-2DB8-4FDD-91F5-F522A85645FF}">
  <ds:schemaRefs/>
</ds:datastoreItem>
</file>

<file path=customXml/itemProps117.xml><?xml version="1.0" encoding="utf-8"?>
<ds:datastoreItem xmlns:ds="http://schemas.openxmlformats.org/officeDocument/2006/customXml" ds:itemID="{A65FD6E7-28B9-413D-82BF-3BA1EFB33B2F}">
  <ds:schemaRefs/>
</ds:datastoreItem>
</file>

<file path=customXml/itemProps118.xml><?xml version="1.0" encoding="utf-8"?>
<ds:datastoreItem xmlns:ds="http://schemas.openxmlformats.org/officeDocument/2006/customXml" ds:itemID="{36BEC1E5-E6CB-4F26-AB82-1FCBAE01F2BD}">
  <ds:schemaRefs/>
</ds:datastoreItem>
</file>

<file path=customXml/itemProps119.xml><?xml version="1.0" encoding="utf-8"?>
<ds:datastoreItem xmlns:ds="http://schemas.openxmlformats.org/officeDocument/2006/customXml" ds:itemID="{4A7BA7A3-7DB9-4ECA-B031-AC0CF172380A}">
  <ds:schemaRefs/>
</ds:datastoreItem>
</file>

<file path=customXml/itemProps120.xml><?xml version="1.0" encoding="utf-8"?>
<ds:datastoreItem xmlns:ds="http://schemas.openxmlformats.org/officeDocument/2006/customXml" ds:itemID="{7A6FF62D-E039-4B61-9AB8-CC616F6CEA00}">
  <ds:schemaRefs/>
</ds:datastoreItem>
</file>

<file path=customXml/itemProps121.xml><?xml version="1.0" encoding="utf-8"?>
<ds:datastoreItem xmlns:ds="http://schemas.openxmlformats.org/officeDocument/2006/customXml" ds:itemID="{E63C1FAD-22CF-4399-B94E-B4B8B6359048}">
  <ds:schemaRefs/>
</ds:datastoreItem>
</file>

<file path=customXml/itemProps122.xml><?xml version="1.0" encoding="utf-8"?>
<ds:datastoreItem xmlns:ds="http://schemas.openxmlformats.org/officeDocument/2006/customXml" ds:itemID="{93B7BA04-4D0A-4A1C-9DA7-92B732595E19}">
  <ds:schemaRefs/>
</ds:datastoreItem>
</file>

<file path=customXml/itemProps123.xml><?xml version="1.0" encoding="utf-8"?>
<ds:datastoreItem xmlns:ds="http://schemas.openxmlformats.org/officeDocument/2006/customXml" ds:itemID="{A333CF51-B8EC-40CF-B78D-27AAC9B2DD8B}">
  <ds:schemaRefs/>
</ds:datastoreItem>
</file>

<file path=customXml/itemProps124.xml><?xml version="1.0" encoding="utf-8"?>
<ds:datastoreItem xmlns:ds="http://schemas.openxmlformats.org/officeDocument/2006/customXml" ds:itemID="{8E1C1461-DB45-4A3F-9AFE-A86CCDA3357C}">
  <ds:schemaRefs/>
</ds:datastoreItem>
</file>

<file path=customXml/itemProps125.xml><?xml version="1.0" encoding="utf-8"?>
<ds:datastoreItem xmlns:ds="http://schemas.openxmlformats.org/officeDocument/2006/customXml" ds:itemID="{C9A2EF45-7B6A-4B47-B95A-3563BAEE6A28}">
  <ds:schemaRefs/>
</ds:datastoreItem>
</file>

<file path=customXml/itemProps126.xml><?xml version="1.0" encoding="utf-8"?>
<ds:datastoreItem xmlns:ds="http://schemas.openxmlformats.org/officeDocument/2006/customXml" ds:itemID="{3FB705ED-05B8-4E45-81A3-222A774FA697}">
  <ds:schemaRefs/>
</ds:datastoreItem>
</file>

<file path=customXml/itemProps127.xml><?xml version="1.0" encoding="utf-8"?>
<ds:datastoreItem xmlns:ds="http://schemas.openxmlformats.org/officeDocument/2006/customXml" ds:itemID="{E6FC5B71-70D2-4143-8561-7ABBC9E4A6C1}">
  <ds:schemaRefs/>
</ds:datastoreItem>
</file>

<file path=customXml/itemProps128.xml><?xml version="1.0" encoding="utf-8"?>
<ds:datastoreItem xmlns:ds="http://schemas.openxmlformats.org/officeDocument/2006/customXml" ds:itemID="{7789BB69-356D-4491-B616-42D10EB47E29}">
  <ds:schemaRefs/>
</ds:datastoreItem>
</file>

<file path=customXml/itemProps129.xml><?xml version="1.0" encoding="utf-8"?>
<ds:datastoreItem xmlns:ds="http://schemas.openxmlformats.org/officeDocument/2006/customXml" ds:itemID="{A3DA882B-1B38-456D-9DD6-64E88A80827F}">
  <ds:schemaRefs/>
</ds:datastoreItem>
</file>

<file path=customXml/itemProps130.xml><?xml version="1.0" encoding="utf-8"?>
<ds:datastoreItem xmlns:ds="http://schemas.openxmlformats.org/officeDocument/2006/customXml" ds:itemID="{BB3E082E-9788-4BB7-AB39-76CB73821045}">
  <ds:schemaRefs/>
</ds:datastoreItem>
</file>

<file path=customXml/itemProps131.xml><?xml version="1.0" encoding="utf-8"?>
<ds:datastoreItem xmlns:ds="http://schemas.openxmlformats.org/officeDocument/2006/customXml" ds:itemID="{C3E3E80B-1866-405C-85F0-8B817739810E}">
  <ds:schemaRefs/>
</ds:datastoreItem>
</file>

<file path=customXml/itemProps132.xml><?xml version="1.0" encoding="utf-8"?>
<ds:datastoreItem xmlns:ds="http://schemas.openxmlformats.org/officeDocument/2006/customXml" ds:itemID="{EB8F0F60-4561-471A-AD30-040A401213EF}">
  <ds:schemaRefs/>
</ds:datastoreItem>
</file>

<file path=customXml/itemProps133.xml><?xml version="1.0" encoding="utf-8"?>
<ds:datastoreItem xmlns:ds="http://schemas.openxmlformats.org/officeDocument/2006/customXml" ds:itemID="{8CFAE82F-DC07-4151-831A-17FEF5DFE0AC}">
  <ds:schemaRefs/>
</ds:datastoreItem>
</file>

<file path=customXml/itemProps134.xml><?xml version="1.0" encoding="utf-8"?>
<ds:datastoreItem xmlns:ds="http://schemas.openxmlformats.org/officeDocument/2006/customXml" ds:itemID="{E9AB2FA9-B28C-49AB-ABA8-EFC5093747F6}">
  <ds:schemaRefs/>
</ds:datastoreItem>
</file>

<file path=customXml/itemProps135.xml><?xml version="1.0" encoding="utf-8"?>
<ds:datastoreItem xmlns:ds="http://schemas.openxmlformats.org/officeDocument/2006/customXml" ds:itemID="{E1C65A49-9CFD-4205-8E30-5E9E038C07DE}">
  <ds:schemaRefs/>
</ds:datastoreItem>
</file>

<file path=customXml/itemProps136.xml><?xml version="1.0" encoding="utf-8"?>
<ds:datastoreItem xmlns:ds="http://schemas.openxmlformats.org/officeDocument/2006/customXml" ds:itemID="{1586613E-344B-4CF0-81EC-670C0EC45140}">
  <ds:schemaRefs/>
</ds:datastoreItem>
</file>

<file path=customXml/itemProps137.xml><?xml version="1.0" encoding="utf-8"?>
<ds:datastoreItem xmlns:ds="http://schemas.openxmlformats.org/officeDocument/2006/customXml" ds:itemID="{B81D396A-6D2B-4D44-9087-BF82BA8AEB99}">
  <ds:schemaRefs/>
</ds:datastoreItem>
</file>

<file path=customXml/itemProps138.xml><?xml version="1.0" encoding="utf-8"?>
<ds:datastoreItem xmlns:ds="http://schemas.openxmlformats.org/officeDocument/2006/customXml" ds:itemID="{68165E59-A20F-4A45-B534-68A21512B1F6}">
  <ds:schemaRefs/>
</ds:datastoreItem>
</file>

<file path=customXml/itemProps139.xml><?xml version="1.0" encoding="utf-8"?>
<ds:datastoreItem xmlns:ds="http://schemas.openxmlformats.org/officeDocument/2006/customXml" ds:itemID="{B4D9DB99-CA89-4737-A0BC-C59801C33327}">
  <ds:schemaRefs/>
</ds:datastoreItem>
</file>

<file path=customXml/itemProps140.xml><?xml version="1.0" encoding="utf-8"?>
<ds:datastoreItem xmlns:ds="http://schemas.openxmlformats.org/officeDocument/2006/customXml" ds:itemID="{649A9709-F54A-4D9E-AE01-6F7E9CB908F3}">
  <ds:schemaRefs/>
</ds:datastoreItem>
</file>

<file path=customXml/itemProps141.xml><?xml version="1.0" encoding="utf-8"?>
<ds:datastoreItem xmlns:ds="http://schemas.openxmlformats.org/officeDocument/2006/customXml" ds:itemID="{78346D83-9C6C-4499-97B3-17C387E2D0E4}">
  <ds:schemaRefs/>
</ds:datastoreItem>
</file>

<file path=customXml/itemProps142.xml><?xml version="1.0" encoding="utf-8"?>
<ds:datastoreItem xmlns:ds="http://schemas.openxmlformats.org/officeDocument/2006/customXml" ds:itemID="{CF7B7BDF-13CE-4130-A887-A5742A4F72DC}">
  <ds:schemaRefs/>
</ds:datastoreItem>
</file>

<file path=customXml/itemProps143.xml><?xml version="1.0" encoding="utf-8"?>
<ds:datastoreItem xmlns:ds="http://schemas.openxmlformats.org/officeDocument/2006/customXml" ds:itemID="{1CD5A070-337E-4B4D-A3EB-16FAF44CFB0B}">
  <ds:schemaRefs/>
</ds:datastoreItem>
</file>

<file path=customXml/itemProps144.xml><?xml version="1.0" encoding="utf-8"?>
<ds:datastoreItem xmlns:ds="http://schemas.openxmlformats.org/officeDocument/2006/customXml" ds:itemID="{A588B9CC-AFE6-418C-B4CA-1CB670B608D8}">
  <ds:schemaRefs/>
</ds:datastoreItem>
</file>

<file path=customXml/itemProps145.xml><?xml version="1.0" encoding="utf-8"?>
<ds:datastoreItem xmlns:ds="http://schemas.openxmlformats.org/officeDocument/2006/customXml" ds:itemID="{6295D772-B5D8-47E2-A018-205A353A6EBB}">
  <ds:schemaRefs/>
</ds:datastoreItem>
</file>

<file path=customXml/itemProps146.xml><?xml version="1.0" encoding="utf-8"?>
<ds:datastoreItem xmlns:ds="http://schemas.openxmlformats.org/officeDocument/2006/customXml" ds:itemID="{7588FAE7-4DED-46D1-B565-F08FA1EAF79B}">
  <ds:schemaRefs/>
</ds:datastoreItem>
</file>

<file path=customXml/itemProps147.xml><?xml version="1.0" encoding="utf-8"?>
<ds:datastoreItem xmlns:ds="http://schemas.openxmlformats.org/officeDocument/2006/customXml" ds:itemID="{5E68D579-B599-4BDE-A05A-D6621B2A2340}">
  <ds:schemaRefs/>
</ds:datastoreItem>
</file>

<file path=customXml/itemProps148.xml><?xml version="1.0" encoding="utf-8"?>
<ds:datastoreItem xmlns:ds="http://schemas.openxmlformats.org/officeDocument/2006/customXml" ds:itemID="{5467F2B8-5899-4590-820A-0558F3BAF991}">
  <ds:schemaRefs/>
</ds:datastoreItem>
</file>

<file path=customXml/itemProps149.xml><?xml version="1.0" encoding="utf-8"?>
<ds:datastoreItem xmlns:ds="http://schemas.openxmlformats.org/officeDocument/2006/customXml" ds:itemID="{68261FA9-3D7C-4D9E-B658-2805E4316A24}">
  <ds:schemaRefs/>
</ds:datastoreItem>
</file>

<file path=customXml/itemProps150.xml><?xml version="1.0" encoding="utf-8"?>
<ds:datastoreItem xmlns:ds="http://schemas.openxmlformats.org/officeDocument/2006/customXml" ds:itemID="{2145EEE1-270E-4020-A50C-33852BC68FED}">
  <ds:schemaRefs/>
</ds:datastoreItem>
</file>

<file path=customXml/itemProps151.xml><?xml version="1.0" encoding="utf-8"?>
<ds:datastoreItem xmlns:ds="http://schemas.openxmlformats.org/officeDocument/2006/customXml" ds:itemID="{231CE77D-C636-4296-BCAD-84F258A3BEC5}">
  <ds:schemaRefs/>
</ds:datastoreItem>
</file>

<file path=customXml/itemProps152.xml><?xml version="1.0" encoding="utf-8"?>
<ds:datastoreItem xmlns:ds="http://schemas.openxmlformats.org/officeDocument/2006/customXml" ds:itemID="{09774F33-58AE-4B14-8F82-366977A680F4}">
  <ds:schemaRefs/>
</ds:datastoreItem>
</file>

<file path=customXml/itemProps153.xml><?xml version="1.0" encoding="utf-8"?>
<ds:datastoreItem xmlns:ds="http://schemas.openxmlformats.org/officeDocument/2006/customXml" ds:itemID="{A16E2F87-0D2C-4BDF-A541-2D1FAFA6DEC9}">
  <ds:schemaRefs/>
</ds:datastoreItem>
</file>

<file path=customXml/itemProps154.xml><?xml version="1.0" encoding="utf-8"?>
<ds:datastoreItem xmlns:ds="http://schemas.openxmlformats.org/officeDocument/2006/customXml" ds:itemID="{48BA657C-406C-421B-A0E5-5DB850EC39F2}">
  <ds:schemaRefs/>
</ds:datastoreItem>
</file>

<file path=customXml/itemProps155.xml><?xml version="1.0" encoding="utf-8"?>
<ds:datastoreItem xmlns:ds="http://schemas.openxmlformats.org/officeDocument/2006/customXml" ds:itemID="{99368D11-6C02-49E2-B00C-169ECE1D3EC2}">
  <ds:schemaRefs/>
</ds:datastoreItem>
</file>

<file path=customXml/itemProps156.xml><?xml version="1.0" encoding="utf-8"?>
<ds:datastoreItem xmlns:ds="http://schemas.openxmlformats.org/officeDocument/2006/customXml" ds:itemID="{CF297705-A368-4225-9F1C-268291DCC01F}">
  <ds:schemaRefs/>
</ds:datastoreItem>
</file>

<file path=customXml/itemProps157.xml><?xml version="1.0" encoding="utf-8"?>
<ds:datastoreItem xmlns:ds="http://schemas.openxmlformats.org/officeDocument/2006/customXml" ds:itemID="{4DA3FC9E-0EBE-493A-83AF-8FF1F10D317F}">
  <ds:schemaRefs/>
</ds:datastoreItem>
</file>

<file path=customXml/itemProps158.xml><?xml version="1.0" encoding="utf-8"?>
<ds:datastoreItem xmlns:ds="http://schemas.openxmlformats.org/officeDocument/2006/customXml" ds:itemID="{408792FC-13FE-4646-9437-7D31A977E045}">
  <ds:schemaRefs/>
</ds:datastoreItem>
</file>

<file path=customXml/itemProps159.xml><?xml version="1.0" encoding="utf-8"?>
<ds:datastoreItem xmlns:ds="http://schemas.openxmlformats.org/officeDocument/2006/customXml" ds:itemID="{37669EAB-4C66-43CE-97CD-18B3538F2BFE}">
  <ds:schemaRefs/>
</ds:datastoreItem>
</file>

<file path=customXml/itemProps160.xml><?xml version="1.0" encoding="utf-8"?>
<ds:datastoreItem xmlns:ds="http://schemas.openxmlformats.org/officeDocument/2006/customXml" ds:itemID="{073030D6-C728-4A1F-ABA9-F7CD312C2555}">
  <ds:schemaRefs/>
</ds:datastoreItem>
</file>

<file path=customXml/itemProps161.xml><?xml version="1.0" encoding="utf-8"?>
<ds:datastoreItem xmlns:ds="http://schemas.openxmlformats.org/officeDocument/2006/customXml" ds:itemID="{440DB35D-319D-4F74-8AA4-C1B771C6B380}">
  <ds:schemaRefs/>
</ds:datastoreItem>
</file>

<file path=customXml/itemProps162.xml><?xml version="1.0" encoding="utf-8"?>
<ds:datastoreItem xmlns:ds="http://schemas.openxmlformats.org/officeDocument/2006/customXml" ds:itemID="{8E7127AD-8765-4026-9F78-FD2E06398EF9}">
  <ds:schemaRefs/>
</ds:datastoreItem>
</file>

<file path=customXml/itemProps163.xml><?xml version="1.0" encoding="utf-8"?>
<ds:datastoreItem xmlns:ds="http://schemas.openxmlformats.org/officeDocument/2006/customXml" ds:itemID="{9ED46B92-31CA-4816-A9B2-8C4EF459E484}">
  <ds:schemaRefs/>
</ds:datastoreItem>
</file>

<file path=customXml/itemProps164.xml><?xml version="1.0" encoding="utf-8"?>
<ds:datastoreItem xmlns:ds="http://schemas.openxmlformats.org/officeDocument/2006/customXml" ds:itemID="{53135694-7724-499D-A582-32B6D2A0A54C}">
  <ds:schemaRefs/>
</ds:datastoreItem>
</file>

<file path=customXml/itemProps165.xml><?xml version="1.0" encoding="utf-8"?>
<ds:datastoreItem xmlns:ds="http://schemas.openxmlformats.org/officeDocument/2006/customXml" ds:itemID="{84EF4843-67A8-45E3-9C24-59AFC3E9FA9E}">
  <ds:schemaRefs/>
</ds:datastoreItem>
</file>

<file path=customXml/itemProps166.xml><?xml version="1.0" encoding="utf-8"?>
<ds:datastoreItem xmlns:ds="http://schemas.openxmlformats.org/officeDocument/2006/customXml" ds:itemID="{F5E4F980-EB5D-40AB-8C0F-0F6FCDDFEAF5}">
  <ds:schemaRefs/>
</ds:datastoreItem>
</file>

<file path=customXml/itemProps167.xml><?xml version="1.0" encoding="utf-8"?>
<ds:datastoreItem xmlns:ds="http://schemas.openxmlformats.org/officeDocument/2006/customXml" ds:itemID="{23E981A9-B969-495C-B82B-5E543799C618}">
  <ds:schemaRefs/>
</ds:datastoreItem>
</file>

<file path=customXml/itemProps168.xml><?xml version="1.0" encoding="utf-8"?>
<ds:datastoreItem xmlns:ds="http://schemas.openxmlformats.org/officeDocument/2006/customXml" ds:itemID="{E91C5A97-33A4-4BDC-A8BD-A5EF775185AB}">
  <ds:schemaRefs/>
</ds:datastoreItem>
</file>

<file path=customXml/itemProps169.xml><?xml version="1.0" encoding="utf-8"?>
<ds:datastoreItem xmlns:ds="http://schemas.openxmlformats.org/officeDocument/2006/customXml" ds:itemID="{48852517-6FF3-462D-B5D9-854FA19340A6}">
  <ds:schemaRefs/>
</ds:datastoreItem>
</file>

<file path=customXml/itemProps170.xml><?xml version="1.0" encoding="utf-8"?>
<ds:datastoreItem xmlns:ds="http://schemas.openxmlformats.org/officeDocument/2006/customXml" ds:itemID="{6CB7CEF2-80D1-499C-BE47-1A3AEF9F04C9}">
  <ds:schemaRefs/>
</ds:datastoreItem>
</file>

<file path=customXml/itemProps171.xml><?xml version="1.0" encoding="utf-8"?>
<ds:datastoreItem xmlns:ds="http://schemas.openxmlformats.org/officeDocument/2006/customXml" ds:itemID="{B2236E55-4115-40DB-99AE-3BAC220A199A}">
  <ds:schemaRefs/>
</ds:datastoreItem>
</file>

<file path=customXml/itemProps172.xml><?xml version="1.0" encoding="utf-8"?>
<ds:datastoreItem xmlns:ds="http://schemas.openxmlformats.org/officeDocument/2006/customXml" ds:itemID="{52DBC7F1-89D0-4C25-ADB8-8F9FEF73BA90}">
  <ds:schemaRefs/>
</ds:datastoreItem>
</file>

<file path=customXml/itemProps173.xml><?xml version="1.0" encoding="utf-8"?>
<ds:datastoreItem xmlns:ds="http://schemas.openxmlformats.org/officeDocument/2006/customXml" ds:itemID="{5E32A3E0-4CC0-4B86-B4B9-AE83D562D0DB}">
  <ds:schemaRefs/>
</ds:datastoreItem>
</file>

<file path=customXml/itemProps174.xml><?xml version="1.0" encoding="utf-8"?>
<ds:datastoreItem xmlns:ds="http://schemas.openxmlformats.org/officeDocument/2006/customXml" ds:itemID="{2AE5F8BA-29BA-4663-8D6A-BE407F5FEB68}">
  <ds:schemaRefs/>
</ds:datastoreItem>
</file>

<file path=customXml/itemProps175.xml><?xml version="1.0" encoding="utf-8"?>
<ds:datastoreItem xmlns:ds="http://schemas.openxmlformats.org/officeDocument/2006/customXml" ds:itemID="{EA636410-2140-4EDD-AB35-4A5464987E1A}">
  <ds:schemaRefs/>
</ds:datastoreItem>
</file>

<file path=customXml/itemProps176.xml><?xml version="1.0" encoding="utf-8"?>
<ds:datastoreItem xmlns:ds="http://schemas.openxmlformats.org/officeDocument/2006/customXml" ds:itemID="{E1769CEB-9DB5-4F72-92CE-69BD9F84A803}">
  <ds:schemaRefs/>
</ds:datastoreItem>
</file>

<file path=customXml/itemProps177.xml><?xml version="1.0" encoding="utf-8"?>
<ds:datastoreItem xmlns:ds="http://schemas.openxmlformats.org/officeDocument/2006/customXml" ds:itemID="{136B750B-2261-488F-AAB6-49DB43A2EA65}">
  <ds:schemaRefs/>
</ds:datastoreItem>
</file>

<file path=customXml/itemProps178.xml><?xml version="1.0" encoding="utf-8"?>
<ds:datastoreItem xmlns:ds="http://schemas.openxmlformats.org/officeDocument/2006/customXml" ds:itemID="{EE8CD2BA-EAF8-4F05-94D5-060A85EA5547}">
  <ds:schemaRefs/>
</ds:datastoreItem>
</file>

<file path=customXml/itemProps179.xml><?xml version="1.0" encoding="utf-8"?>
<ds:datastoreItem xmlns:ds="http://schemas.openxmlformats.org/officeDocument/2006/customXml" ds:itemID="{05CEB961-C1EC-43BD-84D1-47D82C382A1D}">
  <ds:schemaRefs>
    <ds:schemaRef ds:uri="http://www.w3.org/2001/XMLSchema"/>
    <ds:schemaRef ds:uri="http://microsoft.data.visualization.Client.Excel/1.0"/>
  </ds:schemaRefs>
</ds:datastoreItem>
</file>

<file path=customXml/itemProps180.xml><?xml version="1.0" encoding="utf-8"?>
<ds:datastoreItem xmlns:ds="http://schemas.openxmlformats.org/officeDocument/2006/customXml" ds:itemID="{4333D3B8-E6B4-4E2C-887D-48FA2B3F86C4}">
  <ds:schemaRefs/>
</ds:datastoreItem>
</file>

<file path=customXml/itemProps181.xml><?xml version="1.0" encoding="utf-8"?>
<ds:datastoreItem xmlns:ds="http://schemas.openxmlformats.org/officeDocument/2006/customXml" ds:itemID="{B10C2B4A-3B0F-4068-977E-3E580FFC3F21}">
  <ds:schemaRefs/>
</ds:datastoreItem>
</file>

<file path=customXml/itemProps182.xml><?xml version="1.0" encoding="utf-8"?>
<ds:datastoreItem xmlns:ds="http://schemas.openxmlformats.org/officeDocument/2006/customXml" ds:itemID="{A5D5E94E-7855-4677-82C4-96D44955D811}">
  <ds:schemaRefs/>
</ds:datastoreItem>
</file>

<file path=customXml/itemProps183.xml><?xml version="1.0" encoding="utf-8"?>
<ds:datastoreItem xmlns:ds="http://schemas.openxmlformats.org/officeDocument/2006/customXml" ds:itemID="{CD44F6A7-D0DC-45E9-9DE4-3F07D4968FBB}">
  <ds:schemaRefs/>
</ds:datastoreItem>
</file>

<file path=customXml/itemProps184.xml><?xml version="1.0" encoding="utf-8"?>
<ds:datastoreItem xmlns:ds="http://schemas.openxmlformats.org/officeDocument/2006/customXml" ds:itemID="{09860FE2-168D-4B86-AF4C-E357B7C72556}">
  <ds:schemaRefs/>
</ds:datastoreItem>
</file>

<file path=customXml/itemProps185.xml><?xml version="1.0" encoding="utf-8"?>
<ds:datastoreItem xmlns:ds="http://schemas.openxmlformats.org/officeDocument/2006/customXml" ds:itemID="{E5D95D4B-737E-4228-8A9C-9620CA151710}">
  <ds:schemaRefs/>
</ds:datastoreItem>
</file>

<file path=customXml/itemProps186.xml><?xml version="1.0" encoding="utf-8"?>
<ds:datastoreItem xmlns:ds="http://schemas.openxmlformats.org/officeDocument/2006/customXml" ds:itemID="{32F6AB45-0F59-4335-8DB7-CB8CCC864B83}">
  <ds:schemaRefs/>
</ds:datastoreItem>
</file>

<file path=customXml/itemProps187.xml><?xml version="1.0" encoding="utf-8"?>
<ds:datastoreItem xmlns:ds="http://schemas.openxmlformats.org/officeDocument/2006/customXml" ds:itemID="{07A5CA72-E404-4000-9929-E5FE29DE91DD}">
  <ds:schemaRefs/>
</ds:datastoreItem>
</file>

<file path=customXml/itemProps188.xml><?xml version="1.0" encoding="utf-8"?>
<ds:datastoreItem xmlns:ds="http://schemas.openxmlformats.org/officeDocument/2006/customXml" ds:itemID="{9A5D4308-1EBD-4A1A-B7E2-4228AAC630C6}">
  <ds:schemaRefs/>
</ds:datastoreItem>
</file>

<file path=customXml/itemProps189.xml><?xml version="1.0" encoding="utf-8"?>
<ds:datastoreItem xmlns:ds="http://schemas.openxmlformats.org/officeDocument/2006/customXml" ds:itemID="{8E727205-B239-4737-9950-40753AEF832A}">
  <ds:schemaRefs/>
</ds:datastoreItem>
</file>

<file path=customXml/itemProps190.xml><?xml version="1.0" encoding="utf-8"?>
<ds:datastoreItem xmlns:ds="http://schemas.openxmlformats.org/officeDocument/2006/customXml" ds:itemID="{B623BC4C-C08D-490E-BD0B-A30C24313B9A}">
  <ds:schemaRefs/>
</ds:datastoreItem>
</file>

<file path=customXml/itemProps191.xml><?xml version="1.0" encoding="utf-8"?>
<ds:datastoreItem xmlns:ds="http://schemas.openxmlformats.org/officeDocument/2006/customXml" ds:itemID="{F998C50A-540C-46E6-BA5B-CF48716710A0}">
  <ds:schemaRefs/>
</ds:datastoreItem>
</file>

<file path=customXml/itemProps192.xml><?xml version="1.0" encoding="utf-8"?>
<ds:datastoreItem xmlns:ds="http://schemas.openxmlformats.org/officeDocument/2006/customXml" ds:itemID="{4B619ED7-AA00-4F46-A5ED-E351F1F5DA2D}">
  <ds:schemaRefs/>
</ds:datastoreItem>
</file>

<file path=customXml/itemProps193.xml><?xml version="1.0" encoding="utf-8"?>
<ds:datastoreItem xmlns:ds="http://schemas.openxmlformats.org/officeDocument/2006/customXml" ds:itemID="{02FF1D45-6358-4072-9855-46C04C97D99D}">
  <ds:schemaRefs/>
</ds:datastoreItem>
</file>

<file path=customXml/itemProps194.xml><?xml version="1.0" encoding="utf-8"?>
<ds:datastoreItem xmlns:ds="http://schemas.openxmlformats.org/officeDocument/2006/customXml" ds:itemID="{C34E5946-2B9D-4225-80A8-E0C3E56C1D82}">
  <ds:schemaRefs/>
</ds:datastoreItem>
</file>

<file path=customXml/itemProps195.xml><?xml version="1.0" encoding="utf-8"?>
<ds:datastoreItem xmlns:ds="http://schemas.openxmlformats.org/officeDocument/2006/customXml" ds:itemID="{57C6C154-B573-4F2F-880D-9CEA46AB9E69}">
  <ds:schemaRefs/>
</ds:datastoreItem>
</file>

<file path=customXml/itemProps196.xml><?xml version="1.0" encoding="utf-8"?>
<ds:datastoreItem xmlns:ds="http://schemas.openxmlformats.org/officeDocument/2006/customXml" ds:itemID="{64CDA07E-5242-4643-9138-DD2F85C3E66B}">
  <ds:schemaRefs/>
</ds:datastoreItem>
</file>

<file path=customXml/itemProps197.xml><?xml version="1.0" encoding="utf-8"?>
<ds:datastoreItem xmlns:ds="http://schemas.openxmlformats.org/officeDocument/2006/customXml" ds:itemID="{7A8A2C9B-F94F-4451-B0F6-1D5B313006AA}">
  <ds:schemaRefs/>
</ds:datastoreItem>
</file>

<file path=customXml/itemProps198.xml><?xml version="1.0" encoding="utf-8"?>
<ds:datastoreItem xmlns:ds="http://schemas.openxmlformats.org/officeDocument/2006/customXml" ds:itemID="{88E46063-F3C3-41BB-8510-7C45BC99E55D}">
  <ds:schemaRefs/>
</ds:datastoreItem>
</file>

<file path=customXml/itemProps199.xml><?xml version="1.0" encoding="utf-8"?>
<ds:datastoreItem xmlns:ds="http://schemas.openxmlformats.org/officeDocument/2006/customXml" ds:itemID="{5E5327EF-225B-4D22-8AB6-F11B46E008DD}">
  <ds:schemaRefs/>
</ds:datastoreItem>
</file>

<file path=customXml/itemProps200.xml><?xml version="1.0" encoding="utf-8"?>
<ds:datastoreItem xmlns:ds="http://schemas.openxmlformats.org/officeDocument/2006/customXml" ds:itemID="{D320102A-527D-4E02-B5CA-2503C6185ED1}">
  <ds:schemaRefs/>
</ds:datastoreItem>
</file>

<file path=customXml/itemProps201.xml><?xml version="1.0" encoding="utf-8"?>
<ds:datastoreItem xmlns:ds="http://schemas.openxmlformats.org/officeDocument/2006/customXml" ds:itemID="{CBD5C666-116E-4D22-9BD6-C8E9665F646A}">
  <ds:schemaRefs/>
</ds:datastoreItem>
</file>

<file path=customXml/itemProps202.xml><?xml version="1.0" encoding="utf-8"?>
<ds:datastoreItem xmlns:ds="http://schemas.openxmlformats.org/officeDocument/2006/customXml" ds:itemID="{A1694E57-FD8A-422C-AD0F-5DF2C5BD0E7B}">
  <ds:schemaRefs/>
</ds:datastoreItem>
</file>

<file path=customXml/itemProps203.xml><?xml version="1.0" encoding="utf-8"?>
<ds:datastoreItem xmlns:ds="http://schemas.openxmlformats.org/officeDocument/2006/customXml" ds:itemID="{E471FF46-D940-4245-AD31-573F167B9D3C}">
  <ds:schemaRefs/>
</ds:datastoreItem>
</file>

<file path=customXml/itemProps204.xml><?xml version="1.0" encoding="utf-8"?>
<ds:datastoreItem xmlns:ds="http://schemas.openxmlformats.org/officeDocument/2006/customXml" ds:itemID="{07870400-24AB-4F1B-9911-3F332E42A483}">
  <ds:schemaRefs/>
</ds:datastoreItem>
</file>

<file path=customXml/itemProps205.xml><?xml version="1.0" encoding="utf-8"?>
<ds:datastoreItem xmlns:ds="http://schemas.openxmlformats.org/officeDocument/2006/customXml" ds:itemID="{AFD5AEBF-0748-4259-90B3-2BD9EA7BD8D6}">
  <ds:schemaRefs/>
</ds:datastoreItem>
</file>

<file path=customXml/itemProps206.xml><?xml version="1.0" encoding="utf-8"?>
<ds:datastoreItem xmlns:ds="http://schemas.openxmlformats.org/officeDocument/2006/customXml" ds:itemID="{04635E87-0CF5-4615-8EEC-3705B91110EA}">
  <ds:schemaRefs/>
</ds:datastoreItem>
</file>

<file path=customXml/itemProps207.xml><?xml version="1.0" encoding="utf-8"?>
<ds:datastoreItem xmlns:ds="http://schemas.openxmlformats.org/officeDocument/2006/customXml" ds:itemID="{D9E63EEB-3248-4649-A564-C29CE96A98FD}">
  <ds:schemaRefs/>
</ds:datastoreItem>
</file>

<file path=customXml/itemProps208.xml><?xml version="1.0" encoding="utf-8"?>
<ds:datastoreItem xmlns:ds="http://schemas.openxmlformats.org/officeDocument/2006/customXml" ds:itemID="{C301AD00-C7FD-4BF4-B542-EF7FB7A52E95}">
  <ds:schemaRefs/>
</ds:datastoreItem>
</file>

<file path=customXml/itemProps209.xml><?xml version="1.0" encoding="utf-8"?>
<ds:datastoreItem xmlns:ds="http://schemas.openxmlformats.org/officeDocument/2006/customXml" ds:itemID="{5050AAD2-4BB5-4C37-896F-609766ECA826}">
  <ds:schemaRefs/>
</ds:datastoreItem>
</file>

<file path=customXml/itemProps210.xml><?xml version="1.0" encoding="utf-8"?>
<ds:datastoreItem xmlns:ds="http://schemas.openxmlformats.org/officeDocument/2006/customXml" ds:itemID="{E3EC2762-C64A-4F6A-9418-C2D4AA9A5247}">
  <ds:schemaRefs/>
</ds:datastoreItem>
</file>

<file path=customXml/itemProps211.xml><?xml version="1.0" encoding="utf-8"?>
<ds:datastoreItem xmlns:ds="http://schemas.openxmlformats.org/officeDocument/2006/customXml" ds:itemID="{9C7E069C-5D84-4D81-874D-1864F4E651DF}">
  <ds:schemaRefs/>
</ds:datastoreItem>
</file>

<file path=customXml/itemProps212.xml><?xml version="1.0" encoding="utf-8"?>
<ds:datastoreItem xmlns:ds="http://schemas.openxmlformats.org/officeDocument/2006/customXml" ds:itemID="{51EC9D0C-69E9-41DF-B384-64A22D3C3890}">
  <ds:schemaRefs/>
</ds:datastoreItem>
</file>

<file path=customXml/itemProps213.xml><?xml version="1.0" encoding="utf-8"?>
<ds:datastoreItem xmlns:ds="http://schemas.openxmlformats.org/officeDocument/2006/customXml" ds:itemID="{B11ACDBC-BA27-4907-86A6-84DFDCD59D92}">
  <ds:schemaRefs/>
</ds:datastoreItem>
</file>

<file path=customXml/itemProps214.xml><?xml version="1.0" encoding="utf-8"?>
<ds:datastoreItem xmlns:ds="http://schemas.openxmlformats.org/officeDocument/2006/customXml" ds:itemID="{906C3B80-1CDC-4D7F-9FB1-6FF50BFDA17A}">
  <ds:schemaRefs/>
</ds:datastoreItem>
</file>

<file path=customXml/itemProps215.xml><?xml version="1.0" encoding="utf-8"?>
<ds:datastoreItem xmlns:ds="http://schemas.openxmlformats.org/officeDocument/2006/customXml" ds:itemID="{BF08B2ED-7F3A-4A34-9084-2B62C1BEF50D}">
  <ds:schemaRefs/>
</ds:datastoreItem>
</file>

<file path=customXml/itemProps216.xml><?xml version="1.0" encoding="utf-8"?>
<ds:datastoreItem xmlns:ds="http://schemas.openxmlformats.org/officeDocument/2006/customXml" ds:itemID="{E533207C-BE3A-4114-A06D-22D9A7D5B8CE}">
  <ds:schemaRefs/>
</ds:datastoreItem>
</file>

<file path=customXml/itemProps217.xml><?xml version="1.0" encoding="utf-8"?>
<ds:datastoreItem xmlns:ds="http://schemas.openxmlformats.org/officeDocument/2006/customXml" ds:itemID="{56E37274-5EB4-43A7-B420-835B9005776D}">
  <ds:schemaRefs/>
</ds:datastoreItem>
</file>

<file path=customXml/itemProps218.xml><?xml version="1.0" encoding="utf-8"?>
<ds:datastoreItem xmlns:ds="http://schemas.openxmlformats.org/officeDocument/2006/customXml" ds:itemID="{552D760B-EC2F-4DF2-98B2-7D1A9FA35B5F}">
  <ds:schemaRefs/>
</ds:datastoreItem>
</file>

<file path=customXml/itemProps219.xml><?xml version="1.0" encoding="utf-8"?>
<ds:datastoreItem xmlns:ds="http://schemas.openxmlformats.org/officeDocument/2006/customXml" ds:itemID="{822CC4B3-EEA6-4C17-B852-9C907810D87A}">
  <ds:schemaRefs/>
</ds:datastoreItem>
</file>

<file path=customXml/itemProps220.xml><?xml version="1.0" encoding="utf-8"?>
<ds:datastoreItem xmlns:ds="http://schemas.openxmlformats.org/officeDocument/2006/customXml" ds:itemID="{18C40777-35D3-4760-BC72-5CF54962CD7A}">
  <ds:schemaRefs/>
</ds:datastoreItem>
</file>

<file path=customXml/itemProps221.xml><?xml version="1.0" encoding="utf-8"?>
<ds:datastoreItem xmlns:ds="http://schemas.openxmlformats.org/officeDocument/2006/customXml" ds:itemID="{56475F32-2FEA-425F-A4E8-3EB168634F9B}">
  <ds:schemaRefs/>
</ds:datastoreItem>
</file>

<file path=customXml/itemProps222.xml><?xml version="1.0" encoding="utf-8"?>
<ds:datastoreItem xmlns:ds="http://schemas.openxmlformats.org/officeDocument/2006/customXml" ds:itemID="{BDF5B7E9-6EAC-496B-B055-E4061B1B5419}">
  <ds:schemaRefs/>
</ds:datastoreItem>
</file>

<file path=customXml/itemProps223.xml><?xml version="1.0" encoding="utf-8"?>
<ds:datastoreItem xmlns:ds="http://schemas.openxmlformats.org/officeDocument/2006/customXml" ds:itemID="{85859FF7-F32A-4A8C-B34B-B4AA210C926C}">
  <ds:schemaRefs/>
</ds:datastoreItem>
</file>

<file path=customXml/itemProps224.xml><?xml version="1.0" encoding="utf-8"?>
<ds:datastoreItem xmlns:ds="http://schemas.openxmlformats.org/officeDocument/2006/customXml" ds:itemID="{093E5F99-91A9-438B-8B39-769592D624E1}">
  <ds:schemaRefs/>
</ds:datastoreItem>
</file>

<file path=customXml/itemProps225.xml><?xml version="1.0" encoding="utf-8"?>
<ds:datastoreItem xmlns:ds="http://schemas.openxmlformats.org/officeDocument/2006/customXml" ds:itemID="{C183CC85-752F-463A-B5D2-A9FBBDEBA407}">
  <ds:schemaRefs/>
</ds:datastoreItem>
</file>

<file path=customXml/itemProps226.xml><?xml version="1.0" encoding="utf-8"?>
<ds:datastoreItem xmlns:ds="http://schemas.openxmlformats.org/officeDocument/2006/customXml" ds:itemID="{E0F4A8AB-E4B8-407B-8B7D-4B3F44D4FA02}">
  <ds:schemaRefs/>
</ds:datastoreItem>
</file>

<file path=customXml/itemProps227.xml><?xml version="1.0" encoding="utf-8"?>
<ds:datastoreItem xmlns:ds="http://schemas.openxmlformats.org/officeDocument/2006/customXml" ds:itemID="{30CB4EC7-3CC7-4865-B703-E71F9D9CF7EF}">
  <ds:schemaRefs/>
</ds:datastoreItem>
</file>

<file path=customXml/itemProps228.xml><?xml version="1.0" encoding="utf-8"?>
<ds:datastoreItem xmlns:ds="http://schemas.openxmlformats.org/officeDocument/2006/customXml" ds:itemID="{8CE1331B-66A3-49B6-A998-F232301EF363}">
  <ds:schemaRefs/>
</ds:datastoreItem>
</file>

<file path=customXml/itemProps229.xml><?xml version="1.0" encoding="utf-8"?>
<ds:datastoreItem xmlns:ds="http://schemas.openxmlformats.org/officeDocument/2006/customXml" ds:itemID="{DDDC4727-1AE4-4AFA-BC50-693D26F26307}">
  <ds:schemaRefs/>
</ds:datastoreItem>
</file>

<file path=customXml/itemProps230.xml><?xml version="1.0" encoding="utf-8"?>
<ds:datastoreItem xmlns:ds="http://schemas.openxmlformats.org/officeDocument/2006/customXml" ds:itemID="{D7083E7B-EDF7-4CCE-9BB0-0836793FBD06}">
  <ds:schemaRefs/>
</ds:datastoreItem>
</file>

<file path=customXml/itemProps231.xml><?xml version="1.0" encoding="utf-8"?>
<ds:datastoreItem xmlns:ds="http://schemas.openxmlformats.org/officeDocument/2006/customXml" ds:itemID="{1E1A07D0-F42E-4A72-8E8C-D8D38082768F}">
  <ds:schemaRefs/>
</ds:datastoreItem>
</file>

<file path=customXml/itemProps232.xml><?xml version="1.0" encoding="utf-8"?>
<ds:datastoreItem xmlns:ds="http://schemas.openxmlformats.org/officeDocument/2006/customXml" ds:itemID="{C217FD84-A688-4C63-83E4-6712BD369FF3}">
  <ds:schemaRefs/>
</ds:datastoreItem>
</file>

<file path=customXml/itemProps233.xml><?xml version="1.0" encoding="utf-8"?>
<ds:datastoreItem xmlns:ds="http://schemas.openxmlformats.org/officeDocument/2006/customXml" ds:itemID="{43777DB2-CDEA-4BE8-8E6C-15F603CE794B}">
  <ds:schemaRefs/>
</ds:datastoreItem>
</file>

<file path=customXml/itemProps234.xml><?xml version="1.0" encoding="utf-8"?>
<ds:datastoreItem xmlns:ds="http://schemas.openxmlformats.org/officeDocument/2006/customXml" ds:itemID="{C6F48399-67F5-4E85-B58B-4659E6289BA6}">
  <ds:schemaRefs/>
</ds:datastoreItem>
</file>

<file path=customXml/itemProps235.xml><?xml version="1.0" encoding="utf-8"?>
<ds:datastoreItem xmlns:ds="http://schemas.openxmlformats.org/officeDocument/2006/customXml" ds:itemID="{9DA2394D-0263-4321-BC1C-4B1C95877F50}">
  <ds:schemaRefs/>
</ds:datastoreItem>
</file>

<file path=customXml/itemProps236.xml><?xml version="1.0" encoding="utf-8"?>
<ds:datastoreItem xmlns:ds="http://schemas.openxmlformats.org/officeDocument/2006/customXml" ds:itemID="{9D28C0BA-3851-47AC-8F9A-58791C43F7B5}">
  <ds:schemaRefs/>
</ds:datastoreItem>
</file>

<file path=customXml/itemProps237.xml><?xml version="1.0" encoding="utf-8"?>
<ds:datastoreItem xmlns:ds="http://schemas.openxmlformats.org/officeDocument/2006/customXml" ds:itemID="{D32929F5-3DCC-414A-9010-B0D8468EBF0F}">
  <ds:schemaRefs/>
</ds:datastoreItem>
</file>

<file path=customXml/itemProps238.xml><?xml version="1.0" encoding="utf-8"?>
<ds:datastoreItem xmlns:ds="http://schemas.openxmlformats.org/officeDocument/2006/customXml" ds:itemID="{A89EB220-374D-459F-BE90-93423C507221}">
  <ds:schemaRefs/>
</ds:datastoreItem>
</file>

<file path=customXml/itemProps239.xml><?xml version="1.0" encoding="utf-8"?>
<ds:datastoreItem xmlns:ds="http://schemas.openxmlformats.org/officeDocument/2006/customXml" ds:itemID="{BD95B24E-EB90-4E52-9F45-FDF240AFCB48}">
  <ds:schemaRefs>
    <ds:schemaRef ds:uri="http://schemas.microsoft.com/DataMashup"/>
  </ds:schemaRefs>
</ds:datastoreItem>
</file>

<file path=customXml/itemProps240.xml><?xml version="1.0" encoding="utf-8"?>
<ds:datastoreItem xmlns:ds="http://schemas.openxmlformats.org/officeDocument/2006/customXml" ds:itemID="{A77A746A-ECAA-47EE-8E72-F96F4EA5B0D9}">
  <ds:schemaRefs/>
</ds:datastoreItem>
</file>

<file path=customXml/itemProps241.xml><?xml version="1.0" encoding="utf-8"?>
<ds:datastoreItem xmlns:ds="http://schemas.openxmlformats.org/officeDocument/2006/customXml" ds:itemID="{D7DE779D-AE78-467D-8165-94B18D88652C}">
  <ds:schemaRefs/>
</ds:datastoreItem>
</file>

<file path=customXml/itemProps242.xml><?xml version="1.0" encoding="utf-8"?>
<ds:datastoreItem xmlns:ds="http://schemas.openxmlformats.org/officeDocument/2006/customXml" ds:itemID="{520F2123-C371-4EE5-BD91-D3621CEA0305}">
  <ds:schemaRefs/>
</ds:datastoreItem>
</file>

<file path=customXml/itemProps243.xml><?xml version="1.0" encoding="utf-8"?>
<ds:datastoreItem xmlns:ds="http://schemas.openxmlformats.org/officeDocument/2006/customXml" ds:itemID="{422B3C81-0505-4A56-886D-F70B4930CBDB}">
  <ds:schemaRefs/>
</ds:datastoreItem>
</file>

<file path=customXml/itemProps244.xml><?xml version="1.0" encoding="utf-8"?>
<ds:datastoreItem xmlns:ds="http://schemas.openxmlformats.org/officeDocument/2006/customXml" ds:itemID="{27820AA3-BA6C-43D6-B299-027C0508F246}">
  <ds:schemaRefs/>
</ds:datastoreItem>
</file>

<file path=customXml/itemProps245.xml><?xml version="1.0" encoding="utf-8"?>
<ds:datastoreItem xmlns:ds="http://schemas.openxmlformats.org/officeDocument/2006/customXml" ds:itemID="{0CB04559-609C-4DFA-A5DE-9CCD7E438E07}">
  <ds:schemaRefs/>
</ds:datastoreItem>
</file>

<file path=customXml/itemProps246.xml><?xml version="1.0" encoding="utf-8"?>
<ds:datastoreItem xmlns:ds="http://schemas.openxmlformats.org/officeDocument/2006/customXml" ds:itemID="{6D680DCD-964D-4E88-9A2F-C6DCC7A2F95F}">
  <ds:schemaRefs/>
</ds:datastoreItem>
</file>

<file path=customXml/itemProps247.xml><?xml version="1.0" encoding="utf-8"?>
<ds:datastoreItem xmlns:ds="http://schemas.openxmlformats.org/officeDocument/2006/customXml" ds:itemID="{3EEE992C-0E78-4D9E-8680-B3E97206A7F0}">
  <ds:schemaRefs>
    <ds:schemaRef ds:uri="http://www.w3.org/2001/XMLSchema"/>
    <ds:schemaRef ds:uri="http://microsoft.data.visualization.Client.Excel.PState/1.0"/>
  </ds:schemaRefs>
</ds:datastoreItem>
</file>

<file path=customXml/itemProps248.xml><?xml version="1.0" encoding="utf-8"?>
<ds:datastoreItem xmlns:ds="http://schemas.openxmlformats.org/officeDocument/2006/customXml" ds:itemID="{4A83228E-3E4F-4C87-B6CF-EE27B24E7072}">
  <ds:schemaRefs/>
</ds:datastoreItem>
</file>

<file path=customXml/itemProps249.xml><?xml version="1.0" encoding="utf-8"?>
<ds:datastoreItem xmlns:ds="http://schemas.openxmlformats.org/officeDocument/2006/customXml" ds:itemID="{A68B69A0-13A7-4823-B591-5EADEC3A6732}">
  <ds:schemaRefs/>
</ds:datastoreItem>
</file>

<file path=customXml/itemProps250.xml><?xml version="1.0" encoding="utf-8"?>
<ds:datastoreItem xmlns:ds="http://schemas.openxmlformats.org/officeDocument/2006/customXml" ds:itemID="{6ED8C1CA-103A-4B9B-8A6F-F2DCC1388F48}">
  <ds:schemaRefs/>
</ds:datastoreItem>
</file>

<file path=customXml/itemProps251.xml><?xml version="1.0" encoding="utf-8"?>
<ds:datastoreItem xmlns:ds="http://schemas.openxmlformats.org/officeDocument/2006/customXml" ds:itemID="{A66C631A-9AB8-4290-91CD-275131F636BA}">
  <ds:schemaRefs/>
</ds:datastoreItem>
</file>

<file path=customXml/itemProps252.xml><?xml version="1.0" encoding="utf-8"?>
<ds:datastoreItem xmlns:ds="http://schemas.openxmlformats.org/officeDocument/2006/customXml" ds:itemID="{322F7AEC-7E7F-443B-82EC-24299B9DA18B}">
  <ds:schemaRefs/>
</ds:datastoreItem>
</file>

<file path=customXml/itemProps253.xml><?xml version="1.0" encoding="utf-8"?>
<ds:datastoreItem xmlns:ds="http://schemas.openxmlformats.org/officeDocument/2006/customXml" ds:itemID="{D4E2A501-0341-4D5E-8B77-ED38227CDE10}">
  <ds:schemaRefs/>
</ds:datastoreItem>
</file>

<file path=customXml/itemProps254.xml><?xml version="1.0" encoding="utf-8"?>
<ds:datastoreItem xmlns:ds="http://schemas.openxmlformats.org/officeDocument/2006/customXml" ds:itemID="{62DFF893-310E-4D85-89B4-83EDECBE7294}">
  <ds:schemaRefs/>
</ds:datastoreItem>
</file>

<file path=customXml/itemProps255.xml><?xml version="1.0" encoding="utf-8"?>
<ds:datastoreItem xmlns:ds="http://schemas.openxmlformats.org/officeDocument/2006/customXml" ds:itemID="{3D358D4D-04DB-4448-92B4-5417E815E747}">
  <ds:schemaRefs>
    <ds:schemaRef ds:uri="http://www.w3.org/2001/XMLSchema"/>
    <ds:schemaRef ds:uri="http://microsoft.data.visualization.Client.Excel.LState/1.0"/>
  </ds:schemaRefs>
</ds:datastoreItem>
</file>

<file path=customXml/itemProps256.xml><?xml version="1.0" encoding="utf-8"?>
<ds:datastoreItem xmlns:ds="http://schemas.openxmlformats.org/officeDocument/2006/customXml" ds:itemID="{FC4531D4-4257-4982-9FB0-738A57E48BE9}">
  <ds:schemaRefs/>
</ds:datastoreItem>
</file>

<file path=customXml/itemProps257.xml><?xml version="1.0" encoding="utf-8"?>
<ds:datastoreItem xmlns:ds="http://schemas.openxmlformats.org/officeDocument/2006/customXml" ds:itemID="{1A7908EE-8FD5-40F3-B2E7-9AABCCCDA4CC}">
  <ds:schemaRefs/>
</ds:datastoreItem>
</file>

<file path=customXml/itemProps258.xml><?xml version="1.0" encoding="utf-8"?>
<ds:datastoreItem xmlns:ds="http://schemas.openxmlformats.org/officeDocument/2006/customXml" ds:itemID="{8FF3260C-712C-44D8-A7FA-FB1811F87B1D}">
  <ds:schemaRefs/>
</ds:datastoreItem>
</file>

<file path=customXml/itemProps259.xml><?xml version="1.0" encoding="utf-8"?>
<ds:datastoreItem xmlns:ds="http://schemas.openxmlformats.org/officeDocument/2006/customXml" ds:itemID="{534A3967-B137-481C-AEE6-31D098A94046}">
  <ds:schemaRefs/>
</ds:datastoreItem>
</file>

<file path=customXml/itemProps260.xml><?xml version="1.0" encoding="utf-8"?>
<ds:datastoreItem xmlns:ds="http://schemas.openxmlformats.org/officeDocument/2006/customXml" ds:itemID="{83770D2B-D9DF-4A07-A802-61FF6D768EF4}">
  <ds:schemaRefs/>
</ds:datastoreItem>
</file>

<file path=customXml/itemProps261.xml><?xml version="1.0" encoding="utf-8"?>
<ds:datastoreItem xmlns:ds="http://schemas.openxmlformats.org/officeDocument/2006/customXml" ds:itemID="{808D9452-9A76-491B-836B-14F8F0FD57B9}">
  <ds:schemaRefs/>
</ds:datastoreItem>
</file>

<file path=customXml/itemProps262.xml><?xml version="1.0" encoding="utf-8"?>
<ds:datastoreItem xmlns:ds="http://schemas.openxmlformats.org/officeDocument/2006/customXml" ds:itemID="{73F44D85-1892-483F-BDFC-CC8ABC01FCFA}">
  <ds:schemaRefs/>
</ds:datastoreItem>
</file>

<file path=customXml/itemProps263.xml><?xml version="1.0" encoding="utf-8"?>
<ds:datastoreItem xmlns:ds="http://schemas.openxmlformats.org/officeDocument/2006/customXml" ds:itemID="{AB27904F-23BE-4F7B-BF3F-13A5E62436BF}">
  <ds:schemaRefs/>
</ds:datastoreItem>
</file>

<file path=customXml/itemProps264.xml><?xml version="1.0" encoding="utf-8"?>
<ds:datastoreItem xmlns:ds="http://schemas.openxmlformats.org/officeDocument/2006/customXml" ds:itemID="{AA8E8DC6-2B8D-4BDF-BE29-BBF67832545B}">
  <ds:schemaRefs/>
</ds:datastoreItem>
</file>

<file path=customXml/itemProps265.xml><?xml version="1.0" encoding="utf-8"?>
<ds:datastoreItem xmlns:ds="http://schemas.openxmlformats.org/officeDocument/2006/customXml" ds:itemID="{C7240F1A-D009-4230-BC23-C700397663BF}">
  <ds:schemaRefs/>
</ds:datastoreItem>
</file>

<file path=customXml/itemProps266.xml><?xml version="1.0" encoding="utf-8"?>
<ds:datastoreItem xmlns:ds="http://schemas.openxmlformats.org/officeDocument/2006/customXml" ds:itemID="{C8CD1380-A042-42B6-9E96-7EFB183D265D}">
  <ds:schemaRefs/>
</ds:datastoreItem>
</file>

<file path=customXml/itemProps267.xml><?xml version="1.0" encoding="utf-8"?>
<ds:datastoreItem xmlns:ds="http://schemas.openxmlformats.org/officeDocument/2006/customXml" ds:itemID="{3F11E267-128A-41BC-A204-0A3C46356034}">
  <ds:schemaRefs/>
</ds:datastoreItem>
</file>

<file path=customXml/itemProps268.xml><?xml version="1.0" encoding="utf-8"?>
<ds:datastoreItem xmlns:ds="http://schemas.openxmlformats.org/officeDocument/2006/customXml" ds:itemID="{B2FB7D35-2CBB-465E-9099-90590B9286A5}">
  <ds:schemaRefs/>
</ds:datastoreItem>
</file>

<file path=customXml/itemProps269.xml><?xml version="1.0" encoding="utf-8"?>
<ds:datastoreItem xmlns:ds="http://schemas.openxmlformats.org/officeDocument/2006/customXml" ds:itemID="{8D59414D-4B8C-425C-BD4B-C649AC0F92A9}">
  <ds:schemaRefs/>
</ds:datastoreItem>
</file>

<file path=customXml/itemProps270.xml><?xml version="1.0" encoding="utf-8"?>
<ds:datastoreItem xmlns:ds="http://schemas.openxmlformats.org/officeDocument/2006/customXml" ds:itemID="{3E2D87EE-2C96-4D51-860F-8C561E947EE6}">
  <ds:schemaRefs/>
</ds:datastoreItem>
</file>

<file path=customXml/itemProps271.xml><?xml version="1.0" encoding="utf-8"?>
<ds:datastoreItem xmlns:ds="http://schemas.openxmlformats.org/officeDocument/2006/customXml" ds:itemID="{F8DD60C8-14BE-4B9F-9E1D-1A8EA6FB3311}">
  <ds:schemaRefs/>
</ds:datastoreItem>
</file>

<file path=customXml/itemProps272.xml><?xml version="1.0" encoding="utf-8"?>
<ds:datastoreItem xmlns:ds="http://schemas.openxmlformats.org/officeDocument/2006/customXml" ds:itemID="{8A194128-B9D1-49EC-ADAF-6193BBAF8459}">
  <ds:schemaRefs/>
</ds:datastoreItem>
</file>

<file path=customXml/itemProps273.xml><?xml version="1.0" encoding="utf-8"?>
<ds:datastoreItem xmlns:ds="http://schemas.openxmlformats.org/officeDocument/2006/customXml" ds:itemID="{CD2F3118-08E7-4B95-8DA6-FF065AF732D9}">
  <ds:schemaRefs/>
</ds:datastoreItem>
</file>

<file path=customXml/itemProps274.xml><?xml version="1.0" encoding="utf-8"?>
<ds:datastoreItem xmlns:ds="http://schemas.openxmlformats.org/officeDocument/2006/customXml" ds:itemID="{16C968A3-49A3-4C14-A00B-BF3CAA46B972}">
  <ds:schemaRefs/>
</ds:datastoreItem>
</file>

<file path=customXml/itemProps275.xml><?xml version="1.0" encoding="utf-8"?>
<ds:datastoreItem xmlns:ds="http://schemas.openxmlformats.org/officeDocument/2006/customXml" ds:itemID="{A9061F3A-1ECE-4547-BB4B-AB35EB870AF5}">
  <ds:schemaRefs/>
</ds:datastoreItem>
</file>

<file path=customXml/itemProps276.xml><?xml version="1.0" encoding="utf-8"?>
<ds:datastoreItem xmlns:ds="http://schemas.openxmlformats.org/officeDocument/2006/customXml" ds:itemID="{A8A33985-B84A-4BB2-86BC-F4C1379B480C}">
  <ds:schemaRefs/>
</ds:datastoreItem>
</file>

<file path=customXml/itemProps277.xml><?xml version="1.0" encoding="utf-8"?>
<ds:datastoreItem xmlns:ds="http://schemas.openxmlformats.org/officeDocument/2006/customXml" ds:itemID="{8F75CB86-84C4-40D4-84CB-8FF8BFC44F19}">
  <ds:schemaRefs/>
</ds:datastoreItem>
</file>

<file path=customXml/itemProps278.xml><?xml version="1.0" encoding="utf-8"?>
<ds:datastoreItem xmlns:ds="http://schemas.openxmlformats.org/officeDocument/2006/customXml" ds:itemID="{DB4DE79D-36D4-4503-A275-426A923032EF}">
  <ds:schemaRefs/>
</ds:datastoreItem>
</file>

<file path=customXml/itemProps279.xml><?xml version="1.0" encoding="utf-8"?>
<ds:datastoreItem xmlns:ds="http://schemas.openxmlformats.org/officeDocument/2006/customXml" ds:itemID="{3D5E1666-BDE2-4085-A1F1-6DBA864EDF3F}">
  <ds:schemaRefs/>
</ds:datastoreItem>
</file>

<file path=customXml/itemProps280.xml><?xml version="1.0" encoding="utf-8"?>
<ds:datastoreItem xmlns:ds="http://schemas.openxmlformats.org/officeDocument/2006/customXml" ds:itemID="{D35D9351-1C1A-4AA8-9C61-EE495B742EB8}">
  <ds:schemaRefs/>
</ds:datastoreItem>
</file>

<file path=customXml/itemProps281.xml><?xml version="1.0" encoding="utf-8"?>
<ds:datastoreItem xmlns:ds="http://schemas.openxmlformats.org/officeDocument/2006/customXml" ds:itemID="{99F96DFE-7363-4EAC-8B72-7259DD3CF8E6}">
  <ds:schemaRefs/>
</ds:datastoreItem>
</file>

<file path=customXml/itemProps282.xml><?xml version="1.0" encoding="utf-8"?>
<ds:datastoreItem xmlns:ds="http://schemas.openxmlformats.org/officeDocument/2006/customXml" ds:itemID="{F55706EB-6904-4C17-BF73-45AE61EAC5EC}">
  <ds:schemaRefs/>
</ds:datastoreItem>
</file>

<file path=customXml/itemProps283.xml><?xml version="1.0" encoding="utf-8"?>
<ds:datastoreItem xmlns:ds="http://schemas.openxmlformats.org/officeDocument/2006/customXml" ds:itemID="{FFADC5FE-351D-467D-8D1E-E8D8BBC0039C}">
  <ds:schemaRefs/>
</ds:datastoreItem>
</file>

<file path=customXml/itemProps284.xml><?xml version="1.0" encoding="utf-8"?>
<ds:datastoreItem xmlns:ds="http://schemas.openxmlformats.org/officeDocument/2006/customXml" ds:itemID="{E5FBEBE7-83D7-44CA-8E34-6D1B64F6D533}">
  <ds:schemaRefs/>
</ds:datastoreItem>
</file>

<file path=customXml/itemProps285.xml><?xml version="1.0" encoding="utf-8"?>
<ds:datastoreItem xmlns:ds="http://schemas.openxmlformats.org/officeDocument/2006/customXml" ds:itemID="{2A148F57-395B-460A-9C50-92AF222A0DAC}">
  <ds:schemaRefs/>
</ds:datastoreItem>
</file>

<file path=customXml/itemProps286.xml><?xml version="1.0" encoding="utf-8"?>
<ds:datastoreItem xmlns:ds="http://schemas.openxmlformats.org/officeDocument/2006/customXml" ds:itemID="{97FC11D5-1B32-4558-90E2-955A161C94DE}">
  <ds:schemaRefs/>
</ds:datastoreItem>
</file>

<file path=customXml/itemProps287.xml><?xml version="1.0" encoding="utf-8"?>
<ds:datastoreItem xmlns:ds="http://schemas.openxmlformats.org/officeDocument/2006/customXml" ds:itemID="{8CB6F63D-8B55-433D-A797-254CEA6BA6F1}">
  <ds:schemaRefs/>
</ds:datastoreItem>
</file>

<file path=customXml/itemProps288.xml><?xml version="1.0" encoding="utf-8"?>
<ds:datastoreItem xmlns:ds="http://schemas.openxmlformats.org/officeDocument/2006/customXml" ds:itemID="{B4C83AB8-C877-4D56-857C-C9F5F8785446}">
  <ds:schemaRefs/>
</ds:datastoreItem>
</file>

<file path=customXml/itemProps289.xml><?xml version="1.0" encoding="utf-8"?>
<ds:datastoreItem xmlns:ds="http://schemas.openxmlformats.org/officeDocument/2006/customXml" ds:itemID="{E431C938-77E9-41E5-AE14-F98606279E22}">
  <ds:schemaRefs/>
</ds:datastoreItem>
</file>

<file path=customXml/itemProps290.xml><?xml version="1.0" encoding="utf-8"?>
<ds:datastoreItem xmlns:ds="http://schemas.openxmlformats.org/officeDocument/2006/customXml" ds:itemID="{1478C1A4-7726-4755-AE1A-0F8B3E4401C1}">
  <ds:schemaRefs/>
</ds:datastoreItem>
</file>

<file path=customXml/itemProps291.xml><?xml version="1.0" encoding="utf-8"?>
<ds:datastoreItem xmlns:ds="http://schemas.openxmlformats.org/officeDocument/2006/customXml" ds:itemID="{1B5D69E0-43F7-43F5-AFF8-2814D595923E}">
  <ds:schemaRefs/>
</ds:datastoreItem>
</file>

<file path=customXml/itemProps292.xml><?xml version="1.0" encoding="utf-8"?>
<ds:datastoreItem xmlns:ds="http://schemas.openxmlformats.org/officeDocument/2006/customXml" ds:itemID="{5A757599-2650-4754-B887-03430E2082B3}">
  <ds:schemaRefs/>
</ds:datastoreItem>
</file>

<file path=customXml/itemProps293.xml><?xml version="1.0" encoding="utf-8"?>
<ds:datastoreItem xmlns:ds="http://schemas.openxmlformats.org/officeDocument/2006/customXml" ds:itemID="{1AFA2237-0EEA-4F66-8310-C4608F5B018B}">
  <ds:schemaRefs/>
</ds:datastoreItem>
</file>

<file path=customXml/itemProps294.xml><?xml version="1.0" encoding="utf-8"?>
<ds:datastoreItem xmlns:ds="http://schemas.openxmlformats.org/officeDocument/2006/customXml" ds:itemID="{716EA437-DE2F-4D85-94EF-DD2636BDBBA2}">
  <ds:schemaRefs/>
</ds:datastoreItem>
</file>

<file path=customXml/itemProps295.xml><?xml version="1.0" encoding="utf-8"?>
<ds:datastoreItem xmlns:ds="http://schemas.openxmlformats.org/officeDocument/2006/customXml" ds:itemID="{E14D718F-8D00-4DD1-8013-EFAB2D2571AA}">
  <ds:schemaRefs/>
</ds:datastoreItem>
</file>

<file path=customXml/itemProps296.xml><?xml version="1.0" encoding="utf-8"?>
<ds:datastoreItem xmlns:ds="http://schemas.openxmlformats.org/officeDocument/2006/customXml" ds:itemID="{F9C7A17F-F101-4B3E-9F3F-825D5D3A9D7D}">
  <ds:schemaRefs/>
</ds:datastoreItem>
</file>

<file path=customXml/itemProps297.xml><?xml version="1.0" encoding="utf-8"?>
<ds:datastoreItem xmlns:ds="http://schemas.openxmlformats.org/officeDocument/2006/customXml" ds:itemID="{E52B3457-DE43-4D69-983E-7B714FB87ADD}">
  <ds:schemaRefs/>
</ds:datastoreItem>
</file>

<file path=customXml/itemProps298.xml><?xml version="1.0" encoding="utf-8"?>
<ds:datastoreItem xmlns:ds="http://schemas.openxmlformats.org/officeDocument/2006/customXml" ds:itemID="{994AA89E-1BA0-4DB6-B01A-7F3F23D46198}">
  <ds:schemaRefs/>
</ds:datastoreItem>
</file>

<file path=customXml/itemProps299.xml><?xml version="1.0" encoding="utf-8"?>
<ds:datastoreItem xmlns:ds="http://schemas.openxmlformats.org/officeDocument/2006/customXml" ds:itemID="{ED0EB0BB-F1F8-4C76-839C-5282E3E8BC9B}">
  <ds:schemaRefs/>
</ds:datastoreItem>
</file>

<file path=customXml/itemProps300.xml><?xml version="1.0" encoding="utf-8"?>
<ds:datastoreItem xmlns:ds="http://schemas.openxmlformats.org/officeDocument/2006/customXml" ds:itemID="{2850A33B-26D2-46C0-BDDD-320ACB332F3B}">
  <ds:schemaRefs/>
</ds:datastoreItem>
</file>

<file path=customXml/itemProps301.xml><?xml version="1.0" encoding="utf-8"?>
<ds:datastoreItem xmlns:ds="http://schemas.openxmlformats.org/officeDocument/2006/customXml" ds:itemID="{DE69DB11-F1A9-4AA9-9A48-AB98EC202E8D}">
  <ds:schemaRefs/>
</ds:datastoreItem>
</file>

<file path=customXml/itemProps302.xml><?xml version="1.0" encoding="utf-8"?>
<ds:datastoreItem xmlns:ds="http://schemas.openxmlformats.org/officeDocument/2006/customXml" ds:itemID="{92C1B810-B3D2-492C-A687-AC1DC80D87E5}">
  <ds:schemaRefs/>
</ds:datastoreItem>
</file>

<file path=customXml/itemProps303.xml><?xml version="1.0" encoding="utf-8"?>
<ds:datastoreItem xmlns:ds="http://schemas.openxmlformats.org/officeDocument/2006/customXml" ds:itemID="{9DA15FFD-8EF9-4717-BE5F-FF2CD334810B}">
  <ds:schemaRefs/>
</ds:datastoreItem>
</file>

<file path=customXml/itemProps304.xml><?xml version="1.0" encoding="utf-8"?>
<ds:datastoreItem xmlns:ds="http://schemas.openxmlformats.org/officeDocument/2006/customXml" ds:itemID="{E377A98D-8FB0-43EC-BD6C-EBCFF792C908}">
  <ds:schemaRefs/>
</ds:datastoreItem>
</file>

<file path=customXml/itemProps305.xml><?xml version="1.0" encoding="utf-8"?>
<ds:datastoreItem xmlns:ds="http://schemas.openxmlformats.org/officeDocument/2006/customXml" ds:itemID="{99A3E7B3-F26F-4347-8EFD-49596CB47580}">
  <ds:schemaRefs/>
</ds:datastoreItem>
</file>

<file path=customXml/itemProps306.xml><?xml version="1.0" encoding="utf-8"?>
<ds:datastoreItem xmlns:ds="http://schemas.openxmlformats.org/officeDocument/2006/customXml" ds:itemID="{3FD5E3EB-EA21-402D-922A-AAD7496D2E8D}">
  <ds:schemaRefs/>
</ds:datastoreItem>
</file>

<file path=customXml/itemProps307.xml><?xml version="1.0" encoding="utf-8"?>
<ds:datastoreItem xmlns:ds="http://schemas.openxmlformats.org/officeDocument/2006/customXml" ds:itemID="{1616D2F1-0D12-47AC-90ED-173985A86667}">
  <ds:schemaRefs/>
</ds:datastoreItem>
</file>

<file path=customXml/itemProps308.xml><?xml version="1.0" encoding="utf-8"?>
<ds:datastoreItem xmlns:ds="http://schemas.openxmlformats.org/officeDocument/2006/customXml" ds:itemID="{92C8815B-30FA-4585-8937-66A8E5794E35}">
  <ds:schemaRefs/>
</ds:datastoreItem>
</file>

<file path=customXml/itemProps309.xml><?xml version="1.0" encoding="utf-8"?>
<ds:datastoreItem xmlns:ds="http://schemas.openxmlformats.org/officeDocument/2006/customXml" ds:itemID="{D75EC377-693F-4C06-8CAE-C27DFD5FD4EF}">
  <ds:schemaRefs/>
</ds:datastoreItem>
</file>

<file path=customXml/itemProps310.xml><?xml version="1.0" encoding="utf-8"?>
<ds:datastoreItem xmlns:ds="http://schemas.openxmlformats.org/officeDocument/2006/customXml" ds:itemID="{6E042812-5EF9-44D8-9D89-8071147677D2}">
  <ds:schemaRefs/>
</ds:datastoreItem>
</file>

<file path=customXml/itemProps311.xml><?xml version="1.0" encoding="utf-8"?>
<ds:datastoreItem xmlns:ds="http://schemas.openxmlformats.org/officeDocument/2006/customXml" ds:itemID="{28B0B78B-0921-49C4-8471-DD08EE571735}">
  <ds:schemaRefs>
    <ds:schemaRef ds:uri="http://www.w3.org/2001/XMLSchema"/>
    <ds:schemaRef ds:uri="http://microsoft.data.visualization.Client.Excel.CustomMapList/1.0"/>
  </ds:schemaRefs>
</ds:datastoreItem>
</file>

<file path=customXml/itemProps312.xml><?xml version="1.0" encoding="utf-8"?>
<ds:datastoreItem xmlns:ds="http://schemas.openxmlformats.org/officeDocument/2006/customXml" ds:itemID="{43BA8CE6-591B-4C7E-913D-161BB55C147B}">
  <ds:schemaRefs/>
</ds:datastoreItem>
</file>

<file path=customXml/itemProps313.xml><?xml version="1.0" encoding="utf-8"?>
<ds:datastoreItem xmlns:ds="http://schemas.openxmlformats.org/officeDocument/2006/customXml" ds:itemID="{E8AAE387-7C59-4884-8C19-B7327268EA0D}">
  <ds:schemaRefs/>
</ds:datastoreItem>
</file>

<file path=customXml/itemProps314.xml><?xml version="1.0" encoding="utf-8"?>
<ds:datastoreItem xmlns:ds="http://schemas.openxmlformats.org/officeDocument/2006/customXml" ds:itemID="{C65415F3-B994-4282-A35B-281A1BE139A9}">
  <ds:schemaRefs/>
</ds:datastoreItem>
</file>

<file path=customXml/itemProps315.xml><?xml version="1.0" encoding="utf-8"?>
<ds:datastoreItem xmlns:ds="http://schemas.openxmlformats.org/officeDocument/2006/customXml" ds:itemID="{908FAE92-1F43-46D6-A099-19A0C323EC85}">
  <ds:schemaRefs/>
</ds:datastoreItem>
</file>

<file path=customXml/itemProps316.xml><?xml version="1.0" encoding="utf-8"?>
<ds:datastoreItem xmlns:ds="http://schemas.openxmlformats.org/officeDocument/2006/customXml" ds:itemID="{12E1E34F-E531-4F1C-8039-B8C1F9978D20}">
  <ds:schemaRefs/>
</ds:datastoreItem>
</file>

<file path=customXml/itemProps317.xml><?xml version="1.0" encoding="utf-8"?>
<ds:datastoreItem xmlns:ds="http://schemas.openxmlformats.org/officeDocument/2006/customXml" ds:itemID="{74EBC1F1-4351-4388-99A5-6FC325E027FB}">
  <ds:schemaRefs/>
</ds:datastoreItem>
</file>

<file path=customXml/itemProps318.xml><?xml version="1.0" encoding="utf-8"?>
<ds:datastoreItem xmlns:ds="http://schemas.openxmlformats.org/officeDocument/2006/customXml" ds:itemID="{45FA3E73-ADB9-4BB7-B7B0-5A4A3068017E}">
  <ds:schemaRefs/>
</ds:datastoreItem>
</file>

<file path=customXml/itemProps319.xml><?xml version="1.0" encoding="utf-8"?>
<ds:datastoreItem xmlns:ds="http://schemas.openxmlformats.org/officeDocument/2006/customXml" ds:itemID="{BF6BF091-ABE8-4032-A4EA-7C159030F141}">
  <ds:schemaRefs/>
</ds:datastoreItem>
</file>

<file path=customXml/itemProps320.xml><?xml version="1.0" encoding="utf-8"?>
<ds:datastoreItem xmlns:ds="http://schemas.openxmlformats.org/officeDocument/2006/customXml" ds:itemID="{E86C397E-4CD5-46BD-8376-3DE79EEE153B}">
  <ds:schemaRefs/>
</ds:datastoreItem>
</file>

<file path=customXml/itemProps321.xml><?xml version="1.0" encoding="utf-8"?>
<ds:datastoreItem xmlns:ds="http://schemas.openxmlformats.org/officeDocument/2006/customXml" ds:itemID="{BD6450A0-8A16-4656-ADFE-74A4B6008D50}">
  <ds:schemaRefs/>
</ds:datastoreItem>
</file>

<file path=customXml/itemProps322.xml><?xml version="1.0" encoding="utf-8"?>
<ds:datastoreItem xmlns:ds="http://schemas.openxmlformats.org/officeDocument/2006/customXml" ds:itemID="{CFFE74EE-1C17-41A5-9130-B2F781C40958}">
  <ds:schemaRefs/>
</ds:datastoreItem>
</file>

<file path=customXml/itemProps323.xml><?xml version="1.0" encoding="utf-8"?>
<ds:datastoreItem xmlns:ds="http://schemas.openxmlformats.org/officeDocument/2006/customXml" ds:itemID="{DA4CD22B-869E-4347-A57B-9C2C39B54B58}">
  <ds:schemaRefs/>
</ds:datastoreItem>
</file>

<file path=customXml/itemProps324.xml><?xml version="1.0" encoding="utf-8"?>
<ds:datastoreItem xmlns:ds="http://schemas.openxmlformats.org/officeDocument/2006/customXml" ds:itemID="{BFA57357-B849-40B1-89C5-A5861FA22251}">
  <ds:schemaRefs/>
</ds:datastoreItem>
</file>

<file path=customXml/itemProps325.xml><?xml version="1.0" encoding="utf-8"?>
<ds:datastoreItem xmlns:ds="http://schemas.openxmlformats.org/officeDocument/2006/customXml" ds:itemID="{154938F9-36D5-4BDB-A014-572D514EBB23}">
  <ds:schemaRefs/>
</ds:datastoreItem>
</file>

<file path=customXml/itemProps326.xml><?xml version="1.0" encoding="utf-8"?>
<ds:datastoreItem xmlns:ds="http://schemas.openxmlformats.org/officeDocument/2006/customXml" ds:itemID="{263E7543-1338-43DB-BC61-4505F202AC6C}">
  <ds:schemaRefs/>
</ds:datastoreItem>
</file>

<file path=customXml/itemProps327.xml><?xml version="1.0" encoding="utf-8"?>
<ds:datastoreItem xmlns:ds="http://schemas.openxmlformats.org/officeDocument/2006/customXml" ds:itemID="{7F6054FF-BCBA-46D9-90B5-A5AD330F0663}">
  <ds:schemaRefs/>
</ds:datastoreItem>
</file>

<file path=customXml/itemProps328.xml><?xml version="1.0" encoding="utf-8"?>
<ds:datastoreItem xmlns:ds="http://schemas.openxmlformats.org/officeDocument/2006/customXml" ds:itemID="{3EEB2C56-86B4-4C01-8721-15C99BB9A60F}">
  <ds:schemaRefs/>
</ds:datastoreItem>
</file>

<file path=customXml/itemProps329.xml><?xml version="1.0" encoding="utf-8"?>
<ds:datastoreItem xmlns:ds="http://schemas.openxmlformats.org/officeDocument/2006/customXml" ds:itemID="{F79BCB9D-8FDA-4D72-A976-88AA3BD0CD94}">
  <ds:schemaRefs/>
</ds:datastoreItem>
</file>

<file path=customXml/itemProps330.xml><?xml version="1.0" encoding="utf-8"?>
<ds:datastoreItem xmlns:ds="http://schemas.openxmlformats.org/officeDocument/2006/customXml" ds:itemID="{5B057A11-A577-44E1-80FE-9C6A6E2FC122}">
  <ds:schemaRefs/>
</ds:datastoreItem>
</file>

<file path=customXml/itemProps331.xml><?xml version="1.0" encoding="utf-8"?>
<ds:datastoreItem xmlns:ds="http://schemas.openxmlformats.org/officeDocument/2006/customXml" ds:itemID="{8732544A-8125-40B7-9BCE-63EDAA1E64A1}">
  <ds:schemaRefs/>
</ds:datastoreItem>
</file>

<file path=customXml/itemProps332.xml><?xml version="1.0" encoding="utf-8"?>
<ds:datastoreItem xmlns:ds="http://schemas.openxmlformats.org/officeDocument/2006/customXml" ds:itemID="{91CD8DBF-AF07-4EF7-AB03-340152F22CDE}">
  <ds:schemaRefs/>
</ds:datastoreItem>
</file>

<file path=customXml/itemProps333.xml><?xml version="1.0" encoding="utf-8"?>
<ds:datastoreItem xmlns:ds="http://schemas.openxmlformats.org/officeDocument/2006/customXml" ds:itemID="{685F2D8A-5DBA-412A-AA1A-268BB6E4A12B}">
  <ds:schemaRefs/>
</ds:datastoreItem>
</file>

<file path=customXml/itemProps334.xml><?xml version="1.0" encoding="utf-8"?>
<ds:datastoreItem xmlns:ds="http://schemas.openxmlformats.org/officeDocument/2006/customXml" ds:itemID="{CB63EFEB-DCF3-48F6-BF8B-18E5F95DD248}">
  <ds:schemaRefs/>
</ds:datastoreItem>
</file>

<file path=customXml/itemProps335.xml><?xml version="1.0" encoding="utf-8"?>
<ds:datastoreItem xmlns:ds="http://schemas.openxmlformats.org/officeDocument/2006/customXml" ds:itemID="{5B229DF5-4A5E-4453-98B0-81353687F101}">
  <ds:schemaRefs/>
</ds:datastoreItem>
</file>

<file path=customXml/itemProps336.xml><?xml version="1.0" encoding="utf-8"?>
<ds:datastoreItem xmlns:ds="http://schemas.openxmlformats.org/officeDocument/2006/customXml" ds:itemID="{DFDA8D21-C75D-409D-B3E1-9615D9A1D9EF}">
  <ds:schemaRefs/>
</ds:datastoreItem>
</file>

<file path=customXml/itemProps337.xml><?xml version="1.0" encoding="utf-8"?>
<ds:datastoreItem xmlns:ds="http://schemas.openxmlformats.org/officeDocument/2006/customXml" ds:itemID="{1B3659C1-5CC5-4802-B40D-FCD38115A49B}">
  <ds:schemaRefs/>
</ds:datastoreItem>
</file>

<file path=customXml/itemProps338.xml><?xml version="1.0" encoding="utf-8"?>
<ds:datastoreItem xmlns:ds="http://schemas.openxmlformats.org/officeDocument/2006/customXml" ds:itemID="{AD49BE85-4E85-4774-BB95-B709444DD735}">
  <ds:schemaRefs/>
</ds:datastoreItem>
</file>

<file path=customXml/itemProps339.xml><?xml version="1.0" encoding="utf-8"?>
<ds:datastoreItem xmlns:ds="http://schemas.openxmlformats.org/officeDocument/2006/customXml" ds:itemID="{68890C7D-3615-4B12-82D5-3143969657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5</vt:i4>
      </vt:variant>
      <vt:variant>
        <vt:lpstr>Navngivne områder</vt:lpstr>
      </vt:variant>
      <vt:variant>
        <vt:i4>13</vt:i4>
      </vt:variant>
    </vt:vector>
  </HeadingPairs>
  <TitlesOfParts>
    <vt:vector size="18" baseType="lpstr">
      <vt:lpstr>✍️ Input</vt:lpstr>
      <vt:lpstr>💡🏆🎫 Status</vt:lpstr>
      <vt:lpstr>🏓🆚 Puljer</vt:lpstr>
      <vt:lpstr>🗂️ Filtre nøgletal</vt:lpstr>
      <vt:lpstr>🗝️ Nøgletal</vt:lpstr>
      <vt:lpstr>Drive_in</vt:lpstr>
      <vt:lpstr>tbl_Billettype_d2_Billettype</vt:lpstr>
      <vt:lpstr>tbl_Bordtennisklub_d2_Bordtennisklub</vt:lpstr>
      <vt:lpstr>tbl_Deltagere_deltager</vt:lpstr>
      <vt:lpstr>tbl_Køn_d2_Køn</vt:lpstr>
      <vt:lpstr>tbl_Tilmeldingsstatus</vt:lpstr>
      <vt:lpstr>tbl_Tilvalg_d2_Tilvalg</vt:lpstr>
      <vt:lpstr>'✍️ Input'!Udskriftsområde</vt:lpstr>
      <vt:lpstr>'🏓🆚 Puljer'!Udskriftsområde</vt:lpstr>
      <vt:lpstr>'💡🏆🎫 Status'!Udskriftsområde</vt:lpstr>
      <vt:lpstr>'🗂️ Filtre nøgletal'!Udskriftsområde</vt:lpstr>
      <vt:lpstr>'🗝️ Nøgletal'!Udskriftsområde</vt:lpstr>
      <vt:lpstr>Valg_af_tilmeldingsår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Sørensen</dc:creator>
  <cp:lastModifiedBy>Benjamin Sørensen</cp:lastModifiedBy>
  <cp:lastPrinted>2022-06-29T17:50:49Z</cp:lastPrinted>
  <dcterms:created xsi:type="dcterms:W3CDTF">2018-07-22T12:15:40Z</dcterms:created>
  <dcterms:modified xsi:type="dcterms:W3CDTF">2022-08-13T22:55:46Z</dcterms:modified>
</cp:coreProperties>
</file>