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tables/table23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D27C8983-AF93-4E44-BB0E-98B7C73887A0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Region_d3[]</definedName>
    <definedName name="_xlcn.WorksheetConnection_DeltagereogtilmeldingertilDMiPingPong.xlsxSpillertype_d21" hidden="1">Spillertype_d2[]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ilmeldingertilDMiPingPong.xlsxBilletpris_d21" hidden="1">Billettype_d1[]</definedName>
    <definedName name="_xlcn.WorksheetConnection_TilmeldingertilDMiPingPongBilletFix.xlsxKøn_d11" hidden="1">Køn_d2[]</definedName>
    <definedName name="_xlcn.WorksheetConnection_TilmeldingertilDMiPingPongBilletFix.xlsxLandsdel_d21" hidden="1">Landsdel_d3[]</definedName>
    <definedName name="_xlcn.WorksheetConnection_TilmeldingertilDMiPingPongBilletFix.xlsxLandsdel_og_klub_d11" hidden="1">Bordtennisklub_d2[]</definedName>
    <definedName name="_xlcn.WorksheetConnection_TilmeldingertilDMiPingPongBilletFix.xlsxRating_interval_d21" hidden="1">Ratinggruppe_d2[]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Aldersgruppe_d2[]</definedName>
    <definedName name="Drive_in">'✍️ Input'!$C$4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1_Billettype">Billettype_d1[K: Billettype]</definedName>
    <definedName name="tbl_Bordtennisklub_d2_Bordtennisklub">Bordtennisklub_d2[K: Bordtennisklub]</definedName>
    <definedName name="tbl_Deltagere_deltager">Deltagere[K: Deltager]</definedName>
    <definedName name="tbl_Køn_d2_Køn">Køn_d2[K: Køn]</definedName>
    <definedName name="tbl_Spiller_ID_fødselsdato">#REF!</definedName>
    <definedName name="tbl_Tilmeldingsstatus">Tilmeldingsstatus_d1[K: Tilmeldingsstatus]</definedName>
    <definedName name="tbl_Tilvalg_d2_Tilvalg">#REF!</definedName>
    <definedName name="_xlnm.Print_Area" localSheetId="0">'✍️ Input'!$A:$AB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nøgletal'!$A:$E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Deltager_ID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Udsnit_K__År">#N/A</definedName>
    <definedName name="Valg_af_tilmeldingsår">'✍️ Input'!$B$4</definedName>
  </definedNames>
  <calcPr calcId="191029"/>
  <pivotCaches>
    <pivotCache cacheId="580" r:id="rId6"/>
    <pivotCache cacheId="584" r:id="rId7"/>
    <pivotCache cacheId="629" r:id="rId8"/>
  </pivotCaches>
  <extLst>
    <ext xmlns:x14="http://schemas.microsoft.com/office/spreadsheetml/2009/9/main" uri="{876F7934-8845-4945-9796-88D515C7AA90}">
      <x14:pivotCaches>
        <pivotCache cacheId="58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87" r:id="rId27"/>
        <pivotCache cacheId="590" r:id="rId28"/>
        <pivotCache cacheId="593" r:id="rId29"/>
        <pivotCache cacheId="596" r:id="rId30"/>
        <pivotCache cacheId="599" r:id="rId31"/>
        <pivotCache cacheId="602" r:id="rId32"/>
        <pivotCache cacheId="605" r:id="rId33"/>
        <pivotCache cacheId="608" r:id="rId34"/>
        <pivotCache cacheId="611" r:id="rId35"/>
        <pivotCache cacheId="614" r:id="rId36"/>
        <pivotCache cacheId="617" r:id="rId37"/>
        <pivotCache cacheId="620" r:id="rId38"/>
        <pivotCache cacheId="623" r:id="rId39"/>
        <pivotCache cacheId="626" r:id="rId40"/>
      </x15:pivotCaches>
    </ext>
    <ext xmlns:x15="http://schemas.microsoft.com/office/spreadsheetml/2010/11/main" uri="{983426D0-5260-488c-9760-48F4B6AC55F4}">
      <x15:pivotTableReferences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  <x15:pivotTableReference r:id="rId5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Deltagere_d1_809483e0-7395-4834-acd9-7c5e300208fd" name="Deltagere_d1" connection="Forespørgsel - Deltagere_d1"/>
          <x15:modelTable id="Billetpris_d2" name="Billettype_d1" connection="WorksheetConnection_Tilmeldinger til DM i Ping Pong.xlsx!Billetpris_d2"/>
          <x15:modelTable id="Tilvalg_d26" name="Aldersgruppe_d2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2" connection="WorksheetConnection_Tilmeldinger til DM i Ping Pong - BilletFix.xlsx!Rating_interval_d2"/>
          <x15:modelTable id="Landsdel_og_klub_d1" name="Bordtennisklub_d2" connection="WorksheetConnection_Tilmeldinger til DM i Ping Pong - BilletFix.xlsx!Landsdel_og_klub_d1"/>
          <x15:modelTable id="Landsdel_d2" name="Landsdel_d3" connection="WorksheetConnection_Tilmeldinger til DM i Ping Pong - BilletFix.xlsx!Landsdel_d2"/>
          <x15:modelTable id="Køn_d1" name="Køn_d2" connection="WorksheetConnection_Tilmeldinger til DM i Ping Pong - BilletFix.xlsx!Køn_d1"/>
          <x15:modelTable id="Tilmeldingskanal_d127" name="Billetsalg_pr_tilmelding_d1" connection="WorksheetConnection_Deltagere og tilmeldinger til DM i Ping Pong.xlsx!Tilmeldingskanal_d127"/>
          <x15:modelTable id="Spillertype_d2" name="Spillertype_d2" connection="WorksheetConnection_Deltagere og tilmeldinger til DM i Ping Pong.xlsx!Spillertype_d2"/>
          <x15:modelTable id="Region_d3" name="Region_d3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Deltager-ID" toTable="Deltagere_d1" toColumn="K: Deltager-ID"/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Billettype" toTable="Billettype_d1" toColumn="K: Billettype"/>
          <x15:modelRelationship fromTable="Tilmeldinger_1f" fromColumn="K: Første ordredato" toTable="Kalender" toColumn="K: Dato"/>
          <x15:modelRelationship fromTable="Bordtennisklub_d2" fromColumn="K: Landsdel" toTable="Landsdel_d3" toColumn="K: Landsdel"/>
          <x15:modelRelationship fromTable="Bordtennisklub_d2" fromColumn="K: Region" toTable="Region_d3" toColumn="K: Region"/>
          <x15:modelRelationship fromTable="Deltagere_d1" fromColumn="K: Køn" toTable="Køn_d2" toColumn="K: Køn"/>
          <x15:modelRelationship fromTable="Deltagere_d1" fromColumn="K: Bordtennisklub" toTable="Bordtennisklub_d2" toColumn="K: Bordtennisklub"/>
          <x15:modelRelationship fromTable="Deltagere_d1" fromColumn="K: Spillertype" toTable="Spillertype_d2" toColumn="K: Spillertype"/>
          <x15:modelRelationship fromTable="Deltagere_d1" fromColumn="K: Ratinggruppe" toTable="Ratinggruppe_d2" toColumn="K: Ratinggruppe"/>
          <x15:modelRelationship fromTable="Deltagere_d1" fromColumn="K: Aldersgruppe" toTable="Aldersgruppe_d2" toColumn="K: Aldersgrup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1" i="41" l="1" a="1"/>
  <c r="U21" i="41" s="1"/>
  <c r="U7" i="41" a="1"/>
  <c r="U7" i="41" s="1"/>
  <c r="AB9" i="41"/>
  <c r="AB8" i="41"/>
  <c r="AB7" i="41"/>
  <c r="U29" i="41" a="1"/>
  <c r="U29" i="41" s="1"/>
  <c r="S16" i="46"/>
  <c r="M40" i="41" a="1"/>
  <c r="M40" i="41" s="1"/>
  <c r="M72" i="41" a="1"/>
  <c r="M72" i="41" s="1"/>
  <c r="M44" i="41" a="1"/>
  <c r="M44" i="41" s="1"/>
  <c r="M71" i="41" a="1"/>
  <c r="M71" i="41" s="1"/>
  <c r="M73" i="41" a="1"/>
  <c r="M73" i="41" s="1"/>
  <c r="M74" i="41" a="1"/>
  <c r="M74" i="41" s="1"/>
  <c r="M75" i="41" a="1"/>
  <c r="M75" i="41" s="1"/>
  <c r="M76" i="41" a="1"/>
  <c r="M76" i="41" s="1"/>
  <c r="M77" i="41" a="1"/>
  <c r="M77" i="41" s="1"/>
  <c r="M78" i="41" a="1"/>
  <c r="M78" i="41" s="1"/>
  <c r="M80" i="41" a="1"/>
  <c r="M80" i="41" s="1"/>
  <c r="M81" i="41" a="1"/>
  <c r="M81" i="41" s="1"/>
  <c r="M82" i="41" a="1"/>
  <c r="M82" i="41" s="1"/>
  <c r="M83" i="41" a="1"/>
  <c r="M83" i="41" s="1"/>
  <c r="M84" i="41" a="1"/>
  <c r="M84" i="41" s="1"/>
  <c r="M85" i="41" a="1"/>
  <c r="M85" i="41" s="1"/>
  <c r="M86" i="41" a="1"/>
  <c r="M86" i="41" s="1"/>
  <c r="M87" i="41" a="1"/>
  <c r="M87" i="41" s="1"/>
  <c r="M88" i="41" a="1"/>
  <c r="M88" i="41" s="1"/>
  <c r="M66" i="41" a="1"/>
  <c r="M66" i="41" s="1"/>
  <c r="M42" i="41" a="1"/>
  <c r="M42" i="41" s="1"/>
  <c r="M8" i="41" a="1"/>
  <c r="M8" i="41" s="1"/>
  <c r="M47" i="41" a="1"/>
  <c r="M47" i="41" s="1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U32" i="41" a="1"/>
  <c r="U32" i="41" s="1"/>
  <c r="M13" i="41" a="1"/>
  <c r="M13" i="41" s="1"/>
  <c r="U35" i="41" a="1"/>
  <c r="U35" i="41" s="1"/>
  <c r="U34" i="41" a="1"/>
  <c r="U34" i="41" s="1"/>
  <c r="U11" i="41" a="1"/>
  <c r="U11" i="41" s="1"/>
  <c r="U13" i="41" a="1"/>
  <c r="U13" i="41" s="1"/>
  <c r="U14" i="41" a="1"/>
  <c r="U14" i="41" s="1"/>
  <c r="U15" i="41" a="1"/>
  <c r="U15" i="41" s="1"/>
  <c r="O37" i="41" a="1"/>
  <c r="O37" i="41" s="1"/>
  <c r="M69" i="41" a="1"/>
  <c r="M69" i="41" s="1"/>
  <c r="M27" i="41" a="1"/>
  <c r="M27" i="41" s="1"/>
  <c r="M6" i="41" a="1"/>
  <c r="M6" i="41" s="1"/>
  <c r="M7" i="41" a="1"/>
  <c r="M7" i="41" s="1"/>
  <c r="M9" i="41" a="1"/>
  <c r="M9" i="41" s="1"/>
  <c r="M10" i="41" a="1"/>
  <c r="M10" i="41" s="1"/>
  <c r="M11" i="41" a="1"/>
  <c r="M11" i="41" s="1"/>
  <c r="M12" i="41" a="1"/>
  <c r="M12" i="41" s="1"/>
  <c r="M14" i="41" a="1"/>
  <c r="M14" i="41" s="1"/>
  <c r="M15" i="41" a="1"/>
  <c r="M15" i="41" s="1"/>
  <c r="M16" i="41" a="1"/>
  <c r="M16" i="41" s="1"/>
  <c r="M17" i="41" a="1"/>
  <c r="M17" i="41" s="1"/>
  <c r="M18" i="41" a="1"/>
  <c r="M18" i="41" s="1"/>
  <c r="M19" i="41" a="1"/>
  <c r="M19" i="41" s="1"/>
  <c r="M20" i="41" a="1"/>
  <c r="M20" i="41" s="1"/>
  <c r="M21" i="41" a="1"/>
  <c r="M21" i="41" s="1"/>
  <c r="M22" i="41" a="1"/>
  <c r="M22" i="41" s="1"/>
  <c r="M23" i="41" a="1"/>
  <c r="M23" i="41" s="1"/>
  <c r="M24" i="41" a="1"/>
  <c r="M24" i="41" s="1"/>
  <c r="M25" i="41" a="1"/>
  <c r="M25" i="41" s="1"/>
  <c r="M26" i="41" a="1"/>
  <c r="M26" i="41" s="1"/>
  <c r="M28" i="41" a="1"/>
  <c r="M28" i="41" s="1"/>
  <c r="M29" i="41" a="1"/>
  <c r="M29" i="41" s="1"/>
  <c r="M30" i="41" a="1"/>
  <c r="M30" i="41" s="1"/>
  <c r="M31" i="41" a="1"/>
  <c r="M31" i="41" s="1"/>
  <c r="M32" i="41" a="1"/>
  <c r="M32" i="41" s="1"/>
  <c r="M33" i="41" a="1"/>
  <c r="M33" i="41" s="1"/>
  <c r="M34" i="41" a="1"/>
  <c r="M34" i="41" s="1"/>
  <c r="M35" i="41" a="1"/>
  <c r="M35" i="41" s="1"/>
  <c r="M36" i="41" a="1"/>
  <c r="M36" i="41" s="1"/>
  <c r="M37" i="41" a="1"/>
  <c r="M37" i="41" s="1"/>
  <c r="M38" i="41" a="1"/>
  <c r="M38" i="41" s="1"/>
  <c r="M39" i="41" a="1"/>
  <c r="M39" i="41" s="1"/>
  <c r="M41" i="41" a="1"/>
  <c r="M41" i="41" s="1"/>
  <c r="M43" i="41" a="1"/>
  <c r="M43" i="41" s="1"/>
  <c r="M79" i="41" a="1"/>
  <c r="M79" i="41" s="1"/>
  <c r="M45" i="41" a="1"/>
  <c r="M45" i="41" s="1"/>
  <c r="M46" i="41" a="1"/>
  <c r="M46" i="41" s="1"/>
  <c r="M48" i="41" a="1"/>
  <c r="M48" i="41" s="1"/>
  <c r="M49" i="41" a="1"/>
  <c r="M49" i="41" s="1"/>
  <c r="M50" i="41" a="1"/>
  <c r="M50" i="41" s="1"/>
  <c r="M51" i="41" a="1"/>
  <c r="M51" i="41" s="1"/>
  <c r="M52" i="41" a="1"/>
  <c r="M52" i="41" s="1"/>
  <c r="M53" i="41" a="1"/>
  <c r="M53" i="41" s="1"/>
  <c r="M54" i="41" a="1"/>
  <c r="M54" i="41" s="1"/>
  <c r="M55" i="41" a="1"/>
  <c r="M55" i="41" s="1"/>
  <c r="M56" i="41" a="1"/>
  <c r="M56" i="41" s="1"/>
  <c r="M57" i="41" a="1"/>
  <c r="M57" i="41" s="1"/>
  <c r="M58" i="41" a="1"/>
  <c r="M58" i="41" s="1"/>
  <c r="M59" i="41" a="1"/>
  <c r="M59" i="41" s="1"/>
  <c r="M60" i="41" a="1"/>
  <c r="M60" i="41" s="1"/>
  <c r="M61" i="41" a="1"/>
  <c r="M61" i="41" s="1"/>
  <c r="M62" i="41" a="1"/>
  <c r="M62" i="41" s="1"/>
  <c r="M63" i="41" a="1"/>
  <c r="M63" i="41" s="1"/>
  <c r="M64" i="41" a="1"/>
  <c r="M64" i="41" s="1"/>
  <c r="M65" i="41" a="1"/>
  <c r="M65" i="41" s="1"/>
  <c r="M67" i="41" a="1"/>
  <c r="M67" i="41" s="1"/>
  <c r="M68" i="41" a="1"/>
  <c r="M68" i="41" s="1"/>
  <c r="M70" i="41" a="1"/>
  <c r="M70" i="41" s="1"/>
  <c r="U40" i="41" a="1"/>
  <c r="U40" i="41" s="1"/>
  <c r="U41" i="41" a="1"/>
  <c r="U41" i="41" s="1"/>
  <c r="U38" i="41" a="1"/>
  <c r="U38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8" i="41" a="1"/>
  <c r="O38" i="41" s="1"/>
  <c r="O39" i="41" a="1"/>
  <c r="O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U22" i="41" a="1"/>
  <c r="U22" i="41" s="1"/>
  <c r="U20" i="41" a="1"/>
  <c r="U20" i="41" s="1"/>
  <c r="U18" i="41" a="1"/>
  <c r="U18" i="41" s="1"/>
  <c r="E22" i="46"/>
  <c r="O64" i="41" a="1"/>
  <c r="O64" i="41" s="1"/>
  <c r="J25" i="46"/>
  <c r="J22" i="46"/>
  <c r="S15" i="46"/>
  <c r="M5" i="46"/>
  <c r="G31" i="46"/>
  <c r="Q8" i="46"/>
  <c r="J41" i="46"/>
  <c r="H41" i="46"/>
  <c r="Q6" i="46"/>
  <c r="B52" i="46"/>
  <c r="B53" i="46"/>
  <c r="M30" i="46"/>
  <c r="G46" i="46"/>
  <c r="G30" i="46"/>
  <c r="K8" i="46"/>
  <c r="J104" i="46"/>
  <c r="M31" i="46"/>
  <c r="J102" i="46"/>
  <c r="H104" i="46"/>
  <c r="K7" i="46"/>
  <c r="G41" i="46" s="1"/>
  <c r="J43" i="46"/>
  <c r="H43" i="46"/>
  <c r="B55" i="46"/>
  <c r="Q7" i="46"/>
  <c r="G42" i="46"/>
  <c r="I104" i="46"/>
  <c r="B56" i="46"/>
  <c r="G43" i="46"/>
  <c r="K6" i="46"/>
  <c r="M27" i="46"/>
  <c r="I102" i="46"/>
  <c r="I41" i="46"/>
  <c r="G45" i="46"/>
  <c r="A2" i="47"/>
  <c r="B54" i="46"/>
  <c r="H102" i="46"/>
  <c r="I43" i="46"/>
  <c r="M28" i="46"/>
  <c r="M25" i="46"/>
  <c r="M29" i="46"/>
  <c r="A4" i="41" l="1" a="1"/>
  <c r="A4" i="41" s="1"/>
  <c r="AB10" i="41" a="1"/>
  <c r="AB10" i="41" s="1"/>
  <c r="E6" i="46"/>
  <c r="B51" i="46"/>
  <c r="E42" i="46"/>
  <c r="M24" i="46"/>
  <c r="F63" i="58"/>
  <c r="Q19" i="46"/>
  <c r="P19" i="46"/>
  <c r="P16" i="46"/>
  <c r="P15" i="46"/>
  <c r="A2" i="46"/>
  <c r="D2" i="46"/>
  <c r="F4" i="41" a="1"/>
  <c r="F4" i="41" s="1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M26" i="46"/>
  <c r="G44" i="46"/>
  <c r="I30" i="46"/>
  <c r="G40" i="46"/>
  <c r="I31" i="46"/>
  <c r="G29" i="46"/>
  <c r="G28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76" i="41" a="1"/>
  <c r="O76" i="41" s="1"/>
  <c r="O82" i="41" a="1"/>
  <c r="O82" i="41" s="1"/>
  <c r="O83" i="41" a="1"/>
  <c r="O83" i="41" s="1"/>
  <c r="O81" i="41" a="1"/>
  <c r="O81" i="41" s="1"/>
  <c r="O80" i="41" a="1"/>
  <c r="O80" i="41" s="1"/>
  <c r="O79" i="41" a="1"/>
  <c r="O79" i="41" s="1"/>
  <c r="O78" i="41" a="1"/>
  <c r="O78" i="41" s="1"/>
  <c r="O72" i="41" a="1"/>
  <c r="O72" i="41" s="1"/>
  <c r="A26" i="58"/>
  <c r="O51" i="41" a="1"/>
  <c r="O51" i="41" s="1"/>
  <c r="O50" i="41" a="1"/>
  <c r="O50" i="41" s="1"/>
  <c r="O48" i="41" a="1"/>
  <c r="O48" i="41" s="1"/>
  <c r="O73" i="41" a="1"/>
  <c r="O73" i="41" s="1"/>
  <c r="O63" i="41" a="1"/>
  <c r="O63" i="41" s="1"/>
  <c r="O61" i="41" a="1"/>
  <c r="O61" i="41" s="1"/>
  <c r="I28" i="46"/>
  <c r="I29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U25" i="41" a="1"/>
  <c r="U25" i="41" s="1"/>
  <c r="U27" i="41" a="1"/>
  <c r="U27" i="41" s="1"/>
  <c r="U28" i="41" a="1"/>
  <c r="U28" i="41" s="1"/>
  <c r="B32" i="46" l="1"/>
  <c r="E23" i="46"/>
  <c r="O45" i="41" l="1" a="1"/>
  <c r="O45" i="41" s="1"/>
  <c r="O44" i="41" a="1"/>
  <c r="O44" i="41" s="1"/>
  <c r="O42" i="41" a="1"/>
  <c r="O42" i="41" s="1"/>
  <c r="O4" i="41" a="1"/>
  <c r="O4" i="41" s="1"/>
  <c r="O71" i="41" a="1"/>
  <c r="O71" i="41" s="1"/>
  <c r="O70" i="41" a="1"/>
  <c r="O70" i="41" s="1"/>
  <c r="O69" i="41" a="1"/>
  <c r="O69" i="41" s="1"/>
  <c r="O67" i="41" a="1"/>
  <c r="O67" i="41" s="1"/>
  <c r="O58" i="41" a="1"/>
  <c r="O58" i="41" s="1"/>
  <c r="O57" i="41" a="1"/>
  <c r="O57" i="41" s="1"/>
  <c r="O56" i="41" a="1"/>
  <c r="O56" i="41" s="1"/>
  <c r="O54" i="41" a="1"/>
  <c r="O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G16" i="46"/>
  <c r="E24" i="46" s="1"/>
  <c r="U8" i="41" a="1"/>
  <c r="U8" i="41" s="1"/>
  <c r="U6" i="41" a="1"/>
  <c r="U6" i="41" s="1"/>
  <c r="U4" i="41" a="1"/>
  <c r="U4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F0C8FA16-2986-44F4-BE76-5646082B5451}" name="Forespørgsel - Deltagere_d1" description="Forbindelse til forespørgslen 'Deltagere_d1' i projektmappen." type="100" refreshedVersion="8" minRefreshableVersion="5">
    <extLst>
      <ext xmlns:x15="http://schemas.microsoft.com/office/spreadsheetml/2010/11/main" uri="{DE250136-89BD-433C-8126-D09CA5730AF9}">
        <x15:connection id="8e8d20bf-0507-48b5-92af-e946bc7c6811"/>
      </ext>
    </extLst>
  </connection>
  <connection id="5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6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7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8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9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10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1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2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3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4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5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7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3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4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5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6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7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28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[Measures].[🎁 Yngst Ping Pong]"/>
    <s v="[Measures].[🎁 Ældst Ping Pong]"/>
    <s v="#,0"/>
    <s v="&quot;kr.&quot; #,0;#,0 -&quot;kr.&quot;;&quot;kr.&quot; #,0"/>
    <s v="[Measures].[💲 Billetpris]"/>
    <s v="[Measures].[🎫 Billetantal maks.]"/>
    <s v="0"/>
    <s v="[Measures].[👥 Aktuel tilmeldingsantal]"/>
    <s v="[Measures].[👤 Højeste rating Ping Pong]"/>
    <s v="[Measures].[👤 Laveste rating Ping Pong]"/>
    <s v="[Billettype_d1].[K: Billettype emoji].&amp;[🏓]"/>
    <s v="[Billettype_d1].[K: Billettype emoji].&amp;[🥳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9"/>
      </t>
    </mdx>
    <mdx n="0" f="m">
      <t c="1">
        <n x="10"/>
      </t>
    </mdx>
    <mdx n="0" f="v">
      <t c="1" fi="0">
        <n x="9"/>
      </t>
    </mdx>
    <mdx n="0" f="v">
      <t c="1" fi="0">
        <n x="10"/>
      </t>
    </mdx>
    <mdx n="0" f="v">
      <t c="2" si="7">
        <n x="12"/>
        <n x="8"/>
      </t>
    </mdx>
    <mdx n="0" f="v">
      <t c="2" si="7">
        <n x="11"/>
        <n x="8"/>
      </t>
    </mdx>
    <mdx n="0" f="v">
      <t c="2" si="3">
        <n x="12"/>
        <n x="6"/>
      </t>
    </mdx>
    <mdx n="0" f="v">
      <t c="2" si="4">
        <n x="11"/>
        <n x="5"/>
      </t>
    </mdx>
    <mdx n="0" f="v">
      <t c="2" si="3">
        <n x="11"/>
        <n x="6"/>
      </t>
    </mdx>
    <mdx n="0" f="v">
      <t c="2" si="4">
        <n x="12"/>
        <n x="5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<sst xmlns="http://schemas.openxmlformats.org/spreadsheetml/2006/main" count="3128" uniqueCount="1182">
  <si>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</si>
  <si>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</si>
  <si>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</si>
  <si>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</si>
  <si>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</si>
  <si>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</si>
  <si>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</si>
  <si>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</si>
  <si>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</si>
  <si>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</si>
  <si>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</si>
  <si>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</si>
  <si>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</si>
  <si>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</si>
  <si>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</si>
  <si>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</si>
  <si>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</si>
  <si>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</si>
  <si>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</si>
  <si>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</si>
  <si>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</si>
  <si>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</si>
  <si>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</si>
  <si>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</si>
  <si>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</si>
  <si>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</si>
  <si>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</si>
  <si>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</si>
  <si>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</si>
  <si>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</si>
  <si>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</si>
  <si>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</si>
  <si>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</si>
  <si>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</si>
  <si>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</si>
  <si>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</si>
  <si>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</si>
  <si>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</si>
  <si>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</si>
  <si>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</si>
  <si>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</si>
  <si>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</si>
  <si>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</si>
  <si>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</si>
  <si>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</si>
  <si>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</si>
  <si>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</si>
  <si>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</si>
  <si>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</si>
  <si>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</si>
  <si>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</si>
  <si>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</si>
  <si>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</si>
  <si>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</si>
  <si>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</si>
  <si>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</si>
  <si>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</si>
  <si>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</si>
  <si>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</si>
  <si>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</si>
  <si>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</si>
  <si>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</si>
  <si>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</si>
  <si>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</si>
  <si>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</si>
  <si>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</si>
  <si>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</si>
  <si>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</si>
  <si>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</si>
  <si>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</si>
  <si>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</si>
  <si>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</si>
  <si>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</si>
  <si>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</si>
  <si>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</si>
  <si>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</si>
  <si>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</si>
  <si>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</si>
  <si>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</si>
  <si>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</si>
  <si>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</si>
  <si>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</si>
  <si>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</si>
  <si>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</si>
  <si>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</si>
  <si>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</si>
  <si>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</si>
  <si>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</si>
  <si>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</si>
  <si>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</si>
  <si>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</si>
  <si>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</si>
  <si>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</si>
  <si>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</si>
  <si>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</si>
  <si>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</si>
  <si>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</si>
  <si>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</si>
  <si>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</si>
  <si>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</si>
  <si>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</si>
  <si>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</si>
  <si>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</si>
  <si>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</si>
  <si>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</si>
  <si>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</si>
  <si>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</si>
  <si>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</si>
  <si>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</si>
  <si>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</si>
  <si>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</si>
  <si>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</si>
  <si>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</si>
  <si>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</si>
  <si>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</si>
  <si>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</si>
  <si>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</si>
  <si>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</si>
  <si>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</si>
  <si>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231093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</si>
  <si>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</si>
  <si>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</si>
  <si>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</si>
  <si>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</si>
  <si>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</si>
  <si>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</si>
  <si>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</si>
  <si>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</si>
  <si>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</si>
  <si>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</si>
  <si>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</si>
  <si>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</si>
  <si>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</si>
  <si>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</si>
  <si>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</si>
  <si>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</si>
  <si>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</si>
  <si>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</si>
  <si>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</si>
  <si>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</si>
  <si>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</si>
  <si>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</si>
  <si>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💰 Omsætning</t>
  </si>
  <si>
    <t>💰 Arrangørpris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</si>
  <si>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</si>
  <si>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</si>
  <si>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</si>
  <si>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</si>
  <si>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</si>
  <si>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</si>
  <si>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</si>
  <si>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</si>
  <si>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</si>
  <si>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</si>
  <si>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</si>
  <si>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</si>
  <si>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</si>
  <si>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</si>
  <si>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</si>
  <si>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</si>
  <si>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</si>
  <si>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</si>
  <si>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</si>
  <si>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</si>
  <si>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</si>
  <si>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</si>
  <si>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</si>
  <si>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</si>
  <si>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</si>
  <si>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</si>
  <si>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</si>
  <si>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</si>
  <si>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</si>
  <si>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</si>
  <si>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</si>
  <si>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</si>
  <si>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</si>
  <si>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</si>
  <si>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</si>
  <si>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</si>
  <si>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t>K: Spiller-ID/fødselsdato (ddmmåå)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</si>
  <si>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</si>
  <si>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</si>
  <si>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🔃🏓 Rating opdateret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</si>
  <si>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</si>
  <si>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</si>
  <si>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</si>
  <si>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</si>
  <si>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</si>
  <si>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</si>
  <si>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</si>
  <si>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</si>
  <si>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</si>
  <si>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</si>
  <si>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</si>
  <si>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</si>
  <si>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</si>
  <si>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</si>
  <si>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</si>
  <si>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</si>
  <si>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</si>
  <si>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</si>
  <si>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</si>
  <si>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</si>
  <si>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</si>
  <si>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</si>
  <si>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</si>
  <si>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</si>
  <si>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</si>
  <si>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</si>
  <si>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</si>
  <si>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</si>
  <si>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</si>
  <si>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</si>
  <si>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</si>
  <si>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</si>
  <si>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</si>
  <si>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</si>
  <si>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</si>
  <si>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</si>
  <si>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</si>
  <si>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</si>
  <si>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</si>
  <si>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</si>
  <si>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</si>
  <si>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</si>
  <si>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</si>
  <si>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</si>
  <si>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</si>
  <si>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</si>
  <si>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</si>
  <si>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</si>
  <si>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</si>
  <si>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</si>
  <si>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</si>
  <si>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</si>
  <si>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</si>
  <si>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</si>
  <si>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</si>
  <si>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</si>
  <si>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</si>
  <si>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</si>
  <si>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</si>
  <si>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</si>
  <si>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</si>
  <si>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</si>
  <si>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</si>
  <si>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</si>
  <si>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</si>
  <si>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</si>
  <si>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</si>
  <si>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</si>
  <si>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</si>
  <si>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</si>
  <si>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</si>
  <si>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</si>
  <si>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</si>
  <si>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</si>
  <si>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091184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</si>
  <si>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</si>
  <si>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</si>
  <si>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</si>
  <si>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</si>
  <si>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</si>
  <si>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</si>
  <si>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</si>
  <si>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</si>
  <si>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</si>
  <si>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</si>
  <si>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</si>
  <si>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</si>
  <si>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</si>
  <si>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</si>
  <si>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</si>
  <si>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220475-JEST</t>
  </si>
  <si>
    <t>John Sabalic, Rønde BTK</t>
  </si>
  <si>
    <t>John Sabalic, Rønde BTK [57 år] 🏓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</si>
  <si>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</si>
  <si>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</si>
  <si>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</si>
  <si>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</si>
  <si>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</si>
  <si>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</si>
  <si>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</si>
  <si>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</si>
  <si>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</si>
  <si>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</si>
  <si>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</si>
  <si>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</si>
  <si>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</si>
  <si>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</si>
  <si>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</si>
  <si>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</si>
  <si>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</si>
  <si>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</si>
  <si>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</si>
  <si>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</si>
  <si>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</si>
  <si>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</si>
  <si>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</si>
  <si>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</si>
  <si>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</si>
  <si>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</si>
  <si>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</si>
  <si>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291252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</si>
  <si>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</si>
  <si>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</si>
  <si>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</si>
  <si>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</si>
  <si>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</si>
  <si>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</si>
  <si>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</si>
  <si>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</si>
  <si>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</si>
  <si>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</si>
  <si>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</si>
  <si>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</si>
  <si>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</si>
  <si>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</si>
  <si>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</si>
  <si>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</si>
  <si>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</si>
  <si>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</si>
  <si>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</si>
  <si>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</si>
  <si>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</si>
  <si>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</si>
  <si>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</si>
  <si>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</si>
  <si>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</si>
  <si>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</si>
  <si>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</si>
  <si>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</si>
  <si>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</si>
  <si>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</si>
  <si>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</si>
  <si>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</si>
  <si>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</si>
  <si>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</si>
  <si>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</si>
  <si>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</si>
  <si>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</si>
  <si>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</si>
  <si>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</si>
  <si>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230709-ALBR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</si>
  <si>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</si>
  <si>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</si>
  <si>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</si>
  <si>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</si>
  <si>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</si>
  <si>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Oliver Kjeldgaard Johansson, Hørning BTK [1363 rating ∙ 15 år] 🏓</t>
  </si>
  <si>
    <t>Frederik Kjeldgaard, Hørning BTK [12 år] 🏓</t>
  </si>
  <si>
    <t>Oliver Kjeldgaard Johansson, Hørning BTK [15 år] 🏓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</si>
  <si>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</si>
  <si>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</si>
  <si>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</si>
  <si>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</si>
  <si>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</si>
  <si>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</si>
  <si>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</si>
  <si>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</si>
  <si>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</si>
  <si>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</si>
  <si>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</si>
  <si>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John Sabalic, Rønde BTK [2455 rating ∙ 57 år] 🏓</t>
  </si>
  <si>
    <t>Frederik Kjeldgaard, Hørning BTK [1166 rating ∙ 12 år] 🏓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</si>
  <si>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</si>
  <si>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</si>
  <si>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</si>
  <si>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</si>
  <si>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</si>
  <si>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</si>
  <si>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</si>
  <si>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</si>
  <si>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</si>
  <si>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</si>
  <si>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</si>
  <si>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</si>
  <si>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</si>
  <si>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</si>
  <si>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</si>
  <si>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</si>
  <si>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</si>
  <si>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</si>
  <si>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</si>
  <si>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</si>
  <si>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</si>
  <si>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</si>
  <si>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</si>
  <si>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</si>
  <si>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</si>
  <si>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</si>
  <si>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</si>
  <si>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</si>
  <si>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</si>
  <si>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</si>
  <si>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</si>
  <si>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</si>
  <si>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</si>
  <si>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</si>
  <si>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</si>
  <si>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</si>
  <si>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</si>
  <si>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</si>
  <si>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</si>
  <si>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</si>
  <si>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</si>
  <si>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</si>
  <si>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</si>
  <si>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</si>
  <si>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</si>
  <si>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</si>
  <si>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</si>
  <si>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</si>
  <si>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</si>
  <si>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</si>
  <si>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</si>
  <si>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💰 Over-/underskud arrangør</t>
  </si>
  <si>
    <t>300503-KIBE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</si>
  <si>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</si>
  <si>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</si>
  <si>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</si>
  <si>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</si>
  <si>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</si>
  <si>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</si>
  <si>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</si>
  <si>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</si>
  <si>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Thomas Bjerregaard, BTK Midtjylland [1867 rating ∙ 44 år] 🏓</t>
  </si>
  <si>
    <t>Thomas Bjerregaard, BTK Midtjylland [44 år] 🏓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</si>
  <si>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</si>
  <si>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</si>
  <si>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</si>
  <si>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</si>
  <si>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</si>
  <si>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</si>
  <si>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</si>
  <si>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</si>
  <si>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</si>
  <si>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</si>
  <si>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</si>
  <si>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</si>
  <si>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</si>
  <si>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</si>
  <si>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110501-SESØ</t>
  </si>
  <si>
    <t>Sebastian Sørensen</t>
  </si>
  <si>
    <t>030201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</si>
  <si>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</si>
  <si>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</si>
  <si>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</si>
  <si>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</si>
  <si>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</si>
  <si>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</si>
  <si>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</si>
  <si>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</si>
  <si>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</si>
  <si>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291095</t>
  </si>
  <si>
    <t>030894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</si>
  <si>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</si>
  <si>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</si>
  <si>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</si>
  <si>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</si>
  <si>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</si>
  <si>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</si>
  <si>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</si>
  <si>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</si>
  <si>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</si>
  <si>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</si>
  <si>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</si>
  <si>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</si>
  <si>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</si>
  <si>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</si>
  <si>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</si>
  <si>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</si>
  <si>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</si>
  <si>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</si>
  <si>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</si>
  <si>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</si>
  <si>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</si>
  <si>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</si>
  <si>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</si>
  <si>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</si>
  <si>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</si>
  <si>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</si>
  <si>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</si>
  <si>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</si>
  <si>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</si>
  <si>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</si>
  <si>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</si>
  <si>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</si>
  <si>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</si>
  <si>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</si>
  <si>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</si>
  <si>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</si>
  <si>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</si>
  <si>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</si>
  <si>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</si>
  <si>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</si>
  <si>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</si>
  <si>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</si>
  <si>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</si>
  <si>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</si>
  <si>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</si>
  <si>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</si>
  <si>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</si>
  <si>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</si>
  <si>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</si>
  <si>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</si>
  <si>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</si>
  <si>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</si>
  <si>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</si>
  <si>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</si>
  <si>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</si>
  <si>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</si>
  <si>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</si>
  <si>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</si>
  <si>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</si>
  <si>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</si>
  <si>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</si>
  <si>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</si>
  <si>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</si>
  <si>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</si>
  <si>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</si>
  <si>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</si>
  <si>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</si>
  <si>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</si>
  <si>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</si>
  <si>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</si>
  <si>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</si>
  <si>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</si>
  <si>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</si>
  <si>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</si>
  <si>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</si>
  <si>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</si>
  <si>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</si>
  <si>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</si>
  <si>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</si>
  <si>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</si>
  <si>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</si>
  <si>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</si>
  <si>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</si>
  <si>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</si>
  <si>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</si>
  <si>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</si>
  <si>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</si>
  <si>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</si>
  <si>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</si>
  <si>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</si>
  <si>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</si>
  <si>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</si>
  <si>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</si>
  <si>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</si>
  <si>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</si>
  <si>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</si>
  <si>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</si>
  <si>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</si>
  <si>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</si>
  <si>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</si>
  <si>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</si>
  <si>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</si>
  <si>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</si>
  <si>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</si>
  <si>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</si>
  <si>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</si>
  <si>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</si>
  <si>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</si>
  <si>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</si>
  <si>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</si>
  <si>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</si>
  <si>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</si>
  <si>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</si>
  <si>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</si>
  <si>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</si>
  <si>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</si>
  <si>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</si>
  <si>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</si>
  <si>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</si>
  <si>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</si>
  <si>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</si>
  <si>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</si>
  <si>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</si>
  <si>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</si>
  <si>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</si>
  <si>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</si>
  <si>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</si>
  <si>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</si>
  <si>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</si>
  <si>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</si>
  <si>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</si>
  <si>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</si>
  <si>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</si>
  <si>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</si>
  <si>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</si>
  <si>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</si>
  <si>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</si>
  <si>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</si>
  <si>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</si>
  <si>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</si>
  <si>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</si>
  <si>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311002-JOMO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</si>
  <si>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</si>
  <si>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</si>
  <si>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</si>
  <si>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</si>
  <si>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</si>
  <si>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</si>
  <si>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</si>
  <si>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</si>
  <si>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</si>
  <si>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</si>
  <si>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</si>
  <si>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</si>
  <si>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</si>
  <si>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</si>
  <si>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</si>
  <si>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</si>
  <si>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</si>
  <si>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</si>
  <si>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</si>
  <si>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</si>
  <si>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</si>
  <si>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</si>
  <si>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</si>
  <si>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</si>
  <si>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</si>
  <si>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K: Deltager</t>
  </si>
  <si>
    <t>Nichlas Middelhede (311292‑NIMI)</t>
  </si>
  <si>
    <t>Oscar Hovmøller (230702‑OSHO)</t>
  </si>
  <si>
    <t>Lasse Kardel Larsen (210798‑LALA)</t>
  </si>
  <si>
    <t>Johannes Messick Mortensen (311002-JOMO)</t>
  </si>
  <si>
    <t>Anders Holler (100906‑ANHO)</t>
  </si>
  <si>
    <t>Nick Sommer (070387‑NISO)</t>
  </si>
  <si>
    <t>Dennis K. Nielsen (020686‑DENI)</t>
  </si>
  <si>
    <t>Mickey Elsborg (250901‑MIEL)</t>
  </si>
  <si>
    <t>Emil Lynge Sørensen (070802‑EMSØ)</t>
  </si>
  <si>
    <t>Ida Nielsen (090391‑IDNI)</t>
  </si>
  <si>
    <t>Mette Kristensen (080289‑MEKR)</t>
  </si>
  <si>
    <t>Jesper Steffensen (220475-JEST)</t>
  </si>
  <si>
    <t>Jonas Overgaard (010297‑JOOV)</t>
  </si>
  <si>
    <t>Johan Grønhøj (230403‑JOGR)</t>
  </si>
  <si>
    <t>Jan Nordhøj (300470‑JANO)</t>
  </si>
  <si>
    <t>Rasmus Damkjær Hansen (110696‑RAHA)</t>
  </si>
  <si>
    <t>Sarah Svendsen (291095)</t>
  </si>
  <si>
    <t>Annsofie Sommer (030894)</t>
  </si>
  <si>
    <t>Simon Nykjær-Fisher (150888‑SINY)</t>
  </si>
  <si>
    <t>Rasmus Hansen (280501)</t>
  </si>
  <si>
    <t>Simon Egebæk (030201)</t>
  </si>
  <si>
    <t>Sebastian Sørensen (110501-SESØ)</t>
  </si>
  <si>
    <t>Thomas B. Petersen (040791‑THPE)</t>
  </si>
  <si>
    <t>Thomas Bjerregaard (230578‑THBJ)</t>
  </si>
  <si>
    <t>Mads Larsen (050993‑MALA)</t>
  </si>
  <si>
    <t>Izabell Nørlem (151090‑IZNØ)</t>
  </si>
  <si>
    <t>Mie Binnerup Jacobsen (051192‑MIJA)</t>
  </si>
  <si>
    <t>Anders Lind (141298‑ANLI)</t>
  </si>
  <si>
    <t>Bastian Diness (201005‑BADI)</t>
  </si>
  <si>
    <t>Oliver Kjeldgaard Johansson (221206‑OLJO)</t>
  </si>
  <si>
    <t>Frederik Kjeldgaard (100510‑FRKJ)</t>
  </si>
  <si>
    <t>Thomas Kjeldgård (300678‑THKJ)</t>
  </si>
  <si>
    <t>Alfred Brøgger (230709-ALBR)</t>
  </si>
  <si>
    <t>Martin Svendsen (250662‑MASV)</t>
  </si>
  <si>
    <t>Poul B. Pedersen (291252)</t>
  </si>
  <si>
    <t>Emil Madsen (290593‑EMMA)</t>
  </si>
  <si>
    <t>Marc Kynde (160897‑MAKY)</t>
  </si>
  <si>
    <t>Simon Larsen (250501‑SILA)</t>
  </si>
  <si>
    <t>Peter Skalborg Jensen (080790‑PEJE)</t>
  </si>
  <si>
    <t>John Sabalic (180365‑JOSA)</t>
  </si>
  <si>
    <t>Marius Dam (121000‑MADA)</t>
  </si>
  <si>
    <t>Lasse Frølich Rasmussen (091184)</t>
  </si>
  <si>
    <t>Jonathan Abildgaard Hansen (120297‑JOHA)</t>
  </si>
  <si>
    <t>Mathias Heidmann (010883‑MAHE)</t>
  </si>
  <si>
    <t>Michel Christensen (140989‑MICH)</t>
  </si>
  <si>
    <t>Benjamin Lillelund (060598‑BELI)</t>
  </si>
  <si>
    <t>Christian H. Andersen (200792‑CHAN)</t>
  </si>
  <si>
    <t>Sebastian Kjær Jensen (100595‑SEJE)</t>
  </si>
  <si>
    <t>Daniel Wolf (300496‑DAWO)</t>
  </si>
  <si>
    <t>Bent O. Jakobsen (080950‑BEJA)</t>
  </si>
  <si>
    <t>Casper Staal (040282‑CAST)</t>
  </si>
  <si>
    <t>Jesper Skivesen (250372‑JESK)</t>
  </si>
  <si>
    <t>Mathias Christensen (190594‑MACH)</t>
  </si>
  <si>
    <t>Benjamin Sørensen (080294‑BESØ)</t>
  </si>
  <si>
    <t>Jesper Nedergård (090775‑JENE)</t>
  </si>
  <si>
    <t>Mads Harbo Jensen (160975‑MAHA)</t>
  </si>
  <si>
    <t>Jakub Dorocinski (080892‑JADO)</t>
  </si>
  <si>
    <t>Kresten Christensen (060206‑KRCH)</t>
  </si>
  <si>
    <t>Andreas Bjørnholdt (231093)</t>
  </si>
  <si>
    <t>Jeff Tølbøll (180209‑JETØ)</t>
  </si>
  <si>
    <t>Jannick Helbo Wagner (290171‑JAHE)</t>
  </si>
  <si>
    <t>Lars Hartvig Bruun Severinsen (190382‑LASE)</t>
  </si>
  <si>
    <t>Malik Hartvig Bruun Severinsen (200210‑MASE)</t>
  </si>
  <si>
    <t>Maja Helene Hansen (130407‑MAHA)</t>
  </si>
  <si>
    <t>Gabriel Berthelsen (041007‑GABE)</t>
  </si>
  <si>
    <t>Victoria Berthelsen (261205‑VIBE)</t>
  </si>
  <si>
    <t>Amanda Mau (191003‑AMMA)</t>
  </si>
  <si>
    <t>Mai Jensen (220465‑MAJE)</t>
  </si>
  <si>
    <t>Bjarke Krog (281101‑BJKR)</t>
  </si>
  <si>
    <t>Peter Bruhn (230961‑PEBR)</t>
  </si>
  <si>
    <t>Michael Hegelund Knudsen (231195‑MIKN)</t>
  </si>
  <si>
    <t>230706‑LAJO</t>
  </si>
  <si>
    <t>Laust Ravn Johansen</t>
  </si>
  <si>
    <t>Laust Ravn Johansen (230706‑LAJO)</t>
  </si>
  <si>
    <t>💪 2025 rating [&gt;=2000] Elite</t>
  </si>
  <si>
    <t>Laust Ravn Johansen, BTK Viby</t>
  </si>
  <si>
    <t>2025</t>
  </si>
  <si>
    <t>👥 Deltagere</t>
  </si>
  <si>
    <t>👥 Tilmeldinger</t>
  </si>
  <si>
    <t>Jesper Steffensen, Sisu/MBK (47 år, 22-04-1975)</t>
  </si>
  <si>
    <t>Johan Grønhøj, Sisu/MBK (19 år, 23-04-2003)</t>
  </si>
  <si>
    <t>Casper Staal, Sisu/MBK (40 år, 04-02-1982)</t>
  </si>
  <si>
    <t>Frederik Kjeldgaard, Hørning BTK (12 år, 10-05-2010)</t>
  </si>
  <si>
    <t>Oliver Kjeldgaard Johansson, Hørning BTK (15 år, 22-12-2006)</t>
  </si>
  <si>
    <t>Benjamin Sørensen, Hørning BTK (28 år, 08-02-1994)</t>
  </si>
  <si>
    <t>Dennis K. Nielsen, Team Nørreå (36 år, 02-06-1986)</t>
  </si>
  <si>
    <t>Nichlas Middelhede, Team Nørreå (29 år, 31-12-1992)</t>
  </si>
  <si>
    <t>Nick Sommer, Team Nørreå (35 år, 07-03-1987)</t>
  </si>
  <si>
    <t>Thomas Bjerregaard, BTK Midtjylland (44 år, 23-05-1978)</t>
  </si>
  <si>
    <t>Jesper Skivesen, Silkeborg BTK (50 år, 25-03-1972)</t>
  </si>
  <si>
    <t>Sebastian Sørensen, Esbjerg BTK (21 år, 11-05-2001)</t>
  </si>
  <si>
    <t>Jan Nordhøj, Hvidovre BTK (52 år, 30-04-1970)</t>
  </si>
  <si>
    <t>John Sabalic, Rønde BTK (57 år, 18-03-1965)</t>
  </si>
  <si>
    <t>Rasmus Hansen (21 år, 28-05-2001)</t>
  </si>
  <si>
    <t>Poul B. Pedersen (69 år, 29-12-1952)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</si>
  <si>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</si>
  <si>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</si>
  <si>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</si>
  <si>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</si>
  <si>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</si>
  <si>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</si>
  <si>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</si>
  <si>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</si>
  <si>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Nicklas Martti Johnsen (020496‑NIJO)</t>
  </si>
  <si>
    <t>Hans Herluf Boisen (160878‑HABO)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</si>
  <si>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</si>
  <si>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</si>
  <si>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</si>
  <si>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</si>
  <si>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</si>
  <si>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</si>
  <si>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Anton Andersson (030197‑ANAN)</t>
  </si>
  <si>
    <t>📅 03-01-1997, 25 år [&lt;=39] Senior</t>
  </si>
  <si>
    <t>Anton Andersson, Hillerød GI</t>
  </si>
  <si>
    <t>Anton Andersson, Hillerød GI (25 år, 03-01-1997)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</si>
  <si>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</si>
  <si>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</si>
  <si>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</si>
  <si>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</si>
  <si>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</si>
  <si>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</si>
  <si>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</si>
  <si>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</si>
  <si>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🆕 Ny</t>
  </si>
  <si>
    <t>🔃 Tidligere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</si>
  <si>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</si>
  <si>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</si>
  <si>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</si>
  <si>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</si>
  <si>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</si>
  <si>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</si>
  <si>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</si>
  <si>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</si>
  <si>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</si>
  <si>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</si>
  <si>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</si>
  <si>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</si>
  <si>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</si>
  <si>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</si>
  <si>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</si>
  <si>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</si>
  <si>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</si>
  <si>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</si>
  <si>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</si>
  <si>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</si>
  <si>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</si>
  <si>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</si>
  <si>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</si>
  <si>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</si>
  <si>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</si>
  <si>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</si>
  <si>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</si>
  <si>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</si>
  <si>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</si>
  <si>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</si>
  <si>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</si>
  <si>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</si>
  <si>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</si>
  <si>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</si>
  <si>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</si>
  <si>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</si>
  <si>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</si>
  <si>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</si>
  <si>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</si>
  <si>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</si>
  <si>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</si>
  <si>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</si>
  <si>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</si>
  <si>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</si>
  <si>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</si>
  <si>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</si>
  <si>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</si>
  <si>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</si>
  <si>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</si>
  <si>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</si>
  <si>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</si>
  <si>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</si>
  <si>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</si>
  <si>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</si>
  <si>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</si>
  <si>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</si>
  <si>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</si>
  <si>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</si>
  <si>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</si>
  <si>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</si>
  <si>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</si>
  <si>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</si>
  <si>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</si>
  <si>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</si>
  <si>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</si>
  <si>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</si>
  <si>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</si>
  <si>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</si>
  <si>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</si>
  <si>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</si>
  <si>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</si>
  <si>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</si>
  <si>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</si>
  <si>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</si>
  <si>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</si>
  <si>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</si>
  <si>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</si>
  <si>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</si>
  <si>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</si>
  <si>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</si>
  <si>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</si>
  <si>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</si>
  <si>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</si>
  <si>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</si>
  <si>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</si>
  <si>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</si>
  <si>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</si>
  <si>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</si>
  <si>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</si>
  <si>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</si>
  <si>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</si>
  <si>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</si>
  <si>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</si>
  <si>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</si>
  <si>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</si>
  <si>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</si>
  <si>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</si>
  <si>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Lars Jørgensen (280466‑LAJØ)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</si>
  <si>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</si>
  <si>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</si>
  <si>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</si>
  <si>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</si>
  <si>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</si>
  <si>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</si>
  <si>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Lars Jørgensen, Silkeborg BTK (56 år, 28-04-1966)</t>
  </si>
  <si>
    <t>Lars Jørgensen, Silkeborg BTK [1643 rating ∙ 56 år] 🏓</t>
  </si>
  <si>
    <t>Lars Jørgensen, Silkeborg BTK [56 år] 🏓</t>
  </si>
  <si>
    <t>030882‑MIMI</t>
  </si>
  <si>
    <t>Milosz Miszczuk</t>
  </si>
  <si>
    <t>Milosz Miszczuk (030882‑MIMI)</t>
  </si>
  <si>
    <t>280389‑JOAG</t>
  </si>
  <si>
    <t>Jonas Ring Agerholm</t>
  </si>
  <si>
    <t>050612-AMAL</t>
  </si>
  <si>
    <t>Amin Saad Al-Zayadi</t>
  </si>
  <si>
    <t>030302‑JOWE</t>
  </si>
  <si>
    <t>Jonathan Weiss</t>
  </si>
  <si>
    <t>Amin Saad Al-Zayadi (050612-AMAL)</t>
  </si>
  <si>
    <t>Jonathan Weiss (030302‑JOWE)</t>
  </si>
  <si>
    <t>Jonas Ring Agerholm (280389‑JOAG)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</si>
  <si>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</si>
  <si>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</si>
  <si>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</si>
  <si>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</si>
  <si>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</si>
  <si>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</si>
  <si>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</si>
  <si>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</si>
  <si>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</si>
  <si>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</si>
  <si>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</si>
  <si>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</si>
  <si>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</si>
  <si>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</si>
  <si>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</si>
  <si>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</si>
  <si>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</si>
  <si>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</si>
  <si>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Amin Saad Al-Zayadi, Sisu/MBK (10 år, 05-06-2012)</t>
  </si>
  <si>
    <t>Jonathan Weiss, Sisu/MBK (20 år, 03-03-2002)</t>
  </si>
  <si>
    <t>Rønde BTK [2]</t>
  </si>
  <si>
    <t>Jonas Ring Agerholm, Rønde BTK (33 år, 28-03-1989)</t>
  </si>
  <si>
    <t>Jonas Ring Agerholm, Rønde BTK [2380 rating ∙ 33 år] 🏓</t>
  </si>
  <si>
    <t>Jonathan Weiss, Sisu/MBK [2057 rating ∙ 20 år] 🏓</t>
  </si>
  <si>
    <t>Amin Saad Al-Zayadi, Sisu/MBK [10 år] 🏓</t>
  </si>
  <si>
    <t>Jonathan Weiss, Sisu/MBK [20 år] 🏓</t>
  </si>
  <si>
    <t>Jonas Ring Agerholm, Rønde BTK [33 år] 🏓</t>
  </si>
  <si>
    <t>050512‑OTSV</t>
  </si>
  <si>
    <t>Otto Svindt</t>
  </si>
  <si>
    <t>Otto Svindt (050512‑OTSV)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</si>
  <si>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</si>
  <si>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</si>
  <si>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</si>
  <si>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</si>
  <si>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</si>
  <si>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</si>
  <si>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</si>
  <si>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Otto Svindt, Sisu/MBK (10 år, 05-05-2012)</t>
  </si>
  <si>
    <t>Otto Svindt, Sisu/MBK [1117 rating ∙ 10 år] 🏓</t>
  </si>
  <si>
    <t>Amin Saad Al-Zayadi, Sisu/MBK [914 rating ∙ 10 år] 🏓</t>
  </si>
  <si>
    <t>Otto Svindt, Sisu/MBK [10 år] 🏓</t>
  </si>
  <si>
    <t>Sisu/MBK [14]</t>
  </si>
  <si>
    <t>BTK Midtjylland [1]</t>
  </si>
  <si>
    <t>Sebastian Karlsmose</t>
  </si>
  <si>
    <t>Amin Saad Al-Zayadi, Sisu/MBK (914 rating)</t>
  </si>
  <si>
    <t>Sebastian Karlsmose (300503-KIBE)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</si>
  <si>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</si>
  <si>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</si>
  <si>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</si>
  <si>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</si>
  <si>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</si>
  <si>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</si>
  <si>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161098-JOBR</t>
  </si>
  <si>
    <t>Jonas Brandt</t>
  </si>
  <si>
    <t>Jonas Brandt (161098-JOBR)</t>
  </si>
  <si>
    <t>🎫 Uge 25, 18-06-2022 11:08</t>
  </si>
  <si>
    <t>Jonas Brandt, Silkeborg BTK</t>
  </si>
  <si>
    <t>Anton Andersson, Hillerød GI [25 år] 🏓🥳</t>
  </si>
  <si>
    <t>Nichlas Middelhede, Team Nørreå [29 år] 🏓🥳</t>
  </si>
  <si>
    <t>Nichlas Middelhede, Team Nørreå [2547 rating ∙ 29 år] 🏓🥳</t>
  </si>
  <si>
    <t>Nick Sommer, Team Nørreå [35 år] 🏓🥳</t>
  </si>
  <si>
    <t>Nick Sommer, Team Nørreå [2229 rating ∙ 35 år] 🏓🥳</t>
  </si>
  <si>
    <t>Dennis K. Nielsen, Team Nørreå [36 år] 🏓🥳</t>
  </si>
  <si>
    <t>Dennis K. Nielsen, Team Nørreå [2068 rating ∙ 36 år] 🏓🥳</t>
  </si>
  <si>
    <t>Ida Nielsen, Sisu/MBK [31 år] 🥳</t>
  </si>
  <si>
    <t>Mette Kristensen, Sisu/MBK [33 år] 🥳</t>
  </si>
  <si>
    <t>Jesper Steffensen, Sisu/MBK [47 år] 🏓🥳</t>
  </si>
  <si>
    <t>Jesper Steffensen, Sisu/MBK [2048 rating ∙ 47 år] 🏓🥳</t>
  </si>
  <si>
    <t>Jonas Overgaard, Silkeborg BTK [25 år] 🥳</t>
  </si>
  <si>
    <t>Johan Grønhøj, Sisu/MBK [19 år] 🏓🥳</t>
  </si>
  <si>
    <t>Johan Grønhøj, Sisu/MBK [2092 rating ∙ 19 år] 🏓🥳</t>
  </si>
  <si>
    <t>Jan Nordhøj, Hvidovre BTK [52 år] 🏓🥳</t>
  </si>
  <si>
    <t>Jan Nordhøj, Hvidovre BTK [2269 rating ∙ 52 år] 🏓🥳</t>
  </si>
  <si>
    <t>Rasmus Hansen [21 år] 🏓🥳</t>
  </si>
  <si>
    <t>Simon Egebæk [21 år] 🥳</t>
  </si>
  <si>
    <t>Sebastian Sørensen, Esbjerg BTK [21 år] 🏓🥳</t>
  </si>
  <si>
    <t>Sebastian Sørensen, Esbjerg BTK [1685 rating ∙ 21 år] 🏓🥳</t>
  </si>
  <si>
    <t>Poul B. Pedersen [69 år] 🏓🥳</t>
  </si>
  <si>
    <t>Casper Staal, Sisu/MBK [40 år] 🏓🥳</t>
  </si>
  <si>
    <t>Casper Staal, Sisu/MBK [2119 rating ∙ 40 år] 🏓🥳</t>
  </si>
  <si>
    <t>Jesper Skivesen, Silkeborg BTK [50 år] 🏓🥳</t>
  </si>
  <si>
    <t>Jesper Skivesen, Silkeborg BTK [1547 rating ∙ 50 år] 🏓🥳</t>
  </si>
  <si>
    <t>Benjamin Sørensen, Hørning BTK [28 år] 🏓🥳</t>
  </si>
  <si>
    <t>Benjamin Sørensen, Hørning BTK [(1) 2551 rating ∙ 28 år] 🏓🥳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</si>
  <si>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</si>
  <si>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</si>
  <si>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</si>
  <si>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</si>
  <si>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</si>
  <si>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</si>
  <si>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</si>
  <si>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</si>
  <si>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</si>
  <si>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</si>
  <si>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</si>
  <si>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</si>
  <si>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</si>
  <si>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</si>
  <si>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</si>
  <si>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</si>
  <si>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</si>
  <si>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</si>
  <si>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</si>
  <si>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</si>
  <si>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</si>
  <si>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</si>
  <si>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</si>
  <si>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</si>
  <si>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</si>
  <si>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</si>
  <si>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</si>
  <si>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</si>
  <si>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</si>
  <si>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</si>
  <si>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</si>
  <si>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</si>
  <si>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</si>
  <si>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</si>
  <si>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</si>
  <si>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</si>
  <si>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</si>
  <si>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</si>
  <si>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</si>
  <si>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</si>
  <si>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</si>
  <si>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</si>
  <si>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</si>
  <si>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</si>
  <si>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</si>
  <si>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</si>
  <si>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</si>
  <si>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</si>
  <si>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</si>
  <si>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</si>
  <si>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</si>
  <si>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</si>
  <si>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</si>
  <si>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</si>
  <si>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</si>
  <si>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</si>
  <si>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</si>
  <si>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</si>
  <si>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</si>
  <si>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</si>
  <si>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</si>
  <si>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</si>
  <si>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</si>
  <si>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</si>
  <si>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</si>
  <si>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</si>
  <si>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</si>
  <si>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</si>
  <si>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</si>
  <si>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</si>
  <si>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</si>
  <si>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</si>
  <si>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</si>
  <si>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</si>
  <si>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</si>
  <si>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</si>
  <si>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</si>
  <si>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</si>
  <si>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</si>
  <si>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</si>
  <si>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</si>
  <si>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</si>
  <si>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</si>
  <si>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</si>
  <si>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</si>
  <si>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</si>
  <si>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</si>
  <si>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</si>
  <si>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</si>
  <si>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</si>
  <si>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</si>
  <si>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</si>
  <si>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</si>
  <si>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</si>
  <si>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</si>
  <si>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</si>
  <si>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✔️🏃 Bent O. Jakobsen, Sisu/MBK 🏓🥳</t>
  </si>
  <si>
    <t>✔️ Ordinær, 🏃 Drive-in</t>
  </si>
  <si>
    <t>✔️🏃 Simon Nykjær-Fisher, BTK Viby 🏓🥳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</si>
  <si>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</si>
  <si>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</si>
  <si>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</si>
  <si>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</si>
  <si>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</si>
  <si>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16-10-1998, 24 år [&lt;=39] Senior</t>
  </si>
  <si>
    <t>📅 03-08-1982, 40 år [&gt;=40] Veteran</t>
  </si>
  <si>
    <t>📅 08-09-1950, 72 år [&gt;=40] Veteran</t>
  </si>
  <si>
    <t>📅 15-08-1988, 34 år [&lt;=39] Senior</t>
  </si>
  <si>
    <t>📅 23-09-1961, 61 år [&gt;=40] Veteran</t>
  </si>
  <si>
    <t>📅 16-08-1978, 44 år [&gt;=40] Veteran</t>
  </si>
  <si>
    <t>📅 23-07-2006, 16 år [&lt;=17] Ungdom</t>
  </si>
  <si>
    <t>📅 23-07-2002, 20 år [&lt;=39] Senior</t>
  </si>
  <si>
    <t>📅 21-07-1998, 24 år [&lt;=39] Senior</t>
  </si>
  <si>
    <t>📅 31-10-2002, 20 år [&lt;=39] Senior</t>
  </si>
  <si>
    <t>📅 10-09-2006, 16 år [&lt;=17] Ungdom</t>
  </si>
  <si>
    <t>📅 25-09-2001, 21 år [&lt;=39] Senior</t>
  </si>
  <si>
    <t>📅 07-08-2002, 20 år [&lt;=39] Senior</t>
  </si>
  <si>
    <t>📅 11-06-1996, 26 år [&lt;=39] Senior</t>
  </si>
  <si>
    <t>📅 03-08-1994, 28 år [&lt;=39] Senior</t>
  </si>
  <si>
    <t>📅 29-10-1995, 27 år [&lt;=39] Senior</t>
  </si>
  <si>
    <t>📅 04-07-1991, 31 år [&lt;=39] Senior</t>
  </si>
  <si>
    <t>📅 05-09-1993, 29 år [&lt;=39] Senior</t>
  </si>
  <si>
    <t>📅 15-10-1990, 32 år [&lt;=39] Senior</t>
  </si>
  <si>
    <t>📅 05-11-1992, 30 år [&lt;=39] Senior</t>
  </si>
  <si>
    <t>📅 20-10-2005, 17 år [&lt;=17] Ungdom</t>
  </si>
  <si>
    <t>📅 08-07-1990, 32 år [&lt;=39] Senior</t>
  </si>
  <si>
    <t>📅 30-06-1978, 44 år [&gt;=40] Veteran</t>
  </si>
  <si>
    <t>📅 23-07-2009, 13 år [&lt;=17] Ungdom</t>
  </si>
  <si>
    <t>📅 25-06-1962, 60 år [&gt;=40] Veteran</t>
  </si>
  <si>
    <t>📅 29-05-1993, 29 år [&lt;=39] Senior</t>
  </si>
  <si>
    <t>📅 16-08-1997, 25 år [&lt;=39] Senior</t>
  </si>
  <si>
    <t>📅 25-05-2001, 21 år [&lt;=39] Senior</t>
  </si>
  <si>
    <t>📅 12-10-2000, 22 år [&lt;=39] Senior</t>
  </si>
  <si>
    <t>📅 09-11-1984, 38 år [&lt;=39] Senior</t>
  </si>
  <si>
    <t>📅 01-08-1983, 39 år [&lt;=39] Senior</t>
  </si>
  <si>
    <t>📅 14-09-1989, 33 år [&lt;=39] Senior</t>
  </si>
  <si>
    <t>📅 06-05-1998, 24 år [&lt;=39] Senior</t>
  </si>
  <si>
    <t>📅 20-07-1992, 30 år [&lt;=39] Senior</t>
  </si>
  <si>
    <t>📅 10-05-1995, 27 år [&lt;=39] Senior</t>
  </si>
  <si>
    <t>📅 30-04-1996, 26 år [&lt;=39] Senior</t>
  </si>
  <si>
    <t>📅 19-05-1994, 28 år [&lt;=39] Senior</t>
  </si>
  <si>
    <t>Bent O. Jakobsen, Sisu/MBK [72 år, 08-09-1950]</t>
  </si>
  <si>
    <t>Bastian Diness, Sisu/MBK (17 år, 20-10-2005)</t>
  </si>
  <si>
    <t>Peter Skalborg Jensen, Sisu/MBK (32 år, 08-07-1990)</t>
  </si>
  <si>
    <t>Alfred Brøgger, Sisu/MBK (13 år, 23-07-2009)</t>
  </si>
  <si>
    <t>Mathias Heidmann, Sisu/MBK (39 år, 01-08-1983)</t>
  </si>
  <si>
    <t>Benjamin Lillelund, Sisu/MBK (24 år, 06-05-1998)</t>
  </si>
  <si>
    <t>Christian H. Andersen, Sisu/MBK (30 år, 20-07-1992)</t>
  </si>
  <si>
    <t>Daniel Wolf, Sisu/MBK (26 år, 30-04-1996)</t>
  </si>
  <si>
    <t>Bent O. Jakobsen, Sisu/MBK (72 år, 08-09-1950)</t>
  </si>
  <si>
    <t>Hans Herluf Boisen, BTK Viby (44 år, 16-08-1978)</t>
  </si>
  <si>
    <t>Laust Ravn Johansen, BTK Viby (16 år, 23-07-2006)</t>
  </si>
  <si>
    <t>Oscar Hovmøller, BTK Viby (20 år, 23-07-2002)</t>
  </si>
  <si>
    <t>Simon Nykjær-Fisher, BTK Viby (34 år, 15-08-1988)</t>
  </si>
  <si>
    <t>Marc Kynde, BTK Viby (25 år, 16-08-1997)</t>
  </si>
  <si>
    <t>Simon Larsen, BTK Viby (21 år, 25-05-2001)</t>
  </si>
  <si>
    <t>Marius Dam, BTK Viby (22 år, 12-10-2000)</t>
  </si>
  <si>
    <t>Milosz Miszczuk, Hørning BTK (40 år, 03-08-1982)</t>
  </si>
  <si>
    <t>Thomas Kjeldgård, Hørning BTK (44 år, 30-06-1978)</t>
  </si>
  <si>
    <t>Emil Madsen, Hørning BTK (29 år, 29-05-1993)</t>
  </si>
  <si>
    <t>Mads Larsen, Silkeborg BTK (29 år, 05-09-1993)</t>
  </si>
  <si>
    <t>Emil Lynge Sørensen, Amager BTK (20 år, 07-08-2002)</t>
  </si>
  <si>
    <t>Anders Holler, BTK Tateni (16 år, 10-09-2006)</t>
  </si>
  <si>
    <t>Peter Bruhn, Brønderslev (61 år, 23-09-1961)</t>
  </si>
  <si>
    <t>Martin Svendsen, Holbæk BTK (60 år, 25-06-1962)</t>
  </si>
  <si>
    <t>Sebastian Kjær Jensen, Sjørring BTK (27 år, 10-05-1995)</t>
  </si>
  <si>
    <t>Mickey Elsborg, Vejle BTK (21 år, 25-09-2001)</t>
  </si>
  <si>
    <t>Lasse Frølich Rasmussen (38 år, 09-11-1984)</t>
  </si>
  <si>
    <t>Simon Larsen, BTK Viby [(2) 2362 rating ∙ 21 år] 🏓🥳</t>
  </si>
  <si>
    <t>Emil Madsen, Hørning BTK [(3) 2553 rating ∙ 29 år] 🏓🥳</t>
  </si>
  <si>
    <t>Thomas Kjeldgård, Hørning BTK [2413 rating ∙ 44 år] 🏓</t>
  </si>
  <si>
    <t>Marc Kynde, BTK Viby [2381 rating ∙ 25 år] 🏓🥳</t>
  </si>
  <si>
    <t>Emil Lynge Sørensen, Amager BTK [2376 rating ∙ 20 år] 🏓🥳</t>
  </si>
  <si>
    <t>Oscar Hovmøller, BTK Viby [2374 rating ∙ 20 år] 🏓🥳</t>
  </si>
  <si>
    <t>Marius Dam, BTK Viby [2369 rating ∙ 22 år] 🏓🥳</t>
  </si>
  <si>
    <t>Mads Larsen, Silkeborg BTK [2352 rating ∙ 29 år] 🏓🥳</t>
  </si>
  <si>
    <t>Peter Bruhn, Brønderslev [2284 rating ∙ 61 år] 🏓</t>
  </si>
  <si>
    <t>Mickey Elsborg, Vejle BTK [2265 rating ∙ 21 år] 🏓🥳</t>
  </si>
  <si>
    <t>Benjamin Lillelund, Sisu/MBK [2094 rating ∙ 24 år] 🏓</t>
  </si>
  <si>
    <t>Daniel Wolf, Sisu/MBK [2067 rating ∙ 26 år] 🏓🥳</t>
  </si>
  <si>
    <t>Sebastian Kjær Jensen, Sjørring BTK [2064 rating ∙ 27 år] 🏓🥳</t>
  </si>
  <si>
    <t>Hans Herluf Boisen, BTK Viby [2042 rating ∙ 44 år] 🏓🥳</t>
  </si>
  <si>
    <t>Peter Skalborg Jensen, Sisu/MBK [2042 rating ∙ 32 år] 🏓🥳</t>
  </si>
  <si>
    <t>Laust Ravn Johansen, BTK Viby [2025 rating ∙ 16 år] 🏓</t>
  </si>
  <si>
    <t>Mathias Heidmann, Sisu/MBK [1944 rating ∙ 39 år] 🏓🥳</t>
  </si>
  <si>
    <t>Christian H. Andersen, Sisu/MBK [1942 rating ∙ 30 år] 🏓🥳</t>
  </si>
  <si>
    <t>Bastian Diness, Sisu/MBK [1790 rating ∙ 17 år] 🏓</t>
  </si>
  <si>
    <t>Martin Svendsen, Holbæk BTK [1491 rating ∙ 60 år] 🏓</t>
  </si>
  <si>
    <t>Anders Holler, BTK Tateni [1485 rating ∙ 16 år] 🏓</t>
  </si>
  <si>
    <t>Milosz Miszczuk, Hørning BTK [1220 rating ∙ 40 år] 🏓</t>
  </si>
  <si>
    <t>Alfred Brøgger, Sisu/MBK [1067 rating ∙ 13 år] 🏓</t>
  </si>
  <si>
    <t>Lasse Frølich Rasmussen [38 år] 🏓🥳</t>
  </si>
  <si>
    <t>Simon Nykjær-Fisher, BTK Viby [2587 rating ∙ 34 år] 🏓🥳</t>
  </si>
  <si>
    <t>Mie Binnerup Jacobsen, Sisu/MBK [30 år] 🥳</t>
  </si>
  <si>
    <t>Izabell Nørlem, Hvidovre BTK [32 år] 🥳</t>
  </si>
  <si>
    <t>Johannes Messick Mortensen, Sisu/MBK [20 år] 🥳</t>
  </si>
  <si>
    <t>Mathias Christensen, Silkeborg BTK [28 år] 🥳</t>
  </si>
  <si>
    <t>Rasmus Damkjær Hansen, Sisu/MBK [26 år] 🥳</t>
  </si>
  <si>
    <t>Bent O. Jakobsen, Sisu/MBK [1647 rating ∙ 72 år] 🏓🥳</t>
  </si>
  <si>
    <t>Jonas Brandt, Silkeborg BTK [24 år] 🥳</t>
  </si>
  <si>
    <t>Annsofie Sommer [28 år] 🥳</t>
  </si>
  <si>
    <t>Sarah Svendsen [27 år] 🥳</t>
  </si>
  <si>
    <t>Alfred Brøgger, Sisu/MBK [13 år] 🏓</t>
  </si>
  <si>
    <t>Anders Holler, BTK Tateni [16 år] 🏓</t>
  </si>
  <si>
    <t>Laust Ravn Johansen, BTK Viby [16 år] 🏓</t>
  </si>
  <si>
    <t>Bastian Diness, Sisu/MBK [17 år] 🏓</t>
  </si>
  <si>
    <t>Emil Lynge Sørensen, Amager BTK [20 år] 🏓🥳</t>
  </si>
  <si>
    <t>Oscar Hovmøller, BTK Viby [20 år] 🏓🥳</t>
  </si>
  <si>
    <t>Mickey Elsborg, Vejle BTK [21 år] 🏓🥳</t>
  </si>
  <si>
    <t>Simon Larsen, BTK Viby [21 år] 🏓🥳</t>
  </si>
  <si>
    <t>Marius Dam, BTK Viby [22 år] 🏓🥳</t>
  </si>
  <si>
    <t>Benjamin Lillelund, Sisu/MBK [24 år] 🏓</t>
  </si>
  <si>
    <t>Marc Kynde, BTK Viby [25 år] 🏓🥳</t>
  </si>
  <si>
    <t>Daniel Wolf, Sisu/MBK [26 år] 🏓🥳</t>
  </si>
  <si>
    <t>Sebastian Kjær Jensen, Sjørring BTK [27 år] 🏓🥳</t>
  </si>
  <si>
    <t>Mads Larsen, Silkeborg BTK [29 år] 🏓🥳</t>
  </si>
  <si>
    <t>Emil Madsen, Hørning BTK [29 år] 🏓🥳</t>
  </si>
  <si>
    <t>Christian H. Andersen, Sisu/MBK [30 år] 🏓🥳</t>
  </si>
  <si>
    <t>Peter Skalborg Jensen, Sisu/MBK [32 år] 🏓🥳</t>
  </si>
  <si>
    <t>Simon Nykjær-Fisher, BTK Viby [34 år] 🏓🥳</t>
  </si>
  <si>
    <t>Mathias Heidmann, Sisu/MBK [39 år] 🏓🥳</t>
  </si>
  <si>
    <t>Milosz Miszczuk, Hørning BTK [40 år] 🏓</t>
  </si>
  <si>
    <t>Hans Herluf Boisen, BTK Viby [44 år] 🏓🥳</t>
  </si>
  <si>
    <t>Thomas Kjeldgård, Hørning BTK [44 år] 🏓</t>
  </si>
  <si>
    <t>Martin Svendsen, Holbæk BTK [60 år] 🏓</t>
  </si>
  <si>
    <t>Peter Bruhn, Brønderslev [61 år] 🏓</t>
  </si>
  <si>
    <t>Bent O. Jakobsen, Sisu/MBK [72 år] 🏓🥳</t>
  </si>
  <si>
    <t>K: Ordredato med tid</t>
  </si>
  <si>
    <t>👥 Antal forskudte tilmeldinger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</si>
</sst>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1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14" fontId="23" fillId="34" borderId="0" xfId="0" applyNumberFormat="1" applyFont="1" applyFill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7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0" fontId="1" fillId="33" borderId="0" xfId="0" applyFont="1" applyFill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4" fontId="1" fillId="34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left"/>
    </xf>
    <xf numFmtId="0" fontId="19" fillId="0" borderId="0" xfId="55">
      <alignment horizontal="center"/>
    </xf>
    <xf numFmtId="0" fontId="0" fillId="0" borderId="0" xfId="0"/>
    <xf numFmtId="0" fontId="1" fillId="0" borderId="0" xfId="0" applyFont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  <xf numFmtId="0" fontId="0" fillId="0" borderId="0" xfId="0" applyAlignment="1"/>
    <xf numFmtId="0" fontId="0" fillId="0" borderId="0" xfId="0" applyBorder="1" applyAlignment="1">
      <alignment horizontal="right"/>
    </xf>
    <xf numFmtId="3" fontId="1" fillId="0" borderId="0" xfId="0" applyNumberFormat="1" applyFont="1" applyBorder="1" applyAlignment="1">
      <alignment horizontal="left"/>
    </xf>
    <xf numFmtId="171" fontId="1" fillId="0" borderId="0" xfId="0" applyNumberFormat="1" applyFont="1" applyBorder="1" applyAlignment="1">
      <alignment horizontal="left"/>
    </xf>
    <xf numFmtId="1" fontId="1" fillId="0" borderId="0" xfId="0" applyNumberFormat="1" applyFon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0" fontId="26" fillId="0" borderId="0" xfId="0" applyFont="1" applyBorder="1" applyAlignment="1">
      <alignment horizontal="right"/>
    </xf>
    <xf numFmtId="3" fontId="27" fillId="0" borderId="0" xfId="0" applyNumberFormat="1" applyFont="1" applyBorder="1" applyAlignment="1">
      <alignment horizontal="left"/>
    </xf>
    <xf numFmtId="170" fontId="1" fillId="0" borderId="0" xfId="0" applyNumberFormat="1" applyFont="1" applyBorder="1" applyAlignment="1">
      <alignment horizontal="left"/>
    </xf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1302"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70" formatCode="[Color10]&quot;kr.&quot;\ #,##0;[Color9]&quot;kr.&quot;\ \-#,##0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numFmt numFmtId="170" formatCode="[Color10]&quot;kr.&quot;\ #,##0;[Color9]&quot;kr.&quot;\ \-#,##0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30" formatCode="@"/>
    </dxf>
    <dxf>
      <numFmt numFmtId="170" formatCode="[Color10]&quot;kr.&quot;\ #,##0;[Color9]&quot;kr.&quot;\ \-#,##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font>
        <b/>
      </font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1301"/>
      <tableStyleElement type="headerRow" dxfId="1300"/>
      <tableStyleElement type="totalRow" dxfId="1299"/>
      <tableStyleElement type="firstColumn" dxfId="1298"/>
      <tableStyleElement type="lastColumn" dxfId="1297"/>
      <tableStyleElement type="firstRowStripe" dxfId="1296"/>
      <tableStyleElement type="secondRowStripe" dxfId="1295"/>
      <tableStyleElement type="firstColumnStripe" dxfId="1294"/>
    </tableStyle>
    <tableStyle name="Grøn" pivot="0" count="8" xr9:uid="{F4140A0C-86E2-4503-8112-C4B580794A03}">
      <tableStyleElement type="wholeTable" dxfId="1293"/>
      <tableStyleElement type="headerRow" dxfId="1292"/>
      <tableStyleElement type="totalRow" dxfId="1291"/>
      <tableStyleElement type="firstColumn" dxfId="1290"/>
      <tableStyleElement type="lastColumn" dxfId="1289"/>
      <tableStyleElement type="firstRowStripe" dxfId="1288"/>
      <tableStyleElement type="secondRowStripe" dxfId="1287"/>
      <tableStyleElement type="firstColumnStripe" dxfId="1286"/>
    </tableStyle>
    <tableStyle name="Grå" pivot="0" count="8" xr9:uid="{E410E5EA-37D7-458F-8755-19B74A2CA99C}">
      <tableStyleElement type="wholeTable" dxfId="1285"/>
      <tableStyleElement type="headerRow" dxfId="1284"/>
      <tableStyleElement type="totalRow" dxfId="1283"/>
      <tableStyleElement type="firstColumn" dxfId="1282"/>
      <tableStyleElement type="lastColumn" dxfId="1281"/>
      <tableStyleElement type="firstRowStripe" dxfId="1280"/>
      <tableStyleElement type="secondRowStripe" dxfId="1279"/>
      <tableStyleElement type="firstColumnStripe" dxfId="1278"/>
    </tableStyle>
    <tableStyle name="Gul" pivot="0" count="8" xr9:uid="{72C5482E-DDBB-4638-8BB6-1E39B90B7333}">
      <tableStyleElement type="wholeTable" dxfId="1277"/>
      <tableStyleElement type="headerRow" dxfId="1276"/>
      <tableStyleElement type="totalRow" dxfId="1275"/>
      <tableStyleElement type="firstColumn" dxfId="1274"/>
      <tableStyleElement type="lastColumn" dxfId="1273"/>
      <tableStyleElement type="firstRowStripe" dxfId="1272"/>
      <tableStyleElement type="secondRowStripe" dxfId="1271"/>
      <tableStyleElement type="firstColumnStripe" dxfId="1270"/>
    </tableStyle>
    <tableStyle name="Orange" pivot="0" count="8" xr9:uid="{E1E4676C-147E-4FE9-8B94-F7FA597F47F0}">
      <tableStyleElement type="wholeTable" dxfId="1269"/>
      <tableStyleElement type="headerRow" dxfId="1268"/>
      <tableStyleElement type="totalRow" dxfId="1267"/>
      <tableStyleElement type="firstColumn" dxfId="1266"/>
      <tableStyleElement type="lastColumn" dxfId="1265"/>
      <tableStyleElement type="firstRowStripe" dxfId="1264"/>
      <tableStyleElement type="secondRowStripe" dxfId="1263"/>
      <tableStyleElement type="firstColumnStripe" dxfId="1262"/>
    </tableStyle>
    <tableStyle name="Standard" table="0" count="5" xr9:uid="{5C543DF5-2A19-4FE4-BD58-90EE4B579F12}">
      <tableStyleElement type="wholeTable" dxfId="1261"/>
      <tableStyleElement type="headerRow" dxfId="1260"/>
      <tableStyleElement type="totalRow" dxfId="1259"/>
      <tableStyleElement type="lastColumn" dxfId="1258"/>
      <tableStyleElement type="firstRowSubheading" dxfId="1257"/>
    </tableStyle>
    <tableStyle name="Udsnitstypografi 2" pivot="0" table="0" count="10" xr9:uid="{397B50CD-B739-4D02-9B84-A8CD8AAAF756}">
      <tableStyleElement type="wholeTable" dxfId="1256"/>
      <tableStyleElement type="headerRow" dxfId="1255"/>
    </tableStyle>
    <tableStyle name="Udsnitstypografi 3" pivot="0" table="0" count="10" xr9:uid="{037C1494-BC0C-4B01-B068-820466F2E9A5}">
      <tableStyleElement type="wholeTable" dxfId="1254"/>
      <tableStyleElement type="headerRow" dxfId="1253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I31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30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B54" s="46"/>
        <tr r="B54" s="46"/>
        <tr r="B54" s="46"/>
        <tr r="B54" s="46"/>
        <tr r="B54" s="46"/>
        <tr r="B54" s="46"/>
        <tr r="A2" s="47"/>
        <tr r="A2" s="47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K6" s="46"/>
        <tr r="K6" s="46"/>
        <tr r="K6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6" s="46"/>
        <tr r="B56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K7" s="46"/>
        <tr r="K7" s="46"/>
        <tr r="K7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M31" s="46"/>
        <tr r="M31" s="46"/>
        <tr r="M31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K8" s="46"/>
        <tr r="K8" s="46"/>
        <tr r="K8" s="46"/>
        <tr r="G46" s="46"/>
        <tr r="G46" s="46"/>
        <tr r="G46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Q6" s="46"/>
        <tr r="Q6" s="46"/>
        <tr r="Q6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Q8" s="46"/>
        <tr r="Q8" s="46"/>
        <tr r="Q8" s="46"/>
        <tr r="G28" s="46"/>
        <tr r="G29" s="46"/>
        <tr r="G30" s="46"/>
        <tr r="G3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6.xml"/><Relationship Id="rId299" Type="http://schemas.openxmlformats.org/officeDocument/2006/relationships/customXml" Target="../customXml/item238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2.xml"/><Relationship Id="rId159" Type="http://schemas.openxmlformats.org/officeDocument/2006/relationships/customXml" Target="../customXml/item98.xml"/><Relationship Id="rId324" Type="http://schemas.openxmlformats.org/officeDocument/2006/relationships/customXml" Target="../customXml/item263.xml"/><Relationship Id="rId366" Type="http://schemas.openxmlformats.org/officeDocument/2006/relationships/customXml" Target="../customXml/item305.xml"/><Relationship Id="rId170" Type="http://schemas.openxmlformats.org/officeDocument/2006/relationships/customXml" Target="../customXml/item109.xml"/><Relationship Id="rId226" Type="http://schemas.openxmlformats.org/officeDocument/2006/relationships/customXml" Target="../customXml/item165.xml"/><Relationship Id="rId268" Type="http://schemas.openxmlformats.org/officeDocument/2006/relationships/customXml" Target="../customXml/item207.xml"/><Relationship Id="rId32" Type="http://schemas.openxmlformats.org/officeDocument/2006/relationships/pivotCacheDefinition" Target="pivotCache/pivotCacheDefinition10.xml"/><Relationship Id="rId74" Type="http://schemas.openxmlformats.org/officeDocument/2006/relationships/customXml" Target="../customXml/item13.xml"/><Relationship Id="rId128" Type="http://schemas.openxmlformats.org/officeDocument/2006/relationships/customXml" Target="../customXml/item67.xml"/><Relationship Id="rId335" Type="http://schemas.openxmlformats.org/officeDocument/2006/relationships/customXml" Target="../customXml/item274.xml"/><Relationship Id="rId377" Type="http://schemas.openxmlformats.org/officeDocument/2006/relationships/customXml" Target="../customXml/item316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0.xml"/><Relationship Id="rId237" Type="http://schemas.openxmlformats.org/officeDocument/2006/relationships/customXml" Target="../customXml/item176.xml"/><Relationship Id="rId279" Type="http://schemas.openxmlformats.org/officeDocument/2006/relationships/customXml" Target="../customXml/item218.xml"/><Relationship Id="rId43" Type="http://schemas.openxmlformats.org/officeDocument/2006/relationships/pivotTable" Target="pivotTables/pivotTable3.xml"/><Relationship Id="rId139" Type="http://schemas.openxmlformats.org/officeDocument/2006/relationships/customXml" Target="../customXml/item78.xml"/><Relationship Id="rId290" Type="http://schemas.openxmlformats.org/officeDocument/2006/relationships/customXml" Target="../customXml/item229.xml"/><Relationship Id="rId304" Type="http://schemas.openxmlformats.org/officeDocument/2006/relationships/customXml" Target="../customXml/item243.xml"/><Relationship Id="rId346" Type="http://schemas.openxmlformats.org/officeDocument/2006/relationships/customXml" Target="../customXml/item285.xml"/><Relationship Id="rId388" Type="http://schemas.openxmlformats.org/officeDocument/2006/relationships/customXml" Target="../customXml/item327.xml"/><Relationship Id="rId85" Type="http://schemas.openxmlformats.org/officeDocument/2006/relationships/customXml" Target="../customXml/item24.xml"/><Relationship Id="rId150" Type="http://schemas.openxmlformats.org/officeDocument/2006/relationships/customXml" Target="../customXml/item89.xml"/><Relationship Id="rId192" Type="http://schemas.openxmlformats.org/officeDocument/2006/relationships/customXml" Target="../customXml/item131.xml"/><Relationship Id="rId206" Type="http://schemas.openxmlformats.org/officeDocument/2006/relationships/customXml" Target="../customXml/item145.xml"/><Relationship Id="rId248" Type="http://schemas.openxmlformats.org/officeDocument/2006/relationships/customXml" Target="../customXml/item187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7.xml"/><Relationship Id="rId315" Type="http://schemas.openxmlformats.org/officeDocument/2006/relationships/customXml" Target="../customXml/item254.xml"/><Relationship Id="rId357" Type="http://schemas.openxmlformats.org/officeDocument/2006/relationships/customXml" Target="../customXml/item296.xml"/><Relationship Id="rId54" Type="http://schemas.openxmlformats.org/officeDocument/2006/relationships/pivotTable" Target="pivotTables/pivotTable14.xml"/><Relationship Id="rId96" Type="http://schemas.openxmlformats.org/officeDocument/2006/relationships/customXml" Target="../customXml/item35.xml"/><Relationship Id="rId161" Type="http://schemas.openxmlformats.org/officeDocument/2006/relationships/customXml" Target="../customXml/item100.xml"/><Relationship Id="rId217" Type="http://schemas.openxmlformats.org/officeDocument/2006/relationships/customXml" Target="../customXml/item156.xml"/><Relationship Id="rId399" Type="http://schemas.openxmlformats.org/officeDocument/2006/relationships/customXml" Target="../customXml/item338.xml"/><Relationship Id="rId259" Type="http://schemas.openxmlformats.org/officeDocument/2006/relationships/customXml" Target="../customXml/item198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8.xml"/><Relationship Id="rId270" Type="http://schemas.openxmlformats.org/officeDocument/2006/relationships/customXml" Target="../customXml/item209.xml"/><Relationship Id="rId326" Type="http://schemas.openxmlformats.org/officeDocument/2006/relationships/customXml" Target="../customXml/item265.xml"/><Relationship Id="rId65" Type="http://schemas.openxmlformats.org/officeDocument/2006/relationships/customXml" Target="../customXml/item4.xml"/><Relationship Id="rId130" Type="http://schemas.openxmlformats.org/officeDocument/2006/relationships/customXml" Target="../customXml/item69.xml"/><Relationship Id="rId368" Type="http://schemas.openxmlformats.org/officeDocument/2006/relationships/customXml" Target="../customXml/item307.xml"/><Relationship Id="rId172" Type="http://schemas.openxmlformats.org/officeDocument/2006/relationships/customXml" Target="../customXml/item111.xml"/><Relationship Id="rId228" Type="http://schemas.openxmlformats.org/officeDocument/2006/relationships/customXml" Target="../customXml/item167.xml"/><Relationship Id="rId281" Type="http://schemas.openxmlformats.org/officeDocument/2006/relationships/customXml" Target="../customXml/item220.xml"/><Relationship Id="rId337" Type="http://schemas.openxmlformats.org/officeDocument/2006/relationships/customXml" Target="../customXml/item276.xml"/><Relationship Id="rId34" Type="http://schemas.openxmlformats.org/officeDocument/2006/relationships/pivotCacheDefinition" Target="pivotCache/pivotCacheDefinition12.xml"/><Relationship Id="rId76" Type="http://schemas.openxmlformats.org/officeDocument/2006/relationships/customXml" Target="../customXml/item15.xml"/><Relationship Id="rId141" Type="http://schemas.openxmlformats.org/officeDocument/2006/relationships/customXml" Target="../customXml/item80.xml"/><Relationship Id="rId379" Type="http://schemas.openxmlformats.org/officeDocument/2006/relationships/customXml" Target="../customXml/item318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2.xml"/><Relationship Id="rId239" Type="http://schemas.openxmlformats.org/officeDocument/2006/relationships/customXml" Target="../customXml/item178.xml"/><Relationship Id="rId390" Type="http://schemas.openxmlformats.org/officeDocument/2006/relationships/customXml" Target="../customXml/item329.xml"/><Relationship Id="rId250" Type="http://schemas.openxmlformats.org/officeDocument/2006/relationships/customXml" Target="../customXml/item189.xml"/><Relationship Id="rId292" Type="http://schemas.openxmlformats.org/officeDocument/2006/relationships/customXml" Target="../customXml/item231.xml"/><Relationship Id="rId306" Type="http://schemas.openxmlformats.org/officeDocument/2006/relationships/customXml" Target="../customXml/item245.xml"/><Relationship Id="rId45" Type="http://schemas.openxmlformats.org/officeDocument/2006/relationships/pivotTable" Target="pivotTables/pivotTable5.xml"/><Relationship Id="rId87" Type="http://schemas.openxmlformats.org/officeDocument/2006/relationships/customXml" Target="../customXml/item26.xml"/><Relationship Id="rId110" Type="http://schemas.openxmlformats.org/officeDocument/2006/relationships/customXml" Target="../customXml/item49.xml"/><Relationship Id="rId348" Type="http://schemas.openxmlformats.org/officeDocument/2006/relationships/customXml" Target="../customXml/item287.xml"/><Relationship Id="rId152" Type="http://schemas.openxmlformats.org/officeDocument/2006/relationships/customXml" Target="../customXml/item91.xml"/><Relationship Id="rId194" Type="http://schemas.openxmlformats.org/officeDocument/2006/relationships/customXml" Target="../customXml/item133.xml"/><Relationship Id="rId208" Type="http://schemas.openxmlformats.org/officeDocument/2006/relationships/customXml" Target="../customXml/item147.xml"/><Relationship Id="rId261" Type="http://schemas.openxmlformats.org/officeDocument/2006/relationships/customXml" Target="../customXml/item200.xml"/><Relationship Id="rId14" Type="http://schemas.microsoft.com/office/2007/relationships/slicerCache" Target="slicerCaches/slicerCache5.xml"/><Relationship Id="rId56" Type="http://schemas.openxmlformats.org/officeDocument/2006/relationships/connections" Target="connections.xml"/><Relationship Id="rId317" Type="http://schemas.openxmlformats.org/officeDocument/2006/relationships/customXml" Target="../customXml/item256.xml"/><Relationship Id="rId359" Type="http://schemas.openxmlformats.org/officeDocument/2006/relationships/customXml" Target="../customXml/item298.xml"/><Relationship Id="rId98" Type="http://schemas.openxmlformats.org/officeDocument/2006/relationships/customXml" Target="../customXml/item37.xml"/><Relationship Id="rId121" Type="http://schemas.openxmlformats.org/officeDocument/2006/relationships/customXml" Target="../customXml/item60.xml"/><Relationship Id="rId163" Type="http://schemas.openxmlformats.org/officeDocument/2006/relationships/customXml" Target="../customXml/item102.xml"/><Relationship Id="rId219" Type="http://schemas.openxmlformats.org/officeDocument/2006/relationships/customXml" Target="../customXml/item158.xml"/><Relationship Id="rId370" Type="http://schemas.openxmlformats.org/officeDocument/2006/relationships/customXml" Target="../customXml/item309.xml"/><Relationship Id="rId230" Type="http://schemas.openxmlformats.org/officeDocument/2006/relationships/customXml" Target="../customXml/item169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6.xml"/><Relationship Id="rId272" Type="http://schemas.openxmlformats.org/officeDocument/2006/relationships/customXml" Target="../customXml/item211.xml"/><Relationship Id="rId328" Type="http://schemas.openxmlformats.org/officeDocument/2006/relationships/customXml" Target="../customXml/item267.xml"/><Relationship Id="rId132" Type="http://schemas.openxmlformats.org/officeDocument/2006/relationships/customXml" Target="../customXml/item71.xml"/><Relationship Id="rId174" Type="http://schemas.openxmlformats.org/officeDocument/2006/relationships/customXml" Target="../customXml/item113.xml"/><Relationship Id="rId381" Type="http://schemas.openxmlformats.org/officeDocument/2006/relationships/customXml" Target="../customXml/item320.xml"/><Relationship Id="rId241" Type="http://schemas.openxmlformats.org/officeDocument/2006/relationships/customXml" Target="../customXml/item180.xml"/><Relationship Id="rId36" Type="http://schemas.openxmlformats.org/officeDocument/2006/relationships/pivotCacheDefinition" Target="pivotCache/pivotCacheDefinition14.xml"/><Relationship Id="rId283" Type="http://schemas.openxmlformats.org/officeDocument/2006/relationships/customXml" Target="../customXml/item222.xml"/><Relationship Id="rId339" Type="http://schemas.openxmlformats.org/officeDocument/2006/relationships/customXml" Target="../customXml/item278.xml"/><Relationship Id="rId78" Type="http://schemas.openxmlformats.org/officeDocument/2006/relationships/customXml" Target="../customXml/item17.xml"/><Relationship Id="rId101" Type="http://schemas.openxmlformats.org/officeDocument/2006/relationships/customXml" Target="../customXml/item40.xml"/><Relationship Id="rId143" Type="http://schemas.openxmlformats.org/officeDocument/2006/relationships/customXml" Target="../customXml/item82.xml"/><Relationship Id="rId185" Type="http://schemas.openxmlformats.org/officeDocument/2006/relationships/customXml" Target="../customXml/item124.xml"/><Relationship Id="rId350" Type="http://schemas.openxmlformats.org/officeDocument/2006/relationships/customXml" Target="../customXml/item289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49.xml"/><Relationship Id="rId392" Type="http://schemas.openxmlformats.org/officeDocument/2006/relationships/customXml" Target="../customXml/item331.xml"/><Relationship Id="rId252" Type="http://schemas.openxmlformats.org/officeDocument/2006/relationships/customXml" Target="../customXml/item191.xml"/><Relationship Id="rId294" Type="http://schemas.openxmlformats.org/officeDocument/2006/relationships/customXml" Target="../customXml/item233.xml"/><Relationship Id="rId308" Type="http://schemas.openxmlformats.org/officeDocument/2006/relationships/customXml" Target="../customXml/item247.xml"/><Relationship Id="rId47" Type="http://schemas.openxmlformats.org/officeDocument/2006/relationships/pivotTable" Target="pivotTables/pivotTable7.xml"/><Relationship Id="rId89" Type="http://schemas.openxmlformats.org/officeDocument/2006/relationships/customXml" Target="../customXml/item28.xml"/><Relationship Id="rId112" Type="http://schemas.openxmlformats.org/officeDocument/2006/relationships/customXml" Target="../customXml/item51.xml"/><Relationship Id="rId154" Type="http://schemas.openxmlformats.org/officeDocument/2006/relationships/customXml" Target="../customXml/item93.xml"/><Relationship Id="rId361" Type="http://schemas.openxmlformats.org/officeDocument/2006/relationships/customXml" Target="../customXml/item300.xml"/><Relationship Id="rId196" Type="http://schemas.openxmlformats.org/officeDocument/2006/relationships/customXml" Target="../customXml/item135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0.xml"/><Relationship Id="rId263" Type="http://schemas.openxmlformats.org/officeDocument/2006/relationships/customXml" Target="../customXml/item202.xml"/><Relationship Id="rId319" Type="http://schemas.openxmlformats.org/officeDocument/2006/relationships/customXml" Target="../customXml/item258.xml"/><Relationship Id="rId37" Type="http://schemas.openxmlformats.org/officeDocument/2006/relationships/pivotCacheDefinition" Target="pivotCache/pivotCacheDefinition15.xml"/><Relationship Id="rId58" Type="http://schemas.openxmlformats.org/officeDocument/2006/relationships/sharedStrings" Target="sharedStrings.xml"/><Relationship Id="rId79" Type="http://schemas.openxmlformats.org/officeDocument/2006/relationships/customXml" Target="../customXml/item18.xml"/><Relationship Id="rId102" Type="http://schemas.openxmlformats.org/officeDocument/2006/relationships/customXml" Target="../customXml/item41.xml"/><Relationship Id="rId123" Type="http://schemas.openxmlformats.org/officeDocument/2006/relationships/customXml" Target="../customXml/item62.xml"/><Relationship Id="rId144" Type="http://schemas.openxmlformats.org/officeDocument/2006/relationships/customXml" Target="../customXml/item83.xml"/><Relationship Id="rId330" Type="http://schemas.openxmlformats.org/officeDocument/2006/relationships/customXml" Target="../customXml/item269.xml"/><Relationship Id="rId90" Type="http://schemas.openxmlformats.org/officeDocument/2006/relationships/customXml" Target="../customXml/item29.xml"/><Relationship Id="rId165" Type="http://schemas.openxmlformats.org/officeDocument/2006/relationships/customXml" Target="../customXml/item104.xml"/><Relationship Id="rId186" Type="http://schemas.openxmlformats.org/officeDocument/2006/relationships/customXml" Target="../customXml/item125.xml"/><Relationship Id="rId351" Type="http://schemas.openxmlformats.org/officeDocument/2006/relationships/customXml" Target="../customXml/item290.xml"/><Relationship Id="rId372" Type="http://schemas.openxmlformats.org/officeDocument/2006/relationships/customXml" Target="../customXml/item311.xml"/><Relationship Id="rId393" Type="http://schemas.openxmlformats.org/officeDocument/2006/relationships/customXml" Target="../customXml/item332.xml"/><Relationship Id="rId211" Type="http://schemas.openxmlformats.org/officeDocument/2006/relationships/customXml" Target="../customXml/item150.xml"/><Relationship Id="rId232" Type="http://schemas.openxmlformats.org/officeDocument/2006/relationships/customXml" Target="../customXml/item171.xml"/><Relationship Id="rId253" Type="http://schemas.openxmlformats.org/officeDocument/2006/relationships/customXml" Target="../customXml/item192.xml"/><Relationship Id="rId274" Type="http://schemas.openxmlformats.org/officeDocument/2006/relationships/customXml" Target="../customXml/item213.xml"/><Relationship Id="rId295" Type="http://schemas.openxmlformats.org/officeDocument/2006/relationships/customXml" Target="../customXml/item234.xml"/><Relationship Id="rId309" Type="http://schemas.openxmlformats.org/officeDocument/2006/relationships/customXml" Target="../customXml/item248.xml"/><Relationship Id="rId27" Type="http://schemas.openxmlformats.org/officeDocument/2006/relationships/pivotCacheDefinition" Target="pivotCache/pivotCacheDefinition5.xml"/><Relationship Id="rId48" Type="http://schemas.openxmlformats.org/officeDocument/2006/relationships/pivotTable" Target="pivotTables/pivotTable8.xml"/><Relationship Id="rId69" Type="http://schemas.openxmlformats.org/officeDocument/2006/relationships/customXml" Target="../customXml/item8.xml"/><Relationship Id="rId113" Type="http://schemas.openxmlformats.org/officeDocument/2006/relationships/customXml" Target="../customXml/item52.xml"/><Relationship Id="rId134" Type="http://schemas.openxmlformats.org/officeDocument/2006/relationships/customXml" Target="../customXml/item73.xml"/><Relationship Id="rId320" Type="http://schemas.openxmlformats.org/officeDocument/2006/relationships/customXml" Target="../customXml/item259.xml"/><Relationship Id="rId80" Type="http://schemas.openxmlformats.org/officeDocument/2006/relationships/customXml" Target="../customXml/item19.xml"/><Relationship Id="rId155" Type="http://schemas.openxmlformats.org/officeDocument/2006/relationships/customXml" Target="../customXml/item94.xml"/><Relationship Id="rId176" Type="http://schemas.openxmlformats.org/officeDocument/2006/relationships/customXml" Target="../customXml/item115.xml"/><Relationship Id="rId197" Type="http://schemas.openxmlformats.org/officeDocument/2006/relationships/customXml" Target="../customXml/item136.xml"/><Relationship Id="rId341" Type="http://schemas.openxmlformats.org/officeDocument/2006/relationships/customXml" Target="../customXml/item280.xml"/><Relationship Id="rId362" Type="http://schemas.openxmlformats.org/officeDocument/2006/relationships/customXml" Target="../customXml/item301.xml"/><Relationship Id="rId383" Type="http://schemas.openxmlformats.org/officeDocument/2006/relationships/customXml" Target="../customXml/item322.xml"/><Relationship Id="rId201" Type="http://schemas.openxmlformats.org/officeDocument/2006/relationships/customXml" Target="../customXml/item140.xml"/><Relationship Id="rId222" Type="http://schemas.openxmlformats.org/officeDocument/2006/relationships/customXml" Target="../customXml/item161.xml"/><Relationship Id="rId243" Type="http://schemas.openxmlformats.org/officeDocument/2006/relationships/customXml" Target="../customXml/item182.xml"/><Relationship Id="rId264" Type="http://schemas.openxmlformats.org/officeDocument/2006/relationships/customXml" Target="../customXml/item203.xml"/><Relationship Id="rId285" Type="http://schemas.openxmlformats.org/officeDocument/2006/relationships/customXml" Target="../customXml/item224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6.xml"/><Relationship Id="rId59" Type="http://schemas.openxmlformats.org/officeDocument/2006/relationships/sheetMetadata" Target="metadata.xml"/><Relationship Id="rId103" Type="http://schemas.openxmlformats.org/officeDocument/2006/relationships/customXml" Target="../customXml/item42.xml"/><Relationship Id="rId124" Type="http://schemas.openxmlformats.org/officeDocument/2006/relationships/customXml" Target="../customXml/item63.xml"/><Relationship Id="rId310" Type="http://schemas.openxmlformats.org/officeDocument/2006/relationships/customXml" Target="../customXml/item249.xml"/><Relationship Id="rId70" Type="http://schemas.openxmlformats.org/officeDocument/2006/relationships/customXml" Target="../customXml/item9.xml"/><Relationship Id="rId91" Type="http://schemas.openxmlformats.org/officeDocument/2006/relationships/customXml" Target="../customXml/item30.xml"/><Relationship Id="rId145" Type="http://schemas.openxmlformats.org/officeDocument/2006/relationships/customXml" Target="../customXml/item84.xml"/><Relationship Id="rId166" Type="http://schemas.openxmlformats.org/officeDocument/2006/relationships/customXml" Target="../customXml/item105.xml"/><Relationship Id="rId187" Type="http://schemas.openxmlformats.org/officeDocument/2006/relationships/customXml" Target="../customXml/item126.xml"/><Relationship Id="rId331" Type="http://schemas.openxmlformats.org/officeDocument/2006/relationships/customXml" Target="../customXml/item270.xml"/><Relationship Id="rId352" Type="http://schemas.openxmlformats.org/officeDocument/2006/relationships/customXml" Target="../customXml/item291.xml"/><Relationship Id="rId373" Type="http://schemas.openxmlformats.org/officeDocument/2006/relationships/customXml" Target="../customXml/item312.xml"/><Relationship Id="rId394" Type="http://schemas.openxmlformats.org/officeDocument/2006/relationships/customXml" Target="../customXml/item333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1.xml"/><Relationship Id="rId233" Type="http://schemas.openxmlformats.org/officeDocument/2006/relationships/customXml" Target="../customXml/item172.xml"/><Relationship Id="rId254" Type="http://schemas.openxmlformats.org/officeDocument/2006/relationships/customXml" Target="../customXml/item193.xml"/><Relationship Id="rId28" Type="http://schemas.openxmlformats.org/officeDocument/2006/relationships/pivotCacheDefinition" Target="pivotCache/pivotCacheDefinition6.xml"/><Relationship Id="rId49" Type="http://schemas.openxmlformats.org/officeDocument/2006/relationships/pivotTable" Target="pivotTables/pivotTable9.xml"/><Relationship Id="rId114" Type="http://schemas.openxmlformats.org/officeDocument/2006/relationships/customXml" Target="../customXml/item53.xml"/><Relationship Id="rId275" Type="http://schemas.openxmlformats.org/officeDocument/2006/relationships/customXml" Target="../customXml/item214.xml"/><Relationship Id="rId296" Type="http://schemas.openxmlformats.org/officeDocument/2006/relationships/customXml" Target="../customXml/item235.xml"/><Relationship Id="rId300" Type="http://schemas.openxmlformats.org/officeDocument/2006/relationships/customXml" Target="../customXml/item239.xml"/><Relationship Id="rId60" Type="http://schemas.openxmlformats.org/officeDocument/2006/relationships/powerPivotData" Target="model/item.data"/><Relationship Id="rId81" Type="http://schemas.openxmlformats.org/officeDocument/2006/relationships/customXml" Target="../customXml/item20.xml"/><Relationship Id="rId135" Type="http://schemas.openxmlformats.org/officeDocument/2006/relationships/customXml" Target="../customXml/item74.xml"/><Relationship Id="rId156" Type="http://schemas.openxmlformats.org/officeDocument/2006/relationships/customXml" Target="../customXml/item95.xml"/><Relationship Id="rId177" Type="http://schemas.openxmlformats.org/officeDocument/2006/relationships/customXml" Target="../customXml/item116.xml"/><Relationship Id="rId198" Type="http://schemas.openxmlformats.org/officeDocument/2006/relationships/customXml" Target="../customXml/item137.xml"/><Relationship Id="rId321" Type="http://schemas.openxmlformats.org/officeDocument/2006/relationships/customXml" Target="../customXml/item260.xml"/><Relationship Id="rId342" Type="http://schemas.openxmlformats.org/officeDocument/2006/relationships/customXml" Target="../customXml/item281.xml"/><Relationship Id="rId363" Type="http://schemas.openxmlformats.org/officeDocument/2006/relationships/customXml" Target="../customXml/item302.xml"/><Relationship Id="rId384" Type="http://schemas.openxmlformats.org/officeDocument/2006/relationships/customXml" Target="../customXml/item323.xml"/><Relationship Id="rId202" Type="http://schemas.openxmlformats.org/officeDocument/2006/relationships/customXml" Target="../customXml/item141.xml"/><Relationship Id="rId223" Type="http://schemas.openxmlformats.org/officeDocument/2006/relationships/customXml" Target="../customXml/item162.xml"/><Relationship Id="rId244" Type="http://schemas.openxmlformats.org/officeDocument/2006/relationships/customXml" Target="../customXml/item183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7.xml"/><Relationship Id="rId265" Type="http://schemas.openxmlformats.org/officeDocument/2006/relationships/customXml" Target="../customXml/item204.xml"/><Relationship Id="rId286" Type="http://schemas.openxmlformats.org/officeDocument/2006/relationships/customXml" Target="../customXml/item225.xml"/><Relationship Id="rId50" Type="http://schemas.openxmlformats.org/officeDocument/2006/relationships/pivotTable" Target="pivotTables/pivotTable10.xml"/><Relationship Id="rId104" Type="http://schemas.openxmlformats.org/officeDocument/2006/relationships/customXml" Target="../customXml/item43.xml"/><Relationship Id="rId125" Type="http://schemas.openxmlformats.org/officeDocument/2006/relationships/customXml" Target="../customXml/item64.xml"/><Relationship Id="rId146" Type="http://schemas.openxmlformats.org/officeDocument/2006/relationships/customXml" Target="../customXml/item85.xml"/><Relationship Id="rId167" Type="http://schemas.openxmlformats.org/officeDocument/2006/relationships/customXml" Target="../customXml/item106.xml"/><Relationship Id="rId188" Type="http://schemas.openxmlformats.org/officeDocument/2006/relationships/customXml" Target="../customXml/item127.xml"/><Relationship Id="rId311" Type="http://schemas.openxmlformats.org/officeDocument/2006/relationships/customXml" Target="../customXml/item250.xml"/><Relationship Id="rId332" Type="http://schemas.openxmlformats.org/officeDocument/2006/relationships/customXml" Target="../customXml/item271.xml"/><Relationship Id="rId353" Type="http://schemas.openxmlformats.org/officeDocument/2006/relationships/customXml" Target="../customXml/item292.xml"/><Relationship Id="rId374" Type="http://schemas.openxmlformats.org/officeDocument/2006/relationships/customXml" Target="../customXml/item313.xml"/><Relationship Id="rId395" Type="http://schemas.openxmlformats.org/officeDocument/2006/relationships/customXml" Target="../customXml/item334.xml"/><Relationship Id="rId71" Type="http://schemas.openxmlformats.org/officeDocument/2006/relationships/customXml" Target="../customXml/item10.xml"/><Relationship Id="rId92" Type="http://schemas.openxmlformats.org/officeDocument/2006/relationships/customXml" Target="../customXml/item31.xml"/><Relationship Id="rId213" Type="http://schemas.openxmlformats.org/officeDocument/2006/relationships/customXml" Target="../customXml/item152.xml"/><Relationship Id="rId234" Type="http://schemas.openxmlformats.org/officeDocument/2006/relationships/customXml" Target="../customXml/item173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7.xml"/><Relationship Id="rId255" Type="http://schemas.openxmlformats.org/officeDocument/2006/relationships/customXml" Target="../customXml/item194.xml"/><Relationship Id="rId276" Type="http://schemas.openxmlformats.org/officeDocument/2006/relationships/customXml" Target="../customXml/item215.xml"/><Relationship Id="rId297" Type="http://schemas.openxmlformats.org/officeDocument/2006/relationships/customXml" Target="../customXml/item236.xml"/><Relationship Id="rId40" Type="http://schemas.openxmlformats.org/officeDocument/2006/relationships/pivotCacheDefinition" Target="pivotCache/pivotCacheDefinition18.xml"/><Relationship Id="rId115" Type="http://schemas.openxmlformats.org/officeDocument/2006/relationships/customXml" Target="../customXml/item54.xml"/><Relationship Id="rId136" Type="http://schemas.openxmlformats.org/officeDocument/2006/relationships/customXml" Target="../customXml/item75.xml"/><Relationship Id="rId157" Type="http://schemas.openxmlformats.org/officeDocument/2006/relationships/customXml" Target="../customXml/item96.xml"/><Relationship Id="rId178" Type="http://schemas.openxmlformats.org/officeDocument/2006/relationships/customXml" Target="../customXml/item117.xml"/><Relationship Id="rId301" Type="http://schemas.openxmlformats.org/officeDocument/2006/relationships/customXml" Target="../customXml/item240.xml"/><Relationship Id="rId322" Type="http://schemas.openxmlformats.org/officeDocument/2006/relationships/customXml" Target="../customXml/item261.xml"/><Relationship Id="rId343" Type="http://schemas.openxmlformats.org/officeDocument/2006/relationships/customXml" Target="../customXml/item282.xml"/><Relationship Id="rId364" Type="http://schemas.openxmlformats.org/officeDocument/2006/relationships/customXml" Target="../customXml/item303.xml"/><Relationship Id="rId61" Type="http://schemas.openxmlformats.org/officeDocument/2006/relationships/calcChain" Target="calcChain.xml"/><Relationship Id="rId82" Type="http://schemas.openxmlformats.org/officeDocument/2006/relationships/customXml" Target="../customXml/item21.xml"/><Relationship Id="rId199" Type="http://schemas.openxmlformats.org/officeDocument/2006/relationships/customXml" Target="../customXml/item138.xml"/><Relationship Id="rId203" Type="http://schemas.openxmlformats.org/officeDocument/2006/relationships/customXml" Target="../customXml/item142.xml"/><Relationship Id="rId385" Type="http://schemas.openxmlformats.org/officeDocument/2006/relationships/customXml" Target="../customXml/item324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3.xml"/><Relationship Id="rId245" Type="http://schemas.openxmlformats.org/officeDocument/2006/relationships/customXml" Target="../customXml/item184.xml"/><Relationship Id="rId266" Type="http://schemas.openxmlformats.org/officeDocument/2006/relationships/customXml" Target="../customXml/item205.xml"/><Relationship Id="rId287" Type="http://schemas.openxmlformats.org/officeDocument/2006/relationships/customXml" Target="../customXml/item226.xml"/><Relationship Id="rId30" Type="http://schemas.openxmlformats.org/officeDocument/2006/relationships/pivotCacheDefinition" Target="pivotCache/pivotCacheDefinition8.xml"/><Relationship Id="rId105" Type="http://schemas.openxmlformats.org/officeDocument/2006/relationships/customXml" Target="../customXml/item44.xml"/><Relationship Id="rId126" Type="http://schemas.openxmlformats.org/officeDocument/2006/relationships/customXml" Target="../customXml/item65.xml"/><Relationship Id="rId147" Type="http://schemas.openxmlformats.org/officeDocument/2006/relationships/customXml" Target="../customXml/item86.xml"/><Relationship Id="rId168" Type="http://schemas.openxmlformats.org/officeDocument/2006/relationships/customXml" Target="../customXml/item107.xml"/><Relationship Id="rId312" Type="http://schemas.openxmlformats.org/officeDocument/2006/relationships/customXml" Target="../customXml/item251.xml"/><Relationship Id="rId333" Type="http://schemas.openxmlformats.org/officeDocument/2006/relationships/customXml" Target="../customXml/item272.xml"/><Relationship Id="rId354" Type="http://schemas.openxmlformats.org/officeDocument/2006/relationships/customXml" Target="../customXml/item293.xml"/><Relationship Id="rId51" Type="http://schemas.openxmlformats.org/officeDocument/2006/relationships/pivotTable" Target="pivotTables/pivotTable11.xml"/><Relationship Id="rId72" Type="http://schemas.openxmlformats.org/officeDocument/2006/relationships/customXml" Target="../customXml/item11.xml"/><Relationship Id="rId93" Type="http://schemas.openxmlformats.org/officeDocument/2006/relationships/customXml" Target="../customXml/item32.xml"/><Relationship Id="rId189" Type="http://schemas.openxmlformats.org/officeDocument/2006/relationships/customXml" Target="../customXml/item128.xml"/><Relationship Id="rId375" Type="http://schemas.openxmlformats.org/officeDocument/2006/relationships/customXml" Target="../customXml/item314.xml"/><Relationship Id="rId396" Type="http://schemas.openxmlformats.org/officeDocument/2006/relationships/customXml" Target="../customXml/item335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3.xml"/><Relationship Id="rId235" Type="http://schemas.openxmlformats.org/officeDocument/2006/relationships/customXml" Target="../customXml/item174.xml"/><Relationship Id="rId256" Type="http://schemas.openxmlformats.org/officeDocument/2006/relationships/customXml" Target="../customXml/item195.xml"/><Relationship Id="rId277" Type="http://schemas.openxmlformats.org/officeDocument/2006/relationships/customXml" Target="../customXml/item216.xml"/><Relationship Id="rId298" Type="http://schemas.openxmlformats.org/officeDocument/2006/relationships/customXml" Target="../customXml/item237.xml"/><Relationship Id="rId400" Type="http://schemas.openxmlformats.org/officeDocument/2006/relationships/volatileDependencies" Target="volatileDependencies.xml"/><Relationship Id="rId116" Type="http://schemas.openxmlformats.org/officeDocument/2006/relationships/customXml" Target="../customXml/item55.xml"/><Relationship Id="rId137" Type="http://schemas.openxmlformats.org/officeDocument/2006/relationships/customXml" Target="../customXml/item76.xml"/><Relationship Id="rId158" Type="http://schemas.openxmlformats.org/officeDocument/2006/relationships/customXml" Target="../customXml/item97.xml"/><Relationship Id="rId302" Type="http://schemas.openxmlformats.org/officeDocument/2006/relationships/customXml" Target="../customXml/item241.xml"/><Relationship Id="rId323" Type="http://schemas.openxmlformats.org/officeDocument/2006/relationships/customXml" Target="../customXml/item262.xml"/><Relationship Id="rId344" Type="http://schemas.openxmlformats.org/officeDocument/2006/relationships/customXml" Target="../customXml/item283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1.xml"/><Relationship Id="rId62" Type="http://schemas.openxmlformats.org/officeDocument/2006/relationships/customXml" Target="../customXml/item1.xml"/><Relationship Id="rId83" Type="http://schemas.openxmlformats.org/officeDocument/2006/relationships/customXml" Target="../customXml/item22.xml"/><Relationship Id="rId179" Type="http://schemas.openxmlformats.org/officeDocument/2006/relationships/customXml" Target="../customXml/item118.xml"/><Relationship Id="rId365" Type="http://schemas.openxmlformats.org/officeDocument/2006/relationships/customXml" Target="../customXml/item304.xml"/><Relationship Id="rId386" Type="http://schemas.openxmlformats.org/officeDocument/2006/relationships/customXml" Target="../customXml/item325.xml"/><Relationship Id="rId190" Type="http://schemas.openxmlformats.org/officeDocument/2006/relationships/customXml" Target="../customXml/item129.xml"/><Relationship Id="rId204" Type="http://schemas.openxmlformats.org/officeDocument/2006/relationships/customXml" Target="../customXml/item143.xml"/><Relationship Id="rId225" Type="http://schemas.openxmlformats.org/officeDocument/2006/relationships/customXml" Target="../customXml/item164.xml"/><Relationship Id="rId246" Type="http://schemas.openxmlformats.org/officeDocument/2006/relationships/customXml" Target="../customXml/item185.xml"/><Relationship Id="rId267" Type="http://schemas.openxmlformats.org/officeDocument/2006/relationships/customXml" Target="../customXml/item206.xml"/><Relationship Id="rId288" Type="http://schemas.openxmlformats.org/officeDocument/2006/relationships/customXml" Target="../customXml/item227.xml"/><Relationship Id="rId106" Type="http://schemas.openxmlformats.org/officeDocument/2006/relationships/customXml" Target="../customXml/item45.xml"/><Relationship Id="rId127" Type="http://schemas.openxmlformats.org/officeDocument/2006/relationships/customXml" Target="../customXml/item66.xml"/><Relationship Id="rId313" Type="http://schemas.openxmlformats.org/officeDocument/2006/relationships/customXml" Target="../customXml/item252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9.xml"/><Relationship Id="rId52" Type="http://schemas.openxmlformats.org/officeDocument/2006/relationships/pivotTable" Target="pivotTables/pivotTable12.xml"/><Relationship Id="rId73" Type="http://schemas.openxmlformats.org/officeDocument/2006/relationships/customXml" Target="../customXml/item12.xml"/><Relationship Id="rId94" Type="http://schemas.openxmlformats.org/officeDocument/2006/relationships/customXml" Target="../customXml/item33.xml"/><Relationship Id="rId148" Type="http://schemas.openxmlformats.org/officeDocument/2006/relationships/customXml" Target="../customXml/item87.xml"/><Relationship Id="rId169" Type="http://schemas.openxmlformats.org/officeDocument/2006/relationships/customXml" Target="../customXml/item108.xml"/><Relationship Id="rId334" Type="http://schemas.openxmlformats.org/officeDocument/2006/relationships/customXml" Target="../customXml/item273.xml"/><Relationship Id="rId355" Type="http://schemas.openxmlformats.org/officeDocument/2006/relationships/customXml" Target="../customXml/item294.xml"/><Relationship Id="rId376" Type="http://schemas.openxmlformats.org/officeDocument/2006/relationships/customXml" Target="../customXml/item315.xml"/><Relationship Id="rId397" Type="http://schemas.openxmlformats.org/officeDocument/2006/relationships/customXml" Target="../customXml/item336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19.xml"/><Relationship Id="rId215" Type="http://schemas.openxmlformats.org/officeDocument/2006/relationships/customXml" Target="../customXml/item154.xml"/><Relationship Id="rId236" Type="http://schemas.openxmlformats.org/officeDocument/2006/relationships/customXml" Target="../customXml/item175.xml"/><Relationship Id="rId257" Type="http://schemas.openxmlformats.org/officeDocument/2006/relationships/customXml" Target="../customXml/item196.xml"/><Relationship Id="rId278" Type="http://schemas.openxmlformats.org/officeDocument/2006/relationships/customXml" Target="../customXml/item217.xml"/><Relationship Id="rId303" Type="http://schemas.openxmlformats.org/officeDocument/2006/relationships/customXml" Target="../customXml/item242.xml"/><Relationship Id="rId42" Type="http://schemas.openxmlformats.org/officeDocument/2006/relationships/pivotTable" Target="pivotTables/pivotTable2.xml"/><Relationship Id="rId84" Type="http://schemas.openxmlformats.org/officeDocument/2006/relationships/customXml" Target="../customXml/item23.xml"/><Relationship Id="rId138" Type="http://schemas.openxmlformats.org/officeDocument/2006/relationships/customXml" Target="../customXml/item77.xml"/><Relationship Id="rId345" Type="http://schemas.openxmlformats.org/officeDocument/2006/relationships/customXml" Target="../customXml/item284.xml"/><Relationship Id="rId387" Type="http://schemas.openxmlformats.org/officeDocument/2006/relationships/customXml" Target="../customXml/item326.xml"/><Relationship Id="rId191" Type="http://schemas.openxmlformats.org/officeDocument/2006/relationships/customXml" Target="../customXml/item130.xml"/><Relationship Id="rId205" Type="http://schemas.openxmlformats.org/officeDocument/2006/relationships/customXml" Target="../customXml/item144.xml"/><Relationship Id="rId247" Type="http://schemas.openxmlformats.org/officeDocument/2006/relationships/customXml" Target="../customXml/item186.xml"/><Relationship Id="rId107" Type="http://schemas.openxmlformats.org/officeDocument/2006/relationships/customXml" Target="../customXml/item46.xml"/><Relationship Id="rId289" Type="http://schemas.openxmlformats.org/officeDocument/2006/relationships/customXml" Target="../customXml/item228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3.xml"/><Relationship Id="rId149" Type="http://schemas.openxmlformats.org/officeDocument/2006/relationships/customXml" Target="../customXml/item88.xml"/><Relationship Id="rId314" Type="http://schemas.openxmlformats.org/officeDocument/2006/relationships/customXml" Target="../customXml/item253.xml"/><Relationship Id="rId356" Type="http://schemas.openxmlformats.org/officeDocument/2006/relationships/customXml" Target="../customXml/item295.xml"/><Relationship Id="rId398" Type="http://schemas.openxmlformats.org/officeDocument/2006/relationships/customXml" Target="../customXml/item337.xml"/><Relationship Id="rId95" Type="http://schemas.openxmlformats.org/officeDocument/2006/relationships/customXml" Target="../customXml/item34.xml"/><Relationship Id="rId160" Type="http://schemas.openxmlformats.org/officeDocument/2006/relationships/customXml" Target="../customXml/item99.xml"/><Relationship Id="rId216" Type="http://schemas.openxmlformats.org/officeDocument/2006/relationships/customXml" Target="../customXml/item155.xml"/><Relationship Id="rId258" Type="http://schemas.openxmlformats.org/officeDocument/2006/relationships/customXml" Target="../customXml/item197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3.xml"/><Relationship Id="rId118" Type="http://schemas.openxmlformats.org/officeDocument/2006/relationships/customXml" Target="../customXml/item57.xml"/><Relationship Id="rId325" Type="http://schemas.openxmlformats.org/officeDocument/2006/relationships/customXml" Target="../customXml/item264.xml"/><Relationship Id="rId367" Type="http://schemas.openxmlformats.org/officeDocument/2006/relationships/customXml" Target="../customXml/item306.xml"/><Relationship Id="rId171" Type="http://schemas.openxmlformats.org/officeDocument/2006/relationships/customXml" Target="../customXml/item110.xml"/><Relationship Id="rId227" Type="http://schemas.openxmlformats.org/officeDocument/2006/relationships/customXml" Target="../customXml/item166.xml"/><Relationship Id="rId269" Type="http://schemas.openxmlformats.org/officeDocument/2006/relationships/customXml" Target="../customXml/item208.xml"/><Relationship Id="rId33" Type="http://schemas.openxmlformats.org/officeDocument/2006/relationships/pivotCacheDefinition" Target="pivotCache/pivotCacheDefinition11.xml"/><Relationship Id="rId129" Type="http://schemas.openxmlformats.org/officeDocument/2006/relationships/customXml" Target="../customXml/item68.xml"/><Relationship Id="rId280" Type="http://schemas.openxmlformats.org/officeDocument/2006/relationships/customXml" Target="../customXml/item219.xml"/><Relationship Id="rId336" Type="http://schemas.openxmlformats.org/officeDocument/2006/relationships/customXml" Target="../customXml/item275.xml"/><Relationship Id="rId75" Type="http://schemas.openxmlformats.org/officeDocument/2006/relationships/customXml" Target="../customXml/item14.xml"/><Relationship Id="rId140" Type="http://schemas.openxmlformats.org/officeDocument/2006/relationships/customXml" Target="../customXml/item79.xml"/><Relationship Id="rId182" Type="http://schemas.openxmlformats.org/officeDocument/2006/relationships/customXml" Target="../customXml/item121.xml"/><Relationship Id="rId378" Type="http://schemas.openxmlformats.org/officeDocument/2006/relationships/customXml" Target="../customXml/item317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7.xml"/><Relationship Id="rId291" Type="http://schemas.openxmlformats.org/officeDocument/2006/relationships/customXml" Target="../customXml/item230.xml"/><Relationship Id="rId305" Type="http://schemas.openxmlformats.org/officeDocument/2006/relationships/customXml" Target="../customXml/item244.xml"/><Relationship Id="rId347" Type="http://schemas.openxmlformats.org/officeDocument/2006/relationships/customXml" Target="../customXml/item286.xml"/><Relationship Id="rId44" Type="http://schemas.openxmlformats.org/officeDocument/2006/relationships/pivotTable" Target="pivotTables/pivotTable4.xml"/><Relationship Id="rId86" Type="http://schemas.openxmlformats.org/officeDocument/2006/relationships/customXml" Target="../customXml/item25.xml"/><Relationship Id="rId151" Type="http://schemas.openxmlformats.org/officeDocument/2006/relationships/customXml" Target="../customXml/item90.xml"/><Relationship Id="rId389" Type="http://schemas.openxmlformats.org/officeDocument/2006/relationships/customXml" Target="../customXml/item328.xml"/><Relationship Id="rId193" Type="http://schemas.openxmlformats.org/officeDocument/2006/relationships/customXml" Target="../customXml/item132.xml"/><Relationship Id="rId207" Type="http://schemas.openxmlformats.org/officeDocument/2006/relationships/customXml" Target="../customXml/item146.xml"/><Relationship Id="rId249" Type="http://schemas.openxmlformats.org/officeDocument/2006/relationships/customXml" Target="../customXml/item188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8.xml"/><Relationship Id="rId260" Type="http://schemas.openxmlformats.org/officeDocument/2006/relationships/customXml" Target="../customXml/item199.xml"/><Relationship Id="rId316" Type="http://schemas.openxmlformats.org/officeDocument/2006/relationships/customXml" Target="../customXml/item255.xml"/><Relationship Id="rId55" Type="http://schemas.openxmlformats.org/officeDocument/2006/relationships/theme" Target="theme/theme1.xml"/><Relationship Id="rId97" Type="http://schemas.openxmlformats.org/officeDocument/2006/relationships/customXml" Target="../customXml/item36.xml"/><Relationship Id="rId120" Type="http://schemas.openxmlformats.org/officeDocument/2006/relationships/customXml" Target="../customXml/item59.xml"/><Relationship Id="rId358" Type="http://schemas.openxmlformats.org/officeDocument/2006/relationships/customXml" Target="../customXml/item297.xml"/><Relationship Id="rId162" Type="http://schemas.openxmlformats.org/officeDocument/2006/relationships/customXml" Target="../customXml/item101.xml"/><Relationship Id="rId218" Type="http://schemas.openxmlformats.org/officeDocument/2006/relationships/customXml" Target="../customXml/item157.xml"/><Relationship Id="rId271" Type="http://schemas.openxmlformats.org/officeDocument/2006/relationships/customXml" Target="../customXml/item210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5.xml"/><Relationship Id="rId131" Type="http://schemas.openxmlformats.org/officeDocument/2006/relationships/customXml" Target="../customXml/item70.xml"/><Relationship Id="rId327" Type="http://schemas.openxmlformats.org/officeDocument/2006/relationships/customXml" Target="../customXml/item266.xml"/><Relationship Id="rId369" Type="http://schemas.openxmlformats.org/officeDocument/2006/relationships/customXml" Target="../customXml/item308.xml"/><Relationship Id="rId173" Type="http://schemas.openxmlformats.org/officeDocument/2006/relationships/customXml" Target="../customXml/item112.xml"/><Relationship Id="rId229" Type="http://schemas.openxmlformats.org/officeDocument/2006/relationships/customXml" Target="../customXml/item168.xml"/><Relationship Id="rId380" Type="http://schemas.openxmlformats.org/officeDocument/2006/relationships/customXml" Target="../customXml/item319.xml"/><Relationship Id="rId240" Type="http://schemas.openxmlformats.org/officeDocument/2006/relationships/customXml" Target="../customXml/item179.xml"/><Relationship Id="rId35" Type="http://schemas.openxmlformats.org/officeDocument/2006/relationships/pivotCacheDefinition" Target="pivotCache/pivotCacheDefinition13.xml"/><Relationship Id="rId77" Type="http://schemas.openxmlformats.org/officeDocument/2006/relationships/customXml" Target="../customXml/item16.xml"/><Relationship Id="rId100" Type="http://schemas.openxmlformats.org/officeDocument/2006/relationships/customXml" Target="../customXml/item39.xml"/><Relationship Id="rId282" Type="http://schemas.openxmlformats.org/officeDocument/2006/relationships/customXml" Target="../customXml/item221.xml"/><Relationship Id="rId338" Type="http://schemas.openxmlformats.org/officeDocument/2006/relationships/customXml" Target="../customXml/item277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1.xml"/><Relationship Id="rId184" Type="http://schemas.openxmlformats.org/officeDocument/2006/relationships/customXml" Target="../customXml/item123.xml"/><Relationship Id="rId391" Type="http://schemas.openxmlformats.org/officeDocument/2006/relationships/customXml" Target="../customXml/item330.xml"/><Relationship Id="rId251" Type="http://schemas.openxmlformats.org/officeDocument/2006/relationships/customXml" Target="../customXml/item190.xml"/><Relationship Id="rId46" Type="http://schemas.openxmlformats.org/officeDocument/2006/relationships/pivotTable" Target="pivotTables/pivotTable6.xml"/><Relationship Id="rId293" Type="http://schemas.openxmlformats.org/officeDocument/2006/relationships/customXml" Target="../customXml/item232.xml"/><Relationship Id="rId307" Type="http://schemas.openxmlformats.org/officeDocument/2006/relationships/customXml" Target="../customXml/item246.xml"/><Relationship Id="rId349" Type="http://schemas.openxmlformats.org/officeDocument/2006/relationships/customXml" Target="../customXml/item288.xml"/><Relationship Id="rId88" Type="http://schemas.openxmlformats.org/officeDocument/2006/relationships/customXml" Target="../customXml/item27.xml"/><Relationship Id="rId111" Type="http://schemas.openxmlformats.org/officeDocument/2006/relationships/customXml" Target="../customXml/item50.xml"/><Relationship Id="rId153" Type="http://schemas.openxmlformats.org/officeDocument/2006/relationships/customXml" Target="../customXml/item92.xml"/><Relationship Id="rId195" Type="http://schemas.openxmlformats.org/officeDocument/2006/relationships/customXml" Target="../customXml/item134.xml"/><Relationship Id="rId209" Type="http://schemas.openxmlformats.org/officeDocument/2006/relationships/customXml" Target="../customXml/item148.xml"/><Relationship Id="rId360" Type="http://schemas.openxmlformats.org/officeDocument/2006/relationships/customXml" Target="../customXml/item299.xml"/><Relationship Id="rId220" Type="http://schemas.openxmlformats.org/officeDocument/2006/relationships/customXml" Target="../customXml/item159.xml"/><Relationship Id="rId15" Type="http://schemas.microsoft.com/office/2007/relationships/slicerCache" Target="slicerCaches/slicerCache6.xml"/><Relationship Id="rId57" Type="http://schemas.openxmlformats.org/officeDocument/2006/relationships/styles" Target="styles.xml"/><Relationship Id="rId262" Type="http://schemas.openxmlformats.org/officeDocument/2006/relationships/customXml" Target="../customXml/item201.xml"/><Relationship Id="rId318" Type="http://schemas.openxmlformats.org/officeDocument/2006/relationships/customXml" Target="../customXml/item257.xml"/><Relationship Id="rId99" Type="http://schemas.openxmlformats.org/officeDocument/2006/relationships/customXml" Target="../customXml/item38.xml"/><Relationship Id="rId122" Type="http://schemas.openxmlformats.org/officeDocument/2006/relationships/customXml" Target="../customXml/item61.xml"/><Relationship Id="rId164" Type="http://schemas.openxmlformats.org/officeDocument/2006/relationships/customXml" Target="../customXml/item103.xml"/><Relationship Id="rId371" Type="http://schemas.openxmlformats.org/officeDocument/2006/relationships/customXml" Target="../customXml/item310.xml"/><Relationship Id="rId26" Type="http://schemas.microsoft.com/office/2007/relationships/slicerCache" Target="slicerCaches/slicerCache17.xml"/><Relationship Id="rId231" Type="http://schemas.openxmlformats.org/officeDocument/2006/relationships/customXml" Target="../customXml/item170.xml"/><Relationship Id="rId273" Type="http://schemas.openxmlformats.org/officeDocument/2006/relationships/customXml" Target="../customXml/item212.xml"/><Relationship Id="rId329" Type="http://schemas.openxmlformats.org/officeDocument/2006/relationships/customXml" Target="../customXml/item268.xml"/><Relationship Id="rId68" Type="http://schemas.openxmlformats.org/officeDocument/2006/relationships/customXml" Target="../customXml/item7.xml"/><Relationship Id="rId133" Type="http://schemas.openxmlformats.org/officeDocument/2006/relationships/customXml" Target="../customXml/item72.xml"/><Relationship Id="rId175" Type="http://schemas.openxmlformats.org/officeDocument/2006/relationships/customXml" Target="../customXml/item114.xml"/><Relationship Id="rId340" Type="http://schemas.openxmlformats.org/officeDocument/2006/relationships/customXml" Target="../customXml/item279.xml"/><Relationship Id="rId200" Type="http://schemas.openxmlformats.org/officeDocument/2006/relationships/customXml" Target="../customXml/item139.xml"/><Relationship Id="rId382" Type="http://schemas.openxmlformats.org/officeDocument/2006/relationships/customXml" Target="../customXml/item321.xml"/><Relationship Id="rId242" Type="http://schemas.openxmlformats.org/officeDocument/2006/relationships/customXml" Target="../customXml/item181.xml"/><Relationship Id="rId284" Type="http://schemas.openxmlformats.org/officeDocument/2006/relationships/customXml" Target="../customXml/item22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3F76-4132-8466-1D2BD5C524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6A96-4A42-9F98-CBE5B1C1B95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6A96-4A42-9F98-CBE5B1C1B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1-525C-4EBF-94E3-0EE11792DD19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48</c:v>
              </c:pt>
              <c:pt idx="1">
                <c:v>158</c:v>
              </c:pt>
            </c:numLit>
          </c:val>
          <c:extLst>
            <c:ext xmlns:c16="http://schemas.microsoft.com/office/drawing/2014/chart" uri="{C3380CC4-5D6E-409C-BE32-E72D297353CC}">
              <c16:uniqueId val="{00000004-65AB-4FE0-90EF-2543CF6E6C66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D0BD-4402-B614-D2D071EA5B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BA1-4DDD-9AE6-3F5D1A88552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774-426D-8AF6-68A767A6384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95C-4165-9668-34125DBA8C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3-B3F9-4010-AE6F-746B026CCB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76000"/>
              </a:schemeClr>
            </a:solidFill>
            <a:ln w="9525">
              <a:solidFill>
                <a:schemeClr val="accent4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3-D18C-47CF-86F7-3663867DD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0"/>
          <c:order val="0"/>
          <c:tx>
            <c:v>👥 Tilmeldingsantal</c:v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238-4AE8-833C-50ACD2F3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461-4B43-9D2E-D691F7067BB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0461-4B43-9D2E-D691F7067BB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DFA-4013-BFE9-192DEE76DF9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7FDB-407F-B8C1-55B813CFBB18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C29F-49C5-8BAF-E6F698AFBA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5-882E-450D-9775-AE6DB6711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38</c:v>
              </c:pt>
              <c:pt idx="2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01-D24D-4316-A0A4-A9873E135F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2E-4117-BD60-415BEACEDADF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2E-4117-BD60-415BEACEDAD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1-B69E-4075-9925-746751F15A7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00-4499-AFCC-6CE1AD6CB24C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97E-4E35-9724-AF4E54B3B3C9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3-9BEF-4A6C-B2DE-E5C2E55054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CAF-4A0B-9AEE-C0B602CD1DC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AF-4A0B-9AEE-C0B602CD1DCF}"/>
              </c:ext>
            </c:extLst>
          </c:dPt>
          <c:dPt>
            <c:idx val="2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EE-48E1-9986-AC4CC115A27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0-20AF-423B-9864-EC69A3AC464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90-4456-BC78-93008642FB49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C0-4E16-8C98-BB14A14EE9B3}"/>
              </c:ext>
            </c:extLst>
          </c:dPt>
          <c:dPt>
            <c:idx val="2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B5F-4EDA-B0D2-011089D4A0A7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0-1D34-49FC-99B3-F4A7BAB8C0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6B-4E4C-9368-A9E89A8E1C19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6B-4E4C-9368-A9E89A8E1C19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893D-4081-96E8-BDA685CDEC0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2570-4057-8D06-2982BFADCFC2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70-4057-8D06-2982BFADCFC2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0-90FD-49D0-8EA2-23840D86ECC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0401-4122-955A-F338B207C9C8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01-4122-955A-F338B207C9C8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Ny</c:v>
              </c:pt>
              <c:pt idx="1">
                <c:v>🔃 Tidligere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3F9-4725-9AC2-C5AC1411FCC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69-4885-9EF5-B624E69BCC1E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69-4885-9EF5-B624E69BCC1E}"/>
              </c:ext>
            </c:extLst>
          </c:dPt>
          <c:dPt>
            <c:idx val="2"/>
            <c:bubble3D val="0"/>
            <c:spPr>
              <a:solidFill>
                <a:schemeClr val="accent4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7E-42A1-81AB-CB195F442A33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4EFB-415E-BBC8-558482FE1C1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</xdr:row>
      <xdr:rowOff>59053</xdr:rowOff>
    </xdr:from>
    <xdr:to>
      <xdr:col>3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3808</xdr:rowOff>
    </xdr:from>
    <xdr:to>
      <xdr:col>1</xdr:col>
      <xdr:colOff>7080</xdr:colOff>
      <xdr:row>127</xdr:row>
      <xdr:rowOff>9568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K: Deltager-ID">
              <a:extLst>
                <a:ext uri="{FF2B5EF4-FFF2-40B4-BE49-F238E27FC236}">
                  <a16:creationId xmlns:a16="http://schemas.microsoft.com/office/drawing/2014/main" id="{A748E4E8-9B81-4E6C-919D-0C38DE89758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Deltager-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8688"/>
              <a:ext cx="4320000" cy="225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160020</xdr:rowOff>
    </xdr:from>
    <xdr:to>
      <xdr:col>3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9</xdr:row>
      <xdr:rowOff>22860</xdr:rowOff>
    </xdr:from>
    <xdr:to>
      <xdr:col>3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14</xdr:row>
      <xdr:rowOff>45720</xdr:rowOff>
    </xdr:from>
    <xdr:to>
      <xdr:col>3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20</xdr:row>
      <xdr:rowOff>137160</xdr:rowOff>
    </xdr:from>
    <xdr:to>
      <xdr:col>3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15</xdr:row>
      <xdr:rowOff>114300</xdr:rowOff>
    </xdr:from>
    <xdr:to>
      <xdr:col>5</xdr:col>
      <xdr:colOff>1440</xdr:colOff>
      <xdr:row>21</xdr:row>
      <xdr:rowOff>169020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K: Billettype">
              <a:extLst>
                <a:ext uri="{FF2B5EF4-FFF2-40B4-BE49-F238E27FC236}">
                  <a16:creationId xmlns:a16="http://schemas.microsoft.com/office/drawing/2014/main" id="{5C3EFB37-B53C-4D16-B2C8-99848B256EB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30708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28</xdr:row>
      <xdr:rowOff>114300</xdr:rowOff>
    </xdr:from>
    <xdr:to>
      <xdr:col>5</xdr:col>
      <xdr:colOff>1440</xdr:colOff>
      <xdr:row>34</xdr:row>
      <xdr:rowOff>169020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544830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22</xdr:row>
      <xdr:rowOff>22860</xdr:rowOff>
    </xdr:from>
    <xdr:to>
      <xdr:col>5</xdr:col>
      <xdr:colOff>1440</xdr:colOff>
      <xdr:row>28</xdr:row>
      <xdr:rowOff>77580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42595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40</xdr:row>
      <xdr:rowOff>45720</xdr:rowOff>
    </xdr:from>
    <xdr:to>
      <xdr:col>5</xdr:col>
      <xdr:colOff>1440</xdr:colOff>
      <xdr:row>46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75742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46</xdr:row>
      <xdr:rowOff>137160</xdr:rowOff>
    </xdr:from>
    <xdr:to>
      <xdr:col>5</xdr:col>
      <xdr:colOff>1440</xdr:colOff>
      <xdr:row>63</xdr:row>
      <xdr:rowOff>52200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8763000"/>
              <a:ext cx="2196000" cy="30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63</xdr:row>
      <xdr:rowOff>83820</xdr:rowOff>
    </xdr:from>
    <xdr:to>
      <xdr:col>5</xdr:col>
      <xdr:colOff>1440</xdr:colOff>
      <xdr:row>68</xdr:row>
      <xdr:rowOff>69420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1181862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1440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K: År">
              <a:extLst>
                <a:ext uri="{FF2B5EF4-FFF2-40B4-BE49-F238E27FC236}">
                  <a16:creationId xmlns:a16="http://schemas.microsoft.com/office/drawing/2014/main" id="{74421C5A-4D04-43FD-AC31-563657C988A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944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9</xdr:row>
      <xdr:rowOff>22860</xdr:rowOff>
    </xdr:from>
    <xdr:to>
      <xdr:col>5</xdr:col>
      <xdr:colOff>1440</xdr:colOff>
      <xdr:row>15</xdr:row>
      <xdr:rowOff>77580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18821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35</xdr:row>
      <xdr:rowOff>22860</xdr:rowOff>
    </xdr:from>
    <xdr:to>
      <xdr:col>5</xdr:col>
      <xdr:colOff>1440</xdr:colOff>
      <xdr:row>40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5240" y="663702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27694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890.995399537038" createdVersion="3" refreshedVersion="8" minRefreshableVersion="3" recordCount="0" tupleCache="1" xr:uid="{6F49D7C4-C737-47CF-8F80-E32EBC95A028}">
  <cacheSource type="external" connectionId="15"/>
  <cacheFields count="6">
    <cacheField name="[Measures].[MeasuresLevel]" caption="MeasuresLevel" numFmtId="0" hierarchy="31">
      <sharedItems count="18">
        <s v="[Measures].[👤 Laveste rating Ping Pong]" c="👤 Laveste rating Ping Pong"/>
        <s v="[Measures].[💲 Billetpris]" c="💲 Billetpris"/>
        <s v="[Measures].[👥 Tilmeldingsantal]" c="👥 Tilmeldingsantal"/>
        <s v="[Measures].[🎫 Billetantal maks.]" c="🎫 Billetantal maks."/>
        <s v="[Measures].[👥 Aktuel tilmeldingsantal]" c="👥 Aktuel tilmeldingsantal"/>
        <s v="[Measures].[👤 Rating min.]" c="👤 Rating min."/>
        <s v="[Measures].[👥 Aktuel rating gns.]" c="👥 Aktuel rating gns."/>
        <s v="[Measures].[👤 Aktuel rating maks.]" c="👤 Aktuel rating maks."/>
        <s v="[Measures].[🛖 Aktuel klubantal]" c="🛖 Aktuel klubantal"/>
        <s v="[Measures].[👤 Højeste rating Ping Pong]" c="👤 Højeste rating Ping Pong"/>
        <s v="[Measures].[👥 Tilmeldingsantal (kun med klub)]" c="👥 Tilmeldingsantal (kun med klub)"/>
        <s v="[Measures].[👥 Aktuel tilmeldingsantal (kun med klub)]" c="👥 Aktuel tilmeldingsantal (kun med klub)"/>
        <s v="[Measures].[👤 Aktuel alder min.]" c="👤 Aktuel alder min."/>
        <s v="[Measures].[👥 Aktuel alder gns.]" c="👥 Aktuel alder gns."/>
        <s v="[Measures].[👤 Aktuel alder maks.]" c="👤 Aktuel alder maks."/>
        <s v="[Measures].[🔃 Sidst opdateret]" c="🔃 Sidst opdateret"/>
        <s v="[Measures].[🎁 Ældst Ping Pong]" c="🎁 Ældst Ping Pong"/>
        <s v="[Measures].[🎁 Yngst Ping Pong]" c="🎁 Yngst Ping Pong"/>
      </sharedItems>
    </cacheField>
    <cacheField name="[Billettype_d1].[K: Billettype emoji].[K: Billettype emoji]" caption="K: Billettype emoji" numFmtId="0" hierarchy="3" level="1">
      <sharedItems count="2">
        <s v="[Billettype_d1].[K: Billettype emoji].&amp;[🥳]" c="🥳"/>
        <s v="[Billettype_d1].[K: Billettype emoji].&amp;[🏓]" c="🏓"/>
      </sharedItems>
    </cacheField>
    <cacheField name="[Aldersgruppe_d2].[K: Aldersgruppe].[K: Aldersgruppe]" caption="K: Aldersgruppe" numFmtId="0" level="1">
      <sharedItems count="3">
        <s v="[Aldersgruppe_d2].[K: Aldersgruppe].&amp;[[&lt;=17]] Ungdom]" c="[&lt;=17] Ungdom"/>
        <s v="[Aldersgruppe_d2].[K: Aldersgruppe].&amp;[[&lt;=39]] Senior]" c="[&lt;=39] Senior"/>
        <s v="[Aldersgruppe_d2].[K: Aldersgruppe].&amp;[[&gt;=40]] Veteran]" c="[&gt;=40] Veteran"/>
      </sharedItems>
    </cacheField>
    <cacheField name="[Køn_d2].[K: Køn emoji].[K: Køn emoji]" caption="K: Køn emoji" numFmtId="0" hierarchy="29" level="1">
      <sharedItems count="2">
        <s v="[Køn_d2].[K: Køn emoji].&amp;[♂]" c="♂"/>
        <s v="[Køn_d2].[K: Køn emoji].&amp;[♀]" c="♀"/>
      </sharedItems>
    </cacheField>
    <cacheField name="[Landsdel_d3].[K: Landsdel].[K: Landsdel]" caption="K: Landsdel" numFmtId="0" hierarchy="30" level="1">
      <sharedItems count="4">
        <s v="[Landsdel_d3].[K: Landsdel].&amp;[Jylland]" c="Jylland"/>
        <s v="[Landsdel_d3].[K: Landsdel].&amp;[Fyn]" c="Fyn"/>
        <s v="[Landsdel_d3].[K: Landsdel].&amp;[Sjælland]" c="Sjælland"/>
        <s v="[Landsdel_d3].[K: Landsdel].&amp;[Bornholm]" c="Bornholm"/>
      </sharedItems>
    </cacheField>
    <cacheField name="[Ratinggruppe_d2].[K: Ratinggruppe].[K: Ratinggruppe]" caption="K: Ratinggruppe" numFmtId="0" hierarchy="32" level="1">
      <sharedItems count="2">
        <s v="[Ratinggruppe_d2].[K: Ratinggruppe].&amp;[[&gt;=2000]] Elite]" c="[&gt;=2000] Elite"/>
        <s v="[Ratinggruppe_d2].[K: Ratinggruppe].&amp;[[&lt;=1999]] Ikke-elite]" c="[&lt;=1999] Ikke-elite"/>
      </sharedItems>
    </cacheField>
  </cacheFields>
  <cacheHierarchies count="160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2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2" memberValueDatatype="130" unbalanced="0">
      <fieldsUsage count="2">
        <fieldUsage x="-1"/>
        <fieldUsage x="1"/>
      </fieldsUsage>
    </cacheHierarchy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2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2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2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2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/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2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2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2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2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2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2" memberValueDatatype="130" unbalanced="0">
      <fieldsUsage count="2">
        <fieldUsage x="-1"/>
        <fieldUsage x="3"/>
      </fieldsUsage>
    </cacheHierarchy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4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5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2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2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2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2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2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2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2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2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2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2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2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2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2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2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2].[Nr.]" caption="Nr." attribute="1" defaultMemberUniqueName="[Køn_d2].[Nr.].[All]" allUniqueName="[Køn_d2].[Nr.].[All]" dimensionUniqueName="[Køn_d2]" displayFolder="" count="2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2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2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2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2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73">
      <n v="150" in="0">
        <tpls c="2">
          <tpl fld="1" item="0"/>
          <tpl fld="0" item="1"/>
        </tpls>
      </n>
      <n v="14" in="1">
        <tpls c="2">
          <tpl fld="2" item="0"/>
          <tpl fld="0" item="2"/>
        </tpls>
      </n>
      <n v="75" in="1">
        <tpls c="1">
          <tpl fld="0" item="2"/>
        </tpls>
      </n>
      <n v="43" in="1">
        <tpls c="2">
          <tpl fld="2" item="1"/>
          <tpl fld="0" item="2"/>
        </tpls>
      </n>
      <n v="18" in="1">
        <tpls c="2">
          <tpl fld="2" item="2"/>
          <tpl fld="0" item="2"/>
        </tpls>
      </n>
      <n v="200" in="1">
        <tpls c="2">
          <tpl fld="1" item="0"/>
          <tpl fld="0" item="3"/>
        </tpls>
      </n>
      <n v="54" in="2">
        <tpls c="2">
          <tpl fld="3" item="0"/>
          <tpl fld="0" item="4"/>
        </tpls>
      </n>
      <n v="60" in="2">
        <tpls c="1">
          <tpl fld="0" item="4"/>
        </tpls>
      </n>
      <n v="6" in="2">
        <tpls c="2">
          <tpl fld="3" item="1"/>
          <tpl fld="0" item="4"/>
        </tpls>
      </n>
      <n v="8" in="2">
        <tpls c="2">
          <tpl fld="2" item="0"/>
          <tpl fld="0" item="4"/>
        </tpls>
      </n>
      <n v="38" in="2">
        <tpls c="2">
          <tpl fld="2" item="1"/>
          <tpl fld="0" item="4"/>
        </tpls>
      </n>
      <n v="14" in="2">
        <tpls c="2">
          <tpl fld="2" item="2"/>
          <tpl fld="0" item="4"/>
        </tpls>
      </n>
      <n v="1139" in="2">
        <tpls c="2">
          <tpl fld="1" item="0"/>
          <tpl fld="0" item="5"/>
        </tpls>
      </n>
      <n v="2125.8235294117649" in="2">
        <tpls c="2">
          <tpl fld="1" item="0"/>
          <tpl fld="0" item="6"/>
        </tpls>
      </n>
      <n v="2587" in="2">
        <tpls c="2">
          <tpl fld="1" item="0"/>
          <tpl fld="0" item="7"/>
        </tpls>
      </n>
      <n v="16" in="2">
        <tpls c="2">
          <tpl fld="1" item="1"/>
          <tpl fld="0" item="8"/>
        </tpls>
      </n>
      <n v="125" in="0">
        <tpls c="2">
          <tpl fld="1" item="1"/>
          <tpl fld="0" item="1"/>
        </tpls>
      </n>
      <n v="56" in="1">
        <tpls c="2">
          <tpl fld="4" item="0"/>
          <tpl fld="0" item="10"/>
        </tpls>
      </n>
      <n v="69" in="1">
        <tpls c="1">
          <tpl fld="0" item="10"/>
        </tpls>
      </n>
      <n v="4" in="1">
        <tpls c="2">
          <tpl fld="4" item="1"/>
          <tpl fld="0" item="10"/>
        </tpls>
      </n>
      <n v="9" in="1">
        <tpls c="2">
          <tpl fld="4" item="2"/>
          <tpl fld="0" item="10"/>
        </tpls>
      </n>
      <m in="1">
        <tpls c="2">
          <tpl fld="4" item="3"/>
          <tpl fld="0" item="10"/>
        </tpls>
      </m>
      <n v="11" in="2">
        <tpls c="2">
          <tpl fld="1" item="0"/>
          <tpl fld="0" item="8"/>
        </tpls>
      </n>
      <n v="48" in="2">
        <tpls c="2">
          <tpl fld="1" item="1"/>
          <tpl fld="0" item="4"/>
        </tpls>
      </n>
      <n v="8" in="2">
        <tpls c="3">
          <tpl fld="2" item="0"/>
          <tpl fld="1" item="1"/>
          <tpl fld="0" item="4"/>
        </tpls>
      </n>
      <n v="26" in="2">
        <tpls c="3">
          <tpl fld="2" item="1"/>
          <tpl fld="1" item="1"/>
          <tpl fld="0" item="4"/>
        </tpls>
      </n>
      <n v="14" in="2">
        <tpls c="3">
          <tpl fld="2" item="2"/>
          <tpl fld="1" item="1"/>
          <tpl fld="0" item="4"/>
        </tpls>
      </n>
      <n v="49" in="2">
        <tpls c="2">
          <tpl fld="4" item="0"/>
          <tpl fld="0" item="11"/>
        </tpls>
      </n>
      <n v="54" in="2">
        <tpls c="1">
          <tpl fld="0" item="11"/>
        </tpls>
      </n>
      <m in="2">
        <tpls c="2">
          <tpl fld="4" item="1"/>
          <tpl fld="0" item="11"/>
        </tpls>
      </m>
      <n v="5" in="2">
        <tpls c="2">
          <tpl fld="4" item="2"/>
          <tpl fld="0" item="11"/>
        </tpls>
      </n>
      <m in="2">
        <tpls c="2">
          <tpl fld="4" item="3"/>
          <tpl fld="0" item="11"/>
        </tpls>
      </m>
      <n v="42" in="2">
        <tpls c="2">
          <tpl fld="1" item="0"/>
          <tpl fld="0" item="4"/>
        </tpls>
      </n>
      <n v="10" in="2">
        <tpls c="2">
          <tpl fld="1" item="1"/>
          <tpl fld="0" item="12"/>
        </tpls>
      </n>
      <n v="32.270833333333336" in="2">
        <tpls c="2">
          <tpl fld="1" item="1"/>
          <tpl fld="0" item="13"/>
        </tpls>
      </n>
      <n v="72" in="2">
        <tpls c="2">
          <tpl fld="1" item="1"/>
          <tpl fld="0" item="14"/>
        </tpls>
      </n>
      <n v="16" in="2">
        <tpls c="1">
          <tpl fld="0" item="8"/>
        </tpls>
      </n>
      <n v="41" in="2">
        <tpls c="3">
          <tpl fld="1" item="1"/>
          <tpl fld="4" item="0"/>
          <tpl fld="0" item="11"/>
        </tpls>
      </n>
      <n v="45" in="2">
        <tpls c="2">
          <tpl fld="1" item="1"/>
          <tpl fld="0" item="11"/>
        </tpls>
      </n>
      <m in="2">
        <tpls c="3">
          <tpl fld="1" item="1"/>
          <tpl fld="4" item="1"/>
          <tpl fld="0" item="11"/>
        </tpls>
      </m>
      <n v="4" in="2">
        <tpls c="3">
          <tpl fld="1" item="1"/>
          <tpl fld="4" item="2"/>
          <tpl fld="0" item="11"/>
        </tpls>
      </n>
      <m in="2">
        <tpls c="3">
          <tpl fld="1" item="1"/>
          <tpl fld="4" item="3"/>
          <tpl fld="0" item="11"/>
        </tpls>
      </m>
      <n v="96" in="1">
        <tpls c="2">
          <tpl fld="1" item="1"/>
          <tpl fld="0" item="3"/>
        </tpls>
      </n>
      <n v="19" in="2">
        <tpls c="2">
          <tpl fld="1" item="0"/>
          <tpl fld="0" item="12"/>
        </tpls>
      </n>
      <n v="31.571428571428573" in="2">
        <tpls c="2">
          <tpl fld="1" item="0"/>
          <tpl fld="0" item="13"/>
        </tpls>
      </n>
      <n v="72" in="2">
        <tpls c="2">
          <tpl fld="1" item="0"/>
          <tpl fld="0" item="14"/>
        </tpls>
      </n>
      <n v="914" in="2">
        <tpls c="2">
          <tpl fld="1" item="1"/>
          <tpl fld="0" item="5"/>
        </tpls>
      </n>
      <n v="1985.2954545454545" in="2">
        <tpls c="2">
          <tpl fld="1" item="1"/>
          <tpl fld="0" item="6"/>
        </tpls>
      </n>
      <n v="2587" in="2">
        <tpls c="2">
          <tpl fld="1" item="1"/>
          <tpl fld="0" item="7"/>
        </tpls>
      </n>
      <n v="44890.995500115743">
        <tpls c="1">
          <tpl fld="0" item="15"/>
        </tpls>
      </n>
      <n v="10" in="2">
        <tpls c="1">
          <tpl fld="0" item="12"/>
        </tpls>
      </n>
      <n v="31.944444444444443" in="2">
        <tpls c="1">
          <tpl fld="0" item="13"/>
        </tpls>
      </n>
      <n v="72" in="2">
        <tpls c="1">
          <tpl fld="0" item="14"/>
        </tpls>
      </n>
      <n v="32" in="2">
        <tpls c="3">
          <tpl fld="1" item="0"/>
          <tpl fld="4" item="0"/>
          <tpl fld="0" item="11"/>
        </tpls>
      </n>
      <n v="36" in="2">
        <tpls c="2">
          <tpl fld="1" item="0"/>
          <tpl fld="0" item="11"/>
        </tpls>
      </n>
      <m in="2">
        <tpls c="3">
          <tpl fld="1" item="0"/>
          <tpl fld="4" item="1"/>
          <tpl fld="0" item="11"/>
        </tpls>
      </m>
      <n v="4" in="2">
        <tpls c="3">
          <tpl fld="1" item="0"/>
          <tpl fld="4" item="2"/>
          <tpl fld="0" item="11"/>
        </tpls>
      </n>
      <m in="2">
        <tpls c="3">
          <tpl fld="1" item="0"/>
          <tpl fld="4" item="3"/>
          <tpl fld="0" item="11"/>
        </tpls>
      </m>
      <n v="36" in="2">
        <tpls c="3">
          <tpl fld="1" item="0"/>
          <tpl fld="3" item="0"/>
          <tpl fld="0" item="4"/>
        </tpls>
      </n>
      <n v="6" in="2">
        <tpls c="3">
          <tpl fld="1" item="0"/>
          <tpl fld="3" item="1"/>
          <tpl fld="0" item="4"/>
        </tpls>
      </n>
      <n v="26" in="2">
        <tpls c="3">
          <tpl fld="1" item="0"/>
          <tpl fld="0" item="4"/>
          <tpl fld="5" item="0"/>
        </tpls>
      </n>
      <n v="16" in="2">
        <tpls c="3">
          <tpl fld="1" item="0"/>
          <tpl fld="0" item="4"/>
          <tpl fld="5" item="1"/>
        </tpls>
      </n>
      <m in="2">
        <tpls c="3">
          <tpl fld="2" item="0"/>
          <tpl fld="1" item="0"/>
          <tpl fld="0" item="4"/>
        </tpls>
      </m>
      <n v="35" in="2">
        <tpls c="3">
          <tpl fld="2" item="1"/>
          <tpl fld="1" item="0"/>
          <tpl fld="0" item="4"/>
        </tpls>
      </n>
      <n v="7" in="2">
        <tpls c="3">
          <tpl fld="2" item="2"/>
          <tpl fld="1" item="0"/>
          <tpl fld="0" item="4"/>
        </tpls>
      </n>
      <n v="28" in="2">
        <tpls c="3">
          <tpl fld="1" item="1"/>
          <tpl fld="0" item="4"/>
          <tpl fld="5" item="0"/>
        </tpls>
      </n>
      <n v="20" in="2">
        <tpls c="3">
          <tpl fld="1" item="1"/>
          <tpl fld="0" item="4"/>
          <tpl fld="5" item="1"/>
        </tpls>
      </n>
      <s v="Simon Nykjær-Fisher, BTK Viby (2587 rating) 🏓" in="4">
        <tpls c="1">
          <tpl fld="0" item="9"/>
        </tpls>
      </s>
      <n v="48" in="2">
        <tpls c="3">
          <tpl fld="1" item="1"/>
          <tpl fld="3" item="0"/>
          <tpl fld="0" item="4"/>
        </tpls>
      </n>
      <m in="2">
        <tpls c="3">
          <tpl fld="1" item="1"/>
          <tpl fld="3" item="1"/>
          <tpl fld="0" item="4"/>
        </tpls>
      </m>
      <s v="Amin Saad Al-Zayadi, Sisu/MBK (914 rating) 🏓" in="4">
        <tpls c="1">
          <tpl fld="0" item="0"/>
        </tpls>
      </s>
      <s v="Amin Saad Al-Zayadi, Sisu/MBK [10 år, 05-06-2012] 🏓" in="4">
        <tpls c="1">
          <tpl fld="0" item="17"/>
        </tpls>
      </s>
      <s v="Bent O. Jakobsen, Sisu/MBK [72 år, 08-09-1950] 🏓" in="4">
        <tpls c="1">
          <tpl fld="0" item="16"/>
        </tpls>
      </s>
    </entries>
    <queryCache count="32">
      <query mdx="[Measures].[👤 Laveste rating Ping Pong]">
        <tpls c="1">
          <tpl fld="0" item="0"/>
        </tpls>
      </query>
      <query mdx="[Billettype_d1].[K: Billettype emoji].&amp;[🥳]">
        <tpls c="1">
          <tpl fld="1" item="0"/>
        </tpls>
      </query>
      <query mdx="[Measures].[💲 Billetpris]">
        <tpls c="1">
          <tpl fld="0" item="1"/>
        </tpls>
      </query>
      <query mdx="[Aldersgruppe_d2].[K: Aldersgruppe].&amp;[[&lt;=17]] Ungdom]">
        <tpls c="1">
          <tpl fld="2" item="0"/>
        </tpls>
      </query>
      <query mdx="[Measures].[👥 Tilmeldingsantal]">
        <tpls c="1">
          <tpl fld="0" item="2"/>
        </tpls>
      </query>
      <query mdx="[Aldersgruppe_d2].[K: Aldersgruppe].&amp;[[&lt;=39]] Senior]">
        <tpls c="1">
          <tpl fld="2" item="1"/>
        </tpls>
      </query>
      <query mdx="[Aldersgruppe_d2].[K: Aldersgruppe].&amp;[[&gt;=40]] Veteran]">
        <tpls c="1">
          <tpl fld="2" item="2"/>
        </tpls>
      </query>
      <query mdx="[Measures].[🎫 Billetantal maks.]">
        <tpls c="1">
          <tpl fld="0" item="3"/>
        </tpls>
      </query>
      <query mdx="[Køn_d2].[K: Køn emoji].&amp;[♂]">
        <tpls c="1">
          <tpl fld="3" item="0"/>
        </tpls>
      </query>
      <query mdx="[Measures].[👥 Aktuel tilmeldingsantal]">
        <tpls c="1">
          <tpl fld="0" item="4"/>
        </tpls>
      </query>
      <query mdx="[Køn_d2].[K: Køn emoji].&amp;[♀]">
        <tpls c="1">
          <tpl fld="3" item="1"/>
        </tpls>
      </query>
      <query mdx="[Measures].[👤 Rating min.]">
        <tpls c="1">
          <tpl fld="0" item="5"/>
        </tpls>
      </query>
      <query mdx="[Measures].[👥 Aktuel rating gns.]">
        <tpls c="1">
          <tpl fld="0" item="6"/>
        </tpls>
      </query>
      <query mdx="[Measures].[👤 Aktuel rating maks.]">
        <tpls c="1">
          <tpl fld="0" item="7"/>
        </tpls>
      </query>
      <query mdx="[Billettype_d1].[K: Billettype emoji].&amp;[🏓]">
        <tpls c="1">
          <tpl fld="1" item="1"/>
        </tpls>
      </query>
      <query mdx="[Measures].[🛖 Aktuel klubantal]">
        <tpls c="1">
          <tpl fld="0" item="8"/>
        </tpls>
      </query>
      <query mdx="[Measures].[👤 Højeste rating Ping Pong]">
        <tpls c="1">
          <tpl fld="0" item="9"/>
        </tpls>
      </query>
      <query mdx="[Landsdel_d3].[K: Landsdel].&amp;[Jylland]">
        <tpls c="1">
          <tpl fld="4" item="0"/>
        </tpls>
      </query>
      <query mdx="[Measures].[👥 Tilmeldingsantal (kun med klub)]">
        <tpls c="1">
          <tpl fld="0" item="10"/>
        </tpls>
      </query>
      <query mdx="[Measures].[👥 Tilmeldingsantal (kun med klub)]]">
        <tpls c="1">
          <tpl fld="0" item="10"/>
        </tpls>
      </query>
      <query mdx="[Landsdel_d3].[K: Landsdel].&amp;[Fyn]">
        <tpls c="1">
          <tpl fld="4" item="1"/>
        </tpls>
      </query>
      <query mdx="[Landsdel_d3].[K: Landsdel].&amp;[Sjælland]">
        <tpls c="1">
          <tpl fld="4" item="2"/>
        </tpls>
      </query>
      <query mdx="[Landsdel_d3].[K: Landsdel].&amp;[Bornholm]">
        <tpls c="1">
          <tpl fld="4" item="3"/>
        </tpls>
      </query>
      <query mdx="[Measures].[👥 Aktuel tilmeldingsantal (kun med klub)]">
        <tpls c="1">
          <tpl fld="0" item="11"/>
        </tpls>
      </query>
      <query mdx="[Measures].[👤 Aktuel alder min.]">
        <tpls c="1">
          <tpl fld="0" item="12"/>
        </tpls>
      </query>
      <query mdx="[Measures].[👥 Aktuel alder gns.]">
        <tpls c="1">
          <tpl fld="0" item="13"/>
        </tpls>
      </query>
      <query mdx="[Measures].[👤 Aktuel alder maks.]">
        <tpls c="1">
          <tpl fld="0" item="14"/>
        </tpls>
      </query>
      <query mdx="[Measures].[🔃 Sidst opdateret]">
        <tpls c="1">
          <tpl fld="0" item="15"/>
        </tpls>
      </query>
      <query mdx="[Ratinggruppe_d2].[K: Ratinggruppe].&amp;[[&gt;=2000]] Elite]">
        <tpls c="1">
          <tpl fld="5" item="0"/>
        </tpls>
      </query>
      <query mdx="[Ratinggruppe_d2].[K: Ratinggruppe].&amp;[[&lt;=1999]] Ikke-Elite]">
        <tpls c="1">
          <tpl fld="5" item="1"/>
        </tpls>
      </query>
      <query mdx="[Measures].[🎁 Ældst Ping Pong]">
        <tpls c="1">
          <tpl fld="0" item="16"/>
        </tpls>
      </query>
      <query mdx="[Measures].[🎁 Yngst Ping Pong]">
        <tpls c="1">
          <tpl fld="0" item="17"/>
        </tpls>
      </query>
    </queryCache>
    <serverFormats count="5">
      <serverFormat format="&quot;kr.&quot; #,0;#,0 -&quot;kr.&quot;;&quot;kr.&quot; #,0"/>
      <serverFormat format="#,0"/>
      <serverFormat format="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05671296" createdVersion="6" refreshedVersion="8" minRefreshableVersion="3" recordCount="0" supportSubquery="1" supportAdvancedDrill="1" xr:uid="{19BDAD54-0A25-464C-8CCC-87C2766AD96B}">
  <cacheSource type="external" connectionId="15"/>
  <cacheFields count="39">
    <cacheField name="[Measures].[👥 Tilmeldingsantal]" caption="👥 Tilmeldingsantal" numFmtId="0" hierarchy="110" level="32767"/>
    <cacheField name="[Measures].[👥 Rating gns.]" caption="👥 Rating gns." numFmtId="0" hierarchy="96" level="32767"/>
    <cacheField name="[Measures].[🎫 Billetantal gns.]" caption="🎫 Billetantal gns." numFmtId="0" hierarchy="100" level="32767"/>
    <cacheField name="[Measures].[🛖 Klubantal]" caption="🛖 Klubantal" numFmtId="0" hierarchy="111" level="32767"/>
    <cacheField name="[Measures].[👥 Manglende deltagerantal*]" caption="👥 Manglende deltagerantal*" numFmtId="0" hierarchy="105" level="32767"/>
    <cacheField name="[Measures].[👤 Rating forskel]" caption="👤 Rating forskel" numFmtId="0" hierarchy="102" level="32767"/>
    <cacheField name="[Measures].[👥 Deltagerantal*]" caption="👥 Deltagerantal*" numFmtId="0" hierarchy="104" level="32767"/>
    <cacheField name="[Measures].[👤 Laveste rating]" caption="👤 Laveste rating" numFmtId="0" hierarchy="98" level="32767"/>
    <cacheField name="[Measures].[👤 Højeste rating]" caption="👤 Højeste rating" numFmtId="0" hierarchy="97" level="32767"/>
    <cacheField name="[Measures].[🎫 Billetantal maks.]" caption="🎫 Billetantal maks." numFmtId="0" hierarchy="112" level="32767"/>
    <cacheField name="[Measures].[🎫 Billetsalg]" caption="🎫 Billetsalg" numFmtId="0" hierarchy="109" level="32767"/>
    <cacheField name="[Measures].[🎫 Tilgængelige billetter]" caption="🎫 Tilgængelige billetter" numFmtId="0" hierarchy="118" level="32767"/>
    <cacheField name="[Measures].[👥 Tilmeldingsantal afbud]" caption="👥 Tilmeldingsantal afbud" numFmtId="0" hierarchy="131" level="32767"/>
    <cacheField name="[Measures].[🎫 Billetsalg afbud]" caption="🎫 Billetsalg afbud" numFmtId="0" hierarchy="132" level="32767"/>
    <cacheField name="[Measures].[💰 Omsætning]" caption="💰 Omsætning" numFmtId="0" hierarchy="84" level="32767"/>
    <cacheField name="[Measures].[💰 Arrangørpris]" caption="💰 Arrangørpris" numFmtId="0" hierarchy="85" level="32767"/>
    <cacheField name="[Measures].[💰 Over-/underskud arrangør]" caption="💰 Over-/underskud arrangør" numFmtId="0" hierarchy="83" level="32767"/>
    <cacheField name="[Measures].[👤 Yngst]" caption="👤 Yngst" numFmtId="0" hierarchy="91" level="32767"/>
    <cacheField name="[Measures].[👤 Ældst]" caption="👤 Ældst" numFmtId="0" hierarchy="86" level="32767"/>
    <cacheField name="[Measures].[👥 Alder forskel]" caption="👥 Alder forskel" numFmtId="0" hierarchy="101" level="32767"/>
    <cacheField name="[Measures].[👥 Alder gns.]" caption="👥 Alder gns." numFmtId="0" hierarchy="95" level="32767"/>
    <cacheField name="[Kalender].[K: År].[K: År]" caption="K: År" numFmtId="0" hierarchy="18" level="1">
      <sharedItems containsSemiMixedTypes="0" containsNonDate="0" containsString="0"/>
    </cacheField>
    <cacheField name="[Measures].[👥 Antal forskudte tilmeldinger]" caption="👥 Antal forskudte tilmeldinger" numFmtId="0" hierarchy="135" level="32767"/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2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3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2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2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1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6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2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2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3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2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2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6"/>
      </fieldsUsage>
    </cacheHierarchy>
    <cacheHierarchy uniqueName="[Measures].[💰 Omsætning]" caption="💰 Omsætning" measure="1" displayFolder="" measureGroup="Tilmeldinger_1f" count="0" oneField="1">
      <fieldsUsage count="1">
        <fieldUsage x="14"/>
      </fieldsUsage>
    </cacheHierarchy>
    <cacheHierarchy uniqueName="[Measures].[💰 Arrangørpris]" caption="💰 Arrangørpris" measure="1" displayFolder="" measureGroup="Tilmeldinger_1f" count="0" oneField="1">
      <fieldsUsage count="1">
        <fieldUsage x="15"/>
      </fieldsUsage>
    </cacheHierarchy>
    <cacheHierarchy uniqueName="[Measures].[👤 Ældst]" caption="👤 Ældst" measure="1" displayFolder="" measureGroup="Tilmeldinger_1f" count="0" oneField="1">
      <fieldsUsage count="1">
        <fieldUsage x="18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7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20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9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22"/>
      </fieldsUsage>
    </cacheHierarchy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3101852" createdVersion="6" refreshedVersion="8" minRefreshableVersion="3" recordCount="0" supportSubquery="1" supportAdvancedDrill="1" xr:uid="{6B2A7D0E-BEBB-4ABA-B891-1D109E9CB80B}">
  <cacheSource type="external" connectionId="15"/>
  <cacheFields count="30">
    <cacheField name="[Measures].[🎫 Ordreuge- og dato]" caption="🎫 Ordreuge- og dato" numFmtId="0" hierarchy="87" level="32767"/>
    <cacheField name="[Measures].[⠀👥 Køn⠀]" caption="⠀👥 Køn⠀" numFmtId="0" hierarchy="89" level="32767"/>
    <cacheField name="[Measures].[🎫 Tilmeldingstype]" caption="🎫 Tilmeldingstype" numFmtId="0" hierarchy="99" level="32767"/>
    <cacheField name="[Measures].[💪 Rating⠀⠀⠀⠀⠀⠀⠀⠀⠀⠀⠀⠀⠀⠀]" caption="💪 Rating⠀⠀⠀⠀⠀⠀⠀⠀⠀⠀⠀⠀⠀⠀" numFmtId="0" hierarchy="94" level="32767"/>
    <cacheField name="[Tilmeldinger_1f].[K: Tilmeldingsnr.].[K: Tilmeldingsnr.]" caption="K: Tilmeldingsnr." numFmtId="0" hierarchy="36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92" level="32767"/>
    <cacheField name="[Measures].[👥 Spillertype⠀⠀⠀⠀⠀⠀]" caption="👥 Spillertype⠀⠀⠀⠀⠀⠀" numFmtId="0" hierarchy="103" level="32767"/>
    <cacheField name="[Measures].[👤 Navn og bordtennisklub]" caption="👤 Navn og bordtennisklub" numFmtId="0" hierarchy="88" level="32767"/>
    <cacheField name="[Measures].[🔃 Gentilmeldinger]" caption="🔃 Gentilmeldinger" numFmtId="0" hierarchy="119" level="32767"/>
    <cacheField name="[Measures].[💰 Omsætning]" caption="💰 Omsætning" numFmtId="0" hierarchy="84" level="32767"/>
    <cacheField name="[Measures].[💰 Arrangørpris]" caption="💰 Arrangørpris" numFmtId="0" hierarchy="85" level="32767"/>
    <cacheField name="[Measures].[💰 Over-/underskud arrangør]" caption="💰 Over-/underskud arrangør" numFmtId="0" hierarchy="83" level="32767"/>
    <cacheField name="[Measures].[📅 Fødselsdato og alder⠀⠀⠀⠀⠀⠀⠀]" caption="📅 Fødselsdato og alder⠀⠀⠀⠀⠀⠀⠀" numFmtId="0" hierarchy="9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2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4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22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14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16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9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13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5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6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7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18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17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21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15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19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8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3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1"/>
      </fieldsUsage>
    </cacheHierarchy>
    <cacheHierarchy uniqueName="[Measures].[💰 Omsætning]" caption="💰 Omsætning" measure="1" displayFolder="" measureGroup="Tilmeldinger_1f" count="0" oneField="1">
      <fieldsUsage count="1">
        <fieldUsage x="9"/>
      </fieldsUsage>
    </cacheHierarchy>
    <cacheHierarchy uniqueName="[Measures].[💰 Arrangørpris]" caption="💰 Arrangørpris" measure="1" displayFolder="" measureGroup="Tilmeldinger_1f" count="0" oneField="1">
      <fieldsUsage count="1">
        <fieldUsage x="10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12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01504631" createdVersion="3" refreshedVersion="8" minRefreshableVersion="3" recordCount="0" supportSubquery="1" supportAdvancedDrill="1" xr:uid="{C9C49E79-F4EC-42D0-B6E7-1DE77A59FC2E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/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63322984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07291666" createdVersion="5" refreshedVersion="8" minRefreshableVersion="3" recordCount="0" supportSubquery="1" supportAdvancedDrill="1" xr:uid="{8E39FEBF-F94B-4706-BDD0-3131F488D41B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 (inkl. afbud)]" caption="👥 Tilmeldingsantal (inkl. afbud)" numFmtId="0" hierarchy="129" level="32767"/>
    <cacheField name="[Tilmeldingsstatus_d1].[K: Tilmeldingsstatus simpel].[K: Tilmeldingsstatus simpel]" caption="K: Tilmeldingsstatus simpel" numFmtId="0" hierarchy="39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08912037" createdVersion="5" refreshedVersion="8" minRefreshableVersion="3" recordCount="0" supportSubquery="1" supportAdvancedDrill="1" xr:uid="{38488E03-325E-427F-A526-60E90893B24A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Klokkeslætsinterval_d1].[K: Klokkeslætsinterval].[K: Klokkeslætsinterval]" caption="K: Klokkeslætsinterval" numFmtId="0" hierarchy="27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0648145" createdVersion="5" refreshedVersion="8" minRefreshableVersion="3" recordCount="0" supportSubquery="1" supportAdvancedDrill="1" xr:uid="{A9F9864F-6AE8-44CE-A22B-4D8AFC6E232D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]" caption="👥 Tilmeldingsantal" numFmtId="0" hierarchy="110" level="32767"/>
    <cacheField name="[Bordtennisklub_d2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2].[K: Bordtennisklub].&amp;[Amager BTK]"/>
            <x15:cachedUniqueName index="1" name="[Bordtennisklub_d2].[K: Bordtennisklub].&amp;[Brønderslev]"/>
            <x15:cachedUniqueName index="2" name="[Bordtennisklub_d2].[K: Bordtennisklub].&amp;[BTK Midtjylland]"/>
            <x15:cachedUniqueName index="3" name="[Bordtennisklub_d2].[K: Bordtennisklub].&amp;[BTK Tateni]"/>
            <x15:cachedUniqueName index="4" name="[Bordtennisklub_d2].[K: Bordtennisklub].&amp;[BTK Viby]"/>
            <x15:cachedUniqueName index="5" name="[Bordtennisklub_d2].[K: Bordtennisklub].&amp;[Esbjerg BTK]"/>
            <x15:cachedUniqueName index="6" name="[Bordtennisklub_d2].[K: Bordtennisklub].&amp;[Hillerød GI]"/>
            <x15:cachedUniqueName index="7" name="[Bordtennisklub_d2].[K: Bordtennisklub].&amp;[Holbæk BTK]"/>
            <x15:cachedUniqueName index="8" name="[Bordtennisklub_d2].[K: Bordtennisklub].&amp;[Hvidovre BTK]"/>
            <x15:cachedUniqueName index="9" name="[Bordtennisklub_d2].[K: Bordtennisklub].&amp;[Hørning BTK]"/>
            <x15:cachedUniqueName index="10" name="[Bordtennisklub_d2].[K: Bordtennisklub].&amp;[Rønde BTK]"/>
            <x15:cachedUniqueName index="11" name="[Bordtennisklub_d2].[K: Bordtennisklub].&amp;[Silkeborg BTK]"/>
            <x15:cachedUniqueName index="12" name="[Bordtennisklub_d2].[K: Bordtennisklub].&amp;[Sisu/MBK]"/>
            <x15:cachedUniqueName index="13" name="[Bordtennisklub_d2].[K: Bordtennisklub].&amp;[Sjørring BTK]"/>
            <x15:cachedUniqueName index="14" name="[Bordtennisklub_d2].[K: Bordtennisklub].&amp;[Team Nørreå]"/>
            <x15:cachedUniqueName index="15" name="[Bordtennisklub_d2].[K: Bordtennisklub].&amp;[Vejle BTK]"/>
            <x15:cachedUniqueName index="16" name="[Bordtennisklub_d2].[K: Bordtennisklub].&amp;[(Ingen klub)]"/>
          </x15:cachedUniqueNames>
        </ext>
      </extLst>
    </cacheField>
    <cacheField name="[Kalender].[K: År].[K: År]" caption="K: År" numFmtId="0" hierarchy="18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1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4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6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5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3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7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2152777" createdVersion="5" refreshedVersion="8" minRefreshableVersion="3" recordCount="0" supportSubquery="1" supportAdvancedDrill="1" xr:uid="{68F56D76-71E7-40D8-B56D-7B20F68071ED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21">
    <cacheField name="[Measures].[🎫 Billetsalg]" caption="🎫 Billetsalg" numFmtId="0" hierarchy="109" level="32767"/>
    <cacheField name="[Billettype_d1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1].[K: Billettype emoji].&amp;[🏓]"/>
            <x15:cachedUniqueName index="1" name="[Billettype_d1].[K: Billettype emoji].&amp;[🥳]"/>
          </x15:cachedUniqueNames>
        </ext>
      </extLst>
    </cacheField>
    <cacheField name="[Measures].[🎫 Tilgængelige billetter]" caption="🎫 Tilgængelige billetter" numFmtId="0" hierarchy="118" level="32767"/>
    <cacheField name="[Measures].[🎫 Billetsalg afbud]" caption="🎫 Billetsalg afbud" numFmtId="0" hierarchy="132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1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5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3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2" memberValueDatatype="130" unbalanced="0">
      <fieldsUsage count="2">
        <fieldUsage x="-1"/>
        <fieldUsage x="1"/>
      </fieldsUsage>
    </cacheHierarchy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5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7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4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6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7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8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9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8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2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6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10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9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4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2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3773147" createdVersion="5" refreshedVersion="8" minRefreshableVersion="3" recordCount="0" supportSubquery="1" supportAdvancedDrill="1" xr:uid="{E242B6F6-6DA2-4ED8-81EE-2752F2DB8226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Landsdel_d3].[K: Landsdel].[K: Landsdel]" caption="K: Landsdel" numFmtId="0" hierarchy="30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3].[K: Landsdel].&amp;[Jylland]"/>
            <x15:cachedUniqueName index="1" name="[Landsdel_d3].[K: Landsdel].&amp;[Sjælland]"/>
            <x15:cachedUniqueName index="2" name="[Landsdel_d3].[K: Landsdel].&amp;[(Ukendt landsdel)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6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0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7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5393518" createdVersion="5" refreshedVersion="8" minRefreshableVersion="3" recordCount="0" supportSubquery="1" supportAdvancedDrill="1" xr:uid="{11EA0C68-D874-40B1-9E98-33C987727DA0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👥 Tilmeldingsantal]" caption="👥 Tilmeldingsantal" numFmtId="0" hierarchy="110" level="32767"/>
    <cacheField name="[Kalender].[K: Uge].[K: Uge]" caption="K: Uge" numFmtId="0" hierarchy="26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  <cacheField name="Dummy0" numFmtId="0" hierarchy="15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0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7013888" createdVersion="5" refreshedVersion="8" minRefreshableVersion="3" recordCount="0" supportSubquery="1" supportAdvancedDrill="1" xr:uid="{F8979820-EA76-41A1-9D5D-1F2B85A7961C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Region_d3].[K: Region].[K: Region]" caption="K: Region" numFmtId="0" hierarchy="32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3].[K: Region].&amp;[Region Nordjylland]"/>
            <x15:cachedUniqueName index="1" name="[Region_d3].[K: Region].&amp;[Region Midtjylland]"/>
            <x15:cachedUniqueName index="2" name="[Region_d3].[K: Region].&amp;[Region Syddanmark]"/>
            <x15:cachedUniqueName index="3" name="[Region_d3].[K: Region].&amp;[Region Sjælland]"/>
            <x15:cachedUniqueName index="4" name="[Region_d3].[K: Region].&amp;[Region Hovedstaden]"/>
            <x15:cachedUniqueName index="5" name="[Region_d3].[K: Region].&amp;[(Ukendt region)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4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6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5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0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7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18634258" createdVersion="5" refreshedVersion="8" minRefreshableVersion="3" recordCount="0" supportSubquery="1" supportAdvancedDrill="1" xr:uid="{5DB229D8-85DB-4BD8-8033-C92DFE0D9C59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]" caption="👥 Tilmeldingsantal" numFmtId="0" hierarchy="110" level="32767"/>
    <cacheField name="[Aldersgruppe_d2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2].[K: Aldersgruppe].&amp;[[&lt;=17]] Ungdom]"/>
            <x15:cachedUniqueName index="1" name="[Aldersgruppe_d2].[K: Aldersgruppe].&amp;[[&lt;=39]] Senior]"/>
            <x15:cachedUniqueName index="2" name="[Aldersgruppe_d2].[K: Aldersgruppe].&amp;[[&gt;=40]] Veteran]"/>
          </x15:cachedUniqueNames>
        </ext>
      </extLst>
    </cacheField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0254629" createdVersion="5" refreshedVersion="8" minRefreshableVersion="3" recordCount="0" supportSubquery="1" supportAdvancedDrill="1" xr:uid="{D3F3A31F-E1C7-4416-836D-7548814C3969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]" caption="👥 Tilmeldingsantal" numFmtId="0" hierarchy="110" level="32767"/>
    <cacheField name="[Ratinggruppe_d2].[K: Ratinggruppe].[K: Ratinggruppe]" caption="K: Ratinggruppe" numFmtId="0" hierarchy="31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2].[K: Ratinggruppe].&amp;[[&gt;=2000]] Elite]"/>
            <x15:cachedUniqueName index="1" name="[Ratinggruppe_d2].[K: Ratinggruppe].&amp;[[&lt;=1999]] Ikke-elite]"/>
          </x15:cachedUniqueNames>
        </ext>
      </extLst>
    </cacheField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1874999" createdVersion="5" refreshedVersion="8" minRefreshableVersion="3" recordCount="0" supportSubquery="1" supportAdvancedDrill="1" xr:uid="{8FF1ABD6-F53E-4851-80A8-320F32D60DAB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Spillertype_d2].[K: Spillertype].[K: Spillertype]" caption="K: Spillertype" numFmtId="0" hierarchy="33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2].[K: Spillertype].&amp;[🏓 Bordtennisspiller]"/>
            <x15:cachedUniqueName index="1" name="[Spillertype_d2].[K: Spillertype].&amp;[👤 Ikke-bordtennisspiller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0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3495369" createdVersion="5" refreshedVersion="8" minRefreshableVersion="3" recordCount="0" supportSubquery="1" supportAdvancedDrill="1" xr:uid="{9AC16935-1118-405E-A038-7890BED1C47E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511574" createdVersion="5" refreshedVersion="8" minRefreshableVersion="3" recordCount="0" supportSubquery="1" supportAdvancedDrill="1" xr:uid="{279DF962-426D-447F-A6E7-F1EC19AEFFA0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Tilmeldingstype_d1].[K: Tilmeldingstype].[K: Tilmeldingstype]" caption="K: Tilmeldingstype" numFmtId="0" hierarchy="40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673611" createdVersion="5" refreshedVersion="8" minRefreshableVersion="3" recordCount="0" supportSubquery="1" supportAdvancedDrill="1" xr:uid="{DD1662C2-60CA-4A31-8F61-9F59A6349E44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Køn_d2].[K: Køn].[K: Køn]" caption="K: Køn" numFmtId="0" hierarchy="28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2].[K: Køn].&amp;[♂️ Herre]"/>
            <x15:cachedUniqueName index="1" name="[Køn_d2].[K: Køn].&amp;[♀️ Dame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  <cacheField name="[Gentilmeldinger_d1].[K: Gentilmeldinger].[K: Gentilmeldinger]" caption="K: Gentilmeldinger" numFmtId="0" hierarchy="15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2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0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5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0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9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7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890.99542835648" createdVersion="5" refreshedVersion="8" minRefreshableVersion="3" recordCount="0" supportSubquery="1" supportAdvancedDrill="1" xr:uid="{7C74463D-1FED-481B-9CCD-E56CA05FC30B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Gentilmeldinger_d1].[K: Gentilmeldinger].[K: Gentilmeldinger]" caption="K: Gentilmeldinger" numFmtId="0" hierarchy="15" level="1">
      <sharedItems count="2">
        <s v="🆕 Ny"/>
        <s v="🔃 Tidligere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Ny]"/>
            <x15:cachedUniqueName index="1" name="[Gentilmeldinger_d1].[K: Gentilmeldinger].&amp;[🔃 Tidligere]"/>
          </x15:cachedUniqueNames>
        </ext>
      </extLst>
    </cacheField>
    <cacheField name="[Measures].[👥 Tilmeldingsantal]" caption="👥 Tilmeldingsantal" numFmtId="0" hierarchy="110" level="32767"/>
    <cacheField name="[Kalender].[K: År].[K: År]" caption="K: År" numFmtId="0" hierarchy="18" level="1">
      <sharedItems containsSemiMixedTypes="0" containsNonDate="0" containsString="0"/>
    </cacheField>
    <cacheField name="[Bordtennisklub_d2].[K: Bordtennisklub].[K: Bordtennisklub]" caption="K: Bordtennisklub" numFmtId="0" hierarchy="4" level="1">
      <sharedItems containsSemiMixedTypes="0" containsNonDate="0" containsString="0"/>
    </cacheField>
    <cacheField name="[Region_d3].[K: Region].[K: Region]" caption="K: Region" numFmtId="0" hierarchy="32" level="1">
      <sharedItems containsSemiMixedTypes="0" containsNonDate="0" containsString="0"/>
    </cacheField>
    <cacheField name="[Deltagere_d1].[K: Deltager-ID].[K: Deltager-ID]" caption="K: Deltager-ID" numFmtId="0" hierarchy="9" level="1">
      <sharedItems containsSemiMixedTypes="0" containsNonDate="0" containsString="0"/>
    </cacheField>
    <cacheField name="[Landsdel_d3].[K: Landsdel].[K: Landsdel]" caption="K: Landsdel" numFmtId="0" hierarchy="30" level="1">
      <sharedItems containsSemiMixedTypes="0" containsNonDate="0" containsString="0"/>
    </cacheField>
    <cacheField name="[Køn_d2].[K: Køn].[K: Køn]" caption="K: Køn" numFmtId="0" hierarchy="28" level="1">
      <sharedItems containsSemiMixedTypes="0" containsNonDate="0" containsString="0"/>
    </cacheField>
    <cacheField name="[Spillertype_d2].[K: Spillertype].[K: Spillertype]" caption="K: Spillertype" numFmtId="0" hierarchy="33" level="1">
      <sharedItems containsSemiMixedTypes="0" containsNonDate="0" containsString="0"/>
    </cacheField>
    <cacheField name="[Aldersgruppe_d2].[K: Aldersgruppe].[K: Aldersgruppe]" caption="K: Aldersgruppe" numFmtId="0" level="1">
      <sharedItems containsSemiMixedTypes="0" containsNonDate="0" containsString="0"/>
    </cacheField>
    <cacheField name="[Ratinggruppe_d2].[K: Ratinggruppe].[K: Ratinggruppe]" caption="K: Ratinggruppe" numFmtId="0" hierarchy="31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[Tilmeldingstype_d1].[K: Tilmeldingstype].[K: Tilmeldingstype]" caption="K: Tilmeldingstype" numFmtId="0" hierarchy="40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24" level="1">
      <sharedItems containsSemiMixedTypes="0" containsNonDate="0" containsString="0"/>
    </cacheField>
    <cacheField name="[Kalender].[K: Uge og år].[K: Uge og år]" caption="K: Uge og år" numFmtId="0" hierarchy="25" level="1">
      <sharedItems containsSemiMixedTypes="0" containsNonDate="0" containsString="0"/>
    </cacheField>
    <cacheField name="[Klokkeslætsinterval_d1].[K: Klokkeslætsinterval].[K: Klokkeslætsinterval]" caption="K: Klokkeslætsinterval" numFmtId="0" hierarchy="27" level="1">
      <sharedItems containsSemiMixedTypes="0" containsNonDate="0" containsString="0"/>
    </cacheField>
    <cacheField name="[Tilmeldingsstatus_d1].[K: Tilmeldingsstatus].[K: Tilmeldingsstatus]" caption="K: Tilmeldingsstatus" numFmtId="0" hierarchy="37" level="1">
      <sharedItems containsSemiMixedTypes="0" containsNonDate="0" containsString="0"/>
    </cacheField>
  </cacheFields>
  <cacheHierarchies count="159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1"/>
      </fieldsUsage>
    </cacheHierarchy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3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Deltagere_d1].[K: Deltager-ID]" caption="K: Deltager-ID" attribute="1" defaultMemberUniqueName="[Deltagere_d1].[K: Deltager-ID].[All]" allUniqueName="[Deltagere_d1].[K: Deltager-ID].[All]" dimensionUniqueName="[Deltagere_d1]" displayFolder="" count="2" memberValueDatatype="130" unbalanced="0">
      <fieldsUsage count="2">
        <fieldUsage x="-1"/>
        <fieldUsage x="5"/>
      </fieldsUsage>
    </cacheHierarchy>
    <cacheHierarchy uniqueName="[Deltagere_d1].[K: Navn og bordtennisklub]" caption="K: Navn og bordtennisklub" attribute="1" defaultMemberUniqueName="[Deltagere_d1].[K: Navn og bordtennisklub].[All]" allUniqueName="[Deltagere_d1].[K: Navn og bordtennisklub].[All]" dimensionUniqueName="[Deltagere_d1]" displayFolder="" count="0" memberValueDatatype="130" unbalanced="0"/>
    <cacheHierarchy uniqueName="[Deltagere_d1].[K: Fødselsdato]" caption="K: Fødselsdato" attribute="1" time="1" defaultMemberUniqueName="[Deltagere_d1].[K: Fødselsdato].[All]" allUniqueName="[Deltagere_d1].[K: Fødselsdato].[All]" dimensionUniqueName="[Deltagere_d1]" displayFolder="" count="0" memberValueDatatype="7" unbalanced="0"/>
    <cacheHierarchy uniqueName="[Deltagere_d1].[K: Alder]" caption="K: Alder" attribute="1" defaultMemberUniqueName="[Deltagere_d1].[K: Alder].[All]" allUniqueName="[Deltagere_d1].[K: Alder].[All]" dimensionUniqueName="[Deltagere_d1]" displayFolder="" count="0" memberValueDatatype="20" unbalanced="0"/>
    <cacheHierarchy uniqueName="[Deltagere_d1].[K: Rating]" caption="K: Rating" attribute="1" defaultMemberUniqueName="[Deltagere_d1].[K: Rating].[All]" allUniqueName="[Deltagere_d1].[K: Rating].[All]" dimensionUniqueName="[Deltagere_d1]" displayFolder="" count="0" memberValueDatatype="130" unbalanced="0"/>
    <cacheHierarchy uniqueName="[Deltagere_d1].[K: Evt. rating (2)]" caption="K: Evt. rating (2)" attribute="1" defaultMemberUniqueName="[Deltagere_d1].[K: Evt. rating (2)].[All]" allUniqueName="[Deltagere_d1].[K: Evt. rating (2)].[All]" dimensionUniqueName="[Deltagere_d1]" displayFolder="" count="0" memberValueDatatype="2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>
      <fieldsUsage count="2">
        <fieldUsage x="-1"/>
        <fieldUsage x="2"/>
      </fieldsUsage>
    </cacheHierarchy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7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6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0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4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8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Billettype]" caption="K: Billettype" attribute="1" defaultMemberUniqueName="[Tilmeldinger_1f].[K: Billettype].[All]" allUniqueName="[Tilmeldinger_1f].[K: Billettype].[All]" dimensionUniqueName="[Tilmeldinger_1f]" displayFolder="" count="0" memberValueDatatype="13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Deltagere_d1].[K: Aldersgruppe]" caption="K: Aldersgruppe" attribute="1" defaultMemberUniqueName="[Deltagere_d1].[K: Aldersgruppe].[All]" allUniqueName="[Deltagere_d1].[K: Aldersgruppe].[All]" dimensionUniqueName="[Deltagere_d1]" displayFolder="" count="0" memberValueDatatype="130" unbalanced="0" hidden="1"/>
    <cacheHierarchy uniqueName="[Deltagere_d1].[K: Bordtennisklub]" caption="K: Bordtennisklub" attribute="1" defaultMemberUniqueName="[Deltagere_d1].[K: Bordtennisklub].[All]" allUniqueName="[Deltagere_d1].[K: Bordtennisklub].[All]" dimensionUniqueName="[Deltagere_d1]" displayFolder="" count="0" memberValueDatatype="130" unbalanced="0" hidden="1"/>
    <cacheHierarchy uniqueName="[Deltagere_d1].[K: Køn]" caption="K: Køn" attribute="1" defaultMemberUniqueName="[Deltagere_d1].[K: Køn].[All]" allUniqueName="[Deltagere_d1].[K: Køn].[All]" dimensionUniqueName="[Deltagere_d1]" displayFolder="" count="0" memberValueDatatype="130" unbalanced="0" hidden="1"/>
    <cacheHierarchy uniqueName="[Deltagere_d1].[K: Ratinggruppe]" caption="K: Ratinggruppe" attribute="1" defaultMemberUniqueName="[Deltagere_d1].[K: Ratinggruppe].[All]" allUniqueName="[Deltagere_d1].[K: Ratinggruppe].[All]" dimensionUniqueName="[Deltagere_d1]" displayFolder="" count="0" memberValueDatatype="130" unbalanced="0" hidden="1"/>
    <cacheHierarchy uniqueName="[Deltagere_d1].[K: Spillertype]" caption="K: Spillertype" attribute="1" defaultMemberUniqueName="[Deltagere_d1].[K: Spillertype].[All]" allUniqueName="[Deltagere_d1].[K: Spillertype].[All]" dimensionUniqueName="[Deltagere_d1]" displayFolder="" count="0" memberValueDatatype="13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👥 Billetsalg (inkl. afbud)]" caption="👥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Deltagere_d1]" caption="__XL_Count Deltagere_d1" measure="1" displayFolder="" measureGroup="Deltagere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7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Deltagere_d1" uniqueName="[Deltagere_d1]" caption="Deltagere_d1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6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Deltagere_d1" caption="Deltagere_d1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40">
    <map measureGroup="0" dimension="0"/>
    <map measureGroup="1" dimension="1"/>
    <map measureGroup="2" dimension="2"/>
    <map measureGroup="3" dimension="3"/>
    <map measureGroup="3" dimension="9"/>
    <map measureGroup="3" dimension="12"/>
    <map measureGroup="4" dimension="0"/>
    <map measureGroup="4" dimension="3"/>
    <map measureGroup="4" dimension="4"/>
    <map measureGroup="4" dimension="8"/>
    <map measureGroup="4" dimension="9"/>
    <map measureGroup="4" dimension="11"/>
    <map measureGroup="4" dimension="12"/>
    <map measureGroup="4" dimension="13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0"/>
    <map measureGroup="13" dimension="1"/>
    <map measureGroup="13" dimension="2"/>
    <map measureGroup="13" dimension="3"/>
    <map measureGroup="13" dimension="4"/>
    <map measureGroup="13" dimension="5"/>
    <map measureGroup="13" dimension="6"/>
    <map measureGroup="13" dimension="7"/>
    <map measureGroup="13" dimension="8"/>
    <map measureGroup="13" dimension="9"/>
    <map measureGroup="13" dimension="11"/>
    <map measureGroup="13" dimension="12"/>
    <map measureGroup="13" dimension="13"/>
    <map measureGroup="13" dimension="14"/>
    <map measureGroup="13" dimension="15"/>
    <map measureGroup="13" dimension="16"/>
    <map measureGroup="14" dimension="15"/>
    <map measureGroup="15" dimension="16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62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6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Billettype_d1]"/>
        <x15:activeTabTopLevelEntity name="[Kalender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Tilmeldingstype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6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6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Tilvalg_d2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60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38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60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8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60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20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9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6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59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59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1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2" subtotal="count" baseField="0" baseItem="0"/>
    <dataField fld="3" subtotal="count" baseField="0" baseItem="0"/>
  </dataFields>
  <chartFormats count="21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48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158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302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59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8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Bordtennisklub_d2]"/>
        <x15:activeTabTopLevelEntity name="[Landsdel_d3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2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Billettype_d1]"/>
        <x15:activeTabTopLevelEntity name="[Billetsalg_pr_tilmelding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62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2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59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Landsdel_d3]"/>
        <x15:activeTabTopLevelEntity name="[Region_d3]"/>
        <x15:activeTabTopLevelEntity name="[Bordtennisklub_d2]"/>
        <x15:activeTabTopLevelEntity name="[Kalender]"/>
        <x15:activeTabTopLevelEntity name="[Tilmeldingstype_d1]"/>
        <x15:activeTabTopLevelEntity name="[Billetsalg_pr_tilmelding_d1]"/>
        <x15:activeTabTopLevelEntity name="[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58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Deltagere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Landsdel_d3]"/>
        <x15:activeTabTopLevelEntity name="[Region_d3]"/>
        <x15:activeTabTopLevelEntity name="[Bordtennisklub_d2]"/>
        <x15:activeTabTopLevelEntity name="[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629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30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12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9" subtotal="count" baseField="0" baseItem="0" numFmtId="170"/>
    <dataField fld="10" subtotal="count" baseField="0" baseItem="0" numFmtId="170"/>
    <dataField fld="11" subtotal="count" baseField="0" baseItem="0" numFmtId="170"/>
  </dataFields>
  <formats count="32">
    <format dxfId="1134">
      <pivotArea outline="0" collapsedLevelsAreSubtotals="1" fieldPosition="0"/>
    </format>
    <format dxfId="1133">
      <pivotArea dataOnly="0" labelOnly="1" grandCol="1" outline="0" fieldPosition="0"/>
    </format>
    <format dxfId="1132">
      <pivotArea type="origin" dataOnly="0" labelOnly="1" outline="0" fieldPosition="0"/>
    </format>
    <format dxfId="1131">
      <pivotArea type="topRight" dataOnly="0" labelOnly="1" outline="0" fieldPosition="0"/>
    </format>
    <format dxfId="113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29">
      <pivotArea outline="0" fieldPosition="0">
        <references count="1">
          <reference field="4294967294" count="1">
            <x v="0"/>
          </reference>
        </references>
      </pivotArea>
    </format>
    <format dxfId="112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2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2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2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12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121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2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19">
      <pivotArea dataOnly="0" labelOnly="1" fieldPosition="0">
        <references count="1">
          <reference field="4" count="0"/>
        </references>
      </pivotArea>
    </format>
    <format dxfId="111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1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1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1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1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09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10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10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106">
      <pivotArea outline="0" collapsedLevelsAreSubtotals="1" fieldPosition="0">
        <references count="1">
          <reference field="4294967294" count="3" selected="0">
            <x v="9"/>
            <x v="10"/>
            <x v="11"/>
          </reference>
        </references>
      </pivotArea>
    </format>
    <format dxfId="1105">
      <pivotArea outline="0" collapsedLevelsAreSubtotals="1" fieldPosition="0">
        <references count="1">
          <reference field="4294967294" count="3" selected="0">
            <x v="9"/>
            <x v="10"/>
            <x v="11"/>
          </reference>
        </references>
      </pivotArea>
    </format>
    <format dxfId="1104">
      <pivotArea dataOnly="0" labelOnly="1" outline="0" fieldPosition="0">
        <references count="1">
          <reference field="4294967294" count="3">
            <x v="9"/>
            <x v="10"/>
            <x v="11"/>
          </reference>
        </references>
      </pivotArea>
    </format>
    <format dxfId="110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584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9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22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4" subtotal="count" baseField="0" baseItem="0"/>
    <dataField fld="15" subtotal="count" baseField="0" baseItem="0"/>
    <dataField fld="16" subtotal="count" baseField="0" baseItem="0"/>
  </dataFields>
  <formats count="55">
    <format dxfId="1189">
      <pivotArea dataOnly="0" labelOnly="1" grandCol="1" outline="0" fieldPosition="0"/>
    </format>
    <format dxfId="1188">
      <pivotArea type="origin" dataOnly="0" labelOnly="1" outline="0" fieldPosition="0"/>
    </format>
    <format dxfId="1187">
      <pivotArea type="topRight" dataOnly="0" labelOnly="1" outline="0" fieldPosition="0"/>
    </format>
    <format dxfId="1186">
      <pivotArea outline="0" collapsedLevelsAreSubtotals="1" fieldPosition="0"/>
    </format>
    <format dxfId="1185">
      <pivotArea type="all" dataOnly="0" outline="0" fieldPosition="0"/>
    </format>
    <format dxfId="1184">
      <pivotArea dataOnly="0" labelOnly="1" outline="0" axis="axisValues" fieldPosition="0"/>
    </format>
    <format dxfId="1183">
      <pivotArea dataOnly="0" labelOnly="1" grandRow="1" outline="0" fieldPosition="0"/>
    </format>
    <format dxfId="1182">
      <pivotArea outline="0" collapsedLevelsAreSubtotals="1" fieldPosition="0"/>
    </format>
    <format dxfId="1181">
      <pivotArea fieldPosition="0">
        <references count="1">
          <reference field="4294967294" count="1">
            <x v="4"/>
          </reference>
        </references>
      </pivotArea>
    </format>
    <format dxfId="1180">
      <pivotArea outline="0" collapsedLevelsAreSubtotals="1" fieldPosition="0"/>
    </format>
    <format dxfId="1179">
      <pivotArea fieldPosition="0">
        <references count="1">
          <reference field="4294967294" count="1">
            <x v="4"/>
          </reference>
        </references>
      </pivotArea>
    </format>
    <format dxfId="1178">
      <pivotArea outline="0" collapsedLevelsAreSubtotals="1" fieldPosition="0"/>
    </format>
    <format dxfId="1177">
      <pivotArea fieldPosition="0">
        <references count="1">
          <reference field="4294967294" count="1">
            <x v="4"/>
          </reference>
        </references>
      </pivotArea>
    </format>
    <format dxfId="1176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1175">
      <pivotArea type="all" dataOnly="0" outline="0" fieldPosition="0"/>
    </format>
    <format dxfId="1174">
      <pivotArea dataOnly="0" labelOnly="1" fieldPosition="0">
        <references count="1">
          <reference field="4294967294" count="0"/>
        </references>
      </pivotArea>
    </format>
    <format dxfId="1173">
      <pivotArea type="all" dataOnly="0" outline="0" fieldPosition="0"/>
    </format>
    <format dxfId="1172">
      <pivotArea collapsedLevelsAreSubtotals="1" fieldPosition="0">
        <references count="1">
          <reference field="4294967294" count="1">
            <x v="9"/>
          </reference>
        </references>
      </pivotArea>
    </format>
    <format dxfId="1171">
      <pivotArea type="all" dataOnly="0" outline="0" fieldPosition="0"/>
    </format>
    <format dxfId="1170">
      <pivotArea type="all" dataOnly="0" outline="0" fieldPosition="0"/>
    </format>
    <format dxfId="1169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1168">
      <pivotArea type="all" dataOnly="0" outline="0" fieldPosition="0"/>
    </format>
    <format dxfId="1167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1166">
      <pivotArea fieldPosition="0">
        <references count="1">
          <reference field="4294967294" count="1">
            <x v="4"/>
          </reference>
        </references>
      </pivotArea>
    </format>
    <format dxfId="1165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1164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16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162">
      <pivotArea fieldPosition="0">
        <references count="1">
          <reference field="4294967294" count="1">
            <x v="0"/>
          </reference>
        </references>
      </pivotArea>
    </format>
    <format dxfId="116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1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59">
      <pivotArea fieldPosition="0">
        <references count="1">
          <reference field="4294967294" count="1">
            <x v="0"/>
          </reference>
        </references>
      </pivotArea>
    </format>
    <format dxfId="115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157">
      <pivotArea fieldPosition="0">
        <references count="1">
          <reference field="4294967294" count="1">
            <x v="0"/>
          </reference>
        </references>
      </pivotArea>
    </format>
    <format dxfId="1156">
      <pivotArea collapsedLevelsAreSubtotals="1" fieldPosition="0">
        <references count="1">
          <reference field="4294967294" count="1">
            <x v="2"/>
          </reference>
        </references>
      </pivotArea>
    </format>
    <format dxfId="115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54">
      <pivotArea type="all" dataOnly="0" outline="0" fieldPosition="0"/>
    </format>
    <format dxfId="1153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152">
      <pivotArea fieldPosition="0">
        <references count="1">
          <reference field="4294967294" count="1">
            <x v="0"/>
          </reference>
        </references>
      </pivotArea>
    </format>
    <format dxfId="1151">
      <pivotArea collapsedLevelsAreSubtotals="1" fieldPosition="0">
        <references count="1">
          <reference field="4294967294" count="1">
            <x v="3"/>
          </reference>
        </references>
      </pivotArea>
    </format>
    <format dxfId="115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49">
      <pivotArea fieldPosition="0">
        <references count="1">
          <reference field="4294967294" count="1">
            <x v="0"/>
          </reference>
        </references>
      </pivotArea>
    </format>
    <format dxfId="1148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14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4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1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4">
      <pivotArea fieldPosition="0">
        <references count="1">
          <reference field="4294967294" count="1">
            <x v="0"/>
          </reference>
        </references>
      </pivotArea>
    </format>
    <format dxfId="114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142">
      <pivotArea fieldPosition="0">
        <references count="1">
          <reference field="4294967294" count="1">
            <x v="0"/>
          </reference>
        </references>
      </pivotArea>
    </format>
    <format dxfId="1141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140">
      <pivotArea type="all" dataOnly="0" outline="0" fieldPosition="0"/>
    </format>
    <format dxfId="1139">
      <pivotArea outline="0" collapsedLevelsAreSubtotals="1" fieldPosition="0"/>
    </format>
    <format dxfId="113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1137">
      <pivotArea fieldPosition="0">
        <references count="1">
          <reference field="4294967294" count="1">
            <x v="0"/>
          </reference>
        </references>
      </pivotArea>
    </format>
    <format dxfId="1136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  <format dxfId="1135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</formats>
  <pivotHierarchies count="15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Kalender].[K: År].&amp;[2022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4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3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7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6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1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2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8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9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2].[K: Bordtennisklub]">
  <pivotTables>
    <pivotTable tabId="42" name="PT - Tilmeldinger"/>
    <pivotTable tabId="42" name="PT - KPI"/>
  </pivotTables>
  <data>
    <olap pivotCacheId="1633229849">
      <levels count="2">
        <level uniqueName="[Bordtennisklub_d2].[K: Bordtennisklub].[(All)]" sourceCaption="(All)" count="0"/>
        <level uniqueName="[Bordtennisklub_d2].[K: Bordtennisklub].[K: Bordtennisklub]" sourceCaption="K: Bordtennisklub" count="34">
          <ranges>
            <range startItem="0">
              <i n="[Bordtennisklub_d2].[K: Bordtennisklub].&amp;[Amager BTK]" c="Amager BTK"/>
              <i n="[Bordtennisklub_d2].[K: Bordtennisklub].&amp;[Brønderslev]" c="Brønderslev"/>
              <i n="[Bordtennisklub_d2].[K: Bordtennisklub].&amp;[Brønshøj BTK]" c="Brønshøj BTK"/>
              <i n="[Bordtennisklub_d2].[K: Bordtennisklub].&amp;[BTK Midtjylland]" c="BTK Midtjylland"/>
              <i n="[Bordtennisklub_d2].[K: Bordtennisklub].&amp;[BTK Tateni]" c="BTK Tateni"/>
              <i n="[Bordtennisklub_d2].[K: Bordtennisklub].&amp;[BTK Viby]" c="BTK Viby"/>
              <i n="[Bordtennisklub_d2].[K: Bordtennisklub].&amp;[Esbjerg BTK]" c="Esbjerg BTK"/>
              <i n="[Bordtennisklub_d2].[K: Bordtennisklub].&amp;[Hillerød GI]" c="Hillerød GI"/>
              <i n="[Bordtennisklub_d2].[K: Bordtennisklub].&amp;[Holbæk BTK]" c="Holbæk BTK"/>
              <i n="[Bordtennisklub_d2].[K: Bordtennisklub].&amp;[Hvidovre BTK]" c="Hvidovre BTK"/>
              <i n="[Bordtennisklub_d2].[K: Bordtennisklub].&amp;[Hørning BTK]" c="Hørning BTK"/>
              <i n="[Bordtennisklub_d2].[K: Bordtennisklub].&amp;[Ringkøbing]" c="Ringkøbing"/>
              <i n="[Bordtennisklub_d2].[K: Bordtennisklub].&amp;[Rønde BTK]" c="Rønde BTK"/>
              <i n="[Bordtennisklub_d2].[K: Bordtennisklub].&amp;[Silkeborg BTK]" c="Silkeborg BTK"/>
              <i n="[Bordtennisklub_d2].[K: Bordtennisklub].&amp;[Sisu/MBK]" c="Sisu/MBK"/>
              <i n="[Bordtennisklub_d2].[K: Bordtennisklub].&amp;[Sjørring BTK]" c="Sjørring BTK"/>
              <i n="[Bordtennisklub_d2].[K: Bordtennisklub].&amp;[Team Nørreå]" c="Team Nørreå"/>
              <i n="[Bordtennisklub_d2].[K: Bordtennisklub].&amp;[Vejle BTK]" c="Vejle BTK"/>
              <i n="[Bordtennisklub_d2].[K: Bordtennisklub].&amp;[Viborg BTK]" c="Viborg BTK"/>
              <i n="[Bordtennisklub_d2].[K: Bordtennisklub].&amp;[(Ingen klub)]" c="(Ingen klub)"/>
              <i n="[Bordtennisklub_d2].[K: Bordtennisklub].&amp;[B75]" c="B75" nd="1"/>
              <i n="[Bordtennisklub_d2].[K: Bordtennisklub].&amp;[Brøndby BC]" c="Brøndby BC" nd="1"/>
              <i n="[Bordtennisklub_d2].[K: Bordtennisklub].&amp;[BTK Grenå]" c="BTK Grenå" nd="1"/>
              <i n="[Bordtennisklub_d2].[K: Bordtennisklub].&amp;[Frederiksberg BTK]" c="Frederiksberg BTK" nd="1"/>
              <i n="[Bordtennisklub_d2].[K: Bordtennisklub].&amp;[Galten FS]" c="Galten FS" nd="1"/>
              <i n="[Bordtennisklub_d2].[K: Bordtennisklub].&amp;[Greve BTK]" c="Greve BTK" nd="1"/>
              <i n="[Bordtennisklub_d2].[K: Bordtennisklub].&amp;[Hasle IF]" c="Hasle IF" nd="1"/>
              <i n="[Bordtennisklub_d2].[K: Bordtennisklub].&amp;[Københavns BTK]" c="Københavns BTK" nd="1"/>
              <i n="[Bordtennisklub_d2].[K: Bordtennisklub].&amp;[Nyborg G &amp; IF]" c="Nyborg G &amp; IF" nd="1"/>
              <i n="[Bordtennisklub_d2].[K: Bordtennisklub].&amp;[Næstved BTK]" c="Næstved BTK" nd="1"/>
              <i n="[Bordtennisklub_d2].[K: Bordtennisklub].&amp;[OB Bordtennis]" c="OB Bordtennis" nd="1"/>
              <i n="[Bordtennisklub_d2].[K: Bordtennisklub].&amp;[Roskilde, BTK 61]" c="Roskilde, BTK 61" nd="1"/>
              <i n="[Bordtennisklub_d2].[K: Bordtennisklub].&amp;[Triton]" c="Triton" nd="1"/>
              <i n="[Bordtennisklub_d2].[K: Bordtennisklub].&amp;[Virum Sorgenfri BTK]" c="Virum Sorgenfri BTK" nd="1"/>
            </range>
          </ranges>
        </level>
      </levels>
      <selections count="1">
        <selection n="[Bordtennisklub_d2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3].[K: Region]">
  <pivotTables>
    <pivotTable tabId="42" name="PT - KPI"/>
    <pivotTable tabId="42" name="PT - Tilmeldinger"/>
  </pivotTables>
  <data>
    <olap pivotCacheId="1633229849">
      <levels count="2">
        <level uniqueName="[Region_d3].[K: Region].[(All)]" sourceCaption="(All)" count="0"/>
        <level uniqueName="[Region_d3].[K: Region].[K: Region]" sourceCaption="K: Region" count="6">
          <ranges>
            <range startItem="0">
              <i n="[Region_d3].[K: Region].&amp;[Region Nordjylland]" c="Region Nordjylland"/>
              <i n="[Region_d3].[K: Region].&amp;[Region Midtjylland]" c="Region Midtjylland"/>
              <i n="[Region_d3].[K: Region].&amp;[Region Syddanmark]" c="Region Syddanmark"/>
              <i n="[Region_d3].[K: Region].&amp;[Region Sjælland]" c="Region Sjælland"/>
              <i n="[Region_d3].[K: Region].&amp;[Region Hovedstaden]" c="Region Hovedstaden"/>
              <i n="[Region_d3].[K: Region].&amp;[(Ukendt region)]" c="(Ukendt region)"/>
            </range>
          </ranges>
        </level>
      </levels>
      <selections count="1">
        <selection n="[Region_d3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Deltager_ID" xr10:uid="{F1187956-6790-4B4B-8BE5-F747ED410553}" sourceName="[Deltagere_d1].[K: Deltager-ID]">
  <pivotTables>
    <pivotTable tabId="42" name="PT - KPI"/>
    <pivotTable tabId="42" name="PT - Tilmeldinger"/>
  </pivotTables>
  <data>
    <olap pivotCacheId="1633229849">
      <levels count="2">
        <level uniqueName="[Deltagere_d1].[K: Deltager-ID].[(All)]" sourceCaption="(All)" count="0"/>
        <level uniqueName="[Deltagere_d1].[K: Deltager-ID].[K: Deltager-ID]" sourceCaption="K: Deltager-ID" count="83">
          <ranges>
            <range startItem="0">
              <i n="[Deltagere_d1].[K: Deltager-ID].&amp;[Alfred Brøgger, Sisu/MBK (13 år, 23-07-2009)]" c="Alfred Brøgger, Sisu/MBK (13 år, 23-07-2009)"/>
              <i n="[Deltagere_d1].[K: Deltager-ID].&amp;[Amin Saad Al-Zayadi, Sisu/MBK (10 år, 05-06-2012)]" c="Amin Saad Al-Zayadi, Sisu/MBK (10 år, 05-06-2012)"/>
              <i n="[Deltagere_d1].[K: Deltager-ID].&amp;[Anders Holler, BTK Tateni (16 år, 10-09-2006)]" c="Anders Holler, BTK Tateni (16 år, 10-09-2006)"/>
              <i n="[Deltagere_d1].[K: Deltager-ID].&amp;[Anders Lind, Brønshøj BTK (23 år, 14-12-1998)]" c="Anders Lind, Brønshøj BTK (23 år, 14-12-1998)"/>
              <i n="[Deltagere_d1].[K: Deltager-ID].&amp;[Annsofie Sommer (28 år, 03-08-1994)]" c="Annsofie Sommer (28 år, 03-08-1994)"/>
              <i n="[Deltagere_d1].[K: Deltager-ID].&amp;[Anton Andersson, Hillerød GI (25 år, 03-01-1997)]" c="Anton Andersson, Hillerød GI (25 år, 03-01-1997)"/>
              <i n="[Deltagere_d1].[K: Deltager-ID].&amp;[Bastian Diness, Sisu/MBK (17 år, 20-10-2005)]" c="Bastian Diness, Sisu/MBK (17 år, 20-10-2005)"/>
              <i n="[Deltagere_d1].[K: Deltager-ID].&amp;[Benjamin Lillelund, Sisu/MBK (24 år, 06-05-1998)]" c="Benjamin Lillelund, Sisu/MBK (24 år, 06-05-1998)"/>
              <i n="[Deltagere_d1].[K: Deltager-ID].&amp;[Benjamin Sørensen, Hørning BTK (28 år, 08-02-1994)]" c="Benjamin Sørensen, Hørning BTK (28 år, 08-02-1994)"/>
              <i n="[Deltagere_d1].[K: Deltager-ID].&amp;[Bent O. Jakobsen, Sisu/MBK (72 år, 08-09-1950)]" c="Bent O. Jakobsen, Sisu/MBK (72 år, 08-09-1950)"/>
              <i n="[Deltagere_d1].[K: Deltager-ID].&amp;[Casper Staal, Sisu/MBK (40 år, 04-02-1982)]" c="Casper Staal, Sisu/MBK (40 år, 04-02-1982)"/>
              <i n="[Deltagere_d1].[K: Deltager-ID].&amp;[Christian H. Andersen, Sisu/MBK (30 år, 20-07-1992)]" c="Christian H. Andersen, Sisu/MBK (30 år, 20-07-1992)"/>
              <i n="[Deltagere_d1].[K: Deltager-ID].&amp;[Daniel Wolf, Sisu/MBK (26 år, 30-04-1996)]" c="Daniel Wolf, Sisu/MBK (26 år, 30-04-1996)"/>
              <i n="[Deltagere_d1].[K: Deltager-ID].&amp;[Dennis K. Nielsen, Team Nørreå (36 år, 02-06-1986)]" c="Dennis K. Nielsen, Team Nørreå (36 år, 02-06-1986)"/>
              <i n="[Deltagere_d1].[K: Deltager-ID].&amp;[Emil Lynge Sørensen, Amager BTK (20 år, 07-08-2002)]" c="Emil Lynge Sørensen, Amager BTK (20 år, 07-08-2002)"/>
              <i n="[Deltagere_d1].[K: Deltager-ID].&amp;[Emil Madsen, Hørning BTK (29 år, 29-05-1993)]" c="Emil Madsen, Hørning BTK (29 år, 29-05-1993)"/>
              <i n="[Deltagere_d1].[K: Deltager-ID].&amp;[Frederik Kjeldgaard, Hørning BTK (12 år, 10-05-2010)]" c="Frederik Kjeldgaard, Hørning BTK (12 år, 10-05-2010)"/>
              <i n="[Deltagere_d1].[K: Deltager-ID].&amp;[Hans Herluf Boisen, BTK Viby (44 år, 16-08-1978)]" c="Hans Herluf Boisen, BTK Viby (44 år, 16-08-1978)"/>
              <i n="[Deltagere_d1].[K: Deltager-ID].&amp;[Ida Nielsen, Sisu/MBK (31 år, 09-03-1991)]" c="Ida Nielsen, Sisu/MBK (31 år, 09-03-1991)"/>
              <i n="[Deltagere_d1].[K: Deltager-ID].&amp;[Izabell Nørlem, Hvidovre BTK (32 år, 15-10-1990)]" c="Izabell Nørlem, Hvidovre BTK (32 år, 15-10-1990)"/>
              <i n="[Deltagere_d1].[K: Deltager-ID].&amp;[Jan Nordhøj, Hvidovre BTK (52 år, 30-04-1970)]" c="Jan Nordhøj, Hvidovre BTK (52 år, 30-04-1970)"/>
              <i n="[Deltagere_d1].[K: Deltager-ID].&amp;[Jesper Skivesen, Silkeborg BTK (50 år, 25-03-1972)]" c="Jesper Skivesen, Silkeborg BTK (50 år, 25-03-1972)"/>
              <i n="[Deltagere_d1].[K: Deltager-ID].&amp;[Jesper Steffensen, Sisu/MBK (47 år, 22-04-1975)]" c="Jesper Steffensen, Sisu/MBK (47 år, 22-04-1975)"/>
              <i n="[Deltagere_d1].[K: Deltager-ID].&amp;[Johan Grønhøj, Sisu/MBK (19 år, 23-04-2003)]" c="Johan Grønhøj, Sisu/MBK (19 år, 23-04-2003)"/>
              <i n="[Deltagere_d1].[K: Deltager-ID].&amp;[Johannes Messick Mortensen, Sisu/MBK (20 år, 31-10-2002)]" c="Johannes Messick Mortensen, Sisu/MBK (20 år, 31-10-2002)"/>
              <i n="[Deltagere_d1].[K: Deltager-ID].&amp;[John Sabalic, Rønde BTK (57 år, 18-03-1965)]" c="John Sabalic, Rønde BTK (57 år, 18-03-1965)"/>
              <i n="[Deltagere_d1].[K: Deltager-ID].&amp;[Jonas Brandt, Silkeborg BTK (24 år, 16-10-1998)]" c="Jonas Brandt, Silkeborg BTK (24 år, 16-10-1998)"/>
              <i n="[Deltagere_d1].[K: Deltager-ID].&amp;[Jonas Overgaard, Silkeborg BTK (25 år, 01-02-1997)]" c="Jonas Overgaard, Silkeborg BTK (25 år, 01-02-1997)"/>
              <i n="[Deltagere_d1].[K: Deltager-ID].&amp;[Jonas Ring Agerholm, Rønde BTK (33 år, 28-03-1989)]" c="Jonas Ring Agerholm, Rønde BTK (33 år, 28-03-1989)"/>
              <i n="[Deltagere_d1].[K: Deltager-ID].&amp;[Jonathan Abildgaard Hansen, Sisu/MBK (25 år, 12-02-1997)]" c="Jonathan Abildgaard Hansen, Sisu/MBK (25 år, 12-02-1997)"/>
              <i n="[Deltagere_d1].[K: Deltager-ID].&amp;[Jonathan Weiss, Sisu/MBK (20 år, 03-03-2002)]" c="Jonathan Weiss, Sisu/MBK (20 år, 03-03-2002)"/>
              <i n="[Deltagere_d1].[K: Deltager-ID].&amp;[Lars Jørgensen, Silkeborg BTK (56 år, 28-04-1966)]" c="Lars Jørgensen, Silkeborg BTK (56 år, 28-04-1966)"/>
              <i n="[Deltagere_d1].[K: Deltager-ID].&amp;[Lasse Frølich Rasmussen (38 år, 09-11-1984)]" c="Lasse Frølich Rasmussen (38 år, 09-11-1984)"/>
              <i n="[Deltagere_d1].[K: Deltager-ID].&amp;[Lasse Kardel Larsen, Hørning BTK (24 år, 21-07-1998)]" c="Lasse Kardel Larsen, Hørning BTK (24 år, 21-07-1998)"/>
              <i n="[Deltagere_d1].[K: Deltager-ID].&amp;[Laust Ravn Johansen, BTK Viby (16 år, 23-07-2006)]" c="Laust Ravn Johansen, BTK Viby (16 år, 23-07-2006)"/>
              <i n="[Deltagere_d1].[K: Deltager-ID].&amp;[Mads Larsen, Silkeborg BTK (29 år, 05-09-1993)]" c="Mads Larsen, Silkeborg BTK (29 år, 05-09-1993)"/>
              <i n="[Deltagere_d1].[K: Deltager-ID].&amp;[Marc Kynde, BTK Viby (25 år, 16-08-1997)]" c="Marc Kynde, BTK Viby (25 år, 16-08-1997)"/>
              <i n="[Deltagere_d1].[K: Deltager-ID].&amp;[Marius Dam, BTK Viby (22 år, 12-10-2000)]" c="Marius Dam, BTK Viby (22 år, 12-10-2000)"/>
              <i n="[Deltagere_d1].[K: Deltager-ID].&amp;[Martin Svendsen, Holbæk BTK (60 år, 25-06-1962)]" c="Martin Svendsen, Holbæk BTK (60 år, 25-06-1962)"/>
              <i n="[Deltagere_d1].[K: Deltager-ID].&amp;[Mathias Christensen, Silkeborg BTK (28 år, 19-05-1994)]" c="Mathias Christensen, Silkeborg BTK (28 år, 19-05-1994)"/>
              <i n="[Deltagere_d1].[K: Deltager-ID].&amp;[Mathias Heidmann, Sisu/MBK (39 år, 01-08-1983)]" c="Mathias Heidmann, Sisu/MBK (39 år, 01-08-1983)"/>
              <i n="[Deltagere_d1].[K: Deltager-ID].&amp;[Mette Kristensen, Sisu/MBK (33 år, 08-02-1989)]" c="Mette Kristensen, Sisu/MBK (33 år, 08-02-1989)"/>
              <i n="[Deltagere_d1].[K: Deltager-ID].&amp;[Michel Christensen, Ringkøbing (33 år, 14-09-1989)]" c="Michel Christensen, Ringkøbing (33 år, 14-09-1989)"/>
              <i n="[Deltagere_d1].[K: Deltager-ID].&amp;[Mickey Elsborg, Vejle BTK (21 år, 25-09-2001)]" c="Mickey Elsborg, Vejle BTK (21 år, 25-09-2001)"/>
              <i n="[Deltagere_d1].[K: Deltager-ID].&amp;[Mie Binnerup Jacobsen, Sisu/MBK (30 år, 05-11-1992)]" c="Mie Binnerup Jacobsen, Sisu/MBK (30 år, 05-11-1992)"/>
              <i n="[Deltagere_d1].[K: Deltager-ID].&amp;[Milosz Miszczuk, Hørning BTK (40 år, 03-08-1982)]" c="Milosz Miszczuk, Hørning BTK (40 år, 03-08-1982)"/>
              <i n="[Deltagere_d1].[K: Deltager-ID].&amp;[Nichlas Middelhede, Team Nørreå (29 år, 31-12-1992)]" c="Nichlas Middelhede, Team Nørreå (29 år, 31-12-1992)"/>
              <i n="[Deltagere_d1].[K: Deltager-ID].&amp;[Nick Sommer, Team Nørreå (35 år, 07-03-1987)]" c="Nick Sommer, Team Nørreå (35 år, 07-03-1987)"/>
              <i n="[Deltagere_d1].[K: Deltager-ID].&amp;[Nicklas Martti Johnsen, Viborg BTK (26 år, 02-04-1996)]" c="Nicklas Martti Johnsen, Viborg BTK (26 år, 02-04-1996)"/>
              <i n="[Deltagere_d1].[K: Deltager-ID].&amp;[Oliver Kjeldgaard Johansson, Hørning BTK (15 år, 22-12-2006)]" c="Oliver Kjeldgaard Johansson, Hørning BTK (15 år, 22-12-2006)"/>
              <i n="[Deltagere_d1].[K: Deltager-ID].&amp;[Oscar Hovmøller, BTK Viby (20 år, 23-07-2002)]" c="Oscar Hovmøller, BTK Viby (20 år, 23-07-2002)"/>
              <i n="[Deltagere_d1].[K: Deltager-ID].&amp;[Otto Svindt, Sisu/MBK (10 år, 05-05-2012)]" c="Otto Svindt, Sisu/MBK (10 år, 05-05-2012)"/>
              <i n="[Deltagere_d1].[K: Deltager-ID].&amp;[Peter Bruhn, Brønderslev (61 år, 23-09-1961)]" c="Peter Bruhn, Brønderslev (61 år, 23-09-1961)"/>
              <i n="[Deltagere_d1].[K: Deltager-ID].&amp;[Peter Skalborg Jensen, Sisu/MBK (32 år, 08-07-1990)]" c="Peter Skalborg Jensen, Sisu/MBK (32 år, 08-07-1990)"/>
              <i n="[Deltagere_d1].[K: Deltager-ID].&amp;[Poul B. Pedersen (69 år, 29-12-1952)]" c="Poul B. Pedersen (69 år, 29-12-1952)"/>
              <i n="[Deltagere_d1].[K: Deltager-ID].&amp;[Rasmus Damkjær Hansen, Sisu/MBK (26 år, 11-06-1996)]" c="Rasmus Damkjær Hansen, Sisu/MBK (26 år, 11-06-1996)"/>
              <i n="[Deltagere_d1].[K: Deltager-ID].&amp;[Rasmus Hansen (21 år, 28-05-2001)]" c="Rasmus Hansen (21 år, 28-05-2001)"/>
              <i n="[Deltagere_d1].[K: Deltager-ID].&amp;[Sarah Svendsen (27 år, 29-10-1995)]" c="Sarah Svendsen (27 år, 29-10-1995)"/>
              <i n="[Deltagere_d1].[K: Deltager-ID].&amp;[Sebastian Karlsmose (19 år, 30-05-2003)]" c="Sebastian Karlsmose (19 år, 30-05-2003)"/>
              <i n="[Deltagere_d1].[K: Deltager-ID].&amp;[Sebastian Kjær Jensen, Sjørring BTK (27 år, 10-05-1995)]" c="Sebastian Kjær Jensen, Sjørring BTK (27 år, 10-05-1995)"/>
              <i n="[Deltagere_d1].[K: Deltager-ID].&amp;[Sebastian Sørensen, Esbjerg BTK (21 år, 11-05-2001)]" c="Sebastian Sørensen, Esbjerg BTK (21 år, 11-05-2001)"/>
              <i n="[Deltagere_d1].[K: Deltager-ID].&amp;[Simon Egebæk (21 år, 03-02-2001)]" c="Simon Egebæk (21 år, 03-02-2001)"/>
              <i n="[Deltagere_d1].[K: Deltager-ID].&amp;[Simon Larsen, BTK Viby (21 år, 25-05-2001)]" c="Simon Larsen, BTK Viby (21 år, 25-05-2001)"/>
              <i n="[Deltagere_d1].[K: Deltager-ID].&amp;[Simon Nykjær-Fisher, BTK Viby (34 år, 15-08-1988)]" c="Simon Nykjær-Fisher, BTK Viby (34 år, 15-08-1988)"/>
              <i n="[Deltagere_d1].[K: Deltager-ID].&amp;[Thomas B. Petersen, BTK Midtjylland (31 år, 04-07-1991)]" c="Thomas B. Petersen, BTK Midtjylland (31 år, 04-07-1991)"/>
              <i n="[Deltagere_d1].[K: Deltager-ID].&amp;[Thomas Bjerregaard, BTK Midtjylland (44 år, 23-05-1978)]" c="Thomas Bjerregaard, BTK Midtjylland (44 år, 23-05-1978)"/>
              <i n="[Deltagere_d1].[K: Deltager-ID].&amp;[Thomas Kjeldgård, Hørning BTK (44 år, 30-06-1978)]" c="Thomas Kjeldgård, Hørning BTK (44 år, 30-06-1978)"/>
              <i n="[Deltagere_d1].[K: Deltager-ID].&amp;[Amanda Mau, Amager BTK (19 år, 19-10-2003)]" c="Amanda Mau, Amager BTK (19 år, 19-10-2003)" nd="1"/>
              <i n="[Deltagere_d1].[K: Deltager-ID].&amp;[Andreas Bjørnholdt (29 år, 23-10-1993)]" c="Andreas Bjørnholdt (29 år, 23-10-1993)" nd="1"/>
              <i n="[Deltagere_d1].[K: Deltager-ID].&amp;[Bjarke Krog, B75 (20 år, 28-11-2001)]" c="Bjarke Krog, B75 (20 år, 28-11-2001)" nd="1"/>
              <i n="[Deltagere_d1].[K: Deltager-ID].&amp;[Gabriel Berthelsen, Amager BTK (15 år, 04-10-2007)]" c="Gabriel Berthelsen, Amager BTK (15 år, 04-10-2007)" nd="1"/>
              <i n="[Deltagere_d1].[K: Deltager-ID].&amp;[Jakub Dorocinski, Rønde BTK (30 år, 08-08-1992)]" c="Jakub Dorocinski, Rønde BTK (30 år, 08-08-1992)" nd="1"/>
              <i n="[Deltagere_d1].[K: Deltager-ID].&amp;[Jannick Helbo Wagner, Hørning BTK (51 år, 29-01-1971)]" c="Jannick Helbo Wagner, Hørning BTK (51 år, 29-01-1971)" nd="1"/>
              <i n="[Deltagere_d1].[K: Deltager-ID].&amp;[Jeff Tølbøll, OB Bordtennis (13 år, 18-02-2009)]" c="Jeff Tølbøll, OB Bordtennis (13 år, 18-02-2009)" nd="1"/>
              <i n="[Deltagere_d1].[K: Deltager-ID].&amp;[Jesper Nedergård, Galten FS (47 år, 09-07-1975)]" c="Jesper Nedergård, Galten FS (47 år, 09-07-1975)" nd="1"/>
              <i n="[Deltagere_d1].[K: Deltager-ID].&amp;[Kresten Christensen, OB Bordtennis (16 år, 06-02-2006)]" c="Kresten Christensen, OB Bordtennis (16 år, 06-02-2006)" nd="1"/>
              <i n="[Deltagere_d1].[K: Deltager-ID].&amp;[Lars Hartvig Bruun Severinsen, Esbjerg BTK (40 år, 19-03-1982)]" c="Lars Hartvig Bruun Severinsen, Esbjerg BTK (40 år, 19-03-1982)" nd="1"/>
              <i n="[Deltagere_d1].[K: Deltager-ID].&amp;[Mads Harbo Jensen, OB Bordtennis (47 år, 16-09-1975)]" c="Mads Harbo Jensen, OB Bordtennis (47 år, 16-09-1975)" nd="1"/>
              <i n="[Deltagere_d1].[K: Deltager-ID].&amp;[Mai Jensen, Københavns BTK (57 år, 22-04-1965)]" c="Mai Jensen, Københavns BTK (57 år, 22-04-1965)" nd="1"/>
              <i n="[Deltagere_d1].[K: Deltager-ID].&amp;[Maja Helene Hansen, OB Bordtennis (15 år, 13-04-2007)]" c="Maja Helene Hansen, OB Bordtennis (15 år, 13-04-2007)" nd="1"/>
              <i n="[Deltagere_d1].[K: Deltager-ID].&amp;[Malik Hartvig Bruun Severinsen, Esbjerg BTK (12 år, 20-02-2010)]" c="Malik Hartvig Bruun Severinsen, Esbjerg BTK (12 år, 20-02-2010)" nd="1"/>
              <i n="[Deltagere_d1].[K: Deltager-ID].&amp;[Michael Hegelund Knudsen, Rønde BTK (27 år, 23-11-1995)]" c="Michael Hegelund Knudsen, Rønde BTK (27 år, 23-11-1995)" nd="1"/>
              <i n="[Deltagere_d1].[K: Deltager-ID].&amp;[Victoria Berthelsen, Amager BTK (16 år, 26-12-2005)]" c="Victoria Berthelsen, Amager BTK (16 år, 26-12-2005)" nd="1"/>
            </range>
          </ranges>
        </level>
      </levels>
      <selections count="1">
        <selection n="[Deltagere_d1].[K: Deltager-ID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  <pivotTable tabId="4294967295" name="PivotChartTable4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3].[K: Landsdel]">
  <pivotTables>
    <pivotTable tabId="42" name="PT - Tilmeldinger"/>
    <pivotTable tabId="42" name="PT - KPI"/>
  </pivotTables>
  <data>
    <olap pivotCacheId="1633229849">
      <levels count="2">
        <level uniqueName="[Landsdel_d3].[K: Landsdel].[(All)]" sourceCaption="(All)" count="0"/>
        <level uniqueName="[Landsdel_d3].[K: Landsdel].[K: Landsdel]" sourceCaption="K: Landsdel" count="5">
          <ranges>
            <range startItem="0">
              <i n="[Landsdel_d3].[K: Landsdel].&amp;[Jylland]" c="Jylland"/>
              <i n="[Landsdel_d3].[K: Landsdel].&amp;[Sjælland]" c="Sjælland"/>
              <i n="[Landsdel_d3].[K: Landsdel].&amp;[(Ukendt landsdel)]" c="(Ukendt landsdel)"/>
              <i n="[Landsdel_d3].[K: Landsdel].&amp;[Fyn]" c="Fyn" nd="1"/>
              <i n="[Landsdel_d3].[K: Landsdel].&amp;[Bornholm]" c="Bornholm" nd="1"/>
            </range>
          </ranges>
        </level>
      </levels>
      <selections count="1">
        <selection n="[Landsdel_d3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2].[K: Køn]">
  <pivotTables>
    <pivotTable tabId="42" name="PT - Tilmeldinger"/>
    <pivotTable tabId="42" name="PT - KPI"/>
  </pivotTables>
  <data>
    <olap pivotCacheId="1633229849">
      <levels count="2">
        <level uniqueName="[Køn_d2].[K: Køn].[(All)]" sourceCaption="(All)" count="0"/>
        <level uniqueName="[Køn_d2].[K: Køn].[K: Køn]" sourceCaption="K: Køn" count="2">
          <ranges>
            <range startItem="0">
              <i n="[Køn_d2].[K: Køn].&amp;[♂️ Herre]" c="♂️ Herre"/>
              <i n="[Køn_d2].[K: Køn].&amp;[♀️ Dame]" c="♀️ Dame"/>
            </range>
          </ranges>
        </level>
      </levels>
      <selections count="1">
        <selection n="[Køn_d2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2].[K: Spillertype]">
  <pivotTables>
    <pivotTable tabId="42" name="PT - KPI"/>
    <pivotTable tabId="42" name="PT - Tilmeldinger"/>
  </pivotTables>
  <data>
    <olap pivotCacheId="1633229849">
      <levels count="2">
        <level uniqueName="[Spillertype_d2].[K: Spillertype].[(All)]" sourceCaption="(All)" count="0"/>
        <level uniqueName="[Spillertype_d2].[K: Spillertype].[K: Spillertype]" sourceCaption="K: Spillertype" count="2">
          <ranges>
            <range startItem="0">
              <i n="[Spillertype_d2].[K: Spillertype].&amp;[🏓 Bordtennisspiller]" c="🏓 Bordtennisspiller"/>
              <i n="[Spillertype_d2].[K: Spillertype].&amp;[👤 Ikke-bordtennisspiller]" c="👤 Ikke-bordtennisspiller"/>
            </range>
          </ranges>
        </level>
      </levels>
      <selections count="1">
        <selection n="[Spillertype_d2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2].[K: Aldersgruppe]">
  <pivotTables>
    <pivotTable tabId="42" name="PT - Tilmeldinger"/>
    <pivotTable tabId="42" name="PT - KPI"/>
  </pivotTables>
  <data>
    <olap pivotCacheId="1633229849">
      <levels count="2">
        <level uniqueName="[Aldersgruppe_d2].[K: Aldersgruppe].[(All)]" sourceCaption="(All)" count="0"/>
        <level uniqueName="[Aldersgruppe_d2].[K: Aldersgruppe].[K: Aldersgruppe]" sourceCaption="K: Aldersgruppe" count="3">
          <ranges>
            <range startItem="0">
              <i n="[Aldersgruppe_d2].[K: Aldersgruppe].&amp;[[&lt;=17]] Ungdom]" c="[&lt;=17] Ungdom"/>
              <i n="[Aldersgruppe_d2].[K: Aldersgruppe].&amp;[[&lt;=39]] Senior]" c="[&lt;=39] Senior"/>
              <i n="[Aldersgruppe_d2].[K: Aldersgruppe].&amp;[[&gt;=40]] Veteran]" c="[&gt;=40] Veteran"/>
            </range>
          </ranges>
        </level>
      </levels>
      <selections count="1">
        <selection n="[Aldersgruppe_d2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2].[K: Ratinggruppe]">
  <pivotTables>
    <pivotTable tabId="42" name="PT - KPI"/>
    <pivotTable tabId="42" name="PT - Tilmeldinger"/>
  </pivotTables>
  <data>
    <olap pivotCacheId="1633229849">
      <levels count="2">
        <level uniqueName="[Ratinggruppe_d2].[K: Ratinggruppe].[(All)]" sourceCaption="(All)" count="0"/>
        <level uniqueName="[Ratinggruppe_d2].[K: Ratinggruppe].[K: Ratinggruppe]" sourceCaption="K: Ratinggruppe" count="2">
          <ranges>
            <range startItem="0">
              <i n="[Ratinggruppe_d2].[K: Ratinggruppe].&amp;[[&gt;=2000]] Elite]" c="[&gt;=2000] Elite"/>
              <i n="[Ratinggruppe_d2].[K: Ratinggruppe].&amp;[[&lt;=1999]] Ikke-elite]" c="[&lt;=1999] Ikke-elite"/>
            </range>
          </ranges>
        </level>
      </levels>
      <selections count="1">
        <selection n="[Ratinggruppe_d2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B6D4D9A0-64FF-435A-9A7E-6B721EA173B6}" sourceName="[Billettype_d1].[K: Billettype]">
  <pivotTables>
    <pivotTable tabId="42" name="PT - Tilmeldinger"/>
    <pivotTable tabId="42" name="PT - KPI"/>
  </pivotTables>
  <data>
    <olap pivotCacheId="1633229849">
      <levels count="2">
        <level uniqueName="[Billettype_d1].[K: Billettype].[(All)]" sourceCaption="(All)" count="0"/>
        <level uniqueName="[Billettype_d1].[K: Billettype].[K: Billettype]" sourceCaption="K: Billettype" count="3">
          <ranges>
            <range startItem="0">
              <i n="[Billettype_d1].[K: Billettype].&amp;[🏓 DM i Ping Pong]" c="🏓 DM i Ping Pong"/>
              <i n="[Billettype_d1].[K: Billettype].&amp;[🥳 Fest om aftenen]" c="🥳 Fest om aftenen"/>
              <i n="[Billettype_d1].[K: Billettype].&amp;[🥪 Frokost]" c="🥪 Frokost" nd="1"/>
            </range>
          </ranges>
        </level>
      </levels>
      <selections count="1">
        <selection n="[Billettype_d1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63322984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63322984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3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 nd="1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63322984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Sep-21]" c="Sep-21" nd="1"/>
              <i n="[Kalender].[K: Måned og år].&amp;[Okt-21]" c="Okt-21" nd="1"/>
              <i n="[Kalender].[K: Måned og år].&amp;[Nov-21]" c="Nov-21" nd="1"/>
              <i n="[Kalender].[K: Måned og år].&amp;[Dec-21]" c="Dec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81"/>
      </x15:slicerCacheHideItemsWithNoData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63322984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39 2021]" c="Uge 39 2021" nd="1"/>
              <i n="[Kalender].[K: Uge og år].&amp;[Uge 40 2021]" c="Uge 40 2021" nd="1"/>
              <i n="[Kalender].[K: Uge og år].&amp;[Uge 41 2021]" c="Uge 41 2021" nd="1"/>
              <i n="[Kalender].[K: Uge og år].&amp;[Uge 42 2021]" c="Uge 42 2021" nd="1"/>
              <i n="[Kalender].[K: Uge og år].&amp;[Uge 43 2021]" c="Uge 43 2021" nd="1"/>
              <i n="[Kalender].[K: Uge og år].&amp;[Uge 44 2021]" c="Uge 44 2021" nd="1"/>
              <i n="[Kalender].[K: Uge og år].&amp;[Uge 45 2021]" c="Uge 45 2021" nd="1"/>
              <i n="[Kalender].[K: Uge og år].&amp;[Uge 46 2021]" c="Uge 46 2021" nd="1"/>
              <i n="[Kalender].[K: Uge og år].&amp;[Uge 47 2021]" c="Uge 47 2021" nd="1"/>
              <i n="[Kalender].[K: Uge og år].&amp;[Uge 48 2021]" c="Uge 48 2021" nd="1"/>
              <i n="[Kalender].[K: Uge og år].&amp;[Uge 49 2021]" c="Uge 49 2021" nd="1"/>
              <i n="[Kalender].[K: Uge og år].&amp;[Uge 50 2021]" c="Uge 50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63"/>
      </x15:slicerCacheHideItemsWithNoData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63322984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År" xr10:uid="{83F96EFD-0618-4EB9-AF52-0638E52357E3}" sourceName="[Kalender].[K: År]">
  <pivotTables>
    <pivotTable tabId="42" name="PT - KPI"/>
    <pivotTable tabId="42" name="PT - Tilmeldinger"/>
  </pivotTables>
  <data>
    <olap pivotCacheId="1633229849">
      <levels count="2">
        <level uniqueName="[Kalender].[K: År].[(All)]" sourceCaption="(All)" count="0"/>
        <level uniqueName="[Kalender].[K: År].[K: År]" sourceCaption="K: År" count="32" sortOrder="descending">
          <ranges>
            <range startItem="0">
              <i n="[Kalender].[K: År].&amp;[2022]" c="2022"/>
              <i n="[Kalender].[K: År].&amp;[2021]" c="2021"/>
              <i n="[Kalender].[K: År].&amp;[2049]" c="2049" nd="1"/>
              <i n="[Kalender].[K: År].&amp;[2048]" c="2048" nd="1"/>
              <i n="[Kalender].[K: År].&amp;[2047]" c="2047" nd="1"/>
              <i n="[Kalender].[K: År].&amp;[2046]" c="2046" nd="1"/>
              <i n="[Kalender].[K: År].&amp;[2045]" c="2045" nd="1"/>
              <i n="[Kalender].[K: År].&amp;[2044]" c="2044" nd="1"/>
              <i n="[Kalender].[K: År].&amp;[2043]" c="2043" nd="1"/>
              <i n="[Kalender].[K: År].&amp;[2042]" c="2042" nd="1"/>
              <i n="[Kalender].[K: År].&amp;[2041]" c="2041" nd="1"/>
              <i n="[Kalender].[K: År].&amp;[2040]" c="2040" nd="1"/>
              <i n="[Kalender].[K: År].&amp;[2039]" c="2039" nd="1"/>
              <i n="[Kalender].[K: År].&amp;[2038]" c="2038" nd="1"/>
              <i n="[Kalender].[K: År].&amp;[2037]" c="2037" nd="1"/>
              <i n="[Kalender].[K: År].&amp;[2036]" c="2036" nd="1"/>
              <i n="[Kalender].[K: År].&amp;[2035]" c="2035" nd="1"/>
              <i n="[Kalender].[K: År].&amp;[2034]" c="2034" nd="1"/>
              <i n="[Kalender].[K: År].&amp;[2033]" c="2033" nd="1"/>
              <i n="[Kalender].[K: År].&amp;[2032]" c="2032" nd="1"/>
              <i n="[Kalender].[K: År].&amp;[2031]" c="2031" nd="1"/>
              <i n="[Kalender].[K: År].&amp;[2030]" c="2030" nd="1"/>
              <i n="[Kalender].[K: År].&amp;[2029]" c="2029" nd="1"/>
              <i n="[Kalender].[K: År].&amp;[2028]" c="2028" nd="1"/>
              <i n="[Kalender].[K: År].&amp;[2027]" c="2027" nd="1"/>
              <i n="[Kalender].[K: År].&amp;[2026]" c="2026" nd="1"/>
              <i n="[Kalender].[K: År].&amp;[2025]" c="2025" nd="1"/>
              <i n="[Kalender].[K: År].&amp;[2024]" c="2024" nd="1"/>
              <i n="[Kalender].[K: År].&amp;[2023]" c="2023" nd="1"/>
              <i n="[Kalender].[K: År].&amp;[2020]" c="2020" nd="1"/>
              <i n="[Kalender].[K: År].&amp;[2019]" c="2019" nd="1"/>
              <i n="[Kalender].[K: År].&amp;[2018]" c="2018" nd="1"/>
            </range>
          </ranges>
        </level>
      </levels>
      <selections count="1">
        <selection n="[Kalender].[K: År].&amp;[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5"/>
        <pivotTable tabId="4294967295" name="PivotChartTable2"/>
        <pivotTable tabId="4294967295" name="PivotChartTable8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4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År].[K: År]" count="30"/>
      </x15:slicerCacheHideItemsWithNoData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63322984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63322984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Ny]" c="🆕 Ny"/>
              <i n="[Gentilmeldinger_d1].[K: Gentilmeldinger].&amp;[🔃 Tidligere]" c="🔃 Tidligere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Deltager-ID" xr10:uid="{ACC61BA8-F4E4-4CB1-8E96-A0EA47F8FAA8}" cache="Udsnit_K__Deltager_ID" caption="👥 Deltager-ID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Billettype" xr10:uid="{AC3BF735-CD42-4638-B090-D4D107F8AAA5}" cache="Udsnit_K__Billettype" caption="🎫 Billettype" level="1" style="Udsnitstypografi 3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År" xr10:uid="{D9CDE0ED-9165-41BC-8505-2219BEFC642C}" cache="Udsnit_K__År" caption="📅 År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Billettype_d1" displayName="Billettype_d1" ref="U5:Y8" totalsRowShown="0" headerRowDxfId="1252">
  <autoFilter ref="U5:Y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5" xr3:uid="{3639EAF4-CE8B-429F-BCF8-0153823A5664}" name="Nr." dataDxfId="1251">
      <calculatedColumnFormula array="1">ROW()-ROW(Billettype_d1[#Headers])</calculatedColumnFormula>
    </tableColumn>
    <tableColumn id="1" xr3:uid="{A46255B1-FC2C-4932-8D85-0A77EB6CFCCA}" name="K: Billettype" dataDxfId="1250"/>
    <tableColumn id="3" xr3:uid="{78F62B29-27C4-4802-BF16-92EF2F9943CE}" name="K: Billetpris" dataDxfId="1249"/>
    <tableColumn id="4" xr3:uid="{5039F285-C188-412E-B462-DAE3A8DF1984}" name="K: Arrangørpris" dataDxfId="1248"/>
    <tableColumn id="2" xr3:uid="{CC596BFB-D583-4449-9C5C-C21175493E36}" name="K: Billetantal maks." dataDxfId="1247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2" displayName="Aldersgruppe_d2" ref="O55:P58" totalsRowShown="0" headerRowDxfId="1246">
  <autoFilter ref="O55:P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1245">
      <calculatedColumnFormula array="1">ROW()-ROW(Aldersgruppe_d2[#Headers])</calculatedColumnFormula>
    </tableColumn>
    <tableColumn id="1" xr3:uid="{3E3A731F-0E41-467F-A4E9-B0CEE6021E03}" name="K: Aldersgruppe" dataDxfId="1244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3" displayName="Landsdel_d3" ref="O68:P73" totalsRowShown="0" headerRowDxfId="1243">
  <autoFilter ref="O68:P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1242">
      <calculatedColumnFormula array="1">ROW()-ROW(Landsdel_d3[#Headers])</calculatedColumnFormula>
    </tableColumn>
    <tableColumn id="1" xr3:uid="{E155FC1A-EE5B-4D0B-A5CB-4C02EAAAD9A9}" name="K: Landsdel" dataDxfId="1241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2" displayName="Bordtennisklub_d2" ref="O5:S39" totalsRowShown="0" headerRowDxfId="1240">
  <autoFilter ref="O5:S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38">
    <sortCondition ref="P15:P38"/>
  </sortState>
  <tableColumns count="5">
    <tableColumn id="5" xr3:uid="{967D2CDF-A959-4453-BC63-63C3587A1983}" name="Nr." dataDxfId="1239">
      <calculatedColumnFormula array="1">ROW()-ROW(Bordtennisklub_d2[#Headers])</calculatedColumnFormula>
    </tableColumn>
    <tableColumn id="2" xr3:uid="{50E593F2-22CF-45E5-A73B-5E400D6C181A}" name="K: Bordtennisklub" dataDxfId="1238"/>
    <tableColumn id="3" xr3:uid="{C3A88C16-4DEF-4A50-AA81-AA3E05721FA3}" name="K: Postnr." dataDxfId="1237"/>
    <tableColumn id="4" xr3:uid="{C30DCD09-6AE0-409D-9CCB-9CC7B517D3ED}" name="K: By" dataDxfId="1236"/>
    <tableColumn id="1" xr3:uid="{5CE06508-50BE-403B-9AC8-FE5884266FFC}" name="K: Mail" dataDxfId="1235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2" displayName="Køn_d2" ref="O43:P45" totalsRowShown="0" headerRowDxfId="1234">
  <autoFilter ref="O43:P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233">
      <calculatedColumnFormula array="1">ROW()-ROW(Køn_d2[#Headers])</calculatedColumnFormula>
    </tableColumn>
    <tableColumn id="1" xr3:uid="{10C3CADD-1542-4FFA-B623-265322898E70}" name="K: Køn" dataDxfId="1232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26:V29" totalsRowShown="0" headerRowDxfId="1231">
  <autoFilter ref="U26:V29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1230">
      <calculatedColumnFormula array="1">ROW()-ROW(Tilmeldingstype_d1[#Headers])</calculatedColumnFormula>
    </tableColumn>
    <tableColumn id="2" xr3:uid="{4A7721A4-14FF-4EAE-A1ED-80A3ADB4AE01}" name="K: Tilmeldingstype" dataDxfId="1229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2" displayName="Ratinggruppe_d2" ref="O62:P64" totalsRowShown="0" headerRowDxfId="1228">
  <autoFilter ref="O62:P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227">
      <calculatedColumnFormula array="1">ROW()-ROW(Ratinggruppe_d2[#Headers])</calculatedColumnFormula>
    </tableColumn>
    <tableColumn id="1" xr3:uid="{9E2B2E22-F39F-49ED-9FA5-4BD7F91EE559}" name="K: Ratinggruppe" dataDxfId="1226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2" displayName="Spillertype_d2" ref="O49:P51" totalsRowShown="0" headerRowDxfId="1225">
  <autoFilter ref="O49:P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224">
      <calculatedColumnFormula array="1">ROW()-ROW(Spillertype_d2[#Headers])</calculatedColumnFormula>
    </tableColumn>
    <tableColumn id="2" xr3:uid="{DA956683-D17A-4F61-A300-DE8679F5917D}" name="K: Spillertype" dataDxfId="1223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3" displayName="Region_d3" ref="O77:P83" totalsRowShown="0" headerRowDxfId="1222">
  <autoFilter ref="O77:P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221">
      <calculatedColumnFormula array="1">ROW()-ROW(Region_d3[#Headers])</calculatedColumnFormula>
    </tableColumn>
    <tableColumn id="1" xr3:uid="{5A21716B-0C56-4307-8C46-64013A2C28FE}" name="K: Region" dataDxfId="1220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19:V22" totalsRowShown="0" headerRowDxfId="1219">
  <autoFilter ref="U19:V22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218">
      <calculatedColumnFormula array="1">ROW()-ROW(Billetsalg_pr_tilmelding_d1[#Headers])</calculatedColumnFormula>
    </tableColumn>
    <tableColumn id="2" xr3:uid="{BFE0A22F-3D5E-4D99-839A-690D20A0CD92}" name="K: Billetsalg pr. tilmelding" dataDxfId="1217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39:V41" totalsRowShown="0" headerRowDxfId="1216">
  <autoFilter ref="U39:V41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215">
      <calculatedColumnFormula array="1">ROW()-ROW(Klokkeslætsinterval_d1[#Headers])</calculatedColumnFormula>
    </tableColumn>
    <tableColumn id="2" xr3:uid="{D536EEC5-853E-4C30-93E9-2C65B7D94761}" name="K: Klokkeslætsinterval" dataDxfId="1214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D161" totalsRowShown="0">
  <autoFilter ref="A5:D161" xr:uid="{27FF4766-6507-42E7-B52E-D5B5A8B9D4DC}"/>
  <sortState xmlns:xlrd2="http://schemas.microsoft.com/office/spreadsheetml/2017/richdata2" ref="A6:D161">
    <sortCondition descending="1" ref="B5:B161"/>
  </sortState>
  <tableColumns count="4">
    <tableColumn id="4" xr3:uid="{1E9D5604-F8EF-4595-A892-DF2DABA3AA90}" name="K: Deltager" dataDxfId="1213"/>
    <tableColumn id="1" xr3:uid="{0785FDFB-7B0E-4A05-B955-7D5E531E4A12}" name="K: Ordredato med tid" dataDxfId="1212"/>
    <tableColumn id="2" xr3:uid="{9D0F278E-742F-482C-A4DD-6BE7EF36E92F}" name="K: Billettype" dataDxfId="1211"/>
    <tableColumn id="3" xr3:uid="{10E94542-FE51-477D-AC06-33E5468B1934}" name="K: Status" dataDxfId="1210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408CAA1-B40B-4D90-A5DB-FF8D44D61523}" name="Deltagere" displayName="Deltagere" ref="F5:M88" totalsRowShown="0" headerRowDxfId="1209" dataDxfId="1208">
  <autoFilter ref="F5:M88" xr:uid="{E408CAA1-B40B-4D90-A5DB-FF8D44D61523}"/>
  <sortState xmlns:xlrd2="http://schemas.microsoft.com/office/spreadsheetml/2017/richdata2" ref="F6:M88">
    <sortCondition ref="M5:M88"/>
  </sortState>
  <tableColumns count="8">
    <tableColumn id="1" xr3:uid="{75A494DF-CC95-47A4-BF61-0CBE1D6606DB}" name="K: Spiller-ID/fødselsdato (ddmmåå)" dataDxfId="1207"/>
    <tableColumn id="2" xr3:uid="{3BC78121-F6C0-4EAA-BB65-E3558A36C57A}" name="K: Navn" dataDxfId="1206"/>
    <tableColumn id="3" xr3:uid="{9AA107EA-B3E1-4921-89B1-2CC26665C1A5}" name="K: Køn" dataDxfId="1205"/>
    <tableColumn id="4" xr3:uid="{C24E705F-C2F7-4579-B011-927350DF0ADA}" name="K: Bordtennisklub" dataDxfId="1204"/>
    <tableColumn id="5" xr3:uid="{6C44333E-62AB-4CB4-9A42-B5C16ED371E5}" name="K: Evt. rang (1)" dataDxfId="1203"/>
    <tableColumn id="6" xr3:uid="{559AA0FE-D8E0-4235-B82F-C4CCE86697E2}" name="K: Evt. rating (2)" dataDxfId="1202"/>
    <tableColumn id="7" xr3:uid="{EDC69A01-3DBB-47B1-876A-4C0E58C53C01}" name="K: Evt. rang (3)" dataDxfId="1201"/>
    <tableColumn id="8" xr3:uid="{5B38F007-7208-4FE7-8AA8-16E24C495D53}" name="K: Deltager" dataDxfId="1200">
      <calculatedColumnFormula array="1">IF(OR(ISBLANK(Deltagere[[#This Row],[K: Spiller-ID/fødselsdato (ddmmåå)]:[K: Navn]])),"",Deltagere[[#This Row],[K: Navn]]&amp;" ("&amp;Deltagere[[#This Row],[K: Spiller-ID/fødselsdato (ddmmåå)]]&amp;")")</calculatedColumnFormula>
    </tableColumn>
  </tableColumns>
  <tableStyleInfo name="Grøn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12:V15" totalsRowShown="0" headerRowDxfId="1199">
  <autoFilter ref="U12:V15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198">
      <calculatedColumnFormula array="1">ROW()-ROW(Tilmeldingsstatus_d1[#Headers])</calculatedColumnFormula>
    </tableColumn>
    <tableColumn id="1" xr3:uid="{B92F4224-0F2E-42BB-BE2E-68CB4DAE2157}" name="K: Tilmeldingsstatus" dataDxfId="1197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33:V35" totalsRowShown="0" headerRowDxfId="1196">
  <autoFilter ref="U33:V35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195">
      <calculatedColumnFormula array="1">ROW()-ROW(Gentilmeldinger_d1[#Headers])</calculatedColumnFormula>
    </tableColumn>
    <tableColumn id="1" xr3:uid="{85ECBF69-CF84-44CE-AC8A-6D65B4AB9F23}" name="K: Gentilmeldinger" dataDxfId="1194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46"/>
    <tableColumn id="25" xr3:uid="{860FB654-E7A8-4CED-A75A-017D8FD745BE}" uniqueName="25" name="Navn" queryTableFieldId="1" dataDxfId="45"/>
    <tableColumn id="26" xr3:uid="{A1332EF1-3BD5-4EC6-84FF-57A5670D2EA4}" uniqueName="26" name="Bordtennisklub" queryTableFieldId="2" dataDxfId="44"/>
    <tableColumn id="27" xr3:uid="{BF104B8F-0D75-412B-B827-5045DACC08B7}" uniqueName="27" name="Alder" queryTableFieldId="3" dataDxfId="43"/>
    <tableColumn id="2" xr3:uid="{219A880C-9CDE-4C1E-B9B6-E5B6C39746F5}" uniqueName="2" name="Køn" queryTableFieldId="11" dataDxfId="42"/>
    <tableColumn id="3" xr3:uid="{9DE34DC1-8BE4-4D36-A0B5-2598BE9D9F78}" uniqueName="3" name="Ordredato med tid" queryTableFieldId="13" dataDxfId="41"/>
    <tableColumn id="31" xr3:uid="{1C029ED4-0CA9-41B0-B285-2B16DAE9B12B}" uniqueName="31" name="Billettype" queryTableFieldId="7" dataDxfId="40"/>
    <tableColumn id="32" xr3:uid="{436DB36F-2FDA-46B4-B250-662E490E5F64}" uniqueName="32" name="Status" queryTableFieldId="8" dataDxfId="39"/>
    <tableColumn id="4" xr3:uid="{FC47B4B1-2E77-49C9-B708-1E16BB1D476F}" uniqueName="4" name="Billetpris" queryTableFieldId="15" dataDxfId="38"/>
  </tableColumns>
  <tableStyleInfo name="Grå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50"/>
    <tableColumn id="10" xr3:uid="{6EEC6182-7A39-461A-95ED-0FA4279699FE}" uniqueName="10" name="Navn og bordtennisklub" queryTableFieldId="1" dataDxfId="49"/>
    <tableColumn id="11" xr3:uid="{C8BBC31C-CB50-425D-8171-07CE480A2A39}" uniqueName="11" name="Alder" queryTableFieldId="2" dataDxfId="48"/>
    <tableColumn id="2" xr3:uid="{3173205B-F1A6-4458-80E4-05C98310623F}" uniqueName="2" name="Køn" queryTableFieldId="6"/>
    <tableColumn id="12" xr3:uid="{1C13D952-AB0E-4001-A87E-DA0AFD4F76E0}" uniqueName="12" name="Billettype" queryTableFieldId="3" dataDxfId="47"/>
  </tableColumns>
  <tableStyleInfo name="Orange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51"/>
    <tableColumn id="2" xr3:uid="{2A1EC8A4-E654-48B1-8930-086BBB3FBE50}" uniqueName="2" name="Foreløbige tilmeldinger" queryTableFieldId="2" dataDxfId="1193"/>
  </tableColumns>
  <tableStyleInfo name="Gul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52"/>
    <tableColumn id="2" xr3:uid="{5B25A058-76FB-4EFE-AD86-D31C02A7A6E8}" uniqueName="2" name="Tilmeldinger" queryTableFieldId="3" dataDxfId="1192"/>
  </tableColumns>
  <tableStyleInfo name="Grøn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55"/>
    <tableColumn id="29" xr3:uid="{1A03BD3B-2FC1-49B2-B4FA-8A69DD2A65A2}" uniqueName="29" name="Deltager-ID" queryTableFieldId="29" dataDxfId="1191"/>
    <tableColumn id="2" xr3:uid="{41DBA2A0-0B9E-42D5-82F6-B13F231B6B50}" uniqueName="2" name="Køn" queryTableFieldId="37" dataDxfId="54"/>
    <tableColumn id="28" xr3:uid="{93A8F081-72F9-4A08-BE3C-BAE97C5EC6C5}" uniqueName="28" name="Rating" queryTableFieldId="28" dataDxfId="53"/>
  </tableColumns>
  <tableStyleInfo name="Blå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58"/>
    <tableColumn id="2" xr3:uid="{ABF29075-ABEE-4D01-BACF-FCF09D6E6CAF}" uniqueName="2" name="Navn og bordtennisklub" queryTableFieldId="2" dataDxfId="1190"/>
    <tableColumn id="3" xr3:uid="{4CC762B3-81F5-4A8D-8244-813BF7F3AF89}" uniqueName="3" name="Alder" queryTableFieldId="3" dataDxfId="57"/>
    <tableColumn id="4" xr3:uid="{E9480348-CE1A-4C68-B980-6A70B178E58B}" uniqueName="4" name="Rating" queryTableFieldId="4" dataDxfId="56"/>
  </tableColumns>
  <tableStyleInfo name="Bl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4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3"/>
    <tableColumn id="4" xr3:uid="{B09967F9-5D07-4010-9448-B9B1DAB6A282}" uniqueName="4" name="Rating¹" queryTableFieldId="4" dataDxfId="12"/>
    <tableColumn id="5" xr3:uid="{895E72D1-5F95-42D1-9F98-F73BB4BC569D}" uniqueName="5" name="Seedningslag 2" queryTableFieldId="5" dataDxfId="11"/>
    <tableColumn id="6" xr3:uid="{A991D087-FC2A-42E7-B721-176F213B393B}" uniqueName="6" name="Nr.²" queryTableFieldId="6" dataDxfId="10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9"/>
    <tableColumn id="9" xr3:uid="{9EB0680B-CD86-41DE-A068-78EC9D2877A6}" uniqueName="9" name="Rating²" queryTableFieldId="9" dataDxfId="8"/>
    <tableColumn id="10" xr3:uid="{AF934ACD-AA26-4091-B572-B7899CD5BA6C}" uniqueName="10" name="Seedningslag 3" queryTableFieldId="10" dataDxfId="7"/>
    <tableColumn id="11" xr3:uid="{17CA309A-7D7F-487F-9B34-0CF6E854D443}" uniqueName="11" name="Nr.³" queryTableFieldId="11" dataDxfId="6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5"/>
    <tableColumn id="14" xr3:uid="{34226116-AB18-4131-9B5E-1700EBE3435F}" uniqueName="14" name="Rating³" queryTableFieldId="14" dataDxfId="4"/>
    <tableColumn id="15" xr3:uid="{223A36D9-F876-4893-85A8-01252CF845E7}" uniqueName="15" name="Seedningslag 4" queryTableFieldId="15" dataDxfId="3"/>
    <tableColumn id="16" xr3:uid="{0088AFAC-B2D5-4BFE-A7B8-DEBE2CA38157}" uniqueName="16" name="Nr.⁴" queryTableFieldId="16" dataDxfId="2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"/>
    <tableColumn id="19" xr3:uid="{141E38E3-7E45-40B3-9FBF-49C691B679FC}" uniqueName="19" name="Rating⁴" queryTableFieldId="19" dataDxfId="0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37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36"/>
    <tableColumn id="4" xr3:uid="{F71977AC-C7C8-4441-91DB-C5953AF3C42C}" uniqueName="4" name="Rating¹" queryTableFieldId="4" dataDxfId="35"/>
    <tableColumn id="5" xr3:uid="{C4C74538-58D0-4608-8D72-34DBE55427C9}" uniqueName="5" name="Seedningslag 2" queryTableFieldId="5" dataDxfId="34"/>
    <tableColumn id="6" xr3:uid="{CD3A4BF8-CF2B-415F-9B30-B631E43B5F15}" uniqueName="6" name="Nr.²" queryTableFieldId="6" dataDxfId="33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32"/>
    <tableColumn id="9" xr3:uid="{AE31305F-3122-4869-8228-43AFA4BB7F27}" uniqueName="9" name="Rating²" queryTableFieldId="9" dataDxfId="31"/>
    <tableColumn id="10" xr3:uid="{A6FB48A5-AA24-46CD-928E-B8FEB26509CE}" uniqueName="10" name="Seedningslag 3" queryTableFieldId="10" dataDxfId="30"/>
    <tableColumn id="11" xr3:uid="{AFF8E0A9-6C08-45AA-A1EA-A89762B6F854}" uniqueName="11" name="Nr.³" queryTableFieldId="11" dataDxfId="29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28"/>
    <tableColumn id="14" xr3:uid="{A69D3FB2-DC2D-4212-8268-AA1BBF6EE6C5}" uniqueName="14" name="Rating³" queryTableFieldId="14" dataDxfId="27"/>
    <tableColumn id="15" xr3:uid="{CD5D7EAE-AF62-4632-B849-50E47519FC72}" uniqueName="15" name="Seedningslag 4" queryTableFieldId="15" dataDxfId="26"/>
    <tableColumn id="16" xr3:uid="{A34C98EE-DECC-46F5-BC0C-E57DA9A7120B}" uniqueName="16" name="Nr.⁴" queryTableFieldId="16" dataDxfId="25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24"/>
    <tableColumn id="19" xr3:uid="{8C022365-16EB-4C08-B8B1-3DFAF4A52F14}" uniqueName="19" name="Rating⁴" queryTableFieldId="19" dataDxfId="23"/>
    <tableColumn id="20" xr3:uid="{F28795AD-7612-491C-9963-90B8D0E5069D}" uniqueName="20" name="Seedningslag 5" queryTableFieldId="20" dataDxfId="22"/>
    <tableColumn id="21" xr3:uid="{A09D97DA-A15F-4DA8-8756-13FB4FF4DF48}" uniqueName="21" name="Nr.⁵" queryTableFieldId="21" dataDxfId="21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20"/>
    <tableColumn id="24" xr3:uid="{CA401870-B72D-4AAF-9944-D0D5A4034A2A}" uniqueName="24" name="Rating⁵" queryTableFieldId="24" dataDxfId="19"/>
    <tableColumn id="25" xr3:uid="{B56244B1-1A1E-4392-ADFA-FF3D1C490745}" uniqueName="25" name="Seedningslag 6" queryTableFieldId="25" dataDxfId="18"/>
    <tableColumn id="26" xr3:uid="{0084C355-A09A-4015-8267-28150F812D24}" uniqueName="26" name="Nr.⁶" queryTableFieldId="26" dataDxfId="17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16"/>
    <tableColumn id="29" xr3:uid="{9E45D0DF-A9B0-4111-A117-803B6A4DD627}" uniqueName="29" name="Rating⁶" queryTableFieldId="29" dataDxfId="15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1.xml"/><Relationship Id="rId3" Type="http://schemas.openxmlformats.org/officeDocument/2006/relationships/table" Target="../tables/table16.xml"/><Relationship Id="rId7" Type="http://schemas.openxmlformats.org/officeDocument/2006/relationships/table" Target="../tables/table2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9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B161"/>
  <sheetViews>
    <sheetView showGridLines="0" tabSelected="1" zoomScaleNormal="100" workbookViewId="0">
      <pane xSplit="1" ySplit="5" topLeftCell="B6" activePane="bottomRight" state="frozen"/>
      <selection sqref="A1:AB1"/>
      <selection pane="topRight" sqref="A1:AB1"/>
      <selection pane="bottomLeft" sqref="A1:AB1"/>
      <selection pane="bottomRight" sqref="A1:AB1"/>
    </sheetView>
  </sheetViews>
  <sheetFormatPr defaultColWidth="8.88671875" defaultRowHeight="14.4" x14ac:dyDescent="0.3"/>
  <cols>
    <col min="1" max="1" width="41.5546875" bestFit="1" customWidth="1"/>
    <col min="2" max="2" width="21.77734375" bestFit="1" customWidth="1"/>
    <col min="3" max="4" width="27.44140625" bestFit="1" customWidth="1"/>
    <col min="5" max="5" width="8.88671875" customWidth="1"/>
    <col min="6" max="6" width="33.44140625" bestFit="1" customWidth="1"/>
    <col min="7" max="7" width="26.44140625" bestFit="1" customWidth="1"/>
    <col min="8" max="8" width="10.88671875" bestFit="1" customWidth="1"/>
    <col min="9" max="9" width="18.21875" bestFit="1" customWidth="1"/>
    <col min="10" max="10" width="17.88671875" bestFit="1" customWidth="1"/>
    <col min="11" max="11" width="21.6640625" bestFit="1" customWidth="1"/>
    <col min="12" max="12" width="17.88671875" bestFit="1" customWidth="1"/>
    <col min="13" max="13" width="41.55468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0.77734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0.21875" bestFit="1" customWidth="1"/>
    <col min="24" max="24" width="13.6640625" bestFit="1" customWidth="1"/>
    <col min="25" max="25" width="17" bestFit="1" customWidth="1"/>
    <col min="26" max="26" width="8.88671875" customWidth="1"/>
    <col min="27" max="27" width="12.88671875" bestFit="1" customWidth="1"/>
    <col min="28" max="28" width="5.5546875" bestFit="1" customWidth="1"/>
    <col min="30" max="30" width="11.21875" customWidth="1"/>
  </cols>
  <sheetData>
    <row r="1" spans="1:28" ht="31.2" x14ac:dyDescent="0.6">
      <c r="A1" s="118" t="s">
        <v>192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</row>
    <row r="3" spans="1:28" x14ac:dyDescent="0.3">
      <c r="A3" s="24" t="s">
        <v>703</v>
      </c>
      <c r="B3" s="52" t="s">
        <v>744</v>
      </c>
      <c r="C3" s="52" t="s">
        <v>452</v>
      </c>
      <c r="F3" s="24" t="s">
        <v>702</v>
      </c>
      <c r="K3" s="52" t="s">
        <v>183</v>
      </c>
      <c r="O3" s="120" t="s">
        <v>151</v>
      </c>
      <c r="P3" s="120"/>
      <c r="Q3" s="120"/>
      <c r="R3" s="120"/>
      <c r="U3" s="120" t="s">
        <v>146</v>
      </c>
      <c r="V3" s="120"/>
      <c r="W3" s="120"/>
      <c r="X3" s="120"/>
    </row>
    <row r="4" spans="1:28" x14ac:dyDescent="0.3">
      <c r="A4" t="str" cm="1">
        <f t="array" ref="A4">COLUMNS(Tilmeldinger[])&amp;" · "&amp;ROWS(Tilmeldinger[])&amp;" = "&amp;SUMPRODUCT(COLUMNS(Tilmeldinger[]),ROWS(Tilmeldinger[]))
&amp;" ("&amp;IF(AND(COUNTIFS(Tilmeldinger[K: Deltager],Tilmeldinger[K: Deltager],Tilmeldinger[K: Ordredato med tid],YEAR(Tilmeldinger[K: Ordredato med tid]))&lt;2),"✓","X")&amp;")"</f>
        <v>4 · 156 = 624 (✓)</v>
      </c>
      <c r="B4" s="88">
        <v>2022</v>
      </c>
      <c r="C4" s="116">
        <v>44717</v>
      </c>
      <c r="F4" t="str" cm="1">
        <f t="array" ref="F4">COLUMNS(Deltagere[])&amp;" · "&amp;ROWS(Deltagere[])&amp;" = "&amp;SUMPRODUCT(COLUMNS(Deltagere[]),ROWS(Deltagere[]))
&amp;" ("&amp;IF(AND(COUNTIF(Deltagere[K: Deltager],Deltagere[K: Deltager])&lt;2),"✓","X")&amp;")"</f>
        <v>8 · 83 = 664 (✓)</v>
      </c>
      <c r="K4" s="53">
        <v>44708.5</v>
      </c>
      <c r="O4" s="119" t="str" cm="1">
        <f t="array" ref="O4">COLUMNS(Bordtennisklub_d2[])&amp;" · "&amp;ROWS(Bordtennisklub_d2[])&amp;" = "&amp;SUMPRODUCT(COLUMNS(Bordtennisklub_d2[]),ROWS(Bordtennisklub_d2[]))
&amp;" ("&amp;IF(AND(COUNTIF(Bordtennisklub_d2[K: Bordtennisklub],Bordtennisklub_d2[K: Bordtennisklub])&lt;2),"✓","X")&amp;")"</f>
        <v>5 · 34 = 170 (✓)</v>
      </c>
      <c r="P4" s="119"/>
      <c r="Q4" s="119"/>
      <c r="R4" s="119"/>
      <c r="U4" s="119" t="str" cm="1">
        <f t="array" ref="U4">COLUMNS(Billettype_d1[])&amp;" · "&amp;ROWS(Billettype_d1[])&amp;" = "&amp;SUMPRODUCT(COLUMNS(Billettype_d1[]),ROWS(Billettype_d1[]))
&amp;" ("&amp;IF(AND(COUNTIF(Billettype_d1[K: Billettype],Billettype_d1[K: Billettype])&lt;2),"✓","X")&amp;")"</f>
        <v>5 · 3 = 15 (✓)</v>
      </c>
      <c r="V4" s="119"/>
      <c r="W4" s="119"/>
      <c r="X4" s="119"/>
    </row>
    <row r="5" spans="1:28" x14ac:dyDescent="0.3">
      <c r="A5" s="19" t="s">
        <v>624</v>
      </c>
      <c r="B5" s="117" t="s">
        <v>1180</v>
      </c>
      <c r="C5" s="2" t="s">
        <v>13</v>
      </c>
      <c r="D5" s="2" t="s">
        <v>1046</v>
      </c>
      <c r="F5" s="2" t="s">
        <v>180</v>
      </c>
      <c r="G5" s="2" t="s">
        <v>121</v>
      </c>
      <c r="H5" s="16" t="s">
        <v>42</v>
      </c>
      <c r="I5" s="2" t="s">
        <v>40</v>
      </c>
      <c r="J5" s="3" t="s">
        <v>75</v>
      </c>
      <c r="K5" s="7" t="s">
        <v>77</v>
      </c>
      <c r="L5" s="3" t="s">
        <v>76</v>
      </c>
      <c r="M5" s="24" t="s">
        <v>624</v>
      </c>
      <c r="O5" s="3" t="s">
        <v>0</v>
      </c>
      <c r="P5" s="19" t="s">
        <v>40</v>
      </c>
      <c r="Q5" s="16" t="s">
        <v>404</v>
      </c>
      <c r="R5" s="2" t="s">
        <v>57</v>
      </c>
      <c r="S5" s="2" t="s">
        <v>303</v>
      </c>
      <c r="U5" s="7" t="s">
        <v>0</v>
      </c>
      <c r="V5" s="19" t="s">
        <v>13</v>
      </c>
      <c r="W5" s="80" t="s">
        <v>411</v>
      </c>
      <c r="X5" s="80" t="s">
        <v>33</v>
      </c>
      <c r="Y5" s="3" t="s">
        <v>410</v>
      </c>
      <c r="AA5" s="95" t="s">
        <v>15</v>
      </c>
      <c r="AB5" s="96" t="s">
        <v>61</v>
      </c>
    </row>
    <row r="6" spans="1:28" x14ac:dyDescent="0.3">
      <c r="A6" s="19" t="s">
        <v>923</v>
      </c>
      <c r="B6" s="117">
        <v>44730.463888888888</v>
      </c>
      <c r="C6" s="2" t="s">
        <v>955</v>
      </c>
      <c r="D6" s="2" t="s">
        <v>760</v>
      </c>
      <c r="F6" s="2" t="s">
        <v>344</v>
      </c>
      <c r="G6" s="2" t="s">
        <v>345</v>
      </c>
      <c r="H6" s="16" t="s">
        <v>221</v>
      </c>
      <c r="I6" s="2" t="s">
        <v>8</v>
      </c>
      <c r="J6" s="3"/>
      <c r="K6" s="7">
        <v>1067</v>
      </c>
      <c r="L6" s="3"/>
      <c r="M6" s="99" t="str" cm="1">
        <f t="array" ref="M6">IF(OR(ISBLANK(Deltagere[[#This Row],[K: Spiller-ID/fødselsdato (ddmmåå)]:[K: Navn]])),"",Deltagere[[#This Row],[K: Navn]]&amp;" ("&amp;Deltagere[[#This Row],[K: Spiller-ID/fødselsdato (ddmmåå)]]&amp;")")</f>
        <v>Alfred Brøgger (230709-ALBR)</v>
      </c>
      <c r="O6" s="94" cm="1">
        <f t="array" ref="O6">ROW()-ROW(Bordtennisklub_d2[#Headers])</f>
        <v>1</v>
      </c>
      <c r="P6" s="19" t="s">
        <v>9</v>
      </c>
      <c r="Q6" s="16">
        <v>2770</v>
      </c>
      <c r="R6" s="2" t="s">
        <v>49</v>
      </c>
      <c r="S6" s="2" t="s">
        <v>288</v>
      </c>
      <c r="U6" s="40" cm="1">
        <f t="array" ref="U6">ROW()-ROW(Billettype_d1[#Headers])</f>
        <v>1</v>
      </c>
      <c r="V6" s="19" t="s">
        <v>392</v>
      </c>
      <c r="W6" s="80">
        <v>125</v>
      </c>
      <c r="X6" s="80">
        <v>100</v>
      </c>
      <c r="Y6" s="3">
        <v>96</v>
      </c>
      <c r="AA6" s="97" t="s">
        <v>16</v>
      </c>
      <c r="AB6" s="81">
        <v>15</v>
      </c>
    </row>
    <row r="7" spans="1:28" x14ac:dyDescent="0.3">
      <c r="A7" s="19" t="s">
        <v>898</v>
      </c>
      <c r="B7" s="117">
        <v>44729.473611111112</v>
      </c>
      <c r="C7" s="2" t="s">
        <v>392</v>
      </c>
      <c r="D7" s="2" t="s">
        <v>760</v>
      </c>
      <c r="F7" s="2" t="s">
        <v>84</v>
      </c>
      <c r="G7" s="2" t="s">
        <v>28</v>
      </c>
      <c r="H7" s="16" t="s">
        <v>222</v>
      </c>
      <c r="I7" s="2" t="s">
        <v>9</v>
      </c>
      <c r="J7" s="3"/>
      <c r="K7" s="7">
        <v>1494</v>
      </c>
      <c r="L7" s="3"/>
      <c r="M7" s="99" t="str" cm="1">
        <f t="array" ref="M7">IF(OR(ISBLANK(Deltagere[[#This Row],[K: Spiller-ID/fødselsdato (ddmmåå)]:[K: Navn]])),"",Deltagere[[#This Row],[K: Navn]]&amp;" ("&amp;Deltagere[[#This Row],[K: Spiller-ID/fødselsdato (ddmmåå)]]&amp;")")</f>
        <v>Amanda Mau (191003‑AMMA)</v>
      </c>
      <c r="O7" s="94" cm="1">
        <f t="array" ref="O7">ROW()-ROW(Bordtennisklub_d2[#Headers])</f>
        <v>2</v>
      </c>
      <c r="P7" s="19" t="s">
        <v>11</v>
      </c>
      <c r="Q7" s="16">
        <v>9850</v>
      </c>
      <c r="R7" s="2" t="s">
        <v>48</v>
      </c>
      <c r="S7" s="2" t="s">
        <v>302</v>
      </c>
      <c r="U7" s="40" cm="1">
        <f t="array" ref="U7">ROW()-ROW(Billettype_d1[#Headers])</f>
        <v>2</v>
      </c>
      <c r="V7" s="19" t="s">
        <v>955</v>
      </c>
      <c r="W7" s="80">
        <v>150</v>
      </c>
      <c r="X7" s="80">
        <v>150</v>
      </c>
      <c r="Y7" s="3">
        <v>200</v>
      </c>
      <c r="AA7" s="97" t="s">
        <v>17</v>
      </c>
      <c r="AB7" s="81">
        <f>COLUMNS(Tilmeldinger[])+
COLUMNS(Deltagere[])+
COLUMNS(Bordtennisklub_d2[])+
COLUMNS(Køn_d2[])+
COLUMNS(Spillertype_d2[])+
COLUMNS(Aldersgruppe_d2[])+
COLUMNS(Ratinggruppe_d2[])+
COLUMNS(Landsdel_d3[])+
COLUMNS(Region_d3[])+
COLUMNS(Billettype_d1[])+
COLUMNS(Tilmeldingsstatus_d1[])+
COLUMNS(Billetsalg_pr_tilmelding_d1[])+
COLUMNS(Tilmeldingstype_d1[])+
COLUMNS(Gentilmeldinger_d1[])+
COLUMNS(Klokkeslætsinterval_d1[])</f>
        <v>44</v>
      </c>
    </row>
    <row r="8" spans="1:28" x14ac:dyDescent="0.3">
      <c r="A8" s="19" t="s">
        <v>859</v>
      </c>
      <c r="B8" s="117">
        <v>44728.906944444447</v>
      </c>
      <c r="C8" s="2" t="s">
        <v>392</v>
      </c>
      <c r="D8" s="2" t="s">
        <v>760</v>
      </c>
      <c r="F8" s="2" t="s">
        <v>862</v>
      </c>
      <c r="G8" s="2" t="s">
        <v>863</v>
      </c>
      <c r="H8" s="16" t="s">
        <v>221</v>
      </c>
      <c r="I8" s="2" t="s">
        <v>8</v>
      </c>
      <c r="J8" s="3"/>
      <c r="K8" s="7">
        <v>914</v>
      </c>
      <c r="L8" s="3"/>
      <c r="M8" s="99" t="str" cm="1">
        <f t="array" ref="M8">IF(OR(ISBLANK(Deltagere[[#This Row],[K: Spiller-ID/fødselsdato (ddmmåå)]:[K: Navn]])),"",Deltagere[[#This Row],[K: Navn]]&amp;" ("&amp;Deltagere[[#This Row],[K: Spiller-ID/fødselsdato (ddmmåå)]]&amp;")")</f>
        <v>Amin Saad Al-Zayadi (050612-AMAL)</v>
      </c>
      <c r="O8" s="94" cm="1">
        <f t="array" ref="O8">ROW()-ROW(Bordtennisklub_d2[#Headers])</f>
        <v>3</v>
      </c>
      <c r="P8" s="19" t="s">
        <v>323</v>
      </c>
      <c r="Q8" s="16">
        <v>2605</v>
      </c>
      <c r="R8" s="2" t="s">
        <v>324</v>
      </c>
      <c r="S8" s="2" t="s">
        <v>328</v>
      </c>
      <c r="U8" s="40" cm="1">
        <f t="array" ref="U8">ROW()-ROW(Billettype_d1[#Headers])</f>
        <v>3</v>
      </c>
      <c r="V8" s="19" t="s">
        <v>1047</v>
      </c>
      <c r="W8" s="80">
        <v>50</v>
      </c>
      <c r="X8" s="80">
        <v>50</v>
      </c>
      <c r="Y8" s="3">
        <v>96</v>
      </c>
      <c r="AA8" s="97" t="s">
        <v>18</v>
      </c>
      <c r="AB8" s="81">
        <f>ROWS(Tilmeldinger[])+
ROWS(Deltagere[])+
ROWS(Bordtennisklub_d2[])+
ROWS(Køn_d2[])+
ROWS(Spillertype_d2[])+
ROWS(Aldersgruppe_d2[])+
ROWS(Ratinggruppe_d2[])+
ROWS(Landsdel_d3[])+
ROWS(Region_d3[])+
ROWS(Billettype_d1[])+
ROWS(Tilmeldingsstatus_d1[])+
ROWS(Billetsalg_pr_tilmelding_d1[])+
ROWS(Tilmeldingstype_d1[])+
ROWS(Gentilmeldinger_d1[])+
ROWS(Klokkeslætsinterval_d1[])</f>
        <v>309</v>
      </c>
    </row>
    <row r="9" spans="1:28" x14ac:dyDescent="0.3">
      <c r="A9" s="19" t="s">
        <v>868</v>
      </c>
      <c r="B9" s="117">
        <v>44728.859027777777</v>
      </c>
      <c r="C9" s="2" t="s">
        <v>392</v>
      </c>
      <c r="D9" s="2" t="s">
        <v>760</v>
      </c>
      <c r="F9" s="2" t="s">
        <v>587</v>
      </c>
      <c r="G9" s="2" t="s">
        <v>588</v>
      </c>
      <c r="H9" s="16" t="s">
        <v>221</v>
      </c>
      <c r="I9" s="2" t="s">
        <v>589</v>
      </c>
      <c r="J9" s="3"/>
      <c r="K9" s="7">
        <v>1485</v>
      </c>
      <c r="L9" s="3"/>
      <c r="M9" s="99" t="str" cm="1">
        <f t="array" ref="M9">IF(OR(ISBLANK(Deltagere[[#This Row],[K: Spiller-ID/fødselsdato (ddmmåå)]:[K: Navn]])),"",Deltagere[[#This Row],[K: Navn]]&amp;" ("&amp;Deltagere[[#This Row],[K: Spiller-ID/fødselsdato (ddmmåå)]]&amp;")")</f>
        <v>Anders Holler (100906‑ANHO)</v>
      </c>
      <c r="O9" s="94" cm="1">
        <f t="array" ref="O9">ROW()-ROW(Bordtennisklub_d2[#Headers])</f>
        <v>4</v>
      </c>
      <c r="P9" s="19" t="s">
        <v>65</v>
      </c>
      <c r="Q9" s="16">
        <v>9700</v>
      </c>
      <c r="R9" s="2" t="s">
        <v>65</v>
      </c>
      <c r="S9" s="2" t="s">
        <v>289</v>
      </c>
      <c r="AA9" s="97" t="s">
        <v>19</v>
      </c>
      <c r="AB9" s="81">
        <f>SUMPRODUCT(COLUMNS(Tilmeldinger[]),ROWS(Tilmeldinger[]))+
SUMPRODUCT(COLUMNS(Deltagere[]),ROWS(Deltagere[]))+
SUMPRODUCT(COLUMNS(Bordtennisklub_d2[]),ROWS(Bordtennisklub_d2[]))+
SUMPRODUCT(COLUMNS(Køn_d2[]),ROWS(Køn_d2[]))+
SUMPRODUCT(COLUMNS(Spillertype_d2[]),ROWS(Spillertype_d2[]))+
SUMPRODUCT(COLUMNS(Aldersgruppe_d2[]),ROWS(Aldersgruppe_d2[]))+
SUMPRODUCT(COLUMNS(Ratinggruppe_d2[]),ROWS(Ratinggruppe_d2[]))+
SUMPRODUCT(COLUMNS(Landsdel_d3[]),ROWS(Landsdel_d3[]))+
SUMPRODUCT(COLUMNS(Region_d3[]),ROWS(Region_d3[]))+
SUMPRODUCT(COLUMNS(Billettype_d1[]),ROWS(Billettype_d1[]))+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1539</v>
      </c>
    </row>
    <row r="10" spans="1:28" x14ac:dyDescent="0.3">
      <c r="A10" s="19" t="s">
        <v>674</v>
      </c>
      <c r="B10" s="117">
        <v>44728.751388888886</v>
      </c>
      <c r="C10" s="2" t="s">
        <v>955</v>
      </c>
      <c r="D10" s="2" t="s">
        <v>760</v>
      </c>
      <c r="F10" s="2" t="s">
        <v>389</v>
      </c>
      <c r="G10" s="2" t="s">
        <v>390</v>
      </c>
      <c r="H10" s="16" t="s">
        <v>221</v>
      </c>
      <c r="I10" s="2" t="s">
        <v>400</v>
      </c>
      <c r="J10" s="3"/>
      <c r="K10" s="7">
        <v>2803</v>
      </c>
      <c r="L10" s="3"/>
      <c r="M10" s="99" t="str" cm="1">
        <f t="array" ref="M10">IF(OR(ISBLANK(Deltagere[[#This Row],[K: Spiller-ID/fødselsdato (ddmmåå)]:[K: Navn]])),"",Deltagere[[#This Row],[K: Navn]]&amp;" ("&amp;Deltagere[[#This Row],[K: Spiller-ID/fødselsdato (ddmmåå)]]&amp;")")</f>
        <v>Anders Lind (141298‑ANLI)</v>
      </c>
      <c r="O10" s="94" cm="1">
        <f t="array" ref="O10">ROW()-ROW(Bordtennisklub_d2[#Headers])</f>
        <v>5</v>
      </c>
      <c r="P10" s="19" t="s">
        <v>400</v>
      </c>
      <c r="Q10" s="16">
        <v>2400</v>
      </c>
      <c r="R10" s="2" t="s">
        <v>316</v>
      </c>
      <c r="S10" s="2" t="s">
        <v>317</v>
      </c>
      <c r="U10" s="120" t="s">
        <v>745</v>
      </c>
      <c r="V10" s="120"/>
      <c r="AA10" s="98" t="s">
        <v>20</v>
      </c>
      <c r="AB10" s="82" t="str" cm="1">
        <f t="array" ref="AB10">IF(AND(
COUNTIFS(Tilmeldinger[K: Deltager],Tilmeldinger[K: Deltager],Tilmeldinger[K: Ordredato med tid],Tilmeldinger[K: Ordredato med tid])&lt;2,
COUNTIF(Deltagere[K: Deltager],Deltagere[K: Deltager])&lt;2,
COUNTIF(Bordtennisklub_d2[K: Bordtennisklub],Bordtennisklub_d2[K: Bordtennisklub])&lt;2,
COUNTIF(Køn_d2[K: Køn],Køn_d2[K: Køn])&lt;2,
COUNTIF(Spillertype_d2[K: Spillertype],Spillertype_d2[K: Spillertype])&lt;2,
COUNTIF(Aldersgruppe_d2[K: Aldersgruppe],Aldersgruppe_d2[K: Aldersgruppe])&lt;2,
COUNTIF(Ratinggruppe_d2[K: Ratinggruppe],Ratinggruppe_d2[K: Ratinggruppe])&lt;2,
COUNTIF(Landsdel_d3[K: Landsdel],Landsdel_d3[K: Landsdel])&lt;2,
COUNTIF(Region_d3[K: Region],Region_d3[K: Region])&lt;2,
COUNTIF(Billettype_d1[K: Billettype],Billettype_d1[K: Billettype])&lt;2,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X</v>
      </c>
    </row>
    <row r="11" spans="1:28" x14ac:dyDescent="0.3">
      <c r="A11" s="19" t="s">
        <v>866</v>
      </c>
      <c r="B11" s="117">
        <v>44728.737500000003</v>
      </c>
      <c r="C11" s="2" t="s">
        <v>392</v>
      </c>
      <c r="D11" s="2" t="s">
        <v>760</v>
      </c>
      <c r="F11" s="2" t="s">
        <v>119</v>
      </c>
      <c r="G11" s="2" t="s">
        <v>605</v>
      </c>
      <c r="H11" s="16" t="s">
        <v>221</v>
      </c>
      <c r="I11" s="2" t="s">
        <v>79</v>
      </c>
      <c r="J11" s="3"/>
      <c r="K11" s="7"/>
      <c r="L11" s="3"/>
      <c r="M11" s="99" t="str" cm="1">
        <f t="array" ref="M11">IF(OR(ISBLANK(Deltagere[[#This Row],[K: Spiller-ID/fødselsdato (ddmmåå)]:[K: Navn]])),"",Deltagere[[#This Row],[K: Navn]]&amp;" ("&amp;Deltagere[[#This Row],[K: Spiller-ID/fødselsdato (ddmmåå)]]&amp;")")</f>
        <v>Andreas Bjørnholdt (231093)</v>
      </c>
      <c r="O11" s="94" cm="1">
        <f t="array" ref="O11">ROW()-ROW(Bordtennisklub_d2[#Headers])</f>
        <v>6</v>
      </c>
      <c r="P11" s="19" t="s">
        <v>419</v>
      </c>
      <c r="Q11" s="16">
        <v>8500</v>
      </c>
      <c r="R11" s="2" t="s">
        <v>420</v>
      </c>
      <c r="S11" s="2" t="s">
        <v>421</v>
      </c>
      <c r="U11" s="119" t="str" cm="1">
        <f t="array" ref="U11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V11" s="119"/>
    </row>
    <row r="12" spans="1:28" x14ac:dyDescent="0.3">
      <c r="A12" s="19" t="s">
        <v>867</v>
      </c>
      <c r="B12" s="117">
        <v>44728.724999999999</v>
      </c>
      <c r="C12" s="2" t="s">
        <v>392</v>
      </c>
      <c r="D12" s="2" t="s">
        <v>760</v>
      </c>
      <c r="F12" s="2" t="s">
        <v>456</v>
      </c>
      <c r="G12" s="2" t="s">
        <v>458</v>
      </c>
      <c r="H12" s="16" t="s">
        <v>222</v>
      </c>
      <c r="I12" s="2" t="s">
        <v>79</v>
      </c>
      <c r="J12" s="3"/>
      <c r="K12" s="7"/>
      <c r="L12" s="3"/>
      <c r="M12" s="99" t="str" cm="1">
        <f t="array" ref="M12">IF(OR(ISBLANK(Deltagere[[#This Row],[K: Spiller-ID/fødselsdato (ddmmåå)]:[K: Navn]])),"",Deltagere[[#This Row],[K: Navn]]&amp;" ("&amp;Deltagere[[#This Row],[K: Spiller-ID/fødselsdato (ddmmåå)]]&amp;")")</f>
        <v>Annsofie Sommer (030894)</v>
      </c>
      <c r="O12" s="94" cm="1">
        <f t="array" ref="O12">ROW()-ROW(Bordtennisklub_d2[#Headers])</f>
        <v>7</v>
      </c>
      <c r="P12" s="19" t="s">
        <v>332</v>
      </c>
      <c r="Q12" s="16">
        <v>7400</v>
      </c>
      <c r="R12" s="2" t="s">
        <v>333</v>
      </c>
      <c r="S12" s="2" t="s">
        <v>331</v>
      </c>
      <c r="U12" s="7" t="s">
        <v>0</v>
      </c>
      <c r="V12" s="19" t="s">
        <v>731</v>
      </c>
    </row>
    <row r="13" spans="1:28" x14ac:dyDescent="0.3">
      <c r="A13" s="19" t="s">
        <v>643</v>
      </c>
      <c r="B13" s="117">
        <v>44728.695833333331</v>
      </c>
      <c r="C13" s="2" t="s">
        <v>955</v>
      </c>
      <c r="D13" s="2" t="s">
        <v>760</v>
      </c>
      <c r="F13" s="2" t="s">
        <v>734</v>
      </c>
      <c r="G13" s="2" t="s">
        <v>735</v>
      </c>
      <c r="H13" s="16" t="s">
        <v>221</v>
      </c>
      <c r="I13" s="2" t="s">
        <v>307</v>
      </c>
      <c r="J13" s="3"/>
      <c r="K13" s="7"/>
      <c r="L13" s="3">
        <v>4</v>
      </c>
      <c r="M13" s="99" t="str" cm="1">
        <f t="array" ref="M13">IF(OR(ISBLANK(Deltagere[[#This Row],[K: Spiller-ID/fødselsdato (ddmmåå)]:[K: Navn]])),"",Deltagere[[#This Row],[K: Navn]]&amp;" ("&amp;Deltagere[[#This Row],[K: Spiller-ID/fødselsdato (ddmmåå)]]&amp;")")</f>
        <v>Anton Andersson (030197‑ANAN)</v>
      </c>
      <c r="O13" s="94" cm="1">
        <f t="array" ref="O13">ROW()-ROW(Bordtennisklub_d2[#Headers])</f>
        <v>8</v>
      </c>
      <c r="P13" s="19" t="s">
        <v>589</v>
      </c>
      <c r="Q13" s="16">
        <v>9000</v>
      </c>
      <c r="R13" s="2" t="s">
        <v>590</v>
      </c>
      <c r="S13" s="2" t="s">
        <v>591</v>
      </c>
      <c r="U13" s="40" cm="1">
        <f t="array" ref="U13">ROW()-ROW(Tilmeldingsstatus_d1[#Headers])</f>
        <v>1</v>
      </c>
      <c r="V13" s="19" t="s">
        <v>760</v>
      </c>
    </row>
    <row r="14" spans="1:28" x14ac:dyDescent="0.3">
      <c r="A14" s="19" t="s">
        <v>847</v>
      </c>
      <c r="B14" s="117">
        <v>44728.307638888888</v>
      </c>
      <c r="C14" s="2" t="s">
        <v>392</v>
      </c>
      <c r="D14" s="2" t="s">
        <v>760</v>
      </c>
      <c r="F14" s="2" t="s">
        <v>356</v>
      </c>
      <c r="G14" s="2" t="s">
        <v>357</v>
      </c>
      <c r="H14" s="16" t="s">
        <v>221</v>
      </c>
      <c r="I14" s="2" t="s">
        <v>8</v>
      </c>
      <c r="J14" s="3"/>
      <c r="K14" s="7">
        <v>1790</v>
      </c>
      <c r="L14" s="3"/>
      <c r="M14" s="99" t="str" cm="1">
        <f t="array" ref="M14">IF(OR(ISBLANK(Deltagere[[#This Row],[K: Spiller-ID/fødselsdato (ddmmåå)]:[K: Navn]])),"",Deltagere[[#This Row],[K: Navn]]&amp;" ("&amp;Deltagere[[#This Row],[K: Spiller-ID/fødselsdato (ddmmåå)]]&amp;")")</f>
        <v>Bastian Diness (201005‑BADI)</v>
      </c>
      <c r="O14" s="94" cm="1">
        <f t="array" ref="O14">ROW()-ROW(Bordtennisklub_d2[#Headers])</f>
        <v>9</v>
      </c>
      <c r="P14" s="19" t="s">
        <v>4</v>
      </c>
      <c r="Q14" s="16">
        <v>8260</v>
      </c>
      <c r="R14" s="2" t="s">
        <v>50</v>
      </c>
      <c r="S14" s="2" t="s">
        <v>290</v>
      </c>
      <c r="U14" s="40" cm="1">
        <f t="array" ref="U14">ROW()-ROW(Tilmeldingsstatus_d1[#Headers])</f>
        <v>2</v>
      </c>
      <c r="V14" s="19" t="s">
        <v>758</v>
      </c>
    </row>
    <row r="15" spans="1:28" x14ac:dyDescent="0.3">
      <c r="A15" s="19" t="s">
        <v>694</v>
      </c>
      <c r="B15" s="117">
        <v>44725.526388888888</v>
      </c>
      <c r="C15" s="2" t="s">
        <v>392</v>
      </c>
      <c r="D15" s="2" t="s">
        <v>760</v>
      </c>
      <c r="F15" s="2" t="s">
        <v>245</v>
      </c>
      <c r="G15" s="2" t="s">
        <v>246</v>
      </c>
      <c r="H15" s="16" t="s">
        <v>221</v>
      </c>
      <c r="I15" s="2" t="s">
        <v>8</v>
      </c>
      <c r="J15" s="3"/>
      <c r="K15" s="7">
        <v>2094</v>
      </c>
      <c r="L15" s="3"/>
      <c r="M15" s="99" t="str" cm="1">
        <f t="array" ref="M15">IF(OR(ISBLANK(Deltagere[[#This Row],[K: Spiller-ID/fødselsdato (ddmmåå)]:[K: Navn]])),"",Deltagere[[#This Row],[K: Navn]]&amp;" ("&amp;Deltagere[[#This Row],[K: Spiller-ID/fødselsdato (ddmmåå)]]&amp;")")</f>
        <v>Benjamin Lillelund (060598‑BELI)</v>
      </c>
      <c r="O15" s="94" cm="1">
        <f t="array" ref="O15">ROW()-ROW(Bordtennisklub_d2[#Headers])</f>
        <v>10</v>
      </c>
      <c r="P15" s="19" t="s">
        <v>32</v>
      </c>
      <c r="Q15" s="16">
        <v>6700</v>
      </c>
      <c r="R15" s="2" t="s">
        <v>45</v>
      </c>
      <c r="S15" s="2" t="s">
        <v>291</v>
      </c>
      <c r="U15" s="40" cm="1">
        <f t="array" ref="U15">ROW()-ROW(Tilmeldingsstatus_d1[#Headers])</f>
        <v>3</v>
      </c>
      <c r="V15" s="19" t="s">
        <v>759</v>
      </c>
    </row>
    <row r="16" spans="1:28" x14ac:dyDescent="0.3">
      <c r="A16" s="19" t="s">
        <v>736</v>
      </c>
      <c r="B16" s="117">
        <v>44723.748611111114</v>
      </c>
      <c r="C16" s="2" t="s">
        <v>392</v>
      </c>
      <c r="D16" s="2" t="s">
        <v>760</v>
      </c>
      <c r="F16" s="2" t="s">
        <v>123</v>
      </c>
      <c r="G16" s="2" t="s">
        <v>21</v>
      </c>
      <c r="H16" s="16" t="s">
        <v>221</v>
      </c>
      <c r="I16" s="2" t="s">
        <v>5</v>
      </c>
      <c r="J16" s="3">
        <v>1</v>
      </c>
      <c r="K16" s="7">
        <v>2551</v>
      </c>
      <c r="L16" s="3"/>
      <c r="M16" s="99" t="str" cm="1">
        <f t="array" ref="M16">IF(OR(ISBLANK(Deltagere[[#This Row],[K: Spiller-ID/fødselsdato (ddmmåå)]:[K: Navn]])),"",Deltagere[[#This Row],[K: Navn]]&amp;" ("&amp;Deltagere[[#This Row],[K: Spiller-ID/fødselsdato (ddmmåå)]]&amp;")")</f>
        <v>Benjamin Sørensen (080294‑BESØ)</v>
      </c>
      <c r="O16" s="94" cm="1">
        <f t="array" ref="O16">ROW()-ROW(Bordtennisklub_d2[#Headers])</f>
        <v>11</v>
      </c>
      <c r="P16" s="19" t="s">
        <v>334</v>
      </c>
      <c r="Q16" s="16">
        <v>2000</v>
      </c>
      <c r="R16" s="2" t="s">
        <v>335</v>
      </c>
      <c r="S16" s="2" t="s">
        <v>336</v>
      </c>
    </row>
    <row r="17" spans="1:22" x14ac:dyDescent="0.3">
      <c r="A17" s="19" t="s">
        <v>736</v>
      </c>
      <c r="B17" s="117">
        <v>44723.748611111114</v>
      </c>
      <c r="C17" s="2" t="s">
        <v>955</v>
      </c>
      <c r="D17" s="2" t="s">
        <v>760</v>
      </c>
      <c r="F17" s="2" t="s">
        <v>215</v>
      </c>
      <c r="G17" s="2" t="s">
        <v>218</v>
      </c>
      <c r="H17" s="16" t="s">
        <v>221</v>
      </c>
      <c r="I17" s="2" t="s">
        <v>8</v>
      </c>
      <c r="J17" s="3"/>
      <c r="K17" s="7">
        <v>1647</v>
      </c>
      <c r="L17" s="3"/>
      <c r="M17" s="99" t="str" cm="1">
        <f t="array" ref="M17">IF(OR(ISBLANK(Deltagere[[#This Row],[K: Spiller-ID/fødselsdato (ddmmåå)]:[K: Navn]])),"",Deltagere[[#This Row],[K: Navn]]&amp;" ("&amp;Deltagere[[#This Row],[K: Spiller-ID/fødselsdato (ddmmåå)]]&amp;")")</f>
        <v>Bent O. Jakobsen (080950‑BEJA)</v>
      </c>
      <c r="O17" s="94" cm="1">
        <f t="array" ref="O17">ROW()-ROW(Bordtennisklub_d2[#Headers])</f>
        <v>12</v>
      </c>
      <c r="P17" s="19" t="s">
        <v>64</v>
      </c>
      <c r="Q17" s="16">
        <v>8464</v>
      </c>
      <c r="R17" s="2" t="s">
        <v>63</v>
      </c>
      <c r="S17" s="2" t="s">
        <v>292</v>
      </c>
      <c r="U17" s="120" t="s">
        <v>438</v>
      </c>
      <c r="V17" s="120"/>
    </row>
    <row r="18" spans="1:22" x14ac:dyDescent="0.3">
      <c r="A18" s="19" t="s">
        <v>729</v>
      </c>
      <c r="B18" s="117">
        <v>44722.859027777777</v>
      </c>
      <c r="C18" s="2" t="s">
        <v>392</v>
      </c>
      <c r="D18" s="2" t="s">
        <v>760</v>
      </c>
      <c r="F18" s="2" t="s">
        <v>87</v>
      </c>
      <c r="G18" s="2" t="s">
        <v>24</v>
      </c>
      <c r="H18" s="16" t="s">
        <v>221</v>
      </c>
      <c r="I18" s="2" t="s">
        <v>11</v>
      </c>
      <c r="J18" s="3">
        <v>4</v>
      </c>
      <c r="K18" s="7">
        <v>2378</v>
      </c>
      <c r="L18" s="3"/>
      <c r="M18" s="99" t="str" cm="1">
        <f t="array" ref="M18">IF(OR(ISBLANK(Deltagere[[#This Row],[K: Spiller-ID/fødselsdato (ddmmåå)]:[K: Navn]])),"",Deltagere[[#This Row],[K: Navn]]&amp;" ("&amp;Deltagere[[#This Row],[K: Spiller-ID/fødselsdato (ddmmåå)]]&amp;")")</f>
        <v>Bjarke Krog (281101‑BJKR)</v>
      </c>
      <c r="O18" s="94" cm="1">
        <f t="array" ref="O18">ROW()-ROW(Bordtennisklub_d2[#Headers])</f>
        <v>13</v>
      </c>
      <c r="P18" s="19" t="s">
        <v>325</v>
      </c>
      <c r="Q18" s="16">
        <v>2670</v>
      </c>
      <c r="R18" s="2" t="s">
        <v>326</v>
      </c>
      <c r="S18" s="2" t="s">
        <v>408</v>
      </c>
      <c r="U18" s="119" t="str" cm="1">
        <f t="array" ref="U18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3 = 6 (✓)</v>
      </c>
      <c r="V18" s="119"/>
    </row>
    <row r="19" spans="1:22" x14ac:dyDescent="0.3">
      <c r="A19" s="19" t="s">
        <v>729</v>
      </c>
      <c r="B19" s="117">
        <v>44722.859027777777</v>
      </c>
      <c r="C19" s="2" t="s">
        <v>955</v>
      </c>
      <c r="D19" s="2" t="s">
        <v>760</v>
      </c>
      <c r="F19" s="2" t="s">
        <v>216</v>
      </c>
      <c r="G19" s="2" t="s">
        <v>217</v>
      </c>
      <c r="H19" s="16" t="s">
        <v>221</v>
      </c>
      <c r="I19" s="2" t="s">
        <v>8</v>
      </c>
      <c r="J19" s="3"/>
      <c r="K19" s="7">
        <v>2119</v>
      </c>
      <c r="L19" s="3"/>
      <c r="M19" s="99" t="str" cm="1">
        <f t="array" ref="M19">IF(OR(ISBLANK(Deltagere[[#This Row],[K: Spiller-ID/fødselsdato (ddmmåå)]:[K: Navn]])),"",Deltagere[[#This Row],[K: Navn]]&amp;" ("&amp;Deltagere[[#This Row],[K: Spiller-ID/fødselsdato (ddmmåå)]]&amp;")")</f>
        <v>Casper Staal (040282‑CAST)</v>
      </c>
      <c r="O19" s="94" cm="1">
        <f t="array" ref="O19">ROW()-ROW(Bordtennisklub_d2[#Headers])</f>
        <v>14</v>
      </c>
      <c r="P19" s="19" t="s">
        <v>247</v>
      </c>
      <c r="Q19" s="16">
        <v>3790</v>
      </c>
      <c r="R19" s="2" t="s">
        <v>248</v>
      </c>
      <c r="S19" s="2" t="s">
        <v>293</v>
      </c>
      <c r="U19" s="7" t="s">
        <v>0</v>
      </c>
      <c r="V19" s="19" t="s">
        <v>437</v>
      </c>
    </row>
    <row r="20" spans="1:22" x14ac:dyDescent="0.3">
      <c r="A20" s="19" t="s">
        <v>728</v>
      </c>
      <c r="B20" s="117">
        <v>44722.759027777778</v>
      </c>
      <c r="C20" s="2" t="s">
        <v>392</v>
      </c>
      <c r="D20" s="2" t="s">
        <v>758</v>
      </c>
      <c r="F20" s="2" t="s">
        <v>225</v>
      </c>
      <c r="G20" s="2" t="s">
        <v>226</v>
      </c>
      <c r="H20" s="16" t="s">
        <v>221</v>
      </c>
      <c r="I20" s="2" t="s">
        <v>8</v>
      </c>
      <c r="J20" s="3"/>
      <c r="K20" s="7">
        <v>1942</v>
      </c>
      <c r="L20" s="3"/>
      <c r="M20" s="99" t="str" cm="1">
        <f t="array" ref="M20">IF(OR(ISBLANK(Deltagere[[#This Row],[K: Spiller-ID/fødselsdato (ddmmåå)]:[K: Navn]])),"",Deltagere[[#This Row],[K: Navn]]&amp;" ("&amp;Deltagere[[#This Row],[K: Spiller-ID/fødselsdato (ddmmåå)]]&amp;")")</f>
        <v>Christian H. Andersen (200792‑CHAN)</v>
      </c>
      <c r="O20" s="94" cm="1">
        <f t="array" ref="O20">ROW()-ROW(Bordtennisklub_d2[#Headers])</f>
        <v>15</v>
      </c>
      <c r="P20" s="19" t="s">
        <v>307</v>
      </c>
      <c r="Q20" s="16">
        <v>3400</v>
      </c>
      <c r="R20" s="2" t="s">
        <v>308</v>
      </c>
      <c r="S20" s="2" t="s">
        <v>309</v>
      </c>
      <c r="U20" s="40" cm="1">
        <f t="array" ref="U20">ROW()-ROW(Billetsalg_pr_tilmelding_d1[#Headers])</f>
        <v>1</v>
      </c>
      <c r="V20" s="19" t="s">
        <v>435</v>
      </c>
    </row>
    <row r="21" spans="1:22" x14ac:dyDescent="0.3">
      <c r="A21" s="19" t="s">
        <v>698</v>
      </c>
      <c r="B21" s="117">
        <v>44719.868750000001</v>
      </c>
      <c r="C21" s="2" t="s">
        <v>392</v>
      </c>
      <c r="D21" s="2" t="s">
        <v>760</v>
      </c>
      <c r="F21" s="2" t="s">
        <v>105</v>
      </c>
      <c r="G21" s="2" t="s">
        <v>27</v>
      </c>
      <c r="H21" s="16" t="s">
        <v>221</v>
      </c>
      <c r="I21" s="2" t="s">
        <v>8</v>
      </c>
      <c r="J21" s="3"/>
      <c r="K21" s="7">
        <v>2067</v>
      </c>
      <c r="L21" s="3"/>
      <c r="M21" s="99" t="str" cm="1">
        <f t="array" ref="M21">IF(OR(ISBLANK(Deltagere[[#This Row],[K: Spiller-ID/fødselsdato (ddmmåå)]:[K: Navn]])),"",Deltagere[[#This Row],[K: Navn]]&amp;" ("&amp;Deltagere[[#This Row],[K: Spiller-ID/fødselsdato (ddmmåå)]]&amp;")")</f>
        <v>Daniel Wolf (300496‑DAWO)</v>
      </c>
      <c r="O21" s="94" cm="1">
        <f t="array" ref="O21">ROW()-ROW(Bordtennisklub_d2[#Headers])</f>
        <v>16</v>
      </c>
      <c r="P21" s="19" t="s">
        <v>338</v>
      </c>
      <c r="Q21" s="16">
        <v>4300</v>
      </c>
      <c r="R21" s="2" t="s">
        <v>340</v>
      </c>
      <c r="S21" s="2" t="s">
        <v>341</v>
      </c>
      <c r="U21" s="40" cm="1">
        <f t="array" ref="U21">ROW()-ROW(Billetsalg_pr_tilmelding_d1[#Headers])</f>
        <v>2</v>
      </c>
      <c r="V21" s="19" t="s">
        <v>436</v>
      </c>
    </row>
    <row r="22" spans="1:22" x14ac:dyDescent="0.3">
      <c r="A22" s="19" t="s">
        <v>625</v>
      </c>
      <c r="B22" s="117">
        <v>44717.959027777775</v>
      </c>
      <c r="C22" s="2" t="s">
        <v>392</v>
      </c>
      <c r="D22" s="2" t="s">
        <v>760</v>
      </c>
      <c r="F22" s="2" t="s">
        <v>557</v>
      </c>
      <c r="G22" s="2" t="s">
        <v>558</v>
      </c>
      <c r="H22" s="16" t="s">
        <v>221</v>
      </c>
      <c r="I22" s="2" t="s">
        <v>560</v>
      </c>
      <c r="J22" s="3"/>
      <c r="K22" s="7">
        <v>2068</v>
      </c>
      <c r="L22" s="3"/>
      <c r="M22" s="99" t="str" cm="1">
        <f t="array" ref="M22">IF(OR(ISBLANK(Deltagere[[#This Row],[K: Spiller-ID/fødselsdato (ddmmåå)]:[K: Navn]])),"",Deltagere[[#This Row],[K: Navn]]&amp;" ("&amp;Deltagere[[#This Row],[K: Spiller-ID/fødselsdato (ddmmåå)]]&amp;")")</f>
        <v>Dennis K. Nielsen (020686‑DENI)</v>
      </c>
      <c r="O22" s="94" cm="1">
        <f t="array" ref="O22">ROW()-ROW(Bordtennisklub_d2[#Headers])</f>
        <v>17</v>
      </c>
      <c r="P22" s="19" t="s">
        <v>329</v>
      </c>
      <c r="Q22" s="16">
        <v>2650</v>
      </c>
      <c r="R22" s="2" t="s">
        <v>330</v>
      </c>
      <c r="S22" s="2" t="s">
        <v>327</v>
      </c>
      <c r="U22" s="40" cm="1">
        <f t="array" ref="U22">ROW()-ROW(Billetsalg_pr_tilmelding_d1[#Headers])</f>
        <v>3</v>
      </c>
      <c r="V22" s="19" t="s">
        <v>1048</v>
      </c>
    </row>
    <row r="23" spans="1:22" x14ac:dyDescent="0.3">
      <c r="A23" s="19" t="s">
        <v>625</v>
      </c>
      <c r="B23" s="117">
        <v>44717.959027777775</v>
      </c>
      <c r="C23" s="2" t="s">
        <v>955</v>
      </c>
      <c r="D23" s="2" t="s">
        <v>760</v>
      </c>
      <c r="F23" s="2" t="s">
        <v>566</v>
      </c>
      <c r="G23" s="2" t="s">
        <v>567</v>
      </c>
      <c r="H23" s="16" t="s">
        <v>221</v>
      </c>
      <c r="I23" s="2" t="s">
        <v>9</v>
      </c>
      <c r="J23" s="3"/>
      <c r="K23" s="7">
        <v>2376</v>
      </c>
      <c r="L23" s="3"/>
      <c r="M23" s="99" t="str" cm="1">
        <f t="array" ref="M23">IF(OR(ISBLANK(Deltagere[[#This Row],[K: Spiller-ID/fødselsdato (ddmmåå)]:[K: Navn]])),"",Deltagere[[#This Row],[K: Navn]]&amp;" ("&amp;Deltagere[[#This Row],[K: Spiller-ID/fødselsdato (ddmmåå)]]&amp;")")</f>
        <v>Emil Lynge Sørensen (070802‑EMSØ)</v>
      </c>
      <c r="O23" s="94" cm="1">
        <f t="array" ref="O23">ROW()-ROW(Bordtennisklub_d2[#Headers])</f>
        <v>18</v>
      </c>
      <c r="P23" s="19" t="s">
        <v>5</v>
      </c>
      <c r="Q23" s="16">
        <v>8362</v>
      </c>
      <c r="R23" s="2" t="s">
        <v>46</v>
      </c>
      <c r="S23" s="2" t="s">
        <v>294</v>
      </c>
    </row>
    <row r="24" spans="1:22" x14ac:dyDescent="0.3">
      <c r="A24" s="19" t="s">
        <v>626</v>
      </c>
      <c r="B24" s="117">
        <v>44717.945833333331</v>
      </c>
      <c r="C24" s="2" t="s">
        <v>392</v>
      </c>
      <c r="D24" s="2" t="s">
        <v>760</v>
      </c>
      <c r="F24" s="2" t="s">
        <v>96</v>
      </c>
      <c r="G24" s="2" t="s">
        <v>110</v>
      </c>
      <c r="H24" s="16" t="s">
        <v>221</v>
      </c>
      <c r="I24" s="2" t="s">
        <v>5</v>
      </c>
      <c r="J24" s="3">
        <v>3</v>
      </c>
      <c r="K24" s="7">
        <v>2553</v>
      </c>
      <c r="L24" s="3"/>
      <c r="M24" s="99" t="str" cm="1">
        <f t="array" ref="M24">IF(OR(ISBLANK(Deltagere[[#This Row],[K: Spiller-ID/fødselsdato (ddmmåå)]:[K: Navn]])),"",Deltagere[[#This Row],[K: Navn]]&amp;" ("&amp;Deltagere[[#This Row],[K: Spiller-ID/fødselsdato (ddmmåå)]]&amp;")")</f>
        <v>Emil Madsen (290593‑EMMA)</v>
      </c>
      <c r="O24" s="94" cm="1">
        <f t="array" ref="O24">ROW()-ROW(Bordtennisklub_d2[#Headers])</f>
        <v>19</v>
      </c>
      <c r="P24" s="19" t="s">
        <v>10</v>
      </c>
      <c r="Q24" s="16">
        <v>2100</v>
      </c>
      <c r="R24" s="2" t="s">
        <v>51</v>
      </c>
      <c r="S24" s="2" t="s">
        <v>295</v>
      </c>
      <c r="U24" s="120" t="s">
        <v>439</v>
      </c>
      <c r="V24" s="120"/>
    </row>
    <row r="25" spans="1:22" x14ac:dyDescent="0.3">
      <c r="A25" s="19" t="s">
        <v>626</v>
      </c>
      <c r="B25" s="117">
        <v>44717.945833333331</v>
      </c>
      <c r="C25" s="2" t="s">
        <v>955</v>
      </c>
      <c r="D25" s="2" t="s">
        <v>760</v>
      </c>
      <c r="F25" s="2" t="s">
        <v>286</v>
      </c>
      <c r="G25" s="2" t="s">
        <v>287</v>
      </c>
      <c r="H25" s="16" t="s">
        <v>221</v>
      </c>
      <c r="I25" s="2" t="s">
        <v>5</v>
      </c>
      <c r="J25" s="3"/>
      <c r="K25" s="7">
        <v>1166</v>
      </c>
      <c r="L25" s="3"/>
      <c r="M25" s="99" t="str" cm="1">
        <f t="array" ref="M25">IF(OR(ISBLANK(Deltagere[[#This Row],[K: Spiller-ID/fødselsdato (ddmmåå)]:[K: Navn]])),"",Deltagere[[#This Row],[K: Navn]]&amp;" ("&amp;Deltagere[[#This Row],[K: Spiller-ID/fødselsdato (ddmmåå)]]&amp;")")</f>
        <v>Frederik Kjeldgaard (100510‑FRKJ)</v>
      </c>
      <c r="O25" s="94" cm="1">
        <f t="array" ref="O25">ROW()-ROW(Bordtennisklub_d2[#Headers])</f>
        <v>20</v>
      </c>
      <c r="P25" s="19" t="s">
        <v>269</v>
      </c>
      <c r="Q25" s="16">
        <v>5800</v>
      </c>
      <c r="R25" s="2" t="s">
        <v>270</v>
      </c>
      <c r="S25" s="2" t="s">
        <v>296</v>
      </c>
      <c r="U25" s="119" t="str" cm="1">
        <f t="array" ref="U25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V25" s="119"/>
    </row>
    <row r="26" spans="1:22" x14ac:dyDescent="0.3">
      <c r="A26" s="19" t="s">
        <v>627</v>
      </c>
      <c r="B26" s="117">
        <v>44717.939583333333</v>
      </c>
      <c r="C26" s="2" t="s">
        <v>392</v>
      </c>
      <c r="D26" s="2" t="s">
        <v>758</v>
      </c>
      <c r="F26" s="2" t="s">
        <v>86</v>
      </c>
      <c r="G26" s="2" t="s">
        <v>30</v>
      </c>
      <c r="H26" s="16" t="s">
        <v>221</v>
      </c>
      <c r="I26" s="2" t="s">
        <v>9</v>
      </c>
      <c r="J26" s="3"/>
      <c r="K26" s="7">
        <v>1346</v>
      </c>
      <c r="L26" s="3"/>
      <c r="M26" s="99" t="str" cm="1">
        <f t="array" ref="M26">IF(OR(ISBLANK(Deltagere[[#This Row],[K: Spiller-ID/fødselsdato (ddmmåå)]:[K: Navn]])),"",Deltagere[[#This Row],[K: Navn]]&amp;" ("&amp;Deltagere[[#This Row],[K: Spiller-ID/fødselsdato (ddmmåå)]]&amp;")")</f>
        <v>Gabriel Berthelsen (041007‑GABE)</v>
      </c>
      <c r="O26" s="94" cm="1">
        <f t="array" ref="O26">ROW()-ROW(Bordtennisklub_d2[#Headers])</f>
        <v>21</v>
      </c>
      <c r="P26" s="19" t="s">
        <v>314</v>
      </c>
      <c r="Q26" s="16">
        <v>4684</v>
      </c>
      <c r="R26" s="2" t="s">
        <v>315</v>
      </c>
      <c r="S26" s="2" t="s">
        <v>313</v>
      </c>
      <c r="U26" s="7" t="s">
        <v>0</v>
      </c>
      <c r="V26" s="19" t="s">
        <v>440</v>
      </c>
    </row>
    <row r="27" spans="1:22" x14ac:dyDescent="0.3">
      <c r="A27" s="19" t="s">
        <v>627</v>
      </c>
      <c r="B27" s="117">
        <v>44717.939583333333</v>
      </c>
      <c r="C27" s="2" t="s">
        <v>955</v>
      </c>
      <c r="D27" s="2" t="s">
        <v>758</v>
      </c>
      <c r="F27" s="2" t="s">
        <v>273</v>
      </c>
      <c r="G27" s="2" t="s">
        <v>722</v>
      </c>
      <c r="H27" s="16" t="s">
        <v>221</v>
      </c>
      <c r="I27" s="2" t="s">
        <v>4</v>
      </c>
      <c r="J27" s="3"/>
      <c r="K27" s="7">
        <v>2042</v>
      </c>
      <c r="L27" s="3"/>
      <c r="M27" s="99" t="str" cm="1">
        <f t="array" ref="M27">IF(OR(ISBLANK(Deltagere[[#This Row],[K: Spiller-ID/fødselsdato (ddmmåå)]:[K: Navn]])),"",Deltagere[[#This Row],[K: Navn]]&amp;" ("&amp;Deltagere[[#This Row],[K: Spiller-ID/fødselsdato (ddmmåå)]]&amp;")")</f>
        <v>Hans Herluf Boisen (160878‑HABO)</v>
      </c>
      <c r="O27" s="94" cm="1">
        <f t="array" ref="O27">ROW()-ROW(Bordtennisklub_d2[#Headers])</f>
        <v>22</v>
      </c>
      <c r="P27" s="19" t="s">
        <v>53</v>
      </c>
      <c r="Q27" s="16">
        <v>5000</v>
      </c>
      <c r="R27" s="2" t="s">
        <v>52</v>
      </c>
      <c r="S27" s="2" t="s">
        <v>310</v>
      </c>
      <c r="U27" s="40" cm="1">
        <f t="array" ref="U27">ROW()-ROW(Tilmeldingstype_d1[#Headers])</f>
        <v>1</v>
      </c>
      <c r="V27" s="19" t="s">
        <v>973</v>
      </c>
    </row>
    <row r="28" spans="1:22" x14ac:dyDescent="0.3">
      <c r="A28" s="19" t="s">
        <v>628</v>
      </c>
      <c r="B28" s="117">
        <v>44717.938194444447</v>
      </c>
      <c r="C28" s="2" t="s">
        <v>955</v>
      </c>
      <c r="D28" s="2" t="s">
        <v>760</v>
      </c>
      <c r="F28" s="2" t="s">
        <v>553</v>
      </c>
      <c r="G28" s="2" t="s">
        <v>552</v>
      </c>
      <c r="H28" s="16" t="s">
        <v>222</v>
      </c>
      <c r="I28" s="2" t="s">
        <v>8</v>
      </c>
      <c r="J28" s="3"/>
      <c r="K28" s="7">
        <v>1516</v>
      </c>
      <c r="L28" s="3"/>
      <c r="M28" s="99" t="str" cm="1">
        <f t="array" ref="M28">IF(OR(ISBLANK(Deltagere[[#This Row],[K: Spiller-ID/fødselsdato (ddmmåå)]:[K: Navn]])),"",Deltagere[[#This Row],[K: Navn]]&amp;" ("&amp;Deltagere[[#This Row],[K: Spiller-ID/fødselsdato (ddmmåå)]]&amp;")")</f>
        <v>Ida Nielsen (090391‑IDNI)</v>
      </c>
      <c r="O28" s="94" cm="1">
        <f t="array" ref="O28">ROW()-ROW(Bordtennisklub_d2[#Headers])</f>
        <v>23</v>
      </c>
      <c r="P28" s="19" t="s">
        <v>6</v>
      </c>
      <c r="Q28" s="16">
        <v>6950</v>
      </c>
      <c r="R28" s="2" t="s">
        <v>6</v>
      </c>
      <c r="S28" s="2" t="s">
        <v>297</v>
      </c>
      <c r="U28" s="40" cm="1">
        <f t="array" ref="U28">ROW()-ROW(Tilmeldingstype_d1[#Headers])</f>
        <v>2</v>
      </c>
      <c r="V28" s="19" t="s">
        <v>452</v>
      </c>
    </row>
    <row r="29" spans="1:22" x14ac:dyDescent="0.3">
      <c r="A29" s="19" t="s">
        <v>628</v>
      </c>
      <c r="B29" s="117">
        <v>44717.938194444447</v>
      </c>
      <c r="C29" s="2" t="s">
        <v>392</v>
      </c>
      <c r="D29" s="2" t="s">
        <v>758</v>
      </c>
      <c r="F29" s="2" t="s">
        <v>398</v>
      </c>
      <c r="G29" s="2" t="s">
        <v>399</v>
      </c>
      <c r="H29" s="16" t="s">
        <v>222</v>
      </c>
      <c r="I29" s="2" t="s">
        <v>329</v>
      </c>
      <c r="J29" s="3"/>
      <c r="K29" s="7">
        <v>2187</v>
      </c>
      <c r="L29" s="3"/>
      <c r="M29" s="99" t="str" cm="1">
        <f t="array" ref="M29">IF(OR(ISBLANK(Deltagere[[#This Row],[K: Spiller-ID/fødselsdato (ddmmåå)]:[K: Navn]])),"",Deltagere[[#This Row],[K: Navn]]&amp;" ("&amp;Deltagere[[#This Row],[K: Spiller-ID/fødselsdato (ddmmåå)]]&amp;")")</f>
        <v>Izabell Nørlem (151090‑IZNØ)</v>
      </c>
      <c r="O29" s="94" cm="1">
        <f t="array" ref="O29">ROW()-ROW(Bordtennisklub_d2[#Headers])</f>
        <v>24</v>
      </c>
      <c r="P29" s="19" t="s">
        <v>401</v>
      </c>
      <c r="Q29" s="16">
        <v>4000</v>
      </c>
      <c r="R29" s="2" t="s">
        <v>311</v>
      </c>
      <c r="S29" s="2" t="s">
        <v>312</v>
      </c>
      <c r="U29" s="40" cm="1">
        <f t="array" ref="U29">ROW()-ROW(Tilmeldingstype_d1[#Headers])</f>
        <v>3</v>
      </c>
      <c r="V29" s="19" t="s">
        <v>961</v>
      </c>
    </row>
    <row r="30" spans="1:22" x14ac:dyDescent="0.3">
      <c r="A30" s="19" t="s">
        <v>629</v>
      </c>
      <c r="B30" s="117">
        <v>44717.919444444444</v>
      </c>
      <c r="C30" s="2" t="s">
        <v>392</v>
      </c>
      <c r="D30" s="2" t="s">
        <v>760</v>
      </c>
      <c r="F30" s="2" t="s">
        <v>104</v>
      </c>
      <c r="G30" s="2" t="s">
        <v>58</v>
      </c>
      <c r="H30" s="16" t="s">
        <v>221</v>
      </c>
      <c r="I30" s="2" t="s">
        <v>7</v>
      </c>
      <c r="J30" s="3"/>
      <c r="K30" s="7">
        <v>2521</v>
      </c>
      <c r="L30" s="3"/>
      <c r="M30" s="99" t="str" cm="1">
        <f t="array" ref="M30">IF(OR(ISBLANK(Deltagere[[#This Row],[K: Spiller-ID/fødselsdato (ddmmåå)]:[K: Navn]])),"",Deltagere[[#This Row],[K: Navn]]&amp;" ("&amp;Deltagere[[#This Row],[K: Spiller-ID/fødselsdato (ddmmåå)]]&amp;")")</f>
        <v>Jakub Dorocinski (080892‑JADO)</v>
      </c>
      <c r="O30" s="94" cm="1">
        <f t="array" ref="O30">ROW()-ROW(Bordtennisklub_d2[#Headers])</f>
        <v>25</v>
      </c>
      <c r="P30" s="19" t="s">
        <v>7</v>
      </c>
      <c r="Q30" s="16">
        <v>8200</v>
      </c>
      <c r="R30" s="2" t="s">
        <v>54</v>
      </c>
      <c r="S30" s="2" t="s">
        <v>343</v>
      </c>
    </row>
    <row r="31" spans="1:22" x14ac:dyDescent="0.3">
      <c r="A31" s="19" t="s">
        <v>630</v>
      </c>
      <c r="B31" s="117">
        <v>44717.879861111112</v>
      </c>
      <c r="C31" s="2" t="s">
        <v>392</v>
      </c>
      <c r="D31" s="2" t="s">
        <v>760</v>
      </c>
      <c r="F31" s="2" t="s">
        <v>498</v>
      </c>
      <c r="G31" s="2" t="s">
        <v>499</v>
      </c>
      <c r="H31" s="16" t="s">
        <v>221</v>
      </c>
      <c r="I31" s="2" t="s">
        <v>329</v>
      </c>
      <c r="J31" s="3"/>
      <c r="K31" s="7">
        <v>2269</v>
      </c>
      <c r="L31" s="3"/>
      <c r="M31" s="99" t="str" cm="1">
        <f t="array" ref="M31">IF(OR(ISBLANK(Deltagere[[#This Row],[K: Spiller-ID/fødselsdato (ddmmåå)]:[K: Navn]])),"",Deltagere[[#This Row],[K: Navn]]&amp;" ("&amp;Deltagere[[#This Row],[K: Spiller-ID/fødselsdato (ddmmåå)]]&amp;")")</f>
        <v>Jan Nordhøj (300470‑JANO)</v>
      </c>
      <c r="O31" s="94" cm="1">
        <f t="array" ref="O31">ROW()-ROW(Bordtennisklub_d2[#Headers])</f>
        <v>26</v>
      </c>
      <c r="P31" s="19" t="s">
        <v>41</v>
      </c>
      <c r="Q31" s="16">
        <v>8600</v>
      </c>
      <c r="R31" s="2" t="s">
        <v>47</v>
      </c>
      <c r="S31" s="2" t="s">
        <v>298</v>
      </c>
      <c r="U31" s="120" t="s">
        <v>732</v>
      </c>
      <c r="V31" s="120"/>
    </row>
    <row r="32" spans="1:22" x14ac:dyDescent="0.3">
      <c r="A32" s="19" t="s">
        <v>630</v>
      </c>
      <c r="B32" s="117">
        <v>44717.879861111112</v>
      </c>
      <c r="C32" s="2" t="s">
        <v>955</v>
      </c>
      <c r="D32" s="2" t="s">
        <v>760</v>
      </c>
      <c r="F32" s="2" t="s">
        <v>102</v>
      </c>
      <c r="G32" s="2" t="s">
        <v>547</v>
      </c>
      <c r="H32" s="16" t="s">
        <v>221</v>
      </c>
      <c r="I32" s="2" t="s">
        <v>5</v>
      </c>
      <c r="J32" s="3"/>
      <c r="K32" s="7">
        <v>1176</v>
      </c>
      <c r="L32" s="3"/>
      <c r="M32" s="99" t="str" cm="1">
        <f t="array" ref="M32">IF(OR(ISBLANK(Deltagere[[#This Row],[K: Spiller-ID/fødselsdato (ddmmåå)]:[K: Navn]])),"",Deltagere[[#This Row],[K: Navn]]&amp;" ("&amp;Deltagere[[#This Row],[K: Spiller-ID/fødselsdato (ddmmåå)]]&amp;")")</f>
        <v>Jannick Helbo Wagner (290171‑JAHE)</v>
      </c>
      <c r="O32" s="94" cm="1">
        <f t="array" ref="O32">ROW()-ROW(Bordtennisklub_d2[#Headers])</f>
        <v>27</v>
      </c>
      <c r="P32" s="19" t="s">
        <v>8</v>
      </c>
      <c r="Q32" s="16">
        <v>8000</v>
      </c>
      <c r="R32" s="2" t="s">
        <v>55</v>
      </c>
      <c r="S32" s="2" t="s">
        <v>299</v>
      </c>
      <c r="U32" s="119" t="str" cm="1">
        <f t="array" ref="U32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V32" s="119"/>
    </row>
    <row r="33" spans="1:22" x14ac:dyDescent="0.3">
      <c r="A33" s="19" t="s">
        <v>631</v>
      </c>
      <c r="B33" s="117">
        <v>44717.878472222219</v>
      </c>
      <c r="C33" s="2" t="s">
        <v>392</v>
      </c>
      <c r="D33" s="2" t="s">
        <v>760</v>
      </c>
      <c r="F33" s="2" t="s">
        <v>90</v>
      </c>
      <c r="G33" s="2" t="s">
        <v>43</v>
      </c>
      <c r="H33" s="16" t="s">
        <v>221</v>
      </c>
      <c r="I33" s="2" t="s">
        <v>53</v>
      </c>
      <c r="J33" s="3"/>
      <c r="K33" s="7">
        <v>1169</v>
      </c>
      <c r="L33" s="3"/>
      <c r="M33" s="99" t="str" cm="1">
        <f t="array" ref="M33">IF(OR(ISBLANK(Deltagere[[#This Row],[K: Spiller-ID/fødselsdato (ddmmåå)]:[K: Navn]])),"",Deltagere[[#This Row],[K: Navn]]&amp;" ("&amp;Deltagere[[#This Row],[K: Spiller-ID/fødselsdato (ddmmåå)]]&amp;")")</f>
        <v>Jeff Tølbøll (180209‑JETØ)</v>
      </c>
      <c r="O33" s="94" cm="1">
        <f t="array" ref="O33">ROW()-ROW(Bordtennisklub_d2[#Headers])</f>
        <v>28</v>
      </c>
      <c r="P33" s="19" t="s">
        <v>3</v>
      </c>
      <c r="Q33" s="16">
        <v>7700</v>
      </c>
      <c r="R33" s="2" t="s">
        <v>56</v>
      </c>
      <c r="S33" s="2" t="s">
        <v>300</v>
      </c>
      <c r="U33" s="7" t="s">
        <v>0</v>
      </c>
      <c r="V33" s="19" t="s">
        <v>733</v>
      </c>
    </row>
    <row r="34" spans="1:22" x14ac:dyDescent="0.3">
      <c r="A34" s="19" t="s">
        <v>631</v>
      </c>
      <c r="B34" s="117">
        <v>44717.878472222219</v>
      </c>
      <c r="C34" s="2" t="s">
        <v>955</v>
      </c>
      <c r="D34" s="2" t="s">
        <v>760</v>
      </c>
      <c r="F34" s="2" t="s">
        <v>95</v>
      </c>
      <c r="G34" s="2" t="s">
        <v>461</v>
      </c>
      <c r="H34" s="16" t="s">
        <v>221</v>
      </c>
      <c r="I34" s="2" t="s">
        <v>64</v>
      </c>
      <c r="J34" s="3"/>
      <c r="K34" s="7">
        <v>2339</v>
      </c>
      <c r="L34" s="3"/>
      <c r="M34" s="99" t="str" cm="1">
        <f t="array" ref="M34">IF(OR(ISBLANK(Deltagere[[#This Row],[K: Spiller-ID/fødselsdato (ddmmåå)]:[K: Navn]])),"",Deltagere[[#This Row],[K: Navn]]&amp;" ("&amp;Deltagere[[#This Row],[K: Spiller-ID/fødselsdato (ddmmåå)]]&amp;")")</f>
        <v>Jesper Nedergård (090775‑JENE)</v>
      </c>
      <c r="O34" s="94" cm="1">
        <f t="array" ref="O34">ROW()-ROW(Bordtennisklub_d2[#Headers])</f>
        <v>29</v>
      </c>
      <c r="P34" s="19" t="s">
        <v>560</v>
      </c>
      <c r="Q34" s="16">
        <v>8850</v>
      </c>
      <c r="R34" s="2" t="s">
        <v>561</v>
      </c>
      <c r="S34" s="2" t="s">
        <v>562</v>
      </c>
      <c r="U34" s="40" cm="1">
        <f t="array" ref="U34">ROW()-ROW(Gentilmeldinger_d1[#Headers])</f>
        <v>1</v>
      </c>
      <c r="V34" s="19" t="s">
        <v>748</v>
      </c>
    </row>
    <row r="35" spans="1:22" x14ac:dyDescent="0.3">
      <c r="A35" s="19" t="s">
        <v>632</v>
      </c>
      <c r="B35" s="117">
        <v>44717.869444444441</v>
      </c>
      <c r="C35" s="2" t="s">
        <v>392</v>
      </c>
      <c r="D35" s="2" t="s">
        <v>760</v>
      </c>
      <c r="F35" s="2" t="s">
        <v>210</v>
      </c>
      <c r="G35" s="2" t="s">
        <v>211</v>
      </c>
      <c r="H35" s="16" t="s">
        <v>221</v>
      </c>
      <c r="I35" s="2" t="s">
        <v>41</v>
      </c>
      <c r="J35" s="3"/>
      <c r="K35" s="7">
        <v>1547</v>
      </c>
      <c r="L35" s="3"/>
      <c r="M35" s="99" t="str" cm="1">
        <f t="array" ref="M35">IF(OR(ISBLANK(Deltagere[[#This Row],[K: Spiller-ID/fødselsdato (ddmmåå)]:[K: Navn]])),"",Deltagere[[#This Row],[K: Navn]]&amp;" ("&amp;Deltagere[[#This Row],[K: Spiller-ID/fødselsdato (ddmmåå)]]&amp;")")</f>
        <v>Jesper Skivesen (250372‑JESK)</v>
      </c>
      <c r="O35" s="94" cm="1">
        <f t="array" ref="O35">ROW()-ROW(Bordtennisklub_d2[#Headers])</f>
        <v>30</v>
      </c>
      <c r="P35" s="19" t="s">
        <v>407</v>
      </c>
      <c r="Q35" s="16">
        <v>5230</v>
      </c>
      <c r="R35" s="2" t="s">
        <v>321</v>
      </c>
      <c r="S35" s="2" t="s">
        <v>322</v>
      </c>
      <c r="U35" s="40" cm="1">
        <f t="array" ref="U35">ROW()-ROW(Gentilmeldinger_d1[#Headers])</f>
        <v>2</v>
      </c>
      <c r="V35" s="19" t="s">
        <v>749</v>
      </c>
    </row>
    <row r="36" spans="1:22" x14ac:dyDescent="0.3">
      <c r="A36" s="19" t="s">
        <v>632</v>
      </c>
      <c r="B36" s="117">
        <v>44717.869444444441</v>
      </c>
      <c r="C36" s="2" t="s">
        <v>955</v>
      </c>
      <c r="D36" s="2" t="s">
        <v>760</v>
      </c>
      <c r="F36" s="2" t="s">
        <v>274</v>
      </c>
      <c r="G36" s="2" t="s">
        <v>544</v>
      </c>
      <c r="H36" s="16" t="s">
        <v>221</v>
      </c>
      <c r="I36" s="2" t="s">
        <v>8</v>
      </c>
      <c r="J36" s="3"/>
      <c r="K36" s="7">
        <v>2048</v>
      </c>
      <c r="L36" s="3"/>
      <c r="M36" s="99" t="str" cm="1">
        <f t="array" ref="M36">IF(OR(ISBLANK(Deltagere[[#This Row],[K: Spiller-ID/fødselsdato (ddmmåå)]:[K: Navn]])),"",Deltagere[[#This Row],[K: Navn]]&amp;" ("&amp;Deltagere[[#This Row],[K: Spiller-ID/fødselsdato (ddmmåå)]]&amp;")")</f>
        <v>Jesper Steffensen (220475-JEST)</v>
      </c>
      <c r="O36" s="94" cm="1">
        <f t="array" ref="O36">ROW()-ROW(Bordtennisklub_d2[#Headers])</f>
        <v>31</v>
      </c>
      <c r="P36" s="19" t="s">
        <v>243</v>
      </c>
      <c r="Q36" s="16">
        <v>7100</v>
      </c>
      <c r="R36" s="2" t="s">
        <v>244</v>
      </c>
      <c r="S36" s="2" t="s">
        <v>301</v>
      </c>
    </row>
    <row r="37" spans="1:22" x14ac:dyDescent="0.3">
      <c r="A37" s="19" t="s">
        <v>633</v>
      </c>
      <c r="B37" s="117">
        <v>44717.861111111109</v>
      </c>
      <c r="C37" s="2" t="s">
        <v>392</v>
      </c>
      <c r="D37" s="2" t="s">
        <v>760</v>
      </c>
      <c r="F37" s="2" t="s">
        <v>272</v>
      </c>
      <c r="G37" s="2" t="s">
        <v>497</v>
      </c>
      <c r="H37" s="16" t="s">
        <v>221</v>
      </c>
      <c r="I37" s="2" t="s">
        <v>8</v>
      </c>
      <c r="J37" s="3"/>
      <c r="K37" s="7">
        <v>2092</v>
      </c>
      <c r="L37" s="3"/>
      <c r="M37" s="99" t="str" cm="1">
        <f t="array" ref="M37">IF(OR(ISBLANK(Deltagere[[#This Row],[K: Spiller-ID/fødselsdato (ddmmåå)]:[K: Navn]])),"",Deltagere[[#This Row],[K: Navn]]&amp;" ("&amp;Deltagere[[#This Row],[K: Spiller-ID/fødselsdato (ddmmåå)]]&amp;")")</f>
        <v>Johan Grønhøj (230403‑JOGR)</v>
      </c>
      <c r="O37" s="94" cm="1">
        <f t="array" ref="O37">ROW()-ROW(Bordtennisklub_d2[#Headers])</f>
        <v>32</v>
      </c>
      <c r="P37" s="19" t="s">
        <v>725</v>
      </c>
      <c r="Q37" s="16">
        <v>8800</v>
      </c>
      <c r="R37" s="2" t="s">
        <v>726</v>
      </c>
      <c r="S37" s="2" t="s">
        <v>727</v>
      </c>
      <c r="U37" s="120" t="s">
        <v>614</v>
      </c>
      <c r="V37" s="120"/>
    </row>
    <row r="38" spans="1:22" x14ac:dyDescent="0.3">
      <c r="A38" s="19" t="s">
        <v>633</v>
      </c>
      <c r="B38" s="117">
        <v>44717.861111111109</v>
      </c>
      <c r="C38" s="2" t="s">
        <v>955</v>
      </c>
      <c r="D38" s="2" t="s">
        <v>760</v>
      </c>
      <c r="F38" s="2" t="s">
        <v>598</v>
      </c>
      <c r="G38" s="2" t="s">
        <v>599</v>
      </c>
      <c r="H38" s="16" t="s">
        <v>221</v>
      </c>
      <c r="I38" s="2" t="s">
        <v>8</v>
      </c>
      <c r="J38" s="3"/>
      <c r="K38" s="7">
        <v>2164</v>
      </c>
      <c r="L38" s="3"/>
      <c r="M38" s="99" t="str" cm="1">
        <f t="array" ref="M38">IF(OR(ISBLANK(Deltagere[[#This Row],[K: Spiller-ID/fødselsdato (ddmmåå)]:[K: Navn]])),"",Deltagere[[#This Row],[K: Navn]]&amp;" ("&amp;Deltagere[[#This Row],[K: Spiller-ID/fødselsdato (ddmmåå)]]&amp;")")</f>
        <v>Johannes Messick Mortensen (311002-JOMO)</v>
      </c>
      <c r="O38" s="94" cm="1">
        <f t="array" ref="O38">ROW()-ROW(Bordtennisklub_d2[#Headers])</f>
        <v>33</v>
      </c>
      <c r="P38" s="19" t="s">
        <v>318</v>
      </c>
      <c r="Q38" s="16">
        <v>2830</v>
      </c>
      <c r="R38" s="2" t="s">
        <v>319</v>
      </c>
      <c r="S38" s="2" t="s">
        <v>320</v>
      </c>
      <c r="U38" s="119" t="str" cm="1">
        <f t="array" ref="U38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V38" s="119"/>
    </row>
    <row r="39" spans="1:22" x14ac:dyDescent="0.3">
      <c r="A39" s="19" t="s">
        <v>634</v>
      </c>
      <c r="B39" s="117">
        <v>44717.824305555558</v>
      </c>
      <c r="C39" s="2" t="s">
        <v>955</v>
      </c>
      <c r="D39" s="2" t="s">
        <v>760</v>
      </c>
      <c r="F39" s="2" t="s">
        <v>101</v>
      </c>
      <c r="G39" s="2" t="s">
        <v>22</v>
      </c>
      <c r="H39" s="16" t="s">
        <v>221</v>
      </c>
      <c r="I39" s="2" t="s">
        <v>7</v>
      </c>
      <c r="J39" s="3"/>
      <c r="K39" s="7">
        <v>2455</v>
      </c>
      <c r="L39" s="3"/>
      <c r="M39" s="99" t="str" cm="1">
        <f t="array" ref="M39">IF(OR(ISBLANK(Deltagere[[#This Row],[K: Spiller-ID/fødselsdato (ddmmåå)]:[K: Navn]])),"",Deltagere[[#This Row],[K: Navn]]&amp;" ("&amp;Deltagere[[#This Row],[K: Spiller-ID/fødselsdato (ddmmåå)]]&amp;")")</f>
        <v>John Sabalic (180365‑JOSA)</v>
      </c>
      <c r="O39" s="94" cm="1">
        <f t="array" ref="O39">ROW()-ROW(Bordtennisklub_d2[#Headers])</f>
        <v>34</v>
      </c>
      <c r="P39" s="19" t="s">
        <v>79</v>
      </c>
      <c r="Q39" s="16" t="s">
        <v>405</v>
      </c>
      <c r="R39" s="2" t="s">
        <v>83</v>
      </c>
      <c r="S39" s="2" t="s">
        <v>406</v>
      </c>
      <c r="U39" s="7" t="s">
        <v>0</v>
      </c>
      <c r="V39" s="19" t="s">
        <v>613</v>
      </c>
    </row>
    <row r="40" spans="1:22" x14ac:dyDescent="0.3">
      <c r="A40" s="19" t="s">
        <v>635</v>
      </c>
      <c r="B40" s="117">
        <v>44717.819444444445</v>
      </c>
      <c r="C40" s="2" t="s">
        <v>955</v>
      </c>
      <c r="D40" s="2" t="s">
        <v>760</v>
      </c>
      <c r="F40" s="2" t="s">
        <v>921</v>
      </c>
      <c r="G40" s="2" t="s">
        <v>922</v>
      </c>
      <c r="H40" s="16" t="s">
        <v>221</v>
      </c>
      <c r="I40" s="2" t="s">
        <v>41</v>
      </c>
      <c r="J40" s="3"/>
      <c r="K40" s="7"/>
      <c r="L40" s="3"/>
      <c r="M40" s="24" t="str" cm="1">
        <f t="array" ref="M40">IF(OR(ISBLANK(Deltagere[[#This Row],[K: Spiller-ID/fødselsdato (ddmmåå)]:[K: Navn]])),"",Deltagere[[#This Row],[K: Navn]]&amp;" ("&amp;Deltagere[[#This Row],[K: Spiller-ID/fødselsdato (ddmmåå)]]&amp;")")</f>
        <v>Jonas Brandt (161098-JOBR)</v>
      </c>
      <c r="U40" s="40" cm="1">
        <f t="array" ref="U40">ROW()-ROW(Klokkeslætsinterval_d1[#Headers])</f>
        <v>1</v>
      </c>
      <c r="V40" s="19" t="s">
        <v>616</v>
      </c>
    </row>
    <row r="41" spans="1:22" x14ac:dyDescent="0.3">
      <c r="A41" s="19" t="s">
        <v>636</v>
      </c>
      <c r="B41" s="117">
        <v>44717.660416666666</v>
      </c>
      <c r="C41" s="2" t="s">
        <v>392</v>
      </c>
      <c r="D41" s="2" t="s">
        <v>760</v>
      </c>
      <c r="F41" s="2" t="s">
        <v>271</v>
      </c>
      <c r="G41" s="2" t="s">
        <v>507</v>
      </c>
      <c r="H41" s="16" t="s">
        <v>221</v>
      </c>
      <c r="I41" s="2" t="s">
        <v>41</v>
      </c>
      <c r="J41" s="3"/>
      <c r="K41" s="7">
        <v>2050</v>
      </c>
      <c r="L41" s="3"/>
      <c r="M41" s="99" t="str" cm="1">
        <f t="array" ref="M41">IF(OR(ISBLANK(Deltagere[[#This Row],[K: Spiller-ID/fødselsdato (ddmmåå)]:[K: Navn]])),"",Deltagere[[#This Row],[K: Navn]]&amp;" ("&amp;Deltagere[[#This Row],[K: Spiller-ID/fødselsdato (ddmmåå)]]&amp;")")</f>
        <v>Jonas Overgaard (010297‑JOOV)</v>
      </c>
      <c r="O41" s="120" t="s">
        <v>152</v>
      </c>
      <c r="P41" s="120"/>
      <c r="U41" s="40" cm="1">
        <f t="array" ref="U41">ROW()-ROW(Klokkeslætsinterval_d1[#Headers])</f>
        <v>2</v>
      </c>
      <c r="V41" s="19" t="s">
        <v>615</v>
      </c>
    </row>
    <row r="42" spans="1:22" x14ac:dyDescent="0.3">
      <c r="A42" s="19" t="s">
        <v>636</v>
      </c>
      <c r="B42" s="117">
        <v>44717.660416666666</v>
      </c>
      <c r="C42" s="2" t="s">
        <v>955</v>
      </c>
      <c r="D42" s="2" t="s">
        <v>760</v>
      </c>
      <c r="F42" s="2" t="s">
        <v>860</v>
      </c>
      <c r="G42" s="2" t="s">
        <v>861</v>
      </c>
      <c r="H42" s="16" t="s">
        <v>221</v>
      </c>
      <c r="I42" s="2" t="s">
        <v>7</v>
      </c>
      <c r="J42" s="3"/>
      <c r="K42" s="7">
        <v>2380</v>
      </c>
      <c r="L42" s="3"/>
      <c r="M42" s="99" t="str" cm="1">
        <f t="array" ref="M42">IF(OR(ISBLANK(Deltagere[[#This Row],[K: Spiller-ID/fødselsdato (ddmmåå)]:[K: Navn]])),"",Deltagere[[#This Row],[K: Navn]]&amp;" ("&amp;Deltagere[[#This Row],[K: Spiller-ID/fødselsdato (ddmmåå)]]&amp;")")</f>
        <v>Jonas Ring Agerholm (280389‑JOAG)</v>
      </c>
      <c r="O42" s="119" t="str" cm="1">
        <f t="array" ref="O42">COLUMNS(Køn_d2[])&amp;" · "&amp;ROWS(Køn_d2[])&amp;" = "&amp;SUMPRODUCT(COLUMNS(Køn_d2[]),ROWS(Køn_d2[]))
&amp;" ("&amp;IF(AND(COUNTIF(Køn_d2[K: Køn],Køn_d2[K: Køn])&lt;2),"✓","X")&amp;")"</f>
        <v>2 · 2 = 4 (✓)</v>
      </c>
      <c r="P42" s="119"/>
    </row>
    <row r="43" spans="1:22" x14ac:dyDescent="0.3">
      <c r="A43" s="19" t="s">
        <v>637</v>
      </c>
      <c r="B43" s="117">
        <v>44717.536805555559</v>
      </c>
      <c r="C43" s="2" t="s">
        <v>955</v>
      </c>
      <c r="D43" s="2" t="s">
        <v>760</v>
      </c>
      <c r="F43" s="2" t="s">
        <v>256</v>
      </c>
      <c r="G43" s="2" t="s">
        <v>257</v>
      </c>
      <c r="H43" s="16" t="s">
        <v>221</v>
      </c>
      <c r="I43" s="2" t="s">
        <v>8</v>
      </c>
      <c r="J43" s="3"/>
      <c r="K43" s="7">
        <v>2468</v>
      </c>
      <c r="L43" s="3"/>
      <c r="M43" s="99" t="str" cm="1">
        <f t="array" ref="M43">IF(OR(ISBLANK(Deltagere[[#This Row],[K: Spiller-ID/fødselsdato (ddmmåå)]:[K: Navn]])),"",Deltagere[[#This Row],[K: Navn]]&amp;" ("&amp;Deltagere[[#This Row],[K: Spiller-ID/fødselsdato (ddmmåå)]]&amp;")")</f>
        <v>Jonathan Abildgaard Hansen (120297‑JOHA)</v>
      </c>
      <c r="O43" s="7" t="s">
        <v>0</v>
      </c>
      <c r="P43" s="19" t="s">
        <v>42</v>
      </c>
    </row>
    <row r="44" spans="1:22" x14ac:dyDescent="0.3">
      <c r="A44" s="19" t="s">
        <v>639</v>
      </c>
      <c r="B44" s="117">
        <v>44716.847222222219</v>
      </c>
      <c r="C44" s="2" t="s">
        <v>392</v>
      </c>
      <c r="D44" s="2" t="s">
        <v>760</v>
      </c>
      <c r="F44" s="2" t="s">
        <v>864</v>
      </c>
      <c r="G44" s="2" t="s">
        <v>865</v>
      </c>
      <c r="H44" s="16" t="s">
        <v>221</v>
      </c>
      <c r="I44" s="2" t="s">
        <v>8</v>
      </c>
      <c r="J44" s="3"/>
      <c r="K44" s="7">
        <v>2057</v>
      </c>
      <c r="L44" s="3"/>
      <c r="M44" s="99" t="str" cm="1">
        <f t="array" ref="M44">IF(OR(ISBLANK(Deltagere[[#This Row],[K: Spiller-ID/fødselsdato (ddmmåå)]:[K: Navn]])),"",Deltagere[[#This Row],[K: Navn]]&amp;" ("&amp;Deltagere[[#This Row],[K: Spiller-ID/fødselsdato (ddmmåå)]]&amp;")")</f>
        <v>Jonathan Weiss (030302‑JOWE)</v>
      </c>
      <c r="O44" s="39" cm="1">
        <f t="array" ref="O44">ROW()-ROW(Køn_d2[#Headers])</f>
        <v>1</v>
      </c>
      <c r="P44" s="19" t="s">
        <v>221</v>
      </c>
    </row>
    <row r="45" spans="1:22" x14ac:dyDescent="0.3">
      <c r="A45" s="19" t="s">
        <v>638</v>
      </c>
      <c r="B45" s="117">
        <v>44716.84375</v>
      </c>
      <c r="C45" s="2" t="s">
        <v>392</v>
      </c>
      <c r="D45" s="2" t="s">
        <v>760</v>
      </c>
      <c r="F45" s="2" t="s">
        <v>91</v>
      </c>
      <c r="G45" s="2" t="s">
        <v>44</v>
      </c>
      <c r="H45" s="16" t="s">
        <v>221</v>
      </c>
      <c r="I45" s="2" t="s">
        <v>53</v>
      </c>
      <c r="J45" s="3"/>
      <c r="K45" s="7">
        <v>2048</v>
      </c>
      <c r="L45" s="3"/>
      <c r="M45" s="99" t="str" cm="1">
        <f t="array" ref="M45">IF(OR(ISBLANK(Deltagere[[#This Row],[K: Spiller-ID/fødselsdato (ddmmåå)]:[K: Navn]])),"",Deltagere[[#This Row],[K: Navn]]&amp;" ("&amp;Deltagere[[#This Row],[K: Spiller-ID/fødselsdato (ddmmåå)]]&amp;")")</f>
        <v>Kresten Christensen (060206‑KRCH)</v>
      </c>
      <c r="O45" s="39" cm="1">
        <f t="array" ref="O45">ROW()-ROW(Køn_d2[#Headers])</f>
        <v>2</v>
      </c>
      <c r="P45" s="19" t="s">
        <v>222</v>
      </c>
    </row>
    <row r="46" spans="1:22" x14ac:dyDescent="0.3">
      <c r="A46" s="19" t="s">
        <v>638</v>
      </c>
      <c r="B46" s="117">
        <v>44716.84375</v>
      </c>
      <c r="C46" s="2" t="s">
        <v>955</v>
      </c>
      <c r="D46" s="2" t="s">
        <v>760</v>
      </c>
      <c r="F46" s="2" t="s">
        <v>94</v>
      </c>
      <c r="G46" s="2" t="s">
        <v>35</v>
      </c>
      <c r="H46" s="16" t="s">
        <v>221</v>
      </c>
      <c r="I46" s="2" t="s">
        <v>32</v>
      </c>
      <c r="J46" s="3"/>
      <c r="K46" s="7">
        <v>1000</v>
      </c>
      <c r="L46" s="3"/>
      <c r="M46" s="99" t="str" cm="1">
        <f t="array" ref="M46">IF(OR(ISBLANK(Deltagere[[#This Row],[K: Spiller-ID/fødselsdato (ddmmåå)]:[K: Navn]])),"",Deltagere[[#This Row],[K: Navn]]&amp;" ("&amp;Deltagere[[#This Row],[K: Spiller-ID/fødselsdato (ddmmåå)]]&amp;")")</f>
        <v>Lars Hartvig Bruun Severinsen (190382‑LASE)</v>
      </c>
    </row>
    <row r="47" spans="1:22" x14ac:dyDescent="0.3">
      <c r="A47" s="19" t="s">
        <v>639</v>
      </c>
      <c r="B47" s="117">
        <v>44716.841666666667</v>
      </c>
      <c r="C47" s="2" t="s">
        <v>955</v>
      </c>
      <c r="D47" s="2" t="s">
        <v>760</v>
      </c>
      <c r="F47" s="2" t="s">
        <v>845</v>
      </c>
      <c r="G47" s="2" t="s">
        <v>846</v>
      </c>
      <c r="H47" s="16" t="s">
        <v>221</v>
      </c>
      <c r="I47" s="2" t="s">
        <v>41</v>
      </c>
      <c r="J47" s="3"/>
      <c r="K47" s="7">
        <v>1643</v>
      </c>
      <c r="L47" s="3"/>
      <c r="M47" s="99" t="str" cm="1">
        <f t="array" ref="M47">IF(OR(ISBLANK(Deltagere[[#This Row],[K: Spiller-ID/fødselsdato (ddmmåå)]:[K: Navn]])),"",Deltagere[[#This Row],[K: Navn]]&amp;" ("&amp;Deltagere[[#This Row],[K: Spiller-ID/fødselsdato (ddmmåå)]]&amp;")")</f>
        <v>Lars Jørgensen (280466‑LAJØ)</v>
      </c>
      <c r="O47" s="120" t="s">
        <v>153</v>
      </c>
      <c r="P47" s="120"/>
    </row>
    <row r="48" spans="1:22" x14ac:dyDescent="0.3">
      <c r="A48" s="19" t="s">
        <v>640</v>
      </c>
      <c r="B48" s="117">
        <v>44716.684027777781</v>
      </c>
      <c r="C48" s="2" t="s">
        <v>955</v>
      </c>
      <c r="D48" s="2" t="s">
        <v>760</v>
      </c>
      <c r="F48" s="2" t="s">
        <v>258</v>
      </c>
      <c r="G48" s="2" t="s">
        <v>259</v>
      </c>
      <c r="H48" s="16" t="s">
        <v>221</v>
      </c>
      <c r="I48" s="2" t="s">
        <v>79</v>
      </c>
      <c r="J48" s="3"/>
      <c r="K48" s="7"/>
      <c r="L48" s="3">
        <v>1</v>
      </c>
      <c r="M48" s="99" t="str" cm="1">
        <f t="array" ref="M48">IF(OR(ISBLANK(Deltagere[[#This Row],[K: Spiller-ID/fødselsdato (ddmmåå)]:[K: Navn]])),"",Deltagere[[#This Row],[K: Navn]]&amp;" ("&amp;Deltagere[[#This Row],[K: Spiller-ID/fødselsdato (ddmmåå)]]&amp;")")</f>
        <v>Lasse Frølich Rasmussen (091184)</v>
      </c>
      <c r="O48" s="119" t="str" cm="1">
        <f t="array" ref="O48">COLUMNS(Spillertype_d2[])&amp;" · "&amp;ROWS(Spillertype_d2[])&amp;" = "&amp;SUMPRODUCT(COLUMNS(Spillertype_d2[]),ROWS(Spillertype_d2[]))
&amp;" ("&amp;IF(AND(COUNTIF(Spillertype_d2[K: Spillertype],Spillertype_d2[K: Spillertype])&lt;2),"✓","X")&amp;")"</f>
        <v>2 · 2 = 4 (✓)</v>
      </c>
      <c r="P48" s="119"/>
    </row>
    <row r="49" spans="1:16" x14ac:dyDescent="0.3">
      <c r="A49" s="19" t="s">
        <v>642</v>
      </c>
      <c r="B49" s="117">
        <v>44715.844444444447</v>
      </c>
      <c r="C49" s="2" t="s">
        <v>955</v>
      </c>
      <c r="D49" s="2" t="s">
        <v>760</v>
      </c>
      <c r="F49" s="2" t="s">
        <v>97</v>
      </c>
      <c r="G49" s="2" t="s">
        <v>597</v>
      </c>
      <c r="H49" s="16" t="s">
        <v>221</v>
      </c>
      <c r="I49" s="2" t="s">
        <v>5</v>
      </c>
      <c r="J49" s="3"/>
      <c r="K49" s="7">
        <v>1928</v>
      </c>
      <c r="L49" s="3"/>
      <c r="M49" s="99" t="str" cm="1">
        <f t="array" ref="M49">IF(OR(ISBLANK(Deltagere[[#This Row],[K: Spiller-ID/fødselsdato (ddmmåå)]:[K: Navn]])),"",Deltagere[[#This Row],[K: Navn]]&amp;" ("&amp;Deltagere[[#This Row],[K: Spiller-ID/fødselsdato (ddmmåå)]]&amp;")")</f>
        <v>Lasse Kardel Larsen (210798‑LALA)</v>
      </c>
      <c r="O49" s="7" t="s">
        <v>0</v>
      </c>
      <c r="P49" s="19" t="s">
        <v>108</v>
      </c>
    </row>
    <row r="50" spans="1:16" x14ac:dyDescent="0.3">
      <c r="A50" s="19" t="s">
        <v>641</v>
      </c>
      <c r="B50" s="117">
        <v>44715.844444444447</v>
      </c>
      <c r="C50" s="2" t="s">
        <v>955</v>
      </c>
      <c r="D50" s="2" t="s">
        <v>760</v>
      </c>
      <c r="F50" s="2" t="s">
        <v>696</v>
      </c>
      <c r="G50" s="2" t="s">
        <v>697</v>
      </c>
      <c r="H50" s="16" t="s">
        <v>221</v>
      </c>
      <c r="I50" s="2" t="s">
        <v>4</v>
      </c>
      <c r="J50" s="3"/>
      <c r="K50" s="7">
        <v>2025</v>
      </c>
      <c r="L50" s="3"/>
      <c r="M50" s="99" t="str" cm="1">
        <f t="array" ref="M50">IF(OR(ISBLANK(Deltagere[[#This Row],[K: Spiller-ID/fødselsdato (ddmmåå)]:[K: Navn]])),"",Deltagere[[#This Row],[K: Navn]]&amp;" ("&amp;Deltagere[[#This Row],[K: Spiller-ID/fødselsdato (ddmmåå)]]&amp;")")</f>
        <v>Laust Ravn Johansen (230706‑LAJO)</v>
      </c>
      <c r="O50" s="39" cm="1">
        <f t="array" ref="O50">ROW()-ROW(Spillertype_d2[#Headers])</f>
        <v>1</v>
      </c>
      <c r="P50" s="19" t="s">
        <v>454</v>
      </c>
    </row>
    <row r="51" spans="1:16" x14ac:dyDescent="0.3">
      <c r="A51" s="19" t="s">
        <v>643</v>
      </c>
      <c r="B51" s="117">
        <v>44715.702777777777</v>
      </c>
      <c r="C51" s="2" t="s">
        <v>392</v>
      </c>
      <c r="D51" s="2" t="s">
        <v>760</v>
      </c>
      <c r="F51" s="2" t="s">
        <v>103</v>
      </c>
      <c r="G51" s="2" t="s">
        <v>60</v>
      </c>
      <c r="H51" s="16" t="s">
        <v>221</v>
      </c>
      <c r="I51" s="2" t="s">
        <v>53</v>
      </c>
      <c r="J51" s="3"/>
      <c r="K51" s="7">
        <v>1325</v>
      </c>
      <c r="L51" s="3"/>
      <c r="M51" s="99" t="str" cm="1">
        <f t="array" ref="M51">IF(OR(ISBLANK(Deltagere[[#This Row],[K: Spiller-ID/fødselsdato (ddmmåå)]:[K: Navn]])),"",Deltagere[[#This Row],[K: Navn]]&amp;" ("&amp;Deltagere[[#This Row],[K: Spiller-ID/fødselsdato (ddmmåå)]]&amp;")")</f>
        <v>Mads Harbo Jensen (160975‑MAHA)</v>
      </c>
      <c r="O51" s="39" cm="1">
        <f t="array" ref="O51">ROW()-ROW(Spillertype_d2[#Headers])</f>
        <v>2</v>
      </c>
      <c r="P51" s="19" t="s">
        <v>453</v>
      </c>
    </row>
    <row r="52" spans="1:16" x14ac:dyDescent="0.3">
      <c r="A52" s="19" t="s">
        <v>644</v>
      </c>
      <c r="B52" s="117">
        <v>44715.603472222225</v>
      </c>
      <c r="C52" s="2" t="s">
        <v>392</v>
      </c>
      <c r="D52" s="2" t="s">
        <v>760</v>
      </c>
      <c r="F52" s="2" t="s">
        <v>254</v>
      </c>
      <c r="G52" s="2" t="s">
        <v>255</v>
      </c>
      <c r="H52" s="16" t="s">
        <v>221</v>
      </c>
      <c r="I52" s="2" t="s">
        <v>41</v>
      </c>
      <c r="J52" s="3"/>
      <c r="K52" s="7">
        <v>2352</v>
      </c>
      <c r="L52" s="3"/>
      <c r="M52" s="99" t="str" cm="1">
        <f t="array" ref="M52">IF(OR(ISBLANK(Deltagere[[#This Row],[K: Spiller-ID/fødselsdato (ddmmåå)]:[K: Navn]])),"",Deltagere[[#This Row],[K: Navn]]&amp;" ("&amp;Deltagere[[#This Row],[K: Spiller-ID/fødselsdato (ddmmåå)]]&amp;")")</f>
        <v>Mads Larsen (050993‑MALA)</v>
      </c>
    </row>
    <row r="53" spans="1:16" x14ac:dyDescent="0.3">
      <c r="A53" s="19" t="s">
        <v>644</v>
      </c>
      <c r="B53" s="117">
        <v>44715.603472222225</v>
      </c>
      <c r="C53" s="2" t="s">
        <v>955</v>
      </c>
      <c r="D53" s="2" t="s">
        <v>760</v>
      </c>
      <c r="F53" s="2" t="s">
        <v>98</v>
      </c>
      <c r="G53" s="2" t="s">
        <v>26</v>
      </c>
      <c r="H53" s="16" t="s">
        <v>222</v>
      </c>
      <c r="I53" s="2" t="s">
        <v>10</v>
      </c>
      <c r="J53" s="3"/>
      <c r="K53" s="7">
        <v>1139</v>
      </c>
      <c r="L53" s="3"/>
      <c r="M53" s="99" t="str" cm="1">
        <f t="array" ref="M53">IF(OR(ISBLANK(Deltagere[[#This Row],[K: Spiller-ID/fødselsdato (ddmmåå)]:[K: Navn]])),"",Deltagere[[#This Row],[K: Navn]]&amp;" ("&amp;Deltagere[[#This Row],[K: Spiller-ID/fødselsdato (ddmmåå)]]&amp;")")</f>
        <v>Mai Jensen (220465‑MAJE)</v>
      </c>
      <c r="O53" s="120" t="s">
        <v>486</v>
      </c>
      <c r="P53" s="120"/>
    </row>
    <row r="54" spans="1:16" x14ac:dyDescent="0.3">
      <c r="A54" s="19" t="s">
        <v>645</v>
      </c>
      <c r="B54" s="117">
        <v>44715.602777777778</v>
      </c>
      <c r="C54" s="2" t="s">
        <v>955</v>
      </c>
      <c r="D54" s="2" t="s">
        <v>760</v>
      </c>
      <c r="F54" s="2" t="s">
        <v>89</v>
      </c>
      <c r="G54" s="2" t="s">
        <v>31</v>
      </c>
      <c r="H54" s="16" t="s">
        <v>222</v>
      </c>
      <c r="I54" s="2" t="s">
        <v>53</v>
      </c>
      <c r="J54" s="3"/>
      <c r="K54" s="7">
        <v>2001</v>
      </c>
      <c r="L54" s="3"/>
      <c r="M54" s="99" t="str" cm="1">
        <f t="array" ref="M54">IF(OR(ISBLANK(Deltagere[[#This Row],[K: Spiller-ID/fødselsdato (ddmmåå)]:[K: Navn]])),"",Deltagere[[#This Row],[K: Navn]]&amp;" ("&amp;Deltagere[[#This Row],[K: Spiller-ID/fødselsdato (ddmmåå)]]&amp;")")</f>
        <v>Maja Helene Hansen (130407‑MAHA)</v>
      </c>
      <c r="O54" s="119" t="str" cm="1">
        <f t="array" ref="O54">COLUMNS(Aldersgruppe_d2[])&amp;" · "&amp;ROWS(Aldersgruppe_d2[])&amp;" = "&amp;SUMPRODUCT(COLUMNS(Aldersgruppe_d2[]),ROWS(Aldersgruppe_d2[]))
&amp;" ("&amp;IF(AND(COUNTIF(Aldersgruppe_d2[K: Aldersgruppe],Aldersgruppe_d2[K: Aldersgruppe])&lt;2),"✓","X")&amp;")"</f>
        <v>2 · 3 = 6 (✓)</v>
      </c>
      <c r="P54" s="119"/>
    </row>
    <row r="55" spans="1:16" x14ac:dyDescent="0.3">
      <c r="A55" s="19" t="s">
        <v>646</v>
      </c>
      <c r="B55" s="117">
        <v>44715.602083333331</v>
      </c>
      <c r="C55" s="2" t="s">
        <v>392</v>
      </c>
      <c r="D55" s="2" t="s">
        <v>760</v>
      </c>
      <c r="F55" s="2" t="s">
        <v>93</v>
      </c>
      <c r="G55" s="2" t="s">
        <v>34</v>
      </c>
      <c r="H55" s="16" t="s">
        <v>221</v>
      </c>
      <c r="I55" s="2" t="s">
        <v>32</v>
      </c>
      <c r="J55" s="3"/>
      <c r="K55" s="7">
        <v>1723</v>
      </c>
      <c r="L55" s="3"/>
      <c r="M55" s="99" t="str" cm="1">
        <f t="array" ref="M55">IF(OR(ISBLANK(Deltagere[[#This Row],[K: Spiller-ID/fødselsdato (ddmmåå)]:[K: Navn]])),"",Deltagere[[#This Row],[K: Navn]]&amp;" ("&amp;Deltagere[[#This Row],[K: Spiller-ID/fødselsdato (ddmmåå)]]&amp;")")</f>
        <v>Malik Hartvig Bruun Severinsen (200210‑MASE)</v>
      </c>
      <c r="O55" s="7" t="s">
        <v>0</v>
      </c>
      <c r="P55" s="19" t="s">
        <v>360</v>
      </c>
    </row>
    <row r="56" spans="1:16" x14ac:dyDescent="0.3">
      <c r="A56" s="19" t="s">
        <v>646</v>
      </c>
      <c r="B56" s="117">
        <v>44715.602083333331</v>
      </c>
      <c r="C56" s="2" t="s">
        <v>955</v>
      </c>
      <c r="D56" s="2" t="s">
        <v>760</v>
      </c>
      <c r="F56" s="2" t="s">
        <v>266</v>
      </c>
      <c r="G56" s="2" t="s">
        <v>267</v>
      </c>
      <c r="H56" s="16" t="s">
        <v>221</v>
      </c>
      <c r="I56" s="2" t="s">
        <v>4</v>
      </c>
      <c r="J56" s="3"/>
      <c r="K56" s="7">
        <v>2381</v>
      </c>
      <c r="L56" s="3"/>
      <c r="M56" s="99" t="str" cm="1">
        <f t="array" ref="M56">IF(OR(ISBLANK(Deltagere[[#This Row],[K: Spiller-ID/fødselsdato (ddmmåå)]:[K: Navn]])),"",Deltagere[[#This Row],[K: Navn]]&amp;" ("&amp;Deltagere[[#This Row],[K: Spiller-ID/fødselsdato (ddmmåå)]]&amp;")")</f>
        <v>Marc Kynde (160897‑MAKY)</v>
      </c>
      <c r="O56" s="39" cm="1">
        <f t="array" ref="O56">ROW()-ROW(Aldersgruppe_d2[#Headers])</f>
        <v>1</v>
      </c>
      <c r="P56" s="19" t="s">
        <v>377</v>
      </c>
    </row>
    <row r="57" spans="1:16" x14ac:dyDescent="0.3">
      <c r="A57" s="19" t="s">
        <v>647</v>
      </c>
      <c r="B57" s="117">
        <v>44713.955555555556</v>
      </c>
      <c r="C57" s="2" t="s">
        <v>392</v>
      </c>
      <c r="D57" s="2" t="s">
        <v>758</v>
      </c>
      <c r="F57" s="2" t="s">
        <v>252</v>
      </c>
      <c r="G57" s="2" t="s">
        <v>253</v>
      </c>
      <c r="H57" s="16" t="s">
        <v>221</v>
      </c>
      <c r="I57" s="2" t="s">
        <v>4</v>
      </c>
      <c r="J57" s="3"/>
      <c r="K57" s="7">
        <v>2369</v>
      </c>
      <c r="L57" s="3"/>
      <c r="M57" s="99" t="str" cm="1">
        <f t="array" ref="M57">IF(OR(ISBLANK(Deltagere[[#This Row],[K: Spiller-ID/fødselsdato (ddmmåå)]:[K: Navn]])),"",Deltagere[[#This Row],[K: Navn]]&amp;" ("&amp;Deltagere[[#This Row],[K: Spiller-ID/fødselsdato (ddmmåå)]]&amp;")")</f>
        <v>Marius Dam (121000‑MADA)</v>
      </c>
      <c r="O57" s="39" cm="1">
        <f t="array" ref="O57">ROW()-ROW(Aldersgruppe_d2[#Headers])</f>
        <v>2</v>
      </c>
      <c r="P57" s="19" t="s">
        <v>378</v>
      </c>
    </row>
    <row r="58" spans="1:16" x14ac:dyDescent="0.3">
      <c r="A58" s="19" t="s">
        <v>648</v>
      </c>
      <c r="B58" s="117">
        <v>44713.90902777778</v>
      </c>
      <c r="C58" s="2" t="s">
        <v>392</v>
      </c>
      <c r="D58" s="2" t="s">
        <v>760</v>
      </c>
      <c r="F58" s="2" t="s">
        <v>337</v>
      </c>
      <c r="G58" s="2" t="s">
        <v>339</v>
      </c>
      <c r="H58" s="16" t="s">
        <v>221</v>
      </c>
      <c r="I58" s="2" t="s">
        <v>338</v>
      </c>
      <c r="J58" s="3"/>
      <c r="K58" s="7">
        <v>1491</v>
      </c>
      <c r="L58" s="3"/>
      <c r="M58" s="99" t="str" cm="1">
        <f t="array" ref="M58">IF(OR(ISBLANK(Deltagere[[#This Row],[K: Spiller-ID/fødselsdato (ddmmåå)]:[K: Navn]])),"",Deltagere[[#This Row],[K: Navn]]&amp;" ("&amp;Deltagere[[#This Row],[K: Spiller-ID/fødselsdato (ddmmåå)]]&amp;")")</f>
        <v>Martin Svendsen (250662‑MASV)</v>
      </c>
      <c r="O58" s="39" cm="1">
        <f t="array" ref="O58">ROW()-ROW(Aldersgruppe_d2[#Headers])</f>
        <v>3</v>
      </c>
      <c r="P58" s="19" t="s">
        <v>379</v>
      </c>
    </row>
    <row r="59" spans="1:16" x14ac:dyDescent="0.3">
      <c r="A59" s="19" t="s">
        <v>649</v>
      </c>
      <c r="B59" s="117">
        <v>44713.765277777777</v>
      </c>
      <c r="C59" s="2" t="s">
        <v>392</v>
      </c>
      <c r="D59" s="2" t="s">
        <v>760</v>
      </c>
      <c r="F59" s="2" t="s">
        <v>228</v>
      </c>
      <c r="G59" s="2" t="s">
        <v>212</v>
      </c>
      <c r="H59" s="16" t="s">
        <v>221</v>
      </c>
      <c r="I59" s="2" t="s">
        <v>41</v>
      </c>
      <c r="J59" s="3"/>
      <c r="K59" s="7">
        <v>2100</v>
      </c>
      <c r="L59" s="3"/>
      <c r="M59" s="99" t="str" cm="1">
        <f t="array" ref="M59">IF(OR(ISBLANK(Deltagere[[#This Row],[K: Spiller-ID/fødselsdato (ddmmåå)]:[K: Navn]])),"",Deltagere[[#This Row],[K: Navn]]&amp;" ("&amp;Deltagere[[#This Row],[K: Spiller-ID/fødselsdato (ddmmåå)]]&amp;")")</f>
        <v>Mathias Christensen (190594‑MACH)</v>
      </c>
    </row>
    <row r="60" spans="1:16" x14ac:dyDescent="0.3">
      <c r="A60" s="19" t="s">
        <v>649</v>
      </c>
      <c r="B60" s="117">
        <v>44713.765277777777</v>
      </c>
      <c r="C60" s="2" t="s">
        <v>955</v>
      </c>
      <c r="D60" s="2" t="s">
        <v>760</v>
      </c>
      <c r="F60" s="2" t="s">
        <v>249</v>
      </c>
      <c r="G60" s="2" t="s">
        <v>250</v>
      </c>
      <c r="H60" s="16" t="s">
        <v>221</v>
      </c>
      <c r="I60" s="2" t="s">
        <v>8</v>
      </c>
      <c r="J60" s="3"/>
      <c r="K60" s="7">
        <v>1944</v>
      </c>
      <c r="L60" s="3"/>
      <c r="M60" s="99" t="str" cm="1">
        <f t="array" ref="M60">IF(OR(ISBLANK(Deltagere[[#This Row],[K: Spiller-ID/fødselsdato (ddmmåå)]:[K: Navn]])),"",Deltagere[[#This Row],[K: Navn]]&amp;" ("&amp;Deltagere[[#This Row],[K: Spiller-ID/fødselsdato (ddmmåå)]]&amp;")")</f>
        <v>Mathias Heidmann (010883‑MAHE)</v>
      </c>
      <c r="O60" s="120" t="s">
        <v>485</v>
      </c>
      <c r="P60" s="120"/>
    </row>
    <row r="61" spans="1:16" x14ac:dyDescent="0.3">
      <c r="A61" s="19" t="s">
        <v>659</v>
      </c>
      <c r="B61" s="117">
        <v>44713.481249999997</v>
      </c>
      <c r="C61" s="2" t="s">
        <v>955</v>
      </c>
      <c r="D61" s="2" t="s">
        <v>760</v>
      </c>
      <c r="F61" s="2" t="s">
        <v>548</v>
      </c>
      <c r="G61" s="2" t="s">
        <v>559</v>
      </c>
      <c r="H61" s="16" t="s">
        <v>222</v>
      </c>
      <c r="I61" s="2" t="s">
        <v>8</v>
      </c>
      <c r="J61" s="3"/>
      <c r="K61" s="7">
        <v>1531</v>
      </c>
      <c r="L61" s="3"/>
      <c r="M61" s="99" t="str" cm="1">
        <f t="array" ref="M61">IF(OR(ISBLANK(Deltagere[[#This Row],[K: Spiller-ID/fødselsdato (ddmmåå)]:[K: Navn]])),"",Deltagere[[#This Row],[K: Navn]]&amp;" ("&amp;Deltagere[[#This Row],[K: Spiller-ID/fødselsdato (ddmmåå)]]&amp;")")</f>
        <v>Mette Kristensen (080289‑MEKR)</v>
      </c>
      <c r="O61" s="119" t="str" cm="1">
        <f t="array" ref="O61">COLUMNS(Ratinggruppe_d2[])&amp;" · "&amp;ROWS(Ratinggruppe_d2[])&amp;" = "&amp;SUMPRODUCT(COLUMNS(Ratinggruppe_d2[]),ROWS(Ratinggruppe_d2[]))
&amp;" ("&amp;IF(AND(COUNTIF(Ratinggruppe_d2[K: Ratinggruppe],Ratinggruppe_d2[K: Ratinggruppe])&lt;2),"✓","X")&amp;")"</f>
        <v>2 · 2 = 4 (✓)</v>
      </c>
      <c r="P61" s="119"/>
    </row>
    <row r="62" spans="1:16" x14ac:dyDescent="0.3">
      <c r="A62" s="19" t="s">
        <v>914</v>
      </c>
      <c r="B62" s="117">
        <v>44711.988888888889</v>
      </c>
      <c r="C62" s="2" t="s">
        <v>392</v>
      </c>
      <c r="D62" s="2" t="s">
        <v>758</v>
      </c>
      <c r="F62" s="2" t="s">
        <v>100</v>
      </c>
      <c r="G62" s="2" t="s">
        <v>462</v>
      </c>
      <c r="H62" s="16" t="s">
        <v>221</v>
      </c>
      <c r="I62" s="2" t="s">
        <v>7</v>
      </c>
      <c r="J62" s="3"/>
      <c r="K62" s="7">
        <v>2501</v>
      </c>
      <c r="L62" s="3"/>
      <c r="M62" s="99" t="str" cm="1">
        <f t="array" ref="M62">IF(OR(ISBLANK(Deltagere[[#This Row],[K: Spiller-ID/fødselsdato (ddmmåå)]:[K: Navn]])),"",Deltagere[[#This Row],[K: Navn]]&amp;" ("&amp;Deltagere[[#This Row],[K: Spiller-ID/fødselsdato (ddmmåå)]]&amp;")")</f>
        <v>Michael Hegelund Knudsen (231195‑MIKN)</v>
      </c>
      <c r="O62" s="7" t="s">
        <v>0</v>
      </c>
      <c r="P62" s="19" t="s">
        <v>430</v>
      </c>
    </row>
    <row r="63" spans="1:16" x14ac:dyDescent="0.3">
      <c r="A63" s="19" t="s">
        <v>650</v>
      </c>
      <c r="B63" s="117">
        <v>44710.816666666666</v>
      </c>
      <c r="C63" s="2" t="s">
        <v>955</v>
      </c>
      <c r="D63" s="2" t="s">
        <v>760</v>
      </c>
      <c r="F63" s="2" t="s">
        <v>99</v>
      </c>
      <c r="G63" s="2" t="s">
        <v>25</v>
      </c>
      <c r="H63" s="16" t="s">
        <v>221</v>
      </c>
      <c r="I63" s="2" t="s">
        <v>6</v>
      </c>
      <c r="J63" s="3"/>
      <c r="K63" s="7">
        <v>1646</v>
      </c>
      <c r="L63" s="3"/>
      <c r="M63" s="99" t="str" cm="1">
        <f t="array" ref="M63">IF(OR(ISBLANK(Deltagere[[#This Row],[K: Spiller-ID/fødselsdato (ddmmåå)]:[K: Navn]])),"",Deltagere[[#This Row],[K: Navn]]&amp;" ("&amp;Deltagere[[#This Row],[K: Spiller-ID/fødselsdato (ddmmåå)]]&amp;")")</f>
        <v>Michel Christensen (140989‑MICH)</v>
      </c>
      <c r="O63" s="39" cm="1">
        <f t="array" ref="O63">ROW()-ROW(Ratinggruppe_d2[#Headers])</f>
        <v>1</v>
      </c>
      <c r="P63" s="19" t="s">
        <v>542</v>
      </c>
    </row>
    <row r="64" spans="1:16" x14ac:dyDescent="0.3">
      <c r="A64" s="19" t="s">
        <v>651</v>
      </c>
      <c r="B64" s="117">
        <v>44710.638888888891</v>
      </c>
      <c r="C64" s="2" t="s">
        <v>955</v>
      </c>
      <c r="D64" s="2" t="s">
        <v>760</v>
      </c>
      <c r="F64" s="2" t="s">
        <v>242</v>
      </c>
      <c r="G64" s="2" t="s">
        <v>565</v>
      </c>
      <c r="H64" s="16" t="s">
        <v>221</v>
      </c>
      <c r="I64" s="2" t="s">
        <v>243</v>
      </c>
      <c r="J64" s="3"/>
      <c r="K64" s="7">
        <v>2265</v>
      </c>
      <c r="L64" s="3"/>
      <c r="M64" s="99" t="str" cm="1">
        <f t="array" ref="M64">IF(OR(ISBLANK(Deltagere[[#This Row],[K: Spiller-ID/fødselsdato (ddmmåå)]:[K: Navn]])),"",Deltagere[[#This Row],[K: Navn]]&amp;" ("&amp;Deltagere[[#This Row],[K: Spiller-ID/fødselsdato (ddmmåå)]]&amp;")")</f>
        <v>Mickey Elsborg (250901‑MIEL)</v>
      </c>
      <c r="O64" s="39" cm="1">
        <f t="array" ref="O64">ROW()-ROW(Ratinggruppe_d2[#Headers])</f>
        <v>2</v>
      </c>
      <c r="P64" s="19" t="s">
        <v>543</v>
      </c>
    </row>
    <row r="65" spans="1:16" x14ac:dyDescent="0.3">
      <c r="A65" s="19" t="s">
        <v>652</v>
      </c>
      <c r="B65" s="117">
        <v>44709.570138888892</v>
      </c>
      <c r="C65" s="2" t="s">
        <v>392</v>
      </c>
      <c r="D65" s="2" t="s">
        <v>758</v>
      </c>
      <c r="F65" s="2" t="s">
        <v>263</v>
      </c>
      <c r="G65" s="2" t="s">
        <v>264</v>
      </c>
      <c r="H65" s="16" t="s">
        <v>222</v>
      </c>
      <c r="I65" s="2" t="s">
        <v>8</v>
      </c>
      <c r="J65" s="3"/>
      <c r="K65" s="7">
        <v>2295</v>
      </c>
      <c r="L65" s="3"/>
      <c r="M65" s="99" t="str" cm="1">
        <f t="array" ref="M65">IF(OR(ISBLANK(Deltagere[[#This Row],[K: Spiller-ID/fødselsdato (ddmmåå)]:[K: Navn]])),"",Deltagere[[#This Row],[K: Navn]]&amp;" ("&amp;Deltagere[[#This Row],[K: Spiller-ID/fødselsdato (ddmmåå)]]&amp;")")</f>
        <v>Mie Binnerup Jacobsen (051192‑MIJA)</v>
      </c>
    </row>
    <row r="66" spans="1:16" x14ac:dyDescent="0.3">
      <c r="A66" s="19" t="s">
        <v>652</v>
      </c>
      <c r="B66" s="117">
        <v>44709.567361111112</v>
      </c>
      <c r="C66" s="2" t="s">
        <v>955</v>
      </c>
      <c r="D66" s="2" t="s">
        <v>758</v>
      </c>
      <c r="F66" s="2" t="s">
        <v>857</v>
      </c>
      <c r="G66" s="2" t="s">
        <v>858</v>
      </c>
      <c r="H66" s="16" t="s">
        <v>221</v>
      </c>
      <c r="I66" s="2" t="s">
        <v>5</v>
      </c>
      <c r="J66" s="3"/>
      <c r="K66" s="7">
        <v>1220</v>
      </c>
      <c r="L66" s="3"/>
      <c r="M66" s="99" t="str" cm="1">
        <f t="array" ref="M66">IF(OR(ISBLANK(Deltagere[[#This Row],[K: Spiller-ID/fødselsdato (ddmmåå)]:[K: Navn]])),"",Deltagere[[#This Row],[K: Navn]]&amp;" ("&amp;Deltagere[[#This Row],[K: Spiller-ID/fødselsdato (ddmmåå)]]&amp;")")</f>
        <v>Milosz Miszczuk (030882‑MIMI)</v>
      </c>
      <c r="O66" s="120" t="s">
        <v>147</v>
      </c>
      <c r="P66" s="120"/>
    </row>
    <row r="67" spans="1:16" x14ac:dyDescent="0.3">
      <c r="A67" s="19" t="s">
        <v>653</v>
      </c>
      <c r="B67" s="117">
        <v>44708.784722222219</v>
      </c>
      <c r="C67" s="2" t="s">
        <v>392</v>
      </c>
      <c r="D67" s="2" t="s">
        <v>760</v>
      </c>
      <c r="F67" s="2" t="s">
        <v>606</v>
      </c>
      <c r="G67" s="2" t="s">
        <v>607</v>
      </c>
      <c r="H67" s="16" t="s">
        <v>221</v>
      </c>
      <c r="I67" s="2" t="s">
        <v>560</v>
      </c>
      <c r="J67" s="3"/>
      <c r="K67" s="7">
        <v>2547</v>
      </c>
      <c r="L67" s="3"/>
      <c r="M67" s="99" t="str" cm="1">
        <f t="array" ref="M67">IF(OR(ISBLANK(Deltagere[[#This Row],[K: Spiller-ID/fødselsdato (ddmmåå)]:[K: Navn]])),"",Deltagere[[#This Row],[K: Navn]]&amp;" ("&amp;Deltagere[[#This Row],[K: Spiller-ID/fødselsdato (ddmmåå)]]&amp;")")</f>
        <v>Nichlas Middelhede (311292‑NIMI)</v>
      </c>
      <c r="O67" s="119" t="str" cm="1">
        <f t="array" ref="O67">COLUMNS(Landsdel_d3[])&amp;" · "&amp;ROWS(Landsdel_d3[])&amp;" = "&amp;SUMPRODUCT(COLUMNS(Landsdel_d3[]),ROWS(Landsdel_d3[]))
&amp;" ("&amp;IF(AND(COUNTIF(Landsdel_d3[K: Landsdel],Landsdel_d3[K: Landsdel])&lt;2),"✓","X")&amp;")"</f>
        <v>2 · 5 = 10 (✓)</v>
      </c>
      <c r="P67" s="119"/>
    </row>
    <row r="68" spans="1:16" x14ac:dyDescent="0.3">
      <c r="A68" s="19" t="s">
        <v>663</v>
      </c>
      <c r="B68" s="117">
        <v>44708.69027777778</v>
      </c>
      <c r="C68" s="2" t="s">
        <v>392</v>
      </c>
      <c r="D68" s="2" t="s">
        <v>760</v>
      </c>
      <c r="F68" s="2" t="s">
        <v>563</v>
      </c>
      <c r="G68" s="2" t="s">
        <v>564</v>
      </c>
      <c r="H68" s="16" t="s">
        <v>221</v>
      </c>
      <c r="I68" s="2" t="s">
        <v>560</v>
      </c>
      <c r="J68" s="3"/>
      <c r="K68" s="7">
        <v>2229</v>
      </c>
      <c r="L68" s="3"/>
      <c r="M68" s="99" t="str" cm="1">
        <f t="array" ref="M68">IF(OR(ISBLANK(Deltagere[[#This Row],[K: Spiller-ID/fødselsdato (ddmmåå)]:[K: Navn]])),"",Deltagere[[#This Row],[K: Navn]]&amp;" ("&amp;Deltagere[[#This Row],[K: Spiller-ID/fødselsdato (ddmmåå)]]&amp;")")</f>
        <v>Nick Sommer (070387‑NISO)</v>
      </c>
      <c r="O68" s="7" t="s">
        <v>0</v>
      </c>
      <c r="P68" s="19" t="s">
        <v>36</v>
      </c>
    </row>
    <row r="69" spans="1:16" x14ac:dyDescent="0.3">
      <c r="A69" s="19" t="s">
        <v>654</v>
      </c>
      <c r="B69" s="117">
        <v>44708.527777777781</v>
      </c>
      <c r="C69" s="2" t="s">
        <v>392</v>
      </c>
      <c r="D69" s="2" t="s">
        <v>760</v>
      </c>
      <c r="F69" s="2" t="s">
        <v>723</v>
      </c>
      <c r="G69" s="2" t="s">
        <v>724</v>
      </c>
      <c r="H69" s="16" t="s">
        <v>221</v>
      </c>
      <c r="I69" s="2" t="s">
        <v>725</v>
      </c>
      <c r="J69" s="3"/>
      <c r="K69" s="7">
        <v>1788</v>
      </c>
      <c r="L69" s="3"/>
      <c r="M69" s="99" t="str" cm="1">
        <f t="array" ref="M69">IF(OR(ISBLANK(Deltagere[[#This Row],[K: Spiller-ID/fødselsdato (ddmmåå)]:[K: Navn]])),"",Deltagere[[#This Row],[K: Navn]]&amp;" ("&amp;Deltagere[[#This Row],[K: Spiller-ID/fødselsdato (ddmmåå)]]&amp;")")</f>
        <v>Nicklas Martti Johnsen (020496‑NIJO)</v>
      </c>
      <c r="O69" s="39" cm="1">
        <f t="array" ref="O69">ROW()-ROW(Landsdel_d3[#Headers])</f>
        <v>1</v>
      </c>
      <c r="P69" s="19" t="s">
        <v>37</v>
      </c>
    </row>
    <row r="70" spans="1:16" x14ac:dyDescent="0.3">
      <c r="A70" s="19" t="s">
        <v>655</v>
      </c>
      <c r="B70" s="117">
        <v>44708.524305555555</v>
      </c>
      <c r="C70" s="2" t="s">
        <v>392</v>
      </c>
      <c r="D70" s="2" t="s">
        <v>760</v>
      </c>
      <c r="F70" s="2" t="s">
        <v>284</v>
      </c>
      <c r="G70" s="2" t="s">
        <v>285</v>
      </c>
      <c r="H70" s="16" t="s">
        <v>221</v>
      </c>
      <c r="I70" s="2" t="s">
        <v>5</v>
      </c>
      <c r="J70" s="3"/>
      <c r="K70" s="7">
        <v>1363</v>
      </c>
      <c r="L70" s="3"/>
      <c r="M70" s="99" t="str" cm="1">
        <f t="array" ref="M70">IF(OR(ISBLANK(Deltagere[[#This Row],[K: Spiller-ID/fødselsdato (ddmmåå)]:[K: Navn]])),"",Deltagere[[#This Row],[K: Navn]]&amp;" ("&amp;Deltagere[[#This Row],[K: Spiller-ID/fødselsdato (ddmmåå)]]&amp;")")</f>
        <v>Oliver Kjeldgaard Johansson (221206‑OLJO)</v>
      </c>
      <c r="O70" s="39" cm="1">
        <f t="array" ref="O70">ROW()-ROW(Landsdel_d3[#Headers])</f>
        <v>2</v>
      </c>
      <c r="P70" s="19" t="s">
        <v>38</v>
      </c>
    </row>
    <row r="71" spans="1:16" x14ac:dyDescent="0.3">
      <c r="A71" s="19" t="s">
        <v>656</v>
      </c>
      <c r="B71" s="117">
        <v>44708.522222222222</v>
      </c>
      <c r="C71" s="2" t="s">
        <v>392</v>
      </c>
      <c r="D71" s="2" t="s">
        <v>760</v>
      </c>
      <c r="F71" s="2" t="s">
        <v>268</v>
      </c>
      <c r="G71" s="2" t="s">
        <v>600</v>
      </c>
      <c r="H71" s="16" t="s">
        <v>221</v>
      </c>
      <c r="I71" s="2" t="s">
        <v>4</v>
      </c>
      <c r="J71" s="3"/>
      <c r="K71" s="7">
        <v>2374</v>
      </c>
      <c r="L71" s="3"/>
      <c r="M71" s="99" t="str" cm="1">
        <f t="array" ref="M71">IF(OR(ISBLANK(Deltagere[[#This Row],[K: Spiller-ID/fødselsdato (ddmmåå)]:[K: Navn]])),"",Deltagere[[#This Row],[K: Navn]]&amp;" ("&amp;Deltagere[[#This Row],[K: Spiller-ID/fødselsdato (ddmmåå)]]&amp;")")</f>
        <v>Oscar Hovmøller (230702‑OSHO)</v>
      </c>
      <c r="O71" s="39" cm="1">
        <f t="array" ref="O71">ROW()-ROW(Landsdel_d3[#Headers])</f>
        <v>3</v>
      </c>
      <c r="P71" s="19" t="s">
        <v>39</v>
      </c>
    </row>
    <row r="72" spans="1:16" x14ac:dyDescent="0.3">
      <c r="A72" s="19" t="s">
        <v>657</v>
      </c>
      <c r="B72" s="117">
        <v>44704.757638888892</v>
      </c>
      <c r="C72" s="2" t="s">
        <v>392</v>
      </c>
      <c r="D72" s="2" t="s">
        <v>760</v>
      </c>
      <c r="F72" s="2" t="s">
        <v>896</v>
      </c>
      <c r="G72" s="2" t="s">
        <v>897</v>
      </c>
      <c r="H72" s="16" t="s">
        <v>221</v>
      </c>
      <c r="I72" s="2" t="s">
        <v>8</v>
      </c>
      <c r="J72" s="3"/>
      <c r="K72" s="7">
        <v>1117</v>
      </c>
      <c r="L72" s="3"/>
      <c r="M72" s="99" t="str" cm="1">
        <f t="array" ref="M72">IF(OR(ISBLANK(Deltagere[[#This Row],[K: Spiller-ID/fødselsdato (ddmmåå)]:[K: Navn]])),"",Deltagere[[#This Row],[K: Navn]]&amp;" ("&amp;Deltagere[[#This Row],[K: Spiller-ID/fødselsdato (ddmmåå)]]&amp;")")</f>
        <v>Otto Svindt (050512‑OTSV)</v>
      </c>
      <c r="O72" s="39" cm="1">
        <f t="array" ref="O72">ROW()-ROW(Landsdel_d3[#Headers])</f>
        <v>4</v>
      </c>
      <c r="P72" s="19" t="s">
        <v>111</v>
      </c>
    </row>
    <row r="73" spans="1:16" x14ac:dyDescent="0.3">
      <c r="A73" s="19" t="s">
        <v>658</v>
      </c>
      <c r="B73" s="117">
        <v>44702.731944444444</v>
      </c>
      <c r="C73" s="2" t="s">
        <v>392</v>
      </c>
      <c r="D73" s="2" t="s">
        <v>760</v>
      </c>
      <c r="F73" s="2" t="s">
        <v>92</v>
      </c>
      <c r="G73" s="2" t="s">
        <v>66</v>
      </c>
      <c r="H73" s="16" t="s">
        <v>221</v>
      </c>
      <c r="I73" s="2" t="s">
        <v>65</v>
      </c>
      <c r="J73" s="3"/>
      <c r="K73" s="7">
        <v>2284</v>
      </c>
      <c r="L73" s="3"/>
      <c r="M73" s="99" t="str" cm="1">
        <f t="array" ref="M73">IF(OR(ISBLANK(Deltagere[[#This Row],[K: Spiller-ID/fødselsdato (ddmmåå)]:[K: Navn]])),"",Deltagere[[#This Row],[K: Navn]]&amp;" ("&amp;Deltagere[[#This Row],[K: Spiller-ID/fødselsdato (ddmmåå)]]&amp;")")</f>
        <v>Peter Bruhn (230961‑PEBR)</v>
      </c>
      <c r="O73" s="39" cm="1">
        <f t="array" ref="O73">ROW()-ROW(Landsdel_d3[#Headers])</f>
        <v>5</v>
      </c>
      <c r="P73" s="19" t="s">
        <v>81</v>
      </c>
    </row>
    <row r="74" spans="1:16" x14ac:dyDescent="0.3">
      <c r="A74" s="19" t="s">
        <v>659</v>
      </c>
      <c r="B74" s="117">
        <v>44702.537499999999</v>
      </c>
      <c r="C74" s="2" t="s">
        <v>392</v>
      </c>
      <c r="D74" s="2" t="s">
        <v>760</v>
      </c>
      <c r="F74" s="2" t="s">
        <v>106</v>
      </c>
      <c r="G74" s="2" t="s">
        <v>59</v>
      </c>
      <c r="H74" s="16" t="s">
        <v>221</v>
      </c>
      <c r="I74" s="2" t="s">
        <v>8</v>
      </c>
      <c r="J74" s="3"/>
      <c r="K74" s="7">
        <v>2042</v>
      </c>
      <c r="L74" s="3"/>
      <c r="M74" s="99" t="str" cm="1">
        <f t="array" ref="M74">IF(OR(ISBLANK(Deltagere[[#This Row],[K: Spiller-ID/fødselsdato (ddmmåå)]:[K: Navn]])),"",Deltagere[[#This Row],[K: Navn]]&amp;" ("&amp;Deltagere[[#This Row],[K: Spiller-ID/fødselsdato (ddmmåå)]]&amp;")")</f>
        <v>Peter Skalborg Jensen (080790‑PEJE)</v>
      </c>
    </row>
    <row r="75" spans="1:16" x14ac:dyDescent="0.3">
      <c r="A75" s="19" t="s">
        <v>660</v>
      </c>
      <c r="B75" s="117">
        <v>44701.754861111112</v>
      </c>
      <c r="C75" s="2" t="s">
        <v>392</v>
      </c>
      <c r="D75" s="2" t="s">
        <v>760</v>
      </c>
      <c r="F75" s="2" t="s">
        <v>304</v>
      </c>
      <c r="G75" s="2" t="s">
        <v>305</v>
      </c>
      <c r="H75" s="16" t="s">
        <v>221</v>
      </c>
      <c r="I75" s="2" t="s">
        <v>79</v>
      </c>
      <c r="J75" s="3"/>
      <c r="K75" s="7"/>
      <c r="L75" s="3">
        <v>2</v>
      </c>
      <c r="M75" s="99" t="str" cm="1">
        <f t="array" ref="M75">IF(OR(ISBLANK(Deltagere[[#This Row],[K: Spiller-ID/fødselsdato (ddmmåå)]:[K: Navn]])),"",Deltagere[[#This Row],[K: Navn]]&amp;" ("&amp;Deltagere[[#This Row],[K: Spiller-ID/fødselsdato (ddmmåå)]]&amp;")")</f>
        <v>Poul B. Pedersen (291252)</v>
      </c>
      <c r="O75" s="120" t="s">
        <v>148</v>
      </c>
      <c r="P75" s="120"/>
    </row>
    <row r="76" spans="1:16" x14ac:dyDescent="0.3">
      <c r="A76" s="19" t="s">
        <v>660</v>
      </c>
      <c r="B76" s="117">
        <v>44701.754861111112</v>
      </c>
      <c r="C76" s="2" t="s">
        <v>955</v>
      </c>
      <c r="D76" s="2" t="s">
        <v>760</v>
      </c>
      <c r="F76" s="2" t="s">
        <v>494</v>
      </c>
      <c r="G76" s="2" t="s">
        <v>495</v>
      </c>
      <c r="H76" s="16" t="s">
        <v>221</v>
      </c>
      <c r="I76" s="2" t="s">
        <v>8</v>
      </c>
      <c r="J76" s="3"/>
      <c r="K76" s="7">
        <v>1913</v>
      </c>
      <c r="L76" s="3"/>
      <c r="M76" s="99" t="str" cm="1">
        <f t="array" ref="M76">IF(OR(ISBLANK(Deltagere[[#This Row],[K: Spiller-ID/fødselsdato (ddmmåå)]:[K: Navn]])),"",Deltagere[[#This Row],[K: Navn]]&amp;" ("&amp;Deltagere[[#This Row],[K: Spiller-ID/fødselsdato (ddmmåå)]]&amp;")")</f>
        <v>Rasmus Damkjær Hansen (110696‑RAHA)</v>
      </c>
      <c r="O76" s="119" t="str" cm="1">
        <f t="array" ref="O76">COLUMNS(Region_d3[])&amp;" · "&amp;ROWS(Region_d3[])&amp;" = "&amp;SUMPRODUCT(COLUMNS(Region_d3[]),ROWS(Region_d3[]))
&amp;" ("&amp;IF(AND(COUNTIF(Region_d3[K: Region],Region_d3[K: Region])&lt;2),"✓","X")&amp;")"</f>
        <v>2 · 6 = 12 (✓)</v>
      </c>
      <c r="P76" s="119"/>
    </row>
    <row r="77" spans="1:16" x14ac:dyDescent="0.3">
      <c r="A77" s="19" t="s">
        <v>661</v>
      </c>
      <c r="B77" s="117">
        <v>44701.75</v>
      </c>
      <c r="C77" s="2" t="s">
        <v>392</v>
      </c>
      <c r="D77" s="2" t="s">
        <v>760</v>
      </c>
      <c r="F77" s="2">
        <v>280501</v>
      </c>
      <c r="G77" s="2" t="s">
        <v>441</v>
      </c>
      <c r="H77" s="16" t="s">
        <v>221</v>
      </c>
      <c r="I77" s="2" t="s">
        <v>79</v>
      </c>
      <c r="J77" s="3"/>
      <c r="K77" s="7"/>
      <c r="L77" s="3">
        <v>3</v>
      </c>
      <c r="M77" s="99" t="str" cm="1">
        <f t="array" ref="M77">IF(OR(ISBLANK(Deltagere[[#This Row],[K: Spiller-ID/fødselsdato (ddmmåå)]:[K: Navn]])),"",Deltagere[[#This Row],[K: Navn]]&amp;" ("&amp;Deltagere[[#This Row],[K: Spiller-ID/fødselsdato (ddmmåå)]]&amp;")")</f>
        <v>Rasmus Hansen (280501)</v>
      </c>
      <c r="O77" s="7" t="s">
        <v>0</v>
      </c>
      <c r="P77" s="19" t="s">
        <v>112</v>
      </c>
    </row>
    <row r="78" spans="1:16" x14ac:dyDescent="0.3">
      <c r="A78" s="19" t="s">
        <v>661</v>
      </c>
      <c r="B78" s="117">
        <v>44701.75</v>
      </c>
      <c r="C78" s="2" t="s">
        <v>955</v>
      </c>
      <c r="D78" s="2" t="s">
        <v>760</v>
      </c>
      <c r="F78" s="2" t="s">
        <v>455</v>
      </c>
      <c r="G78" s="2" t="s">
        <v>457</v>
      </c>
      <c r="H78" s="16" t="s">
        <v>222</v>
      </c>
      <c r="I78" s="2" t="s">
        <v>79</v>
      </c>
      <c r="J78" s="3"/>
      <c r="K78" s="7"/>
      <c r="L78" s="3"/>
      <c r="M78" s="99" t="str" cm="1">
        <f t="array" ref="M78">IF(OR(ISBLANK(Deltagere[[#This Row],[K: Spiller-ID/fødselsdato (ddmmåå)]:[K: Navn]])),"",Deltagere[[#This Row],[K: Navn]]&amp;" ("&amp;Deltagere[[#This Row],[K: Spiller-ID/fødselsdato (ddmmåå)]]&amp;")")</f>
        <v>Sarah Svendsen (291095)</v>
      </c>
      <c r="O78" s="39" cm="1">
        <f t="array" ref="O78">ROW()-ROW(Region_d3[#Headers])</f>
        <v>1</v>
      </c>
      <c r="P78" s="19" t="s">
        <v>114</v>
      </c>
    </row>
    <row r="79" spans="1:16" x14ac:dyDescent="0.3">
      <c r="A79" s="19" t="s">
        <v>662</v>
      </c>
      <c r="B79" s="117">
        <v>44696.911805555559</v>
      </c>
      <c r="C79" s="2" t="s">
        <v>392</v>
      </c>
      <c r="D79" s="2" t="s">
        <v>760</v>
      </c>
      <c r="F79" s="2" t="s">
        <v>418</v>
      </c>
      <c r="G79" s="2" t="s">
        <v>912</v>
      </c>
      <c r="H79" s="16" t="s">
        <v>221</v>
      </c>
      <c r="I79" s="2" t="s">
        <v>79</v>
      </c>
      <c r="J79" s="3"/>
      <c r="K79" s="7"/>
      <c r="L79" s="3">
        <v>5</v>
      </c>
      <c r="M79" s="99" t="str" cm="1">
        <f t="array" ref="M79">IF(OR(ISBLANK(Deltagere[[#This Row],[K: Spiller-ID/fødselsdato (ddmmåå)]:[K: Navn]])),"",Deltagere[[#This Row],[K: Navn]]&amp;" ("&amp;Deltagere[[#This Row],[K: Spiller-ID/fødselsdato (ddmmåå)]]&amp;")")</f>
        <v>Sebastian Karlsmose (300503-KIBE)</v>
      </c>
      <c r="O79" s="39" cm="1">
        <f t="array" ref="O79">ROW()-ROW(Region_d3[#Headers])</f>
        <v>2</v>
      </c>
      <c r="P79" s="19" t="s">
        <v>115</v>
      </c>
    </row>
    <row r="80" spans="1:16" x14ac:dyDescent="0.3">
      <c r="A80" s="19" t="s">
        <v>662</v>
      </c>
      <c r="B80" s="117">
        <v>44696.911805555559</v>
      </c>
      <c r="C80" s="2" t="s">
        <v>955</v>
      </c>
      <c r="D80" s="2" t="s">
        <v>760</v>
      </c>
      <c r="F80" s="2" t="s">
        <v>107</v>
      </c>
      <c r="G80" s="2" t="s">
        <v>62</v>
      </c>
      <c r="H80" s="16" t="s">
        <v>221</v>
      </c>
      <c r="I80" s="2" t="s">
        <v>3</v>
      </c>
      <c r="J80" s="3"/>
      <c r="K80" s="7">
        <v>2064</v>
      </c>
      <c r="L80" s="3"/>
      <c r="M80" s="99" t="str" cm="1">
        <f t="array" ref="M80">IF(OR(ISBLANK(Deltagere[[#This Row],[K: Spiller-ID/fødselsdato (ddmmåå)]:[K: Navn]])),"",Deltagere[[#This Row],[K: Navn]]&amp;" ("&amp;Deltagere[[#This Row],[K: Spiller-ID/fødselsdato (ddmmåå)]]&amp;")")</f>
        <v>Sebastian Kjær Jensen (100595‑SEJE)</v>
      </c>
      <c r="O80" s="39" cm="1">
        <f t="array" ref="O80">ROW()-ROW(Region_d3[#Headers])</f>
        <v>3</v>
      </c>
      <c r="P80" s="19" t="s">
        <v>116</v>
      </c>
    </row>
    <row r="81" spans="1:16" x14ac:dyDescent="0.3">
      <c r="A81" s="19" t="s">
        <v>663</v>
      </c>
      <c r="B81" s="117">
        <v>44693.757638888892</v>
      </c>
      <c r="C81" s="2" t="s">
        <v>955</v>
      </c>
      <c r="D81" s="2" t="s">
        <v>760</v>
      </c>
      <c r="F81" s="2" t="s">
        <v>443</v>
      </c>
      <c r="G81" s="2" t="s">
        <v>444</v>
      </c>
      <c r="H81" s="16" t="s">
        <v>221</v>
      </c>
      <c r="I81" s="2" t="s">
        <v>32</v>
      </c>
      <c r="J81" s="3"/>
      <c r="K81" s="7">
        <v>1685</v>
      </c>
      <c r="L81" s="3"/>
      <c r="M81" s="99" t="str" cm="1">
        <f t="array" ref="M81">IF(OR(ISBLANK(Deltagere[[#This Row],[K: Spiller-ID/fødselsdato (ddmmåå)]:[K: Navn]])),"",Deltagere[[#This Row],[K: Navn]]&amp;" ("&amp;Deltagere[[#This Row],[K: Spiller-ID/fødselsdato (ddmmåå)]]&amp;")")</f>
        <v>Sebastian Sørensen (110501-SESØ)</v>
      </c>
      <c r="O81" s="39" cm="1">
        <f t="array" ref="O81">ROW()-ROW(Region_d3[#Headers])</f>
        <v>4</v>
      </c>
      <c r="P81" s="19" t="s">
        <v>117</v>
      </c>
    </row>
    <row r="82" spans="1:16" x14ac:dyDescent="0.3">
      <c r="A82" s="19" t="s">
        <v>664</v>
      </c>
      <c r="B82" s="117">
        <v>44691.591666666667</v>
      </c>
      <c r="C82" s="2" t="s">
        <v>392</v>
      </c>
      <c r="D82" s="2" t="s">
        <v>760</v>
      </c>
      <c r="F82" s="2" t="s">
        <v>445</v>
      </c>
      <c r="G82" s="2" t="s">
        <v>442</v>
      </c>
      <c r="H82" s="16" t="s">
        <v>221</v>
      </c>
      <c r="I82" s="2" t="s">
        <v>79</v>
      </c>
      <c r="J82" s="3"/>
      <c r="K82" s="7"/>
      <c r="L82" s="3"/>
      <c r="M82" s="99" t="str" cm="1">
        <f t="array" ref="M82">IF(OR(ISBLANK(Deltagere[[#This Row],[K: Spiller-ID/fødselsdato (ddmmåå)]:[K: Navn]])),"",Deltagere[[#This Row],[K: Navn]]&amp;" ("&amp;Deltagere[[#This Row],[K: Spiller-ID/fødselsdato (ddmmåå)]]&amp;")")</f>
        <v>Simon Egebæk (030201)</v>
      </c>
      <c r="O82" s="39" cm="1">
        <f t="array" ref="O82">ROW()-ROW(Region_d3[#Headers])</f>
        <v>5</v>
      </c>
      <c r="P82" s="19" t="s">
        <v>118</v>
      </c>
    </row>
    <row r="83" spans="1:16" x14ac:dyDescent="0.3">
      <c r="A83" s="19" t="s">
        <v>665</v>
      </c>
      <c r="B83" s="117">
        <v>44684.895138888889</v>
      </c>
      <c r="C83" s="2" t="s">
        <v>392</v>
      </c>
      <c r="D83" s="2" t="s">
        <v>760</v>
      </c>
      <c r="F83" s="2" t="s">
        <v>88</v>
      </c>
      <c r="G83" s="2" t="s">
        <v>23</v>
      </c>
      <c r="H83" s="16" t="s">
        <v>221</v>
      </c>
      <c r="I83" s="2" t="s">
        <v>4</v>
      </c>
      <c r="J83" s="3">
        <v>2</v>
      </c>
      <c r="K83" s="7">
        <v>2362</v>
      </c>
      <c r="L83" s="3"/>
      <c r="M83" s="99" t="str" cm="1">
        <f t="array" ref="M83">IF(OR(ISBLANK(Deltagere[[#This Row],[K: Spiller-ID/fødselsdato (ddmmåå)]:[K: Navn]])),"",Deltagere[[#This Row],[K: Navn]]&amp;" ("&amp;Deltagere[[#This Row],[K: Spiller-ID/fødselsdato (ddmmåå)]]&amp;")")</f>
        <v>Simon Larsen (250501‑SILA)</v>
      </c>
      <c r="O83" s="39" cm="1">
        <f t="array" ref="O83">ROW()-ROW(Region_d3[#Headers])</f>
        <v>6</v>
      </c>
      <c r="P83" s="19" t="s">
        <v>113</v>
      </c>
    </row>
    <row r="84" spans="1:16" x14ac:dyDescent="0.3">
      <c r="A84" s="19" t="s">
        <v>665</v>
      </c>
      <c r="B84" s="117">
        <v>44684.89166666667</v>
      </c>
      <c r="C84" s="2" t="s">
        <v>955</v>
      </c>
      <c r="D84" s="2" t="s">
        <v>760</v>
      </c>
      <c r="F84" s="2" t="s">
        <v>265</v>
      </c>
      <c r="G84" s="2" t="s">
        <v>449</v>
      </c>
      <c r="H84" s="16" t="s">
        <v>221</v>
      </c>
      <c r="I84" s="2" t="s">
        <v>4</v>
      </c>
      <c r="J84" s="3"/>
      <c r="K84" s="7">
        <v>2587</v>
      </c>
      <c r="L84" s="3"/>
      <c r="M84" s="99" t="str" cm="1">
        <f t="array" ref="M84">IF(OR(ISBLANK(Deltagere[[#This Row],[K: Spiller-ID/fødselsdato (ddmmåå)]:[K: Navn]])),"",Deltagere[[#This Row],[K: Navn]]&amp;" ("&amp;Deltagere[[#This Row],[K: Spiller-ID/fødselsdato (ddmmåå)]]&amp;")")</f>
        <v>Simon Nykjær-Fisher (150888‑SINY)</v>
      </c>
    </row>
    <row r="85" spans="1:16" x14ac:dyDescent="0.3">
      <c r="A85" s="19" t="s">
        <v>666</v>
      </c>
      <c r="B85" s="117">
        <v>44681.845833333333</v>
      </c>
      <c r="C85" s="2" t="s">
        <v>392</v>
      </c>
      <c r="D85" s="2" t="s">
        <v>760</v>
      </c>
      <c r="F85" s="2" t="s">
        <v>431</v>
      </c>
      <c r="G85" s="2" t="s">
        <v>432</v>
      </c>
      <c r="H85" s="16" t="s">
        <v>221</v>
      </c>
      <c r="I85" s="2" t="s">
        <v>332</v>
      </c>
      <c r="J85" s="3"/>
      <c r="K85" s="7">
        <v>1717</v>
      </c>
      <c r="L85" s="3"/>
      <c r="M85" s="99" t="str" cm="1">
        <f t="array" ref="M85">IF(OR(ISBLANK(Deltagere[[#This Row],[K: Spiller-ID/fødselsdato (ddmmåå)]:[K: Navn]])),"",Deltagere[[#This Row],[K: Navn]]&amp;" ("&amp;Deltagere[[#This Row],[K: Spiller-ID/fødselsdato (ddmmåå)]]&amp;")")</f>
        <v>Thomas B. Petersen (040791‑THPE)</v>
      </c>
    </row>
    <row r="86" spans="1:16" x14ac:dyDescent="0.3">
      <c r="A86" s="19" t="s">
        <v>666</v>
      </c>
      <c r="B86" s="117">
        <v>44681.845833333333</v>
      </c>
      <c r="C86" s="2" t="s">
        <v>955</v>
      </c>
      <c r="D86" s="2" t="s">
        <v>760</v>
      </c>
      <c r="F86" s="2" t="s">
        <v>424</v>
      </c>
      <c r="G86" s="2" t="s">
        <v>425</v>
      </c>
      <c r="H86" s="16" t="s">
        <v>221</v>
      </c>
      <c r="I86" s="2" t="s">
        <v>332</v>
      </c>
      <c r="J86" s="3"/>
      <c r="K86" s="7">
        <v>1867</v>
      </c>
      <c r="L86" s="3"/>
      <c r="M86" s="99" t="str" cm="1">
        <f t="array" ref="M86">IF(OR(ISBLANK(Deltagere[[#This Row],[K: Spiller-ID/fødselsdato (ddmmåå)]:[K: Navn]])),"",Deltagere[[#This Row],[K: Navn]]&amp;" ("&amp;Deltagere[[#This Row],[K: Spiller-ID/fødselsdato (ddmmåå)]]&amp;")")</f>
        <v>Thomas Bjerregaard (230578‑THBJ)</v>
      </c>
    </row>
    <row r="87" spans="1:16" x14ac:dyDescent="0.3">
      <c r="A87" s="19" t="s">
        <v>667</v>
      </c>
      <c r="B87" s="117">
        <v>44680.863888888889</v>
      </c>
      <c r="C87" s="2" t="s">
        <v>392</v>
      </c>
      <c r="D87" s="2" t="s">
        <v>758</v>
      </c>
      <c r="F87" s="2" t="s">
        <v>282</v>
      </c>
      <c r="G87" s="2" t="s">
        <v>283</v>
      </c>
      <c r="H87" s="16" t="s">
        <v>221</v>
      </c>
      <c r="I87" s="2" t="s">
        <v>5</v>
      </c>
      <c r="J87" s="3"/>
      <c r="K87" s="7">
        <v>2413</v>
      </c>
      <c r="L87" s="3"/>
      <c r="M87" s="99" t="str" cm="1">
        <f t="array" ref="M87">IF(OR(ISBLANK(Deltagere[[#This Row],[K: Spiller-ID/fødselsdato (ddmmåå)]:[K: Navn]])),"",Deltagere[[#This Row],[K: Navn]]&amp;" ("&amp;Deltagere[[#This Row],[K: Spiller-ID/fødselsdato (ddmmåå)]]&amp;")")</f>
        <v>Thomas Kjeldgård (300678‑THKJ)</v>
      </c>
    </row>
    <row r="88" spans="1:16" x14ac:dyDescent="0.3">
      <c r="A88" s="19" t="s">
        <v>667</v>
      </c>
      <c r="B88" s="117">
        <v>44680.863888888889</v>
      </c>
      <c r="C88" s="2" t="s">
        <v>955</v>
      </c>
      <c r="D88" s="2" t="s">
        <v>758</v>
      </c>
      <c r="F88" s="2" t="s">
        <v>85</v>
      </c>
      <c r="G88" s="2" t="s">
        <v>29</v>
      </c>
      <c r="H88" s="16" t="s">
        <v>222</v>
      </c>
      <c r="I88" s="2" t="s">
        <v>9</v>
      </c>
      <c r="J88" s="3"/>
      <c r="K88" s="7">
        <v>1252</v>
      </c>
      <c r="L88" s="3"/>
      <c r="M88" s="99" t="str" cm="1">
        <f t="array" ref="M88">IF(OR(ISBLANK(Deltagere[[#This Row],[K: Spiller-ID/fødselsdato (ddmmåå)]:[K: Navn]])),"",Deltagere[[#This Row],[K: Navn]]&amp;" ("&amp;Deltagere[[#This Row],[K: Spiller-ID/fødselsdato (ddmmåå)]]&amp;")")</f>
        <v>Victoria Berthelsen (261205‑VIBE)</v>
      </c>
    </row>
    <row r="89" spans="1:16" x14ac:dyDescent="0.3">
      <c r="A89" s="19" t="s">
        <v>668</v>
      </c>
      <c r="B89" s="117">
        <v>44677.94027777778</v>
      </c>
      <c r="C89" s="2" t="s">
        <v>392</v>
      </c>
      <c r="D89" s="2" t="s">
        <v>760</v>
      </c>
    </row>
    <row r="90" spans="1:16" x14ac:dyDescent="0.3">
      <c r="A90" s="19" t="s">
        <v>668</v>
      </c>
      <c r="B90" s="117">
        <v>44677.94027777778</v>
      </c>
      <c r="C90" s="2" t="s">
        <v>955</v>
      </c>
      <c r="D90" s="2" t="s">
        <v>760</v>
      </c>
    </row>
    <row r="91" spans="1:16" x14ac:dyDescent="0.3">
      <c r="A91" s="19" t="s">
        <v>669</v>
      </c>
      <c r="B91" s="117">
        <v>44677.732638888891</v>
      </c>
      <c r="C91" s="2" t="s">
        <v>392</v>
      </c>
      <c r="D91" s="2" t="s">
        <v>758</v>
      </c>
    </row>
    <row r="92" spans="1:16" x14ac:dyDescent="0.3">
      <c r="A92" s="19" t="s">
        <v>670</v>
      </c>
      <c r="B92" s="117">
        <v>44676.413888888892</v>
      </c>
      <c r="C92" s="2" t="s">
        <v>392</v>
      </c>
      <c r="D92" s="2" t="s">
        <v>760</v>
      </c>
    </row>
    <row r="93" spans="1:16" x14ac:dyDescent="0.3">
      <c r="A93" s="19" t="s">
        <v>671</v>
      </c>
      <c r="B93" s="117">
        <v>44674.414583333331</v>
      </c>
      <c r="C93" s="2" t="s">
        <v>392</v>
      </c>
      <c r="D93" s="2" t="s">
        <v>760</v>
      </c>
    </row>
    <row r="94" spans="1:16" x14ac:dyDescent="0.3">
      <c r="A94" s="19" t="s">
        <v>671</v>
      </c>
      <c r="B94" s="117">
        <v>44674.414583333331</v>
      </c>
      <c r="C94" s="2" t="s">
        <v>955</v>
      </c>
      <c r="D94" s="2" t="s">
        <v>760</v>
      </c>
    </row>
    <row r="95" spans="1:16" x14ac:dyDescent="0.3">
      <c r="A95" s="19" t="s">
        <v>672</v>
      </c>
      <c r="B95" s="117">
        <v>44672.62777777778</v>
      </c>
      <c r="C95" s="2" t="s">
        <v>392</v>
      </c>
      <c r="D95" s="2" t="s">
        <v>760</v>
      </c>
    </row>
    <row r="96" spans="1:16" x14ac:dyDescent="0.3">
      <c r="A96" s="19" t="s">
        <v>672</v>
      </c>
      <c r="B96" s="117">
        <v>44672.62777777778</v>
      </c>
      <c r="C96" s="2" t="s">
        <v>955</v>
      </c>
      <c r="D96" s="2" t="s">
        <v>760</v>
      </c>
    </row>
    <row r="97" spans="1:4" x14ac:dyDescent="0.3">
      <c r="A97" s="19" t="s">
        <v>673</v>
      </c>
      <c r="B97" s="117">
        <v>44672.620833333334</v>
      </c>
      <c r="C97" s="2" t="s">
        <v>392</v>
      </c>
      <c r="D97" s="2" t="s">
        <v>760</v>
      </c>
    </row>
    <row r="98" spans="1:4" x14ac:dyDescent="0.3">
      <c r="A98" s="19" t="s">
        <v>673</v>
      </c>
      <c r="B98" s="117">
        <v>44672.620833333334</v>
      </c>
      <c r="C98" s="2" t="s">
        <v>955</v>
      </c>
      <c r="D98" s="2" t="s">
        <v>760</v>
      </c>
    </row>
    <row r="99" spans="1:4" x14ac:dyDescent="0.3">
      <c r="A99" s="19" t="s">
        <v>674</v>
      </c>
      <c r="B99" s="117">
        <v>44669.447222222225</v>
      </c>
      <c r="C99" s="2" t="s">
        <v>392</v>
      </c>
      <c r="D99" s="2" t="s">
        <v>760</v>
      </c>
    </row>
    <row r="100" spans="1:4" x14ac:dyDescent="0.3">
      <c r="A100" s="19" t="s">
        <v>675</v>
      </c>
      <c r="B100" s="117">
        <v>44669.404861111114</v>
      </c>
      <c r="C100" s="2" t="s">
        <v>392</v>
      </c>
      <c r="D100" s="2" t="s">
        <v>760</v>
      </c>
    </row>
    <row r="101" spans="1:4" x14ac:dyDescent="0.3">
      <c r="A101" s="19" t="s">
        <v>675</v>
      </c>
      <c r="B101" s="117">
        <v>44669.404861111114</v>
      </c>
      <c r="C101" s="2" t="s">
        <v>955</v>
      </c>
      <c r="D101" s="2" t="s">
        <v>760</v>
      </c>
    </row>
    <row r="102" spans="1:4" x14ac:dyDescent="0.3">
      <c r="A102" s="19" t="s">
        <v>676</v>
      </c>
      <c r="B102" s="117">
        <v>44668.746527777781</v>
      </c>
      <c r="C102" s="2" t="s">
        <v>392</v>
      </c>
      <c r="D102" s="2" t="s">
        <v>760</v>
      </c>
    </row>
    <row r="103" spans="1:4" x14ac:dyDescent="0.3">
      <c r="A103" s="19" t="s">
        <v>676</v>
      </c>
      <c r="B103" s="117">
        <v>44668.746527777781</v>
      </c>
      <c r="C103" s="2" t="s">
        <v>955</v>
      </c>
      <c r="D103" s="2" t="s">
        <v>760</v>
      </c>
    </row>
    <row r="104" spans="1:4" x14ac:dyDescent="0.3">
      <c r="A104" s="19" t="s">
        <v>677</v>
      </c>
      <c r="B104" s="117">
        <v>44668.722916666666</v>
      </c>
      <c r="C104" s="2" t="s">
        <v>955</v>
      </c>
      <c r="D104" s="2" t="s">
        <v>760</v>
      </c>
    </row>
    <row r="105" spans="1:4" x14ac:dyDescent="0.3">
      <c r="A105" s="19" t="s">
        <v>678</v>
      </c>
      <c r="B105" s="117">
        <v>44668.5</v>
      </c>
      <c r="C105" s="2" t="s">
        <v>392</v>
      </c>
      <c r="D105" s="2" t="s">
        <v>760</v>
      </c>
    </row>
    <row r="106" spans="1:4" x14ac:dyDescent="0.3">
      <c r="A106" s="19" t="s">
        <v>678</v>
      </c>
      <c r="B106" s="117">
        <v>44668.5</v>
      </c>
      <c r="C106" s="2" t="s">
        <v>955</v>
      </c>
      <c r="D106" s="2" t="s">
        <v>760</v>
      </c>
    </row>
    <row r="107" spans="1:4" x14ac:dyDescent="0.3">
      <c r="A107" s="19" t="s">
        <v>679</v>
      </c>
      <c r="B107" s="117">
        <v>44537.339583333334</v>
      </c>
      <c r="C107" s="2" t="s">
        <v>392</v>
      </c>
      <c r="D107" s="2" t="s">
        <v>760</v>
      </c>
    </row>
    <row r="108" spans="1:4" x14ac:dyDescent="0.3">
      <c r="A108" s="19" t="s">
        <v>680</v>
      </c>
      <c r="B108" s="117">
        <v>44535.942361111112</v>
      </c>
      <c r="C108" s="2" t="s">
        <v>392</v>
      </c>
      <c r="D108" s="2" t="s">
        <v>760</v>
      </c>
    </row>
    <row r="109" spans="1:4" x14ac:dyDescent="0.3">
      <c r="A109" s="19" t="s">
        <v>681</v>
      </c>
      <c r="B109" s="117">
        <v>44527.730555555558</v>
      </c>
      <c r="C109" s="2" t="s">
        <v>392</v>
      </c>
      <c r="D109" s="2" t="s">
        <v>760</v>
      </c>
    </row>
    <row r="110" spans="1:4" x14ac:dyDescent="0.3">
      <c r="A110" s="19" t="s">
        <v>681</v>
      </c>
      <c r="B110" s="117">
        <v>44527.730555555558</v>
      </c>
      <c r="C110" s="2" t="s">
        <v>1047</v>
      </c>
      <c r="D110" s="2" t="s">
        <v>760</v>
      </c>
    </row>
    <row r="111" spans="1:4" x14ac:dyDescent="0.3">
      <c r="A111" s="19" t="s">
        <v>681</v>
      </c>
      <c r="B111" s="117">
        <v>44527.730555555558</v>
      </c>
      <c r="C111" s="2" t="s">
        <v>955</v>
      </c>
      <c r="D111" s="2" t="s">
        <v>758</v>
      </c>
    </row>
    <row r="112" spans="1:4" x14ac:dyDescent="0.3">
      <c r="A112" s="19" t="s">
        <v>682</v>
      </c>
      <c r="B112" s="117">
        <v>44526.679166666669</v>
      </c>
      <c r="C112" s="2" t="s">
        <v>392</v>
      </c>
      <c r="D112" s="2" t="s">
        <v>760</v>
      </c>
    </row>
    <row r="113" spans="1:4" x14ac:dyDescent="0.3">
      <c r="A113" s="19" t="s">
        <v>682</v>
      </c>
      <c r="B113" s="117">
        <v>44526.679166666669</v>
      </c>
      <c r="C113" s="2" t="s">
        <v>1047</v>
      </c>
      <c r="D113" s="2" t="s">
        <v>760</v>
      </c>
    </row>
    <row r="114" spans="1:4" x14ac:dyDescent="0.3">
      <c r="A114" s="19" t="s">
        <v>683</v>
      </c>
      <c r="B114" s="117">
        <v>44526.666666666664</v>
      </c>
      <c r="C114" s="2" t="s">
        <v>955</v>
      </c>
      <c r="D114" s="2" t="s">
        <v>758</v>
      </c>
    </row>
    <row r="115" spans="1:4" x14ac:dyDescent="0.3">
      <c r="A115" s="19" t="s">
        <v>683</v>
      </c>
      <c r="B115" s="117">
        <v>44526.666666666664</v>
      </c>
      <c r="C115" s="2" t="s">
        <v>392</v>
      </c>
      <c r="D115" s="2" t="s">
        <v>758</v>
      </c>
    </row>
    <row r="116" spans="1:4" x14ac:dyDescent="0.3">
      <c r="A116" s="19" t="s">
        <v>684</v>
      </c>
      <c r="B116" s="117">
        <v>44525.699305555558</v>
      </c>
      <c r="C116" s="2" t="s">
        <v>392</v>
      </c>
      <c r="D116" s="2" t="s">
        <v>760</v>
      </c>
    </row>
    <row r="117" spans="1:4" x14ac:dyDescent="0.3">
      <c r="A117" s="19" t="s">
        <v>684</v>
      </c>
      <c r="B117" s="117">
        <v>44525.699305555558</v>
      </c>
      <c r="C117" s="2" t="s">
        <v>1047</v>
      </c>
      <c r="D117" s="2" t="s">
        <v>760</v>
      </c>
    </row>
    <row r="118" spans="1:4" x14ac:dyDescent="0.3">
      <c r="A118" s="19" t="s">
        <v>685</v>
      </c>
      <c r="B118" s="117">
        <v>44523.897916666669</v>
      </c>
      <c r="C118" s="2" t="s">
        <v>392</v>
      </c>
      <c r="D118" s="2" t="s">
        <v>758</v>
      </c>
    </row>
    <row r="119" spans="1:4" x14ac:dyDescent="0.3">
      <c r="A119" s="19" t="s">
        <v>686</v>
      </c>
      <c r="B119" s="117">
        <v>44517.490972222222</v>
      </c>
      <c r="C119" s="2" t="s">
        <v>392</v>
      </c>
      <c r="D119" s="2" t="s">
        <v>760</v>
      </c>
    </row>
    <row r="120" spans="1:4" x14ac:dyDescent="0.3">
      <c r="A120" s="19" t="s">
        <v>686</v>
      </c>
      <c r="B120" s="117">
        <v>44517.490972222222</v>
      </c>
      <c r="C120" s="2" t="s">
        <v>1047</v>
      </c>
      <c r="D120" s="2" t="s">
        <v>760</v>
      </c>
    </row>
    <row r="121" spans="1:4" x14ac:dyDescent="0.3">
      <c r="A121" s="19" t="s">
        <v>687</v>
      </c>
      <c r="B121" s="117">
        <v>44517.488194444442</v>
      </c>
      <c r="C121" s="2" t="s">
        <v>392</v>
      </c>
      <c r="D121" s="2" t="s">
        <v>760</v>
      </c>
    </row>
    <row r="122" spans="1:4" x14ac:dyDescent="0.3">
      <c r="A122" s="19" t="s">
        <v>687</v>
      </c>
      <c r="B122" s="117">
        <v>44517.488194444442</v>
      </c>
      <c r="C122" s="2" t="s">
        <v>1047</v>
      </c>
      <c r="D122" s="2" t="s">
        <v>760</v>
      </c>
    </row>
    <row r="123" spans="1:4" x14ac:dyDescent="0.3">
      <c r="A123" s="19" t="s">
        <v>688</v>
      </c>
      <c r="B123" s="117">
        <v>44516.886111111111</v>
      </c>
      <c r="C123" s="2" t="s">
        <v>392</v>
      </c>
      <c r="D123" s="2" t="s">
        <v>760</v>
      </c>
    </row>
    <row r="124" spans="1:4" x14ac:dyDescent="0.3">
      <c r="A124" s="19" t="s">
        <v>688</v>
      </c>
      <c r="B124" s="117">
        <v>44516.886111111111</v>
      </c>
      <c r="C124" s="2" t="s">
        <v>1047</v>
      </c>
      <c r="D124" s="2" t="s">
        <v>760</v>
      </c>
    </row>
    <row r="125" spans="1:4" x14ac:dyDescent="0.3">
      <c r="A125" s="19" t="s">
        <v>627</v>
      </c>
      <c r="B125" s="117">
        <v>44514.676388888889</v>
      </c>
      <c r="C125" s="2" t="s">
        <v>955</v>
      </c>
      <c r="D125" s="2" t="s">
        <v>758</v>
      </c>
    </row>
    <row r="126" spans="1:4" x14ac:dyDescent="0.3">
      <c r="A126" s="19" t="s">
        <v>627</v>
      </c>
      <c r="B126" s="117">
        <v>44514.676388888889</v>
      </c>
      <c r="C126" s="2" t="s">
        <v>1047</v>
      </c>
      <c r="D126" s="2" t="s">
        <v>758</v>
      </c>
    </row>
    <row r="127" spans="1:4" x14ac:dyDescent="0.3">
      <c r="A127" s="19" t="s">
        <v>627</v>
      </c>
      <c r="B127" s="117">
        <v>44514.676388888889</v>
      </c>
      <c r="C127" s="2" t="s">
        <v>392</v>
      </c>
      <c r="D127" s="2" t="s">
        <v>758</v>
      </c>
    </row>
    <row r="128" spans="1:4" x14ac:dyDescent="0.3">
      <c r="A128" s="19" t="s">
        <v>689</v>
      </c>
      <c r="B128" s="117">
        <v>44510.788888888892</v>
      </c>
      <c r="C128" s="2" t="s">
        <v>392</v>
      </c>
      <c r="D128" s="2" t="s">
        <v>760</v>
      </c>
    </row>
    <row r="129" spans="1:4" x14ac:dyDescent="0.3">
      <c r="A129" s="19" t="s">
        <v>690</v>
      </c>
      <c r="B129" s="117">
        <v>44510.786805555559</v>
      </c>
      <c r="C129" s="2" t="s">
        <v>392</v>
      </c>
      <c r="D129" s="2" t="s">
        <v>760</v>
      </c>
    </row>
    <row r="130" spans="1:4" x14ac:dyDescent="0.3">
      <c r="A130" s="19" t="s">
        <v>691</v>
      </c>
      <c r="B130" s="117">
        <v>44510.574305555558</v>
      </c>
      <c r="C130" s="2" t="s">
        <v>392</v>
      </c>
      <c r="D130" s="2" t="s">
        <v>760</v>
      </c>
    </row>
    <row r="131" spans="1:4" x14ac:dyDescent="0.3">
      <c r="A131" s="19" t="s">
        <v>663</v>
      </c>
      <c r="B131" s="117">
        <v>44509.910416666666</v>
      </c>
      <c r="C131" s="2" t="s">
        <v>955</v>
      </c>
      <c r="D131" s="2" t="s">
        <v>760</v>
      </c>
    </row>
    <row r="132" spans="1:4" x14ac:dyDescent="0.3">
      <c r="A132" s="19" t="s">
        <v>663</v>
      </c>
      <c r="B132" s="117">
        <v>44509.910416666666</v>
      </c>
      <c r="C132" s="2" t="s">
        <v>955</v>
      </c>
      <c r="D132" s="2" t="s">
        <v>760</v>
      </c>
    </row>
    <row r="133" spans="1:4" x14ac:dyDescent="0.3">
      <c r="A133" s="19" t="s">
        <v>663</v>
      </c>
      <c r="B133" s="117">
        <v>44509.910416666666</v>
      </c>
      <c r="C133" s="2" t="s">
        <v>392</v>
      </c>
      <c r="D133" s="2" t="s">
        <v>760</v>
      </c>
    </row>
    <row r="134" spans="1:4" x14ac:dyDescent="0.3">
      <c r="A134" s="19" t="s">
        <v>660</v>
      </c>
      <c r="B134" s="117">
        <v>44509.888194444444</v>
      </c>
      <c r="C134" s="2" t="s">
        <v>955</v>
      </c>
      <c r="D134" s="2" t="s">
        <v>760</v>
      </c>
    </row>
    <row r="135" spans="1:4" x14ac:dyDescent="0.3">
      <c r="A135" s="19" t="s">
        <v>660</v>
      </c>
      <c r="B135" s="117">
        <v>44509.888194444444</v>
      </c>
      <c r="C135" s="2" t="s">
        <v>392</v>
      </c>
      <c r="D135" s="2" t="s">
        <v>760</v>
      </c>
    </row>
    <row r="136" spans="1:4" x14ac:dyDescent="0.3">
      <c r="A136" s="19" t="s">
        <v>660</v>
      </c>
      <c r="B136" s="117">
        <v>44509.888194444444</v>
      </c>
      <c r="C136" s="2" t="s">
        <v>1047</v>
      </c>
      <c r="D136" s="2" t="s">
        <v>760</v>
      </c>
    </row>
    <row r="137" spans="1:4" x14ac:dyDescent="0.3">
      <c r="A137" s="19" t="s">
        <v>673</v>
      </c>
      <c r="B137" s="117">
        <v>44505.520138888889</v>
      </c>
      <c r="C137" s="2" t="s">
        <v>955</v>
      </c>
      <c r="D137" s="2" t="s">
        <v>758</v>
      </c>
    </row>
    <row r="138" spans="1:4" x14ac:dyDescent="0.3">
      <c r="A138" s="19" t="s">
        <v>673</v>
      </c>
      <c r="B138" s="117">
        <v>44505.520138888889</v>
      </c>
      <c r="C138" s="2" t="s">
        <v>392</v>
      </c>
      <c r="D138" s="2" t="s">
        <v>758</v>
      </c>
    </row>
    <row r="139" spans="1:4" x14ac:dyDescent="0.3">
      <c r="A139" s="19" t="s">
        <v>673</v>
      </c>
      <c r="B139" s="117">
        <v>44505.520138888889</v>
      </c>
      <c r="C139" s="2" t="s">
        <v>1047</v>
      </c>
      <c r="D139" s="2" t="s">
        <v>758</v>
      </c>
    </row>
    <row r="140" spans="1:4" x14ac:dyDescent="0.3">
      <c r="A140" s="19" t="s">
        <v>672</v>
      </c>
      <c r="B140" s="117">
        <v>44505.517361111109</v>
      </c>
      <c r="C140" s="2" t="s">
        <v>392</v>
      </c>
      <c r="D140" s="2" t="s">
        <v>760</v>
      </c>
    </row>
    <row r="141" spans="1:4" x14ac:dyDescent="0.3">
      <c r="A141" s="19" t="s">
        <v>672</v>
      </c>
      <c r="B141" s="117">
        <v>44505.517361111109</v>
      </c>
      <c r="C141" s="2" t="s">
        <v>1047</v>
      </c>
      <c r="D141" s="2" t="s">
        <v>760</v>
      </c>
    </row>
    <row r="142" spans="1:4" x14ac:dyDescent="0.3">
      <c r="A142" s="19" t="s">
        <v>672</v>
      </c>
      <c r="B142" s="117">
        <v>44505.517361111109</v>
      </c>
      <c r="C142" s="2" t="s">
        <v>955</v>
      </c>
      <c r="D142" s="2" t="s">
        <v>758</v>
      </c>
    </row>
    <row r="143" spans="1:4" x14ac:dyDescent="0.3">
      <c r="A143" s="19" t="s">
        <v>692</v>
      </c>
      <c r="B143" s="117">
        <v>44504.853472222225</v>
      </c>
      <c r="C143" s="2" t="s">
        <v>955</v>
      </c>
      <c r="D143" s="2" t="s">
        <v>760</v>
      </c>
    </row>
    <row r="144" spans="1:4" x14ac:dyDescent="0.3">
      <c r="A144" s="19" t="s">
        <v>692</v>
      </c>
      <c r="B144" s="117">
        <v>44504.853472222225</v>
      </c>
      <c r="C144" s="2" t="s">
        <v>392</v>
      </c>
      <c r="D144" s="2" t="s">
        <v>760</v>
      </c>
    </row>
    <row r="145" spans="1:4" x14ac:dyDescent="0.3">
      <c r="A145" s="19" t="s">
        <v>692</v>
      </c>
      <c r="B145" s="117">
        <v>44504.853472222225</v>
      </c>
      <c r="C145" s="2" t="s">
        <v>1047</v>
      </c>
      <c r="D145" s="2" t="s">
        <v>760</v>
      </c>
    </row>
    <row r="146" spans="1:4" x14ac:dyDescent="0.3">
      <c r="A146" s="19" t="s">
        <v>669</v>
      </c>
      <c r="B146" s="117">
        <v>44503.481249999997</v>
      </c>
      <c r="C146" s="2" t="s">
        <v>392</v>
      </c>
      <c r="D146" s="2" t="s">
        <v>760</v>
      </c>
    </row>
    <row r="147" spans="1:4" x14ac:dyDescent="0.3">
      <c r="A147" s="19" t="s">
        <v>669</v>
      </c>
      <c r="B147" s="117">
        <v>44503.481249999997</v>
      </c>
      <c r="C147" s="2" t="s">
        <v>1047</v>
      </c>
      <c r="D147" s="2" t="s">
        <v>760</v>
      </c>
    </row>
    <row r="148" spans="1:4" x14ac:dyDescent="0.3">
      <c r="A148" s="19" t="s">
        <v>693</v>
      </c>
      <c r="B148" s="117">
        <v>44485.552777777775</v>
      </c>
      <c r="C148" s="2" t="s">
        <v>955</v>
      </c>
      <c r="D148" s="2" t="s">
        <v>760</v>
      </c>
    </row>
    <row r="149" spans="1:4" x14ac:dyDescent="0.3">
      <c r="A149" s="19" t="s">
        <v>693</v>
      </c>
      <c r="B149" s="117">
        <v>44485.552777777775</v>
      </c>
      <c r="C149" s="2" t="s">
        <v>392</v>
      </c>
      <c r="D149" s="2" t="s">
        <v>760</v>
      </c>
    </row>
    <row r="150" spans="1:4" x14ac:dyDescent="0.3">
      <c r="A150" s="19" t="s">
        <v>693</v>
      </c>
      <c r="B150" s="117">
        <v>44485.552777777775</v>
      </c>
      <c r="C150" s="2" t="s">
        <v>1047</v>
      </c>
      <c r="D150" s="2" t="s">
        <v>760</v>
      </c>
    </row>
    <row r="151" spans="1:4" x14ac:dyDescent="0.3">
      <c r="A151" s="19" t="s">
        <v>662</v>
      </c>
      <c r="B151" s="117">
        <v>44485.464583333334</v>
      </c>
      <c r="C151" s="2" t="s">
        <v>955</v>
      </c>
      <c r="D151" s="2" t="s">
        <v>760</v>
      </c>
    </row>
    <row r="152" spans="1:4" x14ac:dyDescent="0.3">
      <c r="A152" s="19" t="s">
        <v>662</v>
      </c>
      <c r="B152" s="117">
        <v>44485.464583333334</v>
      </c>
      <c r="C152" s="2" t="s">
        <v>392</v>
      </c>
      <c r="D152" s="2" t="s">
        <v>760</v>
      </c>
    </row>
    <row r="153" spans="1:4" x14ac:dyDescent="0.3">
      <c r="A153" s="19" t="s">
        <v>662</v>
      </c>
      <c r="B153" s="117">
        <v>44485.464583333334</v>
      </c>
      <c r="C153" s="2" t="s">
        <v>1047</v>
      </c>
      <c r="D153" s="2" t="s">
        <v>760</v>
      </c>
    </row>
    <row r="154" spans="1:4" x14ac:dyDescent="0.3">
      <c r="A154" s="19" t="s">
        <v>694</v>
      </c>
      <c r="B154" s="117">
        <v>44462.901388888888</v>
      </c>
      <c r="C154" s="2" t="s">
        <v>392</v>
      </c>
      <c r="D154" s="2" t="s">
        <v>758</v>
      </c>
    </row>
    <row r="155" spans="1:4" x14ac:dyDescent="0.3">
      <c r="A155" s="19" t="s">
        <v>664</v>
      </c>
      <c r="B155" s="117">
        <v>44462.900694444441</v>
      </c>
      <c r="C155" s="2" t="s">
        <v>955</v>
      </c>
      <c r="D155" s="2" t="s">
        <v>760</v>
      </c>
    </row>
    <row r="156" spans="1:4" x14ac:dyDescent="0.3">
      <c r="A156" s="19" t="s">
        <v>664</v>
      </c>
      <c r="B156" s="117">
        <v>44462.900694444441</v>
      </c>
      <c r="C156" s="2" t="s">
        <v>392</v>
      </c>
      <c r="D156" s="2" t="s">
        <v>760</v>
      </c>
    </row>
    <row r="157" spans="1:4" x14ac:dyDescent="0.3">
      <c r="A157" s="19" t="s">
        <v>664</v>
      </c>
      <c r="B157" s="117">
        <v>44462.900694444441</v>
      </c>
      <c r="C157" s="2" t="s">
        <v>1047</v>
      </c>
      <c r="D157" s="2" t="s">
        <v>760</v>
      </c>
    </row>
    <row r="158" spans="1:4" x14ac:dyDescent="0.3">
      <c r="A158" s="19" t="s">
        <v>695</v>
      </c>
      <c r="B158" s="117">
        <v>44462.509722222225</v>
      </c>
      <c r="C158" s="2" t="s">
        <v>392</v>
      </c>
      <c r="D158" s="2" t="s">
        <v>760</v>
      </c>
    </row>
    <row r="159" spans="1:4" x14ac:dyDescent="0.3">
      <c r="A159" s="19" t="s">
        <v>678</v>
      </c>
      <c r="B159" s="117">
        <v>44462.421527777777</v>
      </c>
      <c r="C159" s="2" t="s">
        <v>955</v>
      </c>
      <c r="D159" s="2" t="s">
        <v>760</v>
      </c>
    </row>
    <row r="160" spans="1:4" x14ac:dyDescent="0.3">
      <c r="A160" s="19" t="s">
        <v>678</v>
      </c>
      <c r="B160" s="117">
        <v>44462.421527777777</v>
      </c>
      <c r="C160" s="2" t="s">
        <v>392</v>
      </c>
      <c r="D160" s="2" t="s">
        <v>760</v>
      </c>
    </row>
    <row r="161" spans="1:4" x14ac:dyDescent="0.3">
      <c r="A161" s="19" t="s">
        <v>678</v>
      </c>
      <c r="B161" s="117">
        <v>44462.421527777777</v>
      </c>
      <c r="C161" s="2" t="s">
        <v>1047</v>
      </c>
      <c r="D161" s="2" t="s">
        <v>760</v>
      </c>
    </row>
  </sheetData>
  <sheetProtection selectLockedCells="1" autoFilter="0"/>
  <mergeCells count="27">
    <mergeCell ref="U37:V37"/>
    <mergeCell ref="U38:V38"/>
    <mergeCell ref="O42:P42"/>
    <mergeCell ref="U24:V24"/>
    <mergeCell ref="U25:V25"/>
    <mergeCell ref="O3:R3"/>
    <mergeCell ref="O4:R4"/>
    <mergeCell ref="U17:V17"/>
    <mergeCell ref="U18:V18"/>
    <mergeCell ref="U3:X3"/>
    <mergeCell ref="U4:X4"/>
    <mergeCell ref="A1:AB1"/>
    <mergeCell ref="O76:P76"/>
    <mergeCell ref="O53:P53"/>
    <mergeCell ref="O54:P54"/>
    <mergeCell ref="O66:P66"/>
    <mergeCell ref="O67:P67"/>
    <mergeCell ref="O75:P75"/>
    <mergeCell ref="O60:P60"/>
    <mergeCell ref="O61:P61"/>
    <mergeCell ref="O47:P47"/>
    <mergeCell ref="U10:V10"/>
    <mergeCell ref="U11:V11"/>
    <mergeCell ref="U31:V31"/>
    <mergeCell ref="U32:V32"/>
    <mergeCell ref="O48:P48"/>
    <mergeCell ref="O41:P41"/>
  </mergeCells>
  <phoneticPr fontId="18" type="noConversion"/>
  <dataValidations count="14">
    <dataValidation type="whole" operator="greaterThan" allowBlank="1" showInputMessage="1" showErrorMessage="1" sqref="K6:L88 W6:W7" xr:uid="{A6F476D3-34A6-4564-B977-3EC6F8027514}">
      <formula1>0</formula1>
    </dataValidation>
    <dataValidation type="list" operator="lessThanOrEqual" allowBlank="1" showInputMessage="1" showErrorMessage="1" sqref="B4" xr:uid="{31AEDFA7-A731-4739-9323-B9299B154448}">
      <formula1>"2022,2021"</formula1>
    </dataValidation>
    <dataValidation type="date" operator="lessThanOrEqual" allowBlank="1" showInputMessage="1" showErrorMessage="1" sqref="K4" xr:uid="{68083CAB-669D-4DE1-9C32-A976EE330E46}">
      <formula1>TODAY()</formula1>
    </dataValidation>
    <dataValidation type="custom" operator="equal" allowBlank="1" showInputMessage="1" showErrorMessage="1" sqref="Q6:Q39" xr:uid="{D0D8FAA3-E30F-4225-BF34-3E954C56276F}">
      <formula1>OR(AND(LEN(Q6)=4,ISNUMBER(Q6)),Q6="(Ukendt postnr.)")</formula1>
    </dataValidation>
    <dataValidation type="list" allowBlank="1" showInputMessage="1" showErrorMessage="1" sqref="J6:J88" xr:uid="{0255797E-4E81-4544-9E2C-D20936C81EEA}">
      <formula1>"1,2,3,4"</formula1>
    </dataValidation>
    <dataValidation type="list" allowBlank="1" showInputMessage="1" showErrorMessage="1" sqref="I6:I88" xr:uid="{CBC35E08-8F2F-4FB1-9A03-74B97E17AF2D}">
      <formula1>tbl_Bordtennisklub_d2_Bordtennisklub</formula1>
    </dataValidation>
    <dataValidation type="list" allowBlank="1" showInputMessage="1" showErrorMessage="1" sqref="H6:H88" xr:uid="{C7D62BCA-6D60-42CE-9BC6-E5DEA3F592D3}">
      <formula1>tbl_Køn_d2_Køn</formula1>
    </dataValidation>
    <dataValidation type="custom" allowBlank="1" showInputMessage="1" showErrorMessage="1" sqref="F6:F88" xr:uid="{3D4AA6C5-8E70-45B1-BD14-DA14449EE338}">
      <formula1>OR(LEN(F6)=11,AND(LEN(F6)=6,ISNUMBER(VALUE(F6))))</formula1>
    </dataValidation>
    <dataValidation type="date" operator="greaterThanOrEqual" allowBlank="1" showInputMessage="1" showErrorMessage="1" sqref="C4" xr:uid="{995515D0-D0FA-4310-9DEF-89E55AC8612E}">
      <formula1>TODAY()</formula1>
    </dataValidation>
    <dataValidation type="decimal" operator="greaterThan" allowBlank="1" showInputMessage="1" showErrorMessage="1" sqref="X6:Y7" xr:uid="{9DD8EDCF-078E-43AF-BD35-F30C55EDB260}">
      <formula1>0</formula1>
    </dataValidation>
    <dataValidation type="date" operator="lessThanOrEqual" allowBlank="1" showInputMessage="1" showErrorMessage="1" sqref="B6:B161" xr:uid="{B8078C6E-79E7-481C-A314-7352BB610FF3}">
      <formula1>NOW()</formula1>
    </dataValidation>
    <dataValidation type="list" allowBlank="1" showInputMessage="1" showErrorMessage="1" sqref="D6:D161" xr:uid="{37448FD3-2493-4F82-92A5-A1EB8776A481}">
      <formula1>tbl_Tilmeldingsstatus</formula1>
    </dataValidation>
    <dataValidation type="list" allowBlank="1" showInputMessage="1" showErrorMessage="1" sqref="A6:A161" xr:uid="{B5BDA242-14AC-4D12-AE5B-61FFB718D04E}">
      <formula1>tbl_Deltagere_deltager</formula1>
    </dataValidation>
    <dataValidation type="list" allowBlank="1" showInputMessage="1" showErrorMessage="1" sqref="C6:C161" xr:uid="{5CD19BE0-973F-4A32-8BDF-0EAFB785A627}">
      <formula1>tbl_Billettype_d1_Billettype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9" orientation="landscape" r:id="rId1"/>
  <headerFooter>
    <oddHeader>&amp;C&amp;D
&amp;F</oddHeader>
    <oddFooter>&amp;CSide &amp;"-,Fed"&amp;P&amp;"-,Normal" af &amp;"-,Fed"&amp;N</oddFooter>
  </headerFooter>
  <picture r:id="rId2"/>
  <tableParts count="15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zoomScaleNormal="100" zoomScaleSheetLayoutView="100" workbookViewId="0">
      <pane ySplit="2" topLeftCell="A3" activePane="bottomLeft" state="frozen"/>
      <selection sqref="A1:AB1"/>
      <selection pane="bottomLeft" sqref="A1:AB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18" t="s">
        <v>186</v>
      </c>
      <c r="B1" s="118"/>
      <c r="D1" s="118" t="s">
        <v>181</v>
      </c>
      <c r="E1" s="118"/>
      <c r="G1" s="118" t="s">
        <v>234</v>
      </c>
      <c r="H1" s="118"/>
      <c r="I1" s="118"/>
      <c r="J1" s="118"/>
      <c r="K1" s="118"/>
      <c r="M1" s="118" t="s">
        <v>953</v>
      </c>
      <c r="N1" s="118"/>
      <c r="O1" s="118"/>
      <c r="P1" s="118"/>
      <c r="Q1" s="118"/>
      <c r="S1" s="118" t="s">
        <v>150</v>
      </c>
      <c r="T1" s="118"/>
      <c r="U1" s="118"/>
      <c r="V1" s="118"/>
      <c r="W1" s="118"/>
      <c r="X1" s="118"/>
      <c r="Y1" s="118"/>
      <c r="Z1" s="118"/>
      <c r="AA1" s="118"/>
    </row>
    <row r="2" spans="1:27" x14ac:dyDescent="0.3">
      <c r="A2" s="133" t="str">
        <f>'🗂️ Filtre nøgletal'!$A$2</f>
        <v>🔃 Opdateret 25-11-2022 kl. 23:53</v>
      </c>
      <c r="B2" s="133"/>
      <c r="D2" s="133" t="str">
        <f>'🗂️ Filtre nøgletal'!$A$2</f>
        <v>🔃 Opdateret 25-11-2022 kl. 23:53</v>
      </c>
      <c r="E2" s="133"/>
      <c r="G2" s="133" t="str">
        <f>'🗂️ Filtre nøgletal'!$A$2</f>
        <v>🔃 Opdateret 25-11-2022 kl. 23:53</v>
      </c>
      <c r="H2" s="133"/>
      <c r="I2" s="133"/>
      <c r="J2" s="133"/>
      <c r="K2" s="133"/>
      <c r="M2" s="133" t="str">
        <f>'🗂️ Filtre nøgletal'!$A$2</f>
        <v>🔃 Opdateret 25-11-2022 kl. 23:53</v>
      </c>
      <c r="N2" s="133"/>
      <c r="O2" s="133"/>
      <c r="P2" s="133"/>
      <c r="Q2" s="133"/>
      <c r="S2" s="133" t="str">
        <f>'🗂️ Filtre nøgletal'!$A$2</f>
        <v>🔃 Opdateret 25-11-2022 kl. 23:53</v>
      </c>
      <c r="T2" s="133"/>
      <c r="U2" s="133"/>
      <c r="V2" s="133"/>
      <c r="W2" s="133"/>
      <c r="X2" s="133"/>
      <c r="Y2" s="133"/>
      <c r="Z2" s="133"/>
      <c r="AA2" s="133"/>
    </row>
    <row r="3" spans="1:27" x14ac:dyDescent="0.3">
      <c r="G3" s="134" t="s">
        <v>191</v>
      </c>
      <c r="H3" s="134"/>
      <c r="I3" s="134"/>
      <c r="J3" s="134"/>
      <c r="K3" s="134"/>
      <c r="M3" s="134" t="s">
        <v>954</v>
      </c>
      <c r="N3" s="134"/>
      <c r="O3" s="134"/>
      <c r="P3" s="134"/>
      <c r="Q3" s="134"/>
      <c r="S3" s="134" t="s">
        <v>387</v>
      </c>
      <c r="T3" s="134"/>
      <c r="U3" s="134"/>
      <c r="V3" s="134"/>
      <c r="W3" s="134"/>
      <c r="X3" s="134"/>
      <c r="Y3" s="134"/>
      <c r="Z3" s="134"/>
    </row>
    <row r="4" spans="1:27" x14ac:dyDescent="0.3">
      <c r="B4" s="157" t="s">
        <v>209</v>
      </c>
      <c r="E4" s="20" t="s">
        <v>199</v>
      </c>
      <c r="G4" s="134"/>
      <c r="H4" s="134"/>
      <c r="I4" s="134"/>
      <c r="J4" s="134"/>
      <c r="K4" s="134"/>
      <c r="M4" s="134"/>
      <c r="N4" s="134"/>
      <c r="O4" s="134"/>
      <c r="P4" s="134"/>
      <c r="Q4" s="134"/>
      <c r="S4" s="134"/>
      <c r="T4" s="134"/>
      <c r="U4" s="134"/>
      <c r="V4" s="134"/>
      <c r="W4" s="134"/>
      <c r="X4" s="134"/>
      <c r="Y4" s="134"/>
      <c r="Z4" s="134"/>
    </row>
    <row r="5" spans="1:27" x14ac:dyDescent="0.3">
      <c r="B5" s="158"/>
      <c r="E5" s="20" t="s">
        <v>179</v>
      </c>
      <c r="G5" s="135" t="s">
        <v>204</v>
      </c>
      <c r="H5" s="135"/>
      <c r="I5" s="135"/>
      <c r="J5" s="135"/>
      <c r="K5" s="135"/>
      <c r="M5" s="135" t="str">
        <f>$G$5</f>
        <v>Input:</v>
      </c>
      <c r="N5" s="135"/>
      <c r="O5" s="135"/>
      <c r="P5" s="135"/>
      <c r="Q5" s="135"/>
      <c r="S5" s="135" t="s">
        <v>386</v>
      </c>
      <c r="T5" s="135"/>
      <c r="U5" s="135"/>
      <c r="V5" s="135"/>
      <c r="W5" s="135"/>
      <c r="X5" s="135"/>
      <c r="Y5" s="135"/>
      <c r="Z5" s="135"/>
    </row>
    <row r="6" spans="1:27" x14ac:dyDescent="0.3">
      <c r="B6" s="71" t="s">
        <v>203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56" t="s">
        <v>412</v>
      </c>
      <c r="H6" s="156"/>
      <c r="I6" s="156"/>
      <c r="J6" s="156"/>
      <c r="K6" s="23" vm="13">
        <f>CUBEVALUE("ThisWorkbookDataModel",
CUBEMEMBER("ThisWorkbookDataModel","[Billettype_d1].[K: Billettype emoji].&amp;[🏓]"),
CUBEMEMBER("ThisWorkbookDataModel","[Measures].[🎫 Billetantal maks.]"))</f>
        <v>96</v>
      </c>
      <c r="M6" s="140" t="str">
        <f>$G$6</f>
        <v>👥 Billetantal maks.</v>
      </c>
      <c r="N6" s="140"/>
      <c r="O6" s="140"/>
      <c r="P6" s="140"/>
      <c r="Q6" s="23" vm="11">
        <f>CUBEVALUE("ThisWorkbookDataModel",
CUBEMEMBER("ThisWorkbookDataModel","[Billettype_d1].[K: Billettype emoji].&amp;[🥳]"),
CUBEMEMBER("ThisWorkbookDataModel","[Measures].[🎫 Billetantal maks.]"))</f>
        <v>200</v>
      </c>
      <c r="S6" s="121"/>
      <c r="T6" s="122"/>
      <c r="U6" s="122"/>
      <c r="V6" s="123"/>
      <c r="W6" s="136" t="s">
        <v>393</v>
      </c>
      <c r="X6" s="136"/>
      <c r="Y6" s="136"/>
      <c r="Z6" s="136" t="s">
        <v>394</v>
      </c>
      <c r="AA6" s="136"/>
    </row>
    <row r="7" spans="1:27" x14ac:dyDescent="0.3">
      <c r="B7" s="158" t="s">
        <v>200</v>
      </c>
      <c r="E7" s="20" t="str">
        <f>'🗂️ Filtre nøgletal'!$A$2</f>
        <v>🔃 Opdateret 25-11-2022 kl. 23:53</v>
      </c>
      <c r="G7" s="156" t="s">
        <v>196</v>
      </c>
      <c r="H7" s="156"/>
      <c r="I7" s="156"/>
      <c r="J7" s="156"/>
      <c r="K7" s="23" vm="10">
        <f>CUBEVALUE("ThisWorkbookDataModel",
CUBEMEMBER("ThisWorkbookDataModel","[Billettype_d1].[K: Billettype emoji].&amp;[🏓]"),
CUBEMEMBER("ThisWorkbookDataModel","[Measures].[👥 Aktuel tilmeldingsantal]"))</f>
        <v>48</v>
      </c>
      <c r="M7" s="140" t="str">
        <f>$G$7</f>
        <v>👥 Tilmeldingsantal aktuel</v>
      </c>
      <c r="N7" s="140"/>
      <c r="O7" s="140"/>
      <c r="P7" s="140"/>
      <c r="Q7" s="23" vm="9">
        <f>CUBEVALUE("ThisWorkbookDataModel",
CUBEMEMBER("ThisWorkbookDataModel","[Billettype_d1].[K: Billettype emoji].&amp;[🥳]"),
CUBEMEMBER("ThisWorkbookDataModel","[Measures].[👥 Aktuel tilmeldingsantal]"))</f>
        <v>42</v>
      </c>
      <c r="S7" s="124" t="s">
        <v>409</v>
      </c>
      <c r="T7" s="125"/>
      <c r="U7" s="125"/>
      <c r="V7" s="126"/>
      <c r="W7" s="145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45"/>
      <c r="Y7" s="145"/>
      <c r="Z7" s="145" t="str">
        <f>TEXT(N($K$6),"#.##0")&amp;" × "&amp;TEXT(N($K$10),"kr. -#.##0")&amp;" = "&amp;TEXT(N($K$26),"kr. -#.##0")
&amp;" ("&amp;TEXT(N($K$26)/N(SUM($K$26,$K$34,$Q$17,$Q$19)),"0%")&amp;")"</f>
        <v>96 × kr. -100 = kr. -9.600 (23%)</v>
      </c>
      <c r="AA7" s="145"/>
    </row>
    <row r="8" spans="1:27" x14ac:dyDescent="0.3">
      <c r="B8" s="158"/>
      <c r="D8" s="45"/>
      <c r="E8" s="45"/>
      <c r="G8" s="156" t="s">
        <v>413</v>
      </c>
      <c r="H8" s="156"/>
      <c r="I8" s="156"/>
      <c r="J8" s="156"/>
      <c r="K8" s="74" vm="12">
        <f>CUBEVALUE("ThisWorkbookDataModel",CUBEMEMBER("ThisWorkbookDataModel",
"[Billettype_d1].[K: Billettype emoji].&amp;[🏓]"),
CUBEMEMBER("ThisWorkbookDataModel","[Measures].[💲 Billetpris]"))</f>
        <v>125</v>
      </c>
      <c r="M8" s="140" t="str">
        <f>$G$8</f>
        <v>💲 Billetpris</v>
      </c>
      <c r="N8" s="140"/>
      <c r="O8" s="140"/>
      <c r="P8" s="140"/>
      <c r="Q8" s="74" vm="14">
        <f>CUBEVALUE("ThisWorkbookDataModel",CUBEMEMBER("ThisWorkbookDataModel",
"[Billettype_d1].[K: Billettype emoji].&amp;[🥳]"),
CUBEMEMBER("ThisWorkbookDataModel","[Measures].[💲 Billetpris]"))</f>
        <v>150</v>
      </c>
      <c r="S8" s="127" t="s">
        <v>388</v>
      </c>
      <c r="T8" s="128"/>
      <c r="U8" s="128"/>
      <c r="V8" s="129"/>
      <c r="W8" s="146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46"/>
      <c r="Y8" s="146"/>
      <c r="Z8" s="146" t="str">
        <f>TEXT(N($K$6),"#.##0")&amp;" × "&amp;TEXT(N($K$11),"kr. -#.##0")&amp;" = "&amp;TEXT(N($K$34),"kr. -#.##0")
&amp;" ("&amp;TEXT(N($K$34)/N(SUM($K$26,$K$34,$Q$17,$Q$19)),"0%")&amp;")"</f>
        <v>96 × kr. -25 = kr. -2.400 (6%)</v>
      </c>
      <c r="AA8" s="146"/>
    </row>
    <row r="9" spans="1:27" x14ac:dyDescent="0.3">
      <c r="B9" s="71" t="s">
        <v>201</v>
      </c>
      <c r="D9" s="134"/>
      <c r="E9" s="155" t="s">
        <v>190</v>
      </c>
      <c r="G9" s="156" t="s">
        <v>195</v>
      </c>
      <c r="H9" s="156"/>
      <c r="I9" s="156"/>
      <c r="J9" s="156"/>
      <c r="K9" s="75">
        <v>0.8</v>
      </c>
      <c r="M9" s="140" t="s">
        <v>230</v>
      </c>
      <c r="N9" s="140"/>
      <c r="O9" s="140"/>
      <c r="P9" s="140"/>
      <c r="Q9" s="100">
        <v>70</v>
      </c>
      <c r="S9" s="121" t="s">
        <v>392</v>
      </c>
      <c r="T9" s="122"/>
      <c r="U9" s="122"/>
      <c r="V9" s="123"/>
      <c r="W9" s="138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38"/>
      <c r="Y9" s="138"/>
      <c r="Z9" s="147" t="str">
        <f>TEXT(N($K$6),"#.##0")&amp;" × "&amp;TEXT(N($K$8),"kr. -#.##0")&amp;" = "&amp;TEXT(N(SUM($K$26,$K$34)),"kr. -#.##0")
&amp;" ("&amp;TEXT(N(SUM($K$26,$K$34))/N(SUM($K$26,$K$34,$Q$17,$Q$19)),"0%")&amp;")"</f>
        <v>96 × kr. -125 = kr. -12.000 (29%)</v>
      </c>
      <c r="AA9" s="147"/>
    </row>
    <row r="10" spans="1:27" x14ac:dyDescent="0.3">
      <c r="B10" s="72" t="s">
        <v>124</v>
      </c>
      <c r="D10" s="134"/>
      <c r="E10" s="169"/>
      <c r="G10" s="156" t="s">
        <v>131</v>
      </c>
      <c r="H10" s="156"/>
      <c r="I10" s="156"/>
      <c r="J10" s="156"/>
      <c r="K10" s="32">
        <f>ABS($K$8*$K$9)</f>
        <v>100</v>
      </c>
      <c r="M10" s="140" t="s">
        <v>233</v>
      </c>
      <c r="N10" s="140"/>
      <c r="O10" s="140"/>
      <c r="P10" s="140"/>
      <c r="Q10" s="100">
        <v>76</v>
      </c>
      <c r="S10" s="124" t="s">
        <v>955</v>
      </c>
      <c r="T10" s="125"/>
      <c r="U10" s="125"/>
      <c r="V10" s="126"/>
      <c r="W10" s="150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51"/>
      <c r="Y10" s="152"/>
      <c r="Z10" s="150" t="str">
        <f>TEXT(N($Q$6),"#.##0")&amp;" × "&amp;TEXT(N(SUM($Q$9,$Q$10)),"kr. -#.##0")&amp;" = "&amp;TEXT(N($Q$17),"kr. -#.##0")
&amp;" ("&amp;TEXT(N($Q$17)/N(SUM($I$26,$K$33,$Q$17,$Q$19)),"0%")&amp;")"</f>
        <v>200 × kr. -146 = kr. -29.200 (81%)</v>
      </c>
      <c r="AA10" s="152"/>
    </row>
    <row r="11" spans="1:27" x14ac:dyDescent="0.3">
      <c r="D11" s="54" t="str">
        <f>$A$20</f>
        <v>Punkt</v>
      </c>
      <c r="E11" s="55" t="str">
        <f>$B$20</f>
        <v>Tidsplan</v>
      </c>
      <c r="G11" s="156" t="s">
        <v>132</v>
      </c>
      <c r="H11" s="156"/>
      <c r="I11" s="156"/>
      <c r="J11" s="156"/>
      <c r="K11" s="32">
        <f>ABS($K$8-$K$10)</f>
        <v>25</v>
      </c>
      <c r="M11" s="140" t="s">
        <v>755</v>
      </c>
      <c r="N11" s="140"/>
      <c r="O11" s="140"/>
      <c r="P11" s="140"/>
      <c r="Q11" s="100">
        <v>4</v>
      </c>
      <c r="S11" s="127" t="s">
        <v>755</v>
      </c>
      <c r="T11" s="128"/>
      <c r="U11" s="128"/>
      <c r="V11" s="129"/>
      <c r="W11" s="142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43"/>
      <c r="Y11" s="144"/>
      <c r="Z11" s="142" t="str">
        <f>TEXT(N($Q$6),"#.##0")&amp;" × "&amp;TEXT(N($Q$11),"kr. -#.##0")&amp;" = "&amp;TEXT(N($Q$19),"kr. -#.##0")
&amp;" ("&amp;TEXT(N($Q$19)/N(SUM($I$26,$K$33,$Q$17,$Q$19)),"0%")&amp;")"</f>
        <v>200 × kr. -4 = kr. -800 (2%)</v>
      </c>
      <c r="AA11" s="144"/>
    </row>
    <row r="12" spans="1:27" x14ac:dyDescent="0.3">
      <c r="B12" s="20" t="s">
        <v>197</v>
      </c>
      <c r="D12" s="56" t="s">
        <v>174</v>
      </c>
      <c r="E12" s="57" t="s">
        <v>746</v>
      </c>
      <c r="S12" s="121" t="s">
        <v>956</v>
      </c>
      <c r="T12" s="122"/>
      <c r="U12" s="122"/>
      <c r="V12" s="123"/>
      <c r="W12" s="138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38"/>
      <c r="Y12" s="138"/>
      <c r="Z12" s="147" t="str">
        <f>TEXT(N($Q$6),"#.##0")&amp;" × "&amp;TEXT(N($Q$8),"kr. -#.##0")&amp;" = "&amp;TEXT(N(SUM($Q$17,$Q$19)),"kr. -#.##0")
&amp;" ("&amp;TEXT(N(SUM($Q$17,$Q$19))/N(SUM($I$26,$K$33,$Q$17,$Q$19)),"0%")&amp;")"</f>
        <v>200 × kr. -150 = kr. -30.000 (83%)</v>
      </c>
      <c r="AA12" s="147"/>
    </row>
    <row r="13" spans="1:27" x14ac:dyDescent="0.3">
      <c r="B13" s="20" t="str">
        <f>$B$10</f>
        <v>🏃 Meld dig gerne til først som sidst så andre kan se, at DU skal med (først til mølle-princip) 🙌</v>
      </c>
      <c r="D13" s="58" t="s">
        <v>174</v>
      </c>
      <c r="E13" s="59" t="s">
        <v>916</v>
      </c>
      <c r="G13" s="119" t="s">
        <v>207</v>
      </c>
      <c r="H13" s="119"/>
      <c r="I13" s="119"/>
      <c r="J13" s="119"/>
      <c r="K13" s="119"/>
      <c r="M13" s="153" t="str">
        <f>"💲🥳 Arrangørpris for fest om aftenen på "&amp;TEXT($P$17,"kr. #.##0")&amp;" fordeles som følger:"</f>
        <v>💲🥳 Arrangørpris for fest om aftenen på kr. 6.132 fordeles som følger:</v>
      </c>
      <c r="N13" s="153"/>
      <c r="O13" s="153"/>
      <c r="P13" s="153"/>
      <c r="Q13" s="153"/>
      <c r="S13" s="130" t="s">
        <v>391</v>
      </c>
      <c r="T13" s="131"/>
      <c r="U13" s="131"/>
      <c r="V13" s="132"/>
      <c r="W13" s="138" t="str">
        <f>TEXT(N(SUM($I$26,$K$33)),"kr. -#.##0")
&amp;" + "&amp;TEXT(N(SUM($P$17,$P$19)),"kr. -#.##0")
&amp;" = "&amp;TEXT(N(SUM($I$26,$K$33,$P$17,$P$19)),"kr. -#.##0")</f>
        <v>kr. -6.000 + kr. -6.300 = kr. -12.300</v>
      </c>
      <c r="X13" s="138"/>
      <c r="Y13" s="138"/>
      <c r="Z13" s="138" t="str">
        <f>TEXT(N(SUM($K$26,$K$34)),"kr. -#.##0")
&amp;" + "&amp;TEXT(N(SUM($Q$17,$Q$19)),"kr. -#.##0")
&amp;" = "&amp;TEXT(N(SUM($K$26,$K$34,$Q$17,$Q$19)),"kr. -#.##0")</f>
        <v>kr. -12.000 + kr. -30.000 = kr. -42.000</v>
      </c>
      <c r="AA13" s="138"/>
    </row>
    <row r="14" spans="1:27" x14ac:dyDescent="0.3">
      <c r="B14" s="20" t="s">
        <v>198</v>
      </c>
      <c r="D14" s="56" t="s">
        <v>174</v>
      </c>
      <c r="E14" s="57" t="s">
        <v>917</v>
      </c>
      <c r="G14" s="119" t="s">
        <v>206</v>
      </c>
      <c r="H14" s="119"/>
      <c r="I14" s="119"/>
      <c r="J14" s="119"/>
      <c r="K14" s="119"/>
      <c r="M14" s="148"/>
      <c r="N14" s="148"/>
      <c r="O14" s="148"/>
      <c r="P14" s="77" t="s">
        <v>380</v>
      </c>
      <c r="Q14" s="78" t="s">
        <v>381</v>
      </c>
    </row>
    <row r="15" spans="1:27" x14ac:dyDescent="0.3">
      <c r="B15" s="20" t="str">
        <f>'🗂️ Filtre nøgletal'!$A$2</f>
        <v>🔃 Opdateret 25-11-2022 kl. 23:53</v>
      </c>
      <c r="D15" s="58" t="s">
        <v>174</v>
      </c>
      <c r="E15" s="59" t="s">
        <v>185</v>
      </c>
      <c r="G15" s="119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19"/>
      <c r="I15" s="119"/>
      <c r="J15" s="119"/>
      <c r="K15" s="119"/>
      <c r="M15" s="149" t="s">
        <v>238</v>
      </c>
      <c r="N15" s="149"/>
      <c r="O15" s="149"/>
      <c r="P15" s="101">
        <f>$Q$7*$Q$9</f>
        <v>2940</v>
      </c>
      <c r="Q15" s="103">
        <f>$Q$6*$Q$9</f>
        <v>14000</v>
      </c>
      <c r="S15" s="13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39"/>
      <c r="U15" s="139"/>
      <c r="V15" s="139"/>
      <c r="W15" s="139"/>
      <c r="X15" s="139"/>
      <c r="Y15" s="139"/>
      <c r="Z15" s="139"/>
      <c r="AA15" s="139"/>
    </row>
    <row r="16" spans="1:27" x14ac:dyDescent="0.3">
      <c r="A16" s="45"/>
      <c r="B16" s="45"/>
      <c r="D16" s="56" t="s">
        <v>174</v>
      </c>
      <c r="E16" s="60" t="s">
        <v>957</v>
      </c>
      <c r="G16" s="119" t="str">
        <f>"💰 Præmiesum på "&amp;TEXT($I$26,"kr. #.##0")&amp;" fordeles på seks placeringer som følger:"</f>
        <v>💰 Præmiesum på kr. 4.800 fordeles på seks placeringer som følger:</v>
      </c>
      <c r="H16" s="119"/>
      <c r="I16" s="119"/>
      <c r="J16" s="119"/>
      <c r="K16" s="119"/>
      <c r="M16" s="176" t="s">
        <v>239</v>
      </c>
      <c r="N16" s="176"/>
      <c r="O16" s="176"/>
      <c r="P16" s="102">
        <f>$Q$7*$Q$10</f>
        <v>3192</v>
      </c>
      <c r="Q16" s="104">
        <f>$Q$6*$Q$10</f>
        <v>15200</v>
      </c>
      <c r="S16" s="13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39"/>
      <c r="U16" s="139"/>
      <c r="V16" s="139"/>
      <c r="W16" s="139"/>
      <c r="X16" s="139"/>
      <c r="Y16" s="139"/>
      <c r="Z16" s="139"/>
      <c r="AA16" s="139"/>
    </row>
    <row r="17" spans="1:27" x14ac:dyDescent="0.3">
      <c r="B17" s="134" t="s">
        <v>187</v>
      </c>
      <c r="D17" s="58" t="s">
        <v>174</v>
      </c>
      <c r="E17" s="59" t="s">
        <v>958</v>
      </c>
      <c r="G17" s="159"/>
      <c r="H17" s="160"/>
      <c r="I17" s="5" t="s">
        <v>384</v>
      </c>
      <c r="J17" s="6" t="s">
        <v>383</v>
      </c>
      <c r="K17" s="6" t="s">
        <v>382</v>
      </c>
      <c r="M17" s="141" t="s">
        <v>959</v>
      </c>
      <c r="N17" s="141"/>
      <c r="O17" s="141"/>
      <c r="P17" s="79" cm="1">
        <f t="array" ref="P17">_xlfn.IFS(EXACT($Q$7*$Q$8-$Q$7*$Q$11,SUM(P15:P16)),SUM(P15:P16))</f>
        <v>6132</v>
      </c>
      <c r="Q17" s="79" cm="1">
        <f t="array" ref="Q17">_xlfn.IFS(EXACT($Q$6*$Q$8-$Q$6*$Q$11,SUM(Q15:Q16)),SUM(Q15:Q16))</f>
        <v>29200</v>
      </c>
      <c r="S17" s="13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39"/>
      <c r="U17" s="139"/>
      <c r="V17" s="139"/>
      <c r="W17" s="139"/>
      <c r="X17" s="139"/>
      <c r="Y17" s="139"/>
      <c r="Z17" s="139"/>
      <c r="AA17" s="139"/>
    </row>
    <row r="18" spans="1:27" x14ac:dyDescent="0.3">
      <c r="B18" s="134"/>
      <c r="D18" s="45"/>
      <c r="E18" s="45"/>
      <c r="G18" s="166" t="s">
        <v>135</v>
      </c>
      <c r="H18" s="25" t="s">
        <v>125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3600</v>
      </c>
      <c r="S18" s="13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39"/>
      <c r="U18" s="139"/>
      <c r="V18" s="139"/>
      <c r="W18" s="139"/>
      <c r="X18" s="139"/>
      <c r="Y18" s="139"/>
      <c r="Z18" s="139"/>
      <c r="AA18" s="139"/>
    </row>
    <row r="19" spans="1:27" x14ac:dyDescent="0.3">
      <c r="B19" s="20" t="s">
        <v>193</v>
      </c>
      <c r="D19" s="134"/>
      <c r="E19" s="155" t="s">
        <v>191</v>
      </c>
      <c r="G19" s="167"/>
      <c r="H19" s="25" t="s">
        <v>126</v>
      </c>
      <c r="I19" s="36">
        <f t="shared" si="0"/>
        <v>1200</v>
      </c>
      <c r="J19" s="28">
        <v>0.25</v>
      </c>
      <c r="K19" s="36">
        <f t="shared" si="1"/>
        <v>2400</v>
      </c>
      <c r="M19" s="141" t="s">
        <v>755</v>
      </c>
      <c r="N19" s="141"/>
      <c r="O19" s="141"/>
      <c r="P19" s="79">
        <f>$Q$7*$Q$11</f>
        <v>168</v>
      </c>
      <c r="Q19" s="83">
        <f>$Q$6*$Q$11</f>
        <v>800</v>
      </c>
      <c r="S19" s="137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37"/>
      <c r="U19" s="137"/>
      <c r="V19" s="137"/>
      <c r="W19" s="137"/>
      <c r="X19" s="137"/>
      <c r="Y19" s="137"/>
      <c r="Z19" s="137"/>
      <c r="AA19" s="137"/>
    </row>
    <row r="20" spans="1:27" x14ac:dyDescent="0.3">
      <c r="A20" s="65" t="s">
        <v>175</v>
      </c>
      <c r="B20" s="66" t="s">
        <v>178</v>
      </c>
      <c r="D20" s="134"/>
      <c r="E20" s="134"/>
      <c r="G20" s="167"/>
      <c r="H20" s="25" t="s">
        <v>127</v>
      </c>
      <c r="I20" s="36">
        <f t="shared" si="0"/>
        <v>720</v>
      </c>
      <c r="J20" s="28">
        <v>0.15</v>
      </c>
      <c r="K20" s="36">
        <f t="shared" si="1"/>
        <v>1440</v>
      </c>
      <c r="S20" s="139" t="s">
        <v>237</v>
      </c>
      <c r="T20" s="139"/>
      <c r="U20" s="139"/>
      <c r="V20" s="139"/>
      <c r="W20" s="139"/>
      <c r="X20" s="139"/>
      <c r="Y20" s="139"/>
      <c r="Z20" s="139"/>
      <c r="AA20" s="139"/>
    </row>
    <row r="21" spans="1:27" x14ac:dyDescent="0.3">
      <c r="A21" s="67" t="s">
        <v>174</v>
      </c>
      <c r="B21" s="68" t="s">
        <v>208</v>
      </c>
      <c r="E21" s="20" t="str">
        <f>$B$30</f>
        <v>📜 Diplomer uddeles til alle gave-/præmietagere.</v>
      </c>
      <c r="G21" s="167"/>
      <c r="H21" s="26" t="s">
        <v>128</v>
      </c>
      <c r="I21" s="37">
        <f t="shared" si="0"/>
        <v>480</v>
      </c>
      <c r="J21" s="29">
        <v>0.1</v>
      </c>
      <c r="K21" s="37">
        <f t="shared" si="1"/>
        <v>960</v>
      </c>
      <c r="S21" s="4" t="s">
        <v>0</v>
      </c>
      <c r="T21" s="1" t="s">
        <v>120</v>
      </c>
      <c r="U21" s="1" t="s">
        <v>80</v>
      </c>
      <c r="V21" s="4" t="s">
        <v>14</v>
      </c>
      <c r="W21" s="4" t="s">
        <v>433</v>
      </c>
      <c r="X21" s="4" t="s">
        <v>612</v>
      </c>
      <c r="Y21" s="1" t="s">
        <v>1</v>
      </c>
      <c r="Z21" s="1" t="s">
        <v>2</v>
      </c>
      <c r="AA21" t="s">
        <v>915</v>
      </c>
    </row>
    <row r="22" spans="1:27" x14ac:dyDescent="0.3">
      <c r="A22" s="69" t="s">
        <v>174</v>
      </c>
      <c r="B22" s="70" t="s">
        <v>202</v>
      </c>
      <c r="E22" s="20" t="str">
        <f>$B$31</f>
        <v>🎁 Gave til den yngste- og ældste Ping Pong deltager.</v>
      </c>
      <c r="G22" s="168"/>
      <c r="H22" s="84" t="s">
        <v>395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8400</v>
      </c>
      <c r="M22" s="134" t="s">
        <v>232</v>
      </c>
      <c r="N22" s="134"/>
      <c r="O22" s="134"/>
      <c r="P22" s="134"/>
      <c r="S22" s="4">
        <v>1</v>
      </c>
      <c r="T22" s="1" t="s">
        <v>922</v>
      </c>
      <c r="U22" s="1" t="s">
        <v>41</v>
      </c>
      <c r="V22" s="4">
        <v>24</v>
      </c>
      <c r="W22" s="4" t="s">
        <v>221</v>
      </c>
      <c r="X22" s="93">
        <v>44730.463888888888</v>
      </c>
      <c r="Y22" s="1" t="s">
        <v>955</v>
      </c>
      <c r="Z22" s="1" t="s">
        <v>760</v>
      </c>
      <c r="AA22" s="115">
        <v>150</v>
      </c>
    </row>
    <row r="23" spans="1:27" x14ac:dyDescent="0.3">
      <c r="A23" s="67" t="s">
        <v>174</v>
      </c>
      <c r="B23" s="68" t="s">
        <v>184</v>
      </c>
      <c r="E23" s="20" t="str">
        <f>$G$15</f>
        <v>💸 Af spillergebyret på kr. 125 går kr. 100 til præmiepenge og kr. 25 til stævnearrangøren.</v>
      </c>
      <c r="G23" s="166" t="s">
        <v>136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720</v>
      </c>
      <c r="M23" s="134"/>
      <c r="N23" s="134"/>
      <c r="O23" s="134"/>
      <c r="P23" s="134"/>
      <c r="S23" s="4">
        <v>2</v>
      </c>
      <c r="T23" s="1" t="s">
        <v>897</v>
      </c>
      <c r="U23" s="1" t="s">
        <v>8</v>
      </c>
      <c r="V23" s="4">
        <v>10</v>
      </c>
      <c r="W23" s="4" t="s">
        <v>221</v>
      </c>
      <c r="X23" s="93">
        <v>44729.473611111112</v>
      </c>
      <c r="Y23" s="1" t="s">
        <v>392</v>
      </c>
      <c r="Z23" s="1" t="s">
        <v>760</v>
      </c>
      <c r="AA23" s="115">
        <v>125</v>
      </c>
    </row>
    <row r="24" spans="1:27" x14ac:dyDescent="0.3">
      <c r="A24" s="69" t="s">
        <v>174</v>
      </c>
      <c r="B24" s="70" t="s">
        <v>185</v>
      </c>
      <c r="E24" s="20" t="str">
        <f>$G$16</f>
        <v>💰 Præmiesum på kr. 4.800 fordeles på seks placeringer som følger:</v>
      </c>
      <c r="G24" s="167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480</v>
      </c>
      <c r="M24" s="137" t="str">
        <f>"🥳 "&amp;TEXT(N($Q$7),"#.##0")
&amp;" ud af "&amp;TEXT(N($Q$6),"#.##0")&amp;" tilmeldinger"
&amp;" ("&amp;TEXT(N($Q$7)/N($Q$6),"0%")&amp;")"</f>
        <v>🥳 42 ud af 200 tilmeldinger (21%)</v>
      </c>
      <c r="N24" s="137"/>
      <c r="O24" s="137"/>
      <c r="P24" s="137"/>
      <c r="Q24" s="137"/>
      <c r="S24" s="4">
        <v>3</v>
      </c>
      <c r="T24" s="1" t="s">
        <v>858</v>
      </c>
      <c r="U24" s="1" t="s">
        <v>5</v>
      </c>
      <c r="V24" s="4">
        <v>40</v>
      </c>
      <c r="W24" s="4" t="s">
        <v>221</v>
      </c>
      <c r="X24" s="93">
        <v>44728.906944444447</v>
      </c>
      <c r="Y24" s="1" t="s">
        <v>392</v>
      </c>
      <c r="Z24" s="1" t="s">
        <v>760</v>
      </c>
      <c r="AA24" s="115">
        <v>125</v>
      </c>
    </row>
    <row r="25" spans="1:27" x14ac:dyDescent="0.3">
      <c r="A25" s="67" t="s">
        <v>174</v>
      </c>
      <c r="B25" s="68" t="s">
        <v>960</v>
      </c>
      <c r="E25" s="24" t="str">
        <f>$B$34</f>
        <v>🏓 A-slutspil:</v>
      </c>
      <c r="G25" s="168"/>
      <c r="H25" s="84" t="s">
        <v>396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1200</v>
      </c>
      <c r="M25" s="139" t="str">
        <f>"♂️ "&amp;TEXT(N(CUBEVALUE("ThisWorkbookDataModel",
CUBEMEMBER("ThisWorkbookDataModel",{"[Billettype_d1].[K: Billettype emoji].&amp;[🥳]","[Køn_d2].[K: Køn emoji].&amp;[♂]"}),
CUBEMEMBER("ThisWorkbookDataModel","[Measures].[👥 Aktuel tilmeldingsantal]"))),"#.##0")&amp;" herrer"
&amp;" ("&amp;TEXT(N(CUBEVALUE("ThisWorkbookDataModel",
CUBEMEMBER("ThisWorkbookDataModel",{"[Billettype_d1].[K: Billettype emoji].&amp;[🥳]","[Køn_d2].[K: Køn emoji].&amp;[♂]"}),
CUBEMEMBER("ThisWorkbookDataModel","[Measures].[👥 Aktuel tilmeldingsantal]")))/N($Q$7),"0%")&amp;")"
&amp;" ∙ ♀️ "&amp;TEXT(N(CUBEVALUE("ThisWorkbookDataModel",
CUBEMEMBER("ThisWorkbookDataModel",{"[Billettype_d1].[K: Billettype emoji].&amp;[🥳]","[Køn_d2].[K: Køn emoji].&amp;[♀]"}),
CUBEMEMBER("ThisWorkbookDataModel","[Measures].[👥 Aktuel tilmeldingsantal]"))),"#.##0")&amp;" damer"
&amp;" ("&amp;TEXT(N(CUBEVALUE("ThisWorkbookDataModel",
CUBEMEMBER("ThisWorkbookDataModel",{"[Billettype_d1].[K: Billettype emoji].&amp;[🥳]","[Køn_d2].[K: Køn emoji].&amp;[♀]"}),
CUBEMEMBER("ThisWorkbookDataModel","[Measures].[👥 Aktuel tilmeldingsantal]")))/N($Q$7),"0%")&amp;")"</f>
        <v>♂️ 36 herrer (86%) ∙ ♀️ 6 damer (14%)</v>
      </c>
      <c r="N25" s="139"/>
      <c r="O25" s="139"/>
      <c r="P25" s="139"/>
      <c r="Q25" s="139"/>
      <c r="S25" s="4">
        <v>4</v>
      </c>
      <c r="T25" s="1" t="s">
        <v>861</v>
      </c>
      <c r="U25" s="1" t="s">
        <v>7</v>
      </c>
      <c r="V25" s="4">
        <v>33</v>
      </c>
      <c r="W25" s="4" t="s">
        <v>221</v>
      </c>
      <c r="X25" s="93">
        <v>44728.859027777777</v>
      </c>
      <c r="Y25" s="1" t="s">
        <v>392</v>
      </c>
      <c r="Z25" s="1" t="s">
        <v>760</v>
      </c>
      <c r="AA25" s="115">
        <v>125</v>
      </c>
    </row>
    <row r="26" spans="1:27" x14ac:dyDescent="0.3">
      <c r="A26" s="69" t="s">
        <v>174</v>
      </c>
      <c r="B26" s="70" t="s">
        <v>958</v>
      </c>
      <c r="D26" s="54" t="str">
        <f>$A$35</f>
        <v>Nr.</v>
      </c>
      <c r="E26" s="55" t="str">
        <f>$B$35</f>
        <v>Præmiepenge A-slutspil</v>
      </c>
      <c r="G26" s="161" t="s">
        <v>385</v>
      </c>
      <c r="H26" s="161"/>
      <c r="I26" s="35">
        <f>SUBTOTAL(109,$I$18:$I$25)</f>
        <v>4800</v>
      </c>
      <c r="J26" s="31">
        <f>SUBTOTAL(109,$J$18:$J$25)</f>
        <v>1</v>
      </c>
      <c r="K26" s="35">
        <f>SUBTOTAL(109,$K$18:$K$25)</f>
        <v>9600</v>
      </c>
      <c r="M26" s="139" t="str">
        <f>"👤 "&amp;TEXT(N(CUBEVALUE("ThisWorkbookDataModel",
CUBEMEMBER("ThisWorkbookDataModel",{"[Billettype_d1].[K: Billettype emoji].&amp;[🥳]","[Aldersgruppe_d2].[K: Aldersgruppe].&amp;[[&lt;=17]] Ungdom]"}),
CUBEMEMBER("ThisWorkbookDataModel","[Measures].[👥 Aktuel tilmeldingsantal]"))),"#.##0")
&amp;"  Ungdom ("&amp;TEXT(N(CUBEVALUE("ThisWorkbookDataModel",
CUBEMEMBER("ThisWorkbookDataModel",{"[Billettype_d1].[K: Billettype emoji].&amp;[🥳]","[Aldersgruppe_d2].[K: Aldersgruppe].&amp;[[&lt;=17]] Ungdom]"}),
CUBEMEMBER("ThisWorkbookDataModel","[Measures].[👥 Aktuel tilmeldingsantal]")))/N($Q$7),"0%")&amp;")"
&amp;" ∙ 👤 "&amp;TEXT(N(CUBEVALUE("ThisWorkbookDataModel",
CUBEMEMBER("ThisWorkbookDataModel",{"[Billettype_d1].[K: Billettype emoji].&amp;[🥳]","[Aldersgruppe_d2].[K: Aldersgruppe].&amp;[[&lt;=39]] Senior]"}),
CUBEMEMBER("ThisWorkbookDataModel","[Measures].[👥 Aktuel tilmeldingsantal]"))),"#.##0")
&amp;"  Senior ("&amp;TEXT(N(CUBEVALUE("ThisWorkbookDataModel",
CUBEMEMBER("ThisWorkbookDataModel",{"[Billettype_d1].[K: Billettype emoji].&amp;[🥳]","[Aldersgruppe_d2].[K: Aldersgruppe].&amp;[[&lt;=39]] Senior]"}),
CUBEMEMBER("ThisWorkbookDataModel","[Measures].[👥 Aktuel tilmeldingsantal]")))/N($Q$7),"0%")&amp;")"
&amp;" ∙ 👤 "&amp;TEXT(N(CUBEVALUE("ThisWorkbookDataModel",
CUBEMEMBER("ThisWorkbookDataModel",{"[Billettype_d1].[K: Billettype emoji].&amp;[🥳]","[Aldersgruppe_d2].[K: Aldersgruppe].&amp;[[&gt;=40]] Veteran]"}),
CUBEMEMBER("ThisWorkbookDataModel","[Measures].[👥 Aktuel tilmeldingsantal]"))),"#.##0")
&amp;"  Veteran ("&amp;TEXT(N(CUBEVALUE("ThisWorkbookDataModel",
CUBEMEMBER("ThisWorkbookDataModel",{"[Billettype_d1].[K: Billettype emoji].&amp;[🥳]","[Aldersgruppe_d2].[K: Aldersgruppe].&amp;[[&gt;=40]] Veteran]"}),
CUBEMEMBER("ThisWorkbookDataModel","[Measures].[👥 Aktuel tilmeldingsantal]")))/N($Q$7),"0%")&amp;")"</f>
        <v>👤 0  Ungdom (0%) ∙ 👤 35  Senior (83%) ∙ 👤 7  Veteran (17%)</v>
      </c>
      <c r="N26" s="139"/>
      <c r="O26" s="139"/>
      <c r="P26" s="139"/>
      <c r="Q26" s="139"/>
      <c r="S26" s="4">
        <v>5</v>
      </c>
      <c r="T26" s="1" t="s">
        <v>218</v>
      </c>
      <c r="U26" s="1" t="s">
        <v>8</v>
      </c>
      <c r="V26" s="4">
        <v>72</v>
      </c>
      <c r="W26" s="4" t="s">
        <v>221</v>
      </c>
      <c r="X26" s="93">
        <v>44728.751388888886</v>
      </c>
      <c r="Y26" s="1" t="s">
        <v>955</v>
      </c>
      <c r="Z26" s="1" t="s">
        <v>760</v>
      </c>
      <c r="AA26" s="115">
        <v>150</v>
      </c>
    </row>
    <row r="27" spans="1:27" x14ac:dyDescent="0.3">
      <c r="A27" s="45"/>
      <c r="B27" s="45"/>
      <c r="D27" s="56">
        <f>$A$36</f>
        <v>1</v>
      </c>
      <c r="E27" s="57" t="str">
        <f>LEFT($H$18,1)&amp;" "&amp;TEXT($I$18,"kr. #.##0,00")&amp;" ("&amp;TEXT($J$18,"0,0%")&amp;")"</f>
        <v>🥇 kr. 1.800,00 (37,5%)</v>
      </c>
      <c r="M27" s="139" t="str">
        <f>"👤 Min. "&amp;TEXT(N(CUBEVALUE("ThisWorkbookDataModel",
CUBEMEMBER("ThisWorkbookDataModel","[Billettype_d1].[K: Billettype emoji].&amp;[🥳]"),
CUBEMEMBER("ThisWorkbookDataModel","[Measures].[👤 Aktuel alder min.]"))),"#.##0")&amp;" år"
&amp;" ∙ 👤 Gns. "&amp;TEXT(N(CUBEVALUE("ThisWorkbookDataModel",
CUBEMEMBER("ThisWorkbookDataModel","[Billettype_d1].[K: Billettype emoji].&amp;[🥳]"),
CUBEMEMBER("ThisWorkbookDataModel","[Measures].[👥 Aktuel alder gns.]"))),"#.##0")&amp;" år"
&amp;" ∙ 👤 Maks. "&amp;TEXT(N(CUBEVALUE("ThisWorkbookDataModel",
CUBEMEMBER("ThisWorkbookDataModel","[Billettype_d1].[K: Billettype emoji].&amp;[🥳]"),
CUBEMEMBER("ThisWorkbookDataModel","[Measures].[👤 Aktuel alder maks.]"))),"#.##0")&amp;" år"</f>
        <v>👤 Min. 19 år ∙ 👤 Gns. 32 år ∙ 👤 Maks. 72 år</v>
      </c>
      <c r="N27" s="139"/>
      <c r="O27" s="139"/>
      <c r="P27" s="139"/>
      <c r="Q27" s="139"/>
      <c r="S27" s="4">
        <v>6</v>
      </c>
      <c r="T27" s="1" t="s">
        <v>863</v>
      </c>
      <c r="U27" s="1" t="s">
        <v>8</v>
      </c>
      <c r="V27" s="4">
        <v>10</v>
      </c>
      <c r="W27" s="4" t="s">
        <v>221</v>
      </c>
      <c r="X27" s="93">
        <v>44728.737500000003</v>
      </c>
      <c r="Y27" s="1" t="s">
        <v>392</v>
      </c>
      <c r="Z27" s="1" t="s">
        <v>760</v>
      </c>
      <c r="AA27" s="115">
        <v>125</v>
      </c>
    </row>
    <row r="28" spans="1:27" x14ac:dyDescent="0.3">
      <c r="A28" s="134"/>
      <c r="B28" s="155" t="s">
        <v>188</v>
      </c>
      <c r="D28" s="58">
        <f>$A$37</f>
        <v>2</v>
      </c>
      <c r="E28" s="59" t="str">
        <f>LEFT($H$19,1)&amp;" "&amp;TEXT($I$19,"kr. #.##0,00")&amp;" ("&amp;TEXT($J$19,"0%")&amp;")"</f>
        <v>🥈 kr. 1.200,00 (25%)</v>
      </c>
      <c r="G28" s="162" t="str" vm="1">
        <f>CUBEMEMBER("ThisWorkbookDataModel","[Measures].[🎁 Yngst Ping Pong]")</f>
        <v>🎁 Yngst Ping Pong</v>
      </c>
      <c r="H28" s="162"/>
      <c r="I28" s="154" t="str" vm="2">
        <f>CUBEVALUE("ThisWorkbookDataModel",G$28)</f>
        <v>Amin Saad Al-Zayadi, Sisu/MBK [10 år, 05-06-2012] 🏓</v>
      </c>
      <c r="J28" s="154"/>
      <c r="K28" s="154"/>
      <c r="M28" s="139" t="str">
        <f>"🏛️ "&amp;TEXT(N(CUBEVALUE("ThisWorkbookDataModel",
CUBEMEMBER("ThisWorkbookDataModel",{"[Billettype_d1].[K: Billettype emoji].&amp;[🥳]","[Landsdel_d3].[K: Landsdel].&amp;[Jylland]"}),
CUBEMEMBER("ThisWorkbookDataModel","[Measures].[👥 Aktuel tilmeldingsantal (kun med klub)]"))),"0")
&amp;" Jylland ("&amp;TEXT(N(CUBEVALUE("ThisWorkbookDataModel",
CUBEMEMBER("ThisWorkbookDataModel",{"[Billettype_d1].[K: Billettype emoji].&amp;[🥳]","[Landsdel_d3].[K: Landsdel].&amp;[Jylland]"}),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Landsdel].&amp;[Fyn]"}),
CUBEMEMBER("ThisWorkbookDataModel","[Measures].[👥 Aktuel tilmeldingsantal (kun med klub)]"))),"0")
&amp;" Fyn ("&amp;TEXT(N(CUBEVALUE("ThisWorkbookDataModel",
CUBEMEMBER("ThisWorkbookDataModel",{"[Billettype_d1].[K: Billettype emoji].&amp;[🥳]","[Landsdel_d3].[K: Landsdel].&amp;[Fyn]"}),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Landsdel].&amp;[Sjælland]"}),
CUBEMEMBER("ThisWorkbookDataModel","[Measures].[👥 Aktuel tilmeldingsantal (kun med klub)]"))),"0")
&amp;" Sjælland ("&amp;TEXT(N(CUBEVALUE("ThisWorkbookDataModel",
CUBEMEMBER("ThisWorkbookDataModel",{"[Billettype_d1].[K: Billettype emoji].&amp;[🥳]","[Landsdel_d3].[K: Landsdel].&amp;[Sjælland]"}),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Landsdel].&amp;[Bornholm]"}),
CUBEMEMBER("ThisWorkbookDataModel","[Measures].[👥 Aktuel tilmeldingsantal (kun med klub)]"))),"0")
&amp;" Bornholm ("&amp;TEXT(N(CUBEVALUE("ThisWorkbookDataModel",
CUBEMEMBER("ThisWorkbookDataModel",{"[Billettype_d1].[K: Billettype emoji].&amp;[🥳]","[Landsdel_d3].[K: Landsdel].&amp;[Bornholm]"}),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39"/>
      <c r="O28" s="139"/>
      <c r="P28" s="139"/>
      <c r="Q28" s="139"/>
      <c r="S28" s="4">
        <v>7</v>
      </c>
      <c r="T28" s="1" t="s">
        <v>865</v>
      </c>
      <c r="U28" s="1" t="s">
        <v>8</v>
      </c>
      <c r="V28" s="4">
        <v>20</v>
      </c>
      <c r="W28" s="4" t="s">
        <v>221</v>
      </c>
      <c r="X28" s="93">
        <v>44728.724999999999</v>
      </c>
      <c r="Y28" s="1" t="s">
        <v>392</v>
      </c>
      <c r="Z28" s="1" t="s">
        <v>760</v>
      </c>
      <c r="AA28" s="115">
        <v>125</v>
      </c>
    </row>
    <row r="29" spans="1:27" x14ac:dyDescent="0.3">
      <c r="A29" s="134"/>
      <c r="B29" s="134"/>
      <c r="D29" s="56">
        <f>$A$38</f>
        <v>3</v>
      </c>
      <c r="E29" s="57" t="str">
        <f>LEFT($H$20,1)&amp;" "&amp;TEXT($I$20,"kr. #.##0,00")&amp;" ("&amp;TEXT($J$20,"0%")&amp;")"</f>
        <v>🥉 kr. 720,00 (15%)</v>
      </c>
      <c r="G29" s="162" t="str" vm="3">
        <f>CUBEMEMBER("ThisWorkbookDataModel","[Measures].[🎁 Ældst Ping Pong]")</f>
        <v>🎁 Ældst Ping Pong</v>
      </c>
      <c r="H29" s="162"/>
      <c r="I29" s="154" t="str" vm="4">
        <f>CUBEVALUE("ThisWorkbookDataModel",G$29)</f>
        <v>Bent O. Jakobsen, Sisu/MBK [72 år, 08-09-1950] 🏓</v>
      </c>
      <c r="J29" s="154"/>
      <c r="K29" s="154"/>
      <c r="M29" s="139" t="str">
        <f>"👤 "&amp;TEXT(N(CUBEVALUE("ThisWorkbookDataModel",
CUBEMEMBER("ThisWorkbookDataModel",{"[Billettype_d1].[K: Billettype emoji].&amp;[🥳]","[Ratinggruppe_d2].[K: Ratinggruppe].&amp;[[&gt;=2000]] Elite]"}),
CUBEMEMBER("ThisWorkbookDataModel","[Measures].[👥 Aktuel tilmeldingsantal]"))),"#.##0")
&amp;" [&gt;=2000] Elite ("&amp;TEXT(N(CUBEVALUE("ThisWorkbookDataModel",
CUBEMEMBER("ThisWorkbookDataModel",{"[Billettype_d1].[K: Billettype emoji].&amp;[🥳]","[Ratinggruppe_d2].[K: Ratinggruppe].&amp;[[&gt;=2000]] Elite]"}),
CUBEMEMBER("ThisWorkbookDataModel","[Measures].[👥 Aktuel tilmeldingsantal]")))/N($Q$7),"0%")&amp;")"
&amp;" ∙ 👤 "&amp;TEXT(N(CUBEVALUE("ThisWorkbookDataModel",
CUBEMEMBER("ThisWorkbookDataModel",{"[Billettype_d1].[K: Billettype emoji].&amp;[🥳]","[Ratinggruppe_d2].[K: Ratinggruppe].&amp;[[&lt;=1999]] Ikke-Elite]"}),
CUBEMEMBER("ThisWorkbookDataModel","[Measures].[👥 Aktuel tilmeldingsantal]"))),"#.##0")
&amp;" [&lt;=1999] Ikke-elite ("&amp;TEXT(N(CUBEVALUE("ThisWorkbookDataModel",
CUBEMEMBER("ThisWorkbookDataModel",{"[Billettype_d1].[K: Billettype emoji].&amp;[🥳]","[Ratinggruppe_d2].[K: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39"/>
      <c r="O29" s="139"/>
      <c r="P29" s="139"/>
      <c r="Q29" s="139"/>
      <c r="S29" s="4">
        <v>8</v>
      </c>
      <c r="T29" s="1" t="s">
        <v>449</v>
      </c>
      <c r="U29" s="1" t="s">
        <v>4</v>
      </c>
      <c r="V29" s="4">
        <v>34</v>
      </c>
      <c r="W29" s="4" t="s">
        <v>221</v>
      </c>
      <c r="X29" s="93">
        <v>44728.695833333331</v>
      </c>
      <c r="Y29" s="1" t="s">
        <v>955</v>
      </c>
      <c r="Z29" s="1" t="s">
        <v>760</v>
      </c>
      <c r="AA29" s="115">
        <v>150</v>
      </c>
    </row>
    <row r="30" spans="1:27" x14ac:dyDescent="0.3">
      <c r="B30" s="20" t="str">
        <f>$G$14</f>
        <v>📜 Diplomer uddeles til alle gave-/præmietagere.</v>
      </c>
      <c r="D30" s="58">
        <f>$A$39</f>
        <v>4</v>
      </c>
      <c r="E30" s="59" t="str">
        <f>LEFT($H$21,1)&amp;" "&amp;TEXT($I$21,"kr. #.##0,00")&amp;" ("&amp;TEXT($J$21,"0%")&amp;")"</f>
        <v>🏅 kr. 480,00 (10%)</v>
      </c>
      <c r="G30" s="162" t="str" vm="5">
        <f>CUBEMEMBER("ThisWorkbookDataModel","[Measures].[👤 Højeste rating Ping Pong]")</f>
        <v>👤 Højeste rating Ping Pong</v>
      </c>
      <c r="H30" s="162"/>
      <c r="I30" s="154" t="str" vm="7">
        <f>CUBEVALUE("ThisWorkbookDataModel",G$30)</f>
        <v>Simon Nykjær-Fisher, BTK Viby (2587 rating) 🏓</v>
      </c>
      <c r="J30" s="154"/>
      <c r="K30" s="154"/>
      <c r="M30" s="139" t="str">
        <f>"👤 Min. "&amp;TEXT(N(CUBEVALUE("ThisWorkbookDataModel",
CUBEMEMBER("ThisWorkbookDataModel","[Billettype_d1].[K: Billettype emoji].&amp;[🥳]"),
CUBEMEMBER("ThisWorkbookDataModel","[Measures].[👤 Rating min.]"))),"0")&amp;" rating"
&amp;" ∙ 👤 Gns. "&amp;TEXT(N(CUBEVALUE("ThisWorkbookDataModel",
CUBEMEMBER("ThisWorkbookDataModel","[Billettype_d1].[K: Billettype emoji].&amp;[🥳]"),
CUBEMEMBER("ThisWorkbookDataModel","[Measures].[👥 Aktuel rating gns.]"))),"0")&amp;" rating"
&amp;" ∙ 👤 Maks. "&amp;TEXT(N(CUBEVALUE("ThisWorkbookDataModel",
CUBEMEMBER("ThisWorkbookDataModel","[Billettype_d1].[K: Billettype emoji].&amp;[🥳]"),
CUBEMEMBER("ThisWorkbookDataModel","[Measures].[👤 Aktuel rating maks.]"))),"0")&amp;" rating"</f>
        <v>👤 Min. 1139 rating ∙ 👤 Gns. 2126 rating ∙ 👤 Maks. 2587 rating</v>
      </c>
      <c r="N30" s="139"/>
      <c r="O30" s="139"/>
      <c r="P30" s="139"/>
      <c r="Q30" s="139"/>
      <c r="S30" s="4">
        <v>9</v>
      </c>
      <c r="T30" s="1" t="s">
        <v>846</v>
      </c>
      <c r="U30" s="1" t="s">
        <v>41</v>
      </c>
      <c r="V30" s="4">
        <v>56</v>
      </c>
      <c r="W30" s="4" t="s">
        <v>221</v>
      </c>
      <c r="X30" s="93">
        <v>44728.307638888888</v>
      </c>
      <c r="Y30" s="1" t="s">
        <v>392</v>
      </c>
      <c r="Z30" s="1" t="s">
        <v>760</v>
      </c>
      <c r="AA30" s="115">
        <v>125</v>
      </c>
    </row>
    <row r="31" spans="1:27" x14ac:dyDescent="0.3">
      <c r="B31" s="20" t="s">
        <v>434</v>
      </c>
      <c r="G31" s="162" t="str" vm="6">
        <f>CUBEMEMBER("ThisWorkbookDataModel","[Measures].[👤 Laveste rating Ping Pong]")</f>
        <v>👤 Laveste rating Ping Pong</v>
      </c>
      <c r="H31" s="162"/>
      <c r="I31" s="173" t="str" vm="8">
        <f>CUBEVALUE("ThisWorkbookDataModel",G$31)</f>
        <v>Amin Saad Al-Zayadi, Sisu/MBK (914 rating) 🏓</v>
      </c>
      <c r="J31" s="174"/>
      <c r="K31" s="175"/>
      <c r="M31" s="139" t="str">
        <f>"🛖 "&amp;TEXT(N(CUBEVALUE("ThisWorkbookDataModel",
CUBEMEMBER("ThisWorkbookDataModel","[Billettype_d1].[K: Billettype emoji].&amp;[🥳]"),
CUBEMEMBER("ThisWorkbookDataModel","[Measures].[🛖 Aktuel klubantal]"))),"#.##0")&amp;" klubber"</f>
        <v>🛖 11 klubber</v>
      </c>
      <c r="N31" s="139"/>
      <c r="O31" s="139"/>
      <c r="P31" s="139"/>
      <c r="Q31" s="139"/>
      <c r="S31" s="4">
        <v>10</v>
      </c>
      <c r="T31" s="1" t="s">
        <v>66</v>
      </c>
      <c r="U31" s="1" t="s">
        <v>65</v>
      </c>
      <c r="V31" s="4">
        <v>61</v>
      </c>
      <c r="W31" s="4" t="s">
        <v>221</v>
      </c>
      <c r="X31" s="93">
        <v>44725.526388888888</v>
      </c>
      <c r="Y31" s="1" t="s">
        <v>392</v>
      </c>
      <c r="Z31" s="1" t="s">
        <v>760</v>
      </c>
      <c r="AA31" s="115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39" t="s">
        <v>236</v>
      </c>
      <c r="N32" s="139"/>
      <c r="O32" s="139"/>
      <c r="P32" s="139"/>
      <c r="Q32" s="139"/>
      <c r="S32" s="4">
        <v>11</v>
      </c>
      <c r="T32" s="1" t="s">
        <v>735</v>
      </c>
      <c r="U32" s="1" t="s">
        <v>307</v>
      </c>
      <c r="V32" s="4">
        <v>25</v>
      </c>
      <c r="W32" s="4" t="s">
        <v>221</v>
      </c>
      <c r="X32" s="93">
        <v>44723.748611111114</v>
      </c>
      <c r="Y32" s="1" t="s">
        <v>392</v>
      </c>
      <c r="Z32" s="1" t="s">
        <v>760</v>
      </c>
      <c r="AA32" s="115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9.600 fordeles på seks placeringer som følger:</v>
      </c>
      <c r="D33" s="54" t="str">
        <f>$A$42</f>
        <v>Nr.</v>
      </c>
      <c r="E33" s="55" t="str">
        <f>$B$42</f>
        <v>Præmiepenge B-slutspil</v>
      </c>
      <c r="G33" s="163" t="s">
        <v>133</v>
      </c>
      <c r="H33" s="164"/>
      <c r="I33" s="164"/>
      <c r="J33" s="165"/>
      <c r="K33" s="73">
        <f>$K$11*$K$7</f>
        <v>1200</v>
      </c>
      <c r="M33" s="4" t="s">
        <v>0</v>
      </c>
      <c r="N33" s="1" t="s">
        <v>122</v>
      </c>
      <c r="O33" s="4" t="s">
        <v>14</v>
      </c>
      <c r="P33" t="s">
        <v>433</v>
      </c>
      <c r="Q33" s="1" t="s">
        <v>1</v>
      </c>
      <c r="S33" s="4">
        <v>11</v>
      </c>
      <c r="T33" s="1" t="s">
        <v>735</v>
      </c>
      <c r="U33" s="1" t="s">
        <v>307</v>
      </c>
      <c r="V33" s="4">
        <v>25</v>
      </c>
      <c r="W33" s="4" t="s">
        <v>221</v>
      </c>
      <c r="X33" s="93">
        <v>44723.748611111114</v>
      </c>
      <c r="Y33" s="1" t="s">
        <v>955</v>
      </c>
      <c r="Z33" s="1" t="s">
        <v>760</v>
      </c>
      <c r="AA33" s="115">
        <v>150</v>
      </c>
    </row>
    <row r="34" spans="1:27" x14ac:dyDescent="0.3">
      <c r="B34" s="24" t="s">
        <v>129</v>
      </c>
      <c r="D34" s="56">
        <f>$A$43</f>
        <v>1</v>
      </c>
      <c r="E34" s="57" t="str">
        <f>LEFT($H$23,1)&amp;" "&amp;TEXT($I$23,"kr. #.##0,00")&amp;" ("&amp;TEXT($J$23,"0,0%")&amp;")"</f>
        <v>🥇 kr. 360,00 (7,5%)</v>
      </c>
      <c r="G34" s="170" t="s">
        <v>134</v>
      </c>
      <c r="H34" s="171"/>
      <c r="I34" s="171"/>
      <c r="J34" s="172"/>
      <c r="K34" s="33">
        <f>$K$11*$K$6</f>
        <v>2400</v>
      </c>
      <c r="M34" s="4">
        <v>1</v>
      </c>
      <c r="N34" s="1" t="s">
        <v>504</v>
      </c>
      <c r="O34" s="4">
        <v>19</v>
      </c>
      <c r="P34" t="s">
        <v>221</v>
      </c>
      <c r="Q34" s="1" t="s">
        <v>955</v>
      </c>
      <c r="S34" s="4">
        <v>12</v>
      </c>
      <c r="T34" s="1" t="s">
        <v>722</v>
      </c>
      <c r="U34" s="1" t="s">
        <v>4</v>
      </c>
      <c r="V34" s="4">
        <v>44</v>
      </c>
      <c r="W34" s="4" t="s">
        <v>221</v>
      </c>
      <c r="X34" s="93">
        <v>44722.859027777777</v>
      </c>
      <c r="Y34" s="1" t="s">
        <v>392</v>
      </c>
      <c r="Z34" s="1" t="s">
        <v>760</v>
      </c>
      <c r="AA34" s="115">
        <v>125</v>
      </c>
    </row>
    <row r="35" spans="1:27" x14ac:dyDescent="0.3">
      <c r="A35" s="61" t="s">
        <v>0</v>
      </c>
      <c r="B35" s="50" t="s">
        <v>176</v>
      </c>
      <c r="D35" s="58">
        <f>$A$44</f>
        <v>2</v>
      </c>
      <c r="E35" s="59" t="str">
        <f>LEFT($H$24,1)&amp;" "&amp;TEXT($I$24,"kr. #.##0,00")&amp;" ("&amp;TEXT($J$24,"0%")&amp;")"</f>
        <v>🥈 kr. 240,00 (5%)</v>
      </c>
      <c r="M35" s="4">
        <v>2</v>
      </c>
      <c r="N35" s="1" t="s">
        <v>604</v>
      </c>
      <c r="O35" s="4">
        <v>20</v>
      </c>
      <c r="P35" t="s">
        <v>221</v>
      </c>
      <c r="Q35" s="1" t="s">
        <v>955</v>
      </c>
      <c r="S35" s="4">
        <v>12</v>
      </c>
      <c r="T35" s="1" t="s">
        <v>722</v>
      </c>
      <c r="U35" s="1" t="s">
        <v>4</v>
      </c>
      <c r="V35" s="4">
        <v>44</v>
      </c>
      <c r="W35" s="4" t="s">
        <v>221</v>
      </c>
      <c r="X35" s="93">
        <v>44722.859027777777</v>
      </c>
      <c r="Y35" s="1" t="s">
        <v>955</v>
      </c>
      <c r="Z35" s="1" t="s">
        <v>760</v>
      </c>
      <c r="AA35" s="115">
        <v>150</v>
      </c>
    </row>
    <row r="36" spans="1:27" x14ac:dyDescent="0.3">
      <c r="A36" s="62">
        <v>1</v>
      </c>
      <c r="B36" s="51" t="str">
        <f>LEFT($H$18,1)&amp;" "&amp;TEXT($I$18,"kr. #.##0,00")
&amp;" ud af potentielt "&amp;TEXT($K$18,"kr. #.##0")
&amp;" ("&amp;TEXT($J$18,"0,0%")&amp;")"</f>
        <v>🥇 kr. 1.800,00 ud af potentielt kr. 3.600 (37,5%)</v>
      </c>
      <c r="G36" s="134" t="s">
        <v>231</v>
      </c>
      <c r="H36" s="134"/>
      <c r="I36" s="134"/>
      <c r="J36" s="134"/>
      <c r="M36" s="4">
        <v>3</v>
      </c>
      <c r="N36" s="1" t="s">
        <v>572</v>
      </c>
      <c r="O36" s="4">
        <v>20</v>
      </c>
      <c r="P36" t="s">
        <v>221</v>
      </c>
      <c r="Q36" s="1" t="s">
        <v>955</v>
      </c>
      <c r="S36" s="4">
        <v>14</v>
      </c>
      <c r="T36" s="1" t="s">
        <v>697</v>
      </c>
      <c r="U36" s="1" t="s">
        <v>4</v>
      </c>
      <c r="V36" s="4">
        <v>16</v>
      </c>
      <c r="W36" s="4" t="s">
        <v>221</v>
      </c>
      <c r="X36" s="93">
        <v>44719.868750000001</v>
      </c>
      <c r="Y36" s="1" t="s">
        <v>392</v>
      </c>
      <c r="Z36" s="1" t="s">
        <v>760</v>
      </c>
      <c r="AA36" s="115">
        <v>125</v>
      </c>
    </row>
    <row r="37" spans="1:27" x14ac:dyDescent="0.3">
      <c r="A37" s="63">
        <v>2</v>
      </c>
      <c r="B37" s="70" t="str">
        <f>LEFT($H$19,1)&amp;" "&amp;TEXT($I$19,"kr. #.##0,00")
&amp;" ud af potentielt "&amp;TEXT($K$19,"kr. #.##0")
&amp;" ("&amp;TEXT($J$19,"0%")&amp;")"</f>
        <v>🥈 kr. 1.200,00 ud af potentielt kr. 2.400 (25%)</v>
      </c>
      <c r="E37" s="20" t="str">
        <f>$B$46</f>
        <v>🎁 Yngst Ping Pong: Amin Saad Al-Zayadi, Sisu/MBK [10 år, 05-06-2012] 🏓</v>
      </c>
      <c r="G37" s="134"/>
      <c r="H37" s="134"/>
      <c r="I37" s="134"/>
      <c r="J37" s="134"/>
      <c r="M37" s="4">
        <v>4</v>
      </c>
      <c r="N37" s="1" t="s">
        <v>602</v>
      </c>
      <c r="O37" s="4">
        <v>20</v>
      </c>
      <c r="P37" t="s">
        <v>221</v>
      </c>
      <c r="Q37" s="1" t="s">
        <v>955</v>
      </c>
      <c r="S37" s="4">
        <v>15</v>
      </c>
      <c r="T37" s="1" t="s">
        <v>607</v>
      </c>
      <c r="U37" s="1" t="s">
        <v>560</v>
      </c>
      <c r="V37" s="4">
        <v>29</v>
      </c>
      <c r="W37" s="4" t="s">
        <v>221</v>
      </c>
      <c r="X37" s="93">
        <v>44717.959027777775</v>
      </c>
      <c r="Y37" s="1" t="s">
        <v>392</v>
      </c>
      <c r="Z37" s="1" t="s">
        <v>760</v>
      </c>
      <c r="AA37" s="115">
        <v>125</v>
      </c>
    </row>
    <row r="38" spans="1:27" x14ac:dyDescent="0.3">
      <c r="A38" s="62">
        <v>3</v>
      </c>
      <c r="B38" s="51" t="str">
        <f>LEFT($H$20,1)&amp;" "&amp;TEXT($I$20,"kr. #.##0,00")
&amp;" ud af potentielt "&amp;TEXT($K$20,"kr. #.##0")
&amp;" ("&amp;TEXT($J$20,"0%")&amp;")"</f>
        <v>🥉 kr. 720,00 ud af potentielt kr. 1.440 (15%)</v>
      </c>
      <c r="E38" s="20" t="str">
        <f>$B$47</f>
        <v>🎁 Ældst Ping Pong: Bent O. Jakobsen, Sisu/MBK [72 år, 08-09-1950] 🏓</v>
      </c>
      <c r="G38" s="139" t="str">
        <f>"🔃🏓 Rating opdateret pr. "&amp;TEXT('✍️ Input'!$K$4,"dd-mm-åååå")</f>
        <v>🔃🏓 Rating opdateret pr. 27-05-2022</v>
      </c>
      <c r="H38" s="139"/>
      <c r="I38" s="139"/>
      <c r="J38" s="139"/>
      <c r="M38" s="4">
        <v>5</v>
      </c>
      <c r="N38" s="1" t="s">
        <v>574</v>
      </c>
      <c r="O38" s="4">
        <v>21</v>
      </c>
      <c r="P38" t="s">
        <v>221</v>
      </c>
      <c r="Q38" s="1" t="s">
        <v>955</v>
      </c>
      <c r="S38" s="4">
        <v>15</v>
      </c>
      <c r="T38" s="1" t="s">
        <v>607</v>
      </c>
      <c r="U38" s="1" t="s">
        <v>560</v>
      </c>
      <c r="V38" s="4">
        <v>29</v>
      </c>
      <c r="W38" s="4" t="s">
        <v>221</v>
      </c>
      <c r="X38" s="93">
        <v>44717.959027777775</v>
      </c>
      <c r="Y38" s="1" t="s">
        <v>955</v>
      </c>
      <c r="Z38" s="1" t="s">
        <v>760</v>
      </c>
      <c r="AA38" s="115">
        <v>150</v>
      </c>
    </row>
    <row r="39" spans="1:27" x14ac:dyDescent="0.3">
      <c r="A39" s="64">
        <v>4</v>
      </c>
      <c r="B39" s="70" t="str">
        <f>LEFT($H$21,1)&amp;" "&amp;TEXT($I$21,"kr. #.##0,00")
&amp;" ud af potentielt "&amp;TEXT($K$21,"kr. #.##0")
&amp;" ("&amp;TEXT($J$21,"0%")&amp;")"</f>
        <v>🏅 kr. 480,00 ud af potentielt kr. 960 (10%)</v>
      </c>
      <c r="D39" s="45"/>
      <c r="E39" s="45"/>
      <c r="G39" s="137" t="str">
        <f>"🏓 "&amp;TEXT(N($K$7),"#.##0")
&amp;" ud af "&amp;TEXT(N($K$6),"#.##0")&amp;" tilmeldinger"
&amp;" ("&amp;TEXT(N($K$7)/N($K$6),"0%")&amp;")"</f>
        <v>🏓 48 ud af 96 tilmeldinger (50%)</v>
      </c>
      <c r="H39" s="137" t="str">
        <f>"🏓 "&amp;$K$7&amp;" ud af "&amp;$K$6&amp;" ∙ 🎉 "&amp;$Q$7&amp;" ud af "&amp;$Q$6</f>
        <v>🏓 48 ud af 96 ∙ 🎉 42 ud af 200</v>
      </c>
      <c r="I39" s="137" t="str">
        <f>"🏓 "&amp;$K$7&amp;" ud af "&amp;$K$6&amp;" ∙ 🎉 "&amp;$Q$7&amp;" ud af "&amp;$Q$6</f>
        <v>🏓 48 ud af 96 ∙ 🎉 42 ud af 200</v>
      </c>
      <c r="J39" s="137" t="str">
        <f>"🏓 "&amp;$K$7&amp;" ud af "&amp;$K$6&amp;" ∙ 🎉 "&amp;$Q$7&amp;" ud af "&amp;$Q$6</f>
        <v>🏓 48 ud af 96 ∙ 🎉 42 ud af 200</v>
      </c>
      <c r="M39" s="4">
        <v>6</v>
      </c>
      <c r="N39" s="1" t="s">
        <v>446</v>
      </c>
      <c r="O39" s="4">
        <v>21</v>
      </c>
      <c r="P39" t="s">
        <v>221</v>
      </c>
      <c r="Q39" s="1" t="s">
        <v>955</v>
      </c>
      <c r="S39" s="4">
        <v>16</v>
      </c>
      <c r="T39" s="1" t="s">
        <v>600</v>
      </c>
      <c r="U39" s="1" t="s">
        <v>4</v>
      </c>
      <c r="V39" s="4">
        <v>20</v>
      </c>
      <c r="W39" s="4" t="s">
        <v>221</v>
      </c>
      <c r="X39" s="93">
        <v>44717.945833333331</v>
      </c>
      <c r="Y39" s="1" t="s">
        <v>955</v>
      </c>
      <c r="Z39" s="1" t="s">
        <v>760</v>
      </c>
      <c r="AA39" s="115">
        <v>150</v>
      </c>
    </row>
    <row r="40" spans="1:27" x14ac:dyDescent="0.3">
      <c r="D40" s="134"/>
      <c r="E40" s="155" t="s">
        <v>194</v>
      </c>
      <c r="G40" s="139" t="str">
        <f>"♂️ "&amp;TEXT(N(CUBEVALUE("ThisWorkbookDataModel",
CUBEMEMBER("ThisWorkbookDataModel",{"[Billettype_d1].[K: Billettype emoji].&amp;[🏓]","[Køn_d2].[K: Køn emoji].&amp;[♂]"}),
CUBEMEMBER("ThisWorkbookDataModel","[Measures].[👥 Aktuel tilmeldingsantal]"))),"#.##0")&amp;" herrer"
&amp;" ("&amp;TEXT(N(CUBEVALUE("ThisWorkbookDataModel",
CUBEMEMBER("ThisWorkbookDataModel",{"[Billettype_d1].[K: Billettype emoji].&amp;[🏓]","[Køn_d2].[K: Køn emoji].&amp;[♂]"}),
CUBEMEMBER("ThisWorkbookDataModel","[Measures].[👥 Aktuel tilmeldingsantal]")))/N($K$7),"0%")&amp;")"
&amp;" ∙ ♀️ "&amp;TEXT(N(CUBEVALUE("ThisWorkbookDataModel",
CUBEMEMBER("ThisWorkbookDataModel",{"[Billettype_d1].[K: Billettype emoji].&amp;[🏓]","[Køn_d2].[K: Køn emoji].&amp;[♀]"}),
CUBEMEMBER("ThisWorkbookDataModel","[Measures].[👥 Aktuel tilmeldingsantal]"))),"#.##0")&amp;" damer"
&amp;" ("&amp;TEXT(N(CUBEVALUE("ThisWorkbookDataModel",
CUBEMEMBER("ThisWorkbookDataModel",{"[Billettype_d1].[K: Billettype emoji].&amp;[🏓]","[Køn_d2].[K: Køn emoji].&amp;[♀]"}),
CUBEMEMBER("ThisWorkbookDataModel","[Measures].[👥 Aktuel tilmeldingsantal]")))/N($K$7),"0%")&amp;")"</f>
        <v>♂️ 48 herrer (100%) ∙ ♀️ 0 damer (0%)</v>
      </c>
      <c r="H40" s="139"/>
      <c r="I40" s="139"/>
      <c r="J40" s="139"/>
      <c r="M40" s="4">
        <v>7</v>
      </c>
      <c r="N40" s="1" t="s">
        <v>278</v>
      </c>
      <c r="O40" s="4">
        <v>21</v>
      </c>
      <c r="P40" t="s">
        <v>221</v>
      </c>
      <c r="Q40" s="1" t="s">
        <v>955</v>
      </c>
      <c r="S40" s="4">
        <v>16</v>
      </c>
      <c r="T40" s="1" t="s">
        <v>600</v>
      </c>
      <c r="U40" s="1" t="s">
        <v>4</v>
      </c>
      <c r="V40" s="4">
        <v>20</v>
      </c>
      <c r="W40" s="4" t="s">
        <v>221</v>
      </c>
      <c r="X40" s="93">
        <v>44717.945833333331</v>
      </c>
      <c r="Y40" s="1" t="s">
        <v>392</v>
      </c>
      <c r="Z40" s="1" t="s">
        <v>760</v>
      </c>
      <c r="AA40" s="115">
        <v>125</v>
      </c>
    </row>
    <row r="41" spans="1:27" x14ac:dyDescent="0.3">
      <c r="B41" s="24" t="s">
        <v>130</v>
      </c>
      <c r="D41" s="134"/>
      <c r="E41" s="134"/>
      <c r="G41" s="139" t="str">
        <f>"👤 "&amp;TEXT(N(CUBEVALUE("ThisWorkbookDataModel",
CUBEMEMBER("ThisWorkbookDataModel",{"[Billettype_d1].[K: Billettype emoji].&amp;[🏓]","[Aldersgruppe_d2].[K: Aldersgruppe].&amp;[[&lt;=17]] Ungdom]"}),
CUBEMEMBER("ThisWorkbookDataModel","[Measures].[👥 Aktuel tilmeldingsantal]"))),"#.##0")
&amp;"  Ungdom ("&amp;TEXT(N(CUBEVALUE("ThisWorkbookDataModel",
CUBEMEMBER("ThisWorkbookDataModel",{"[Billettype_d1].[K: Billettype emoji].&amp;[🏓]","[Aldersgruppe_d2].[K: Aldersgruppe].&amp;[[&lt;=17]] Ungdom]"}),
CUBEMEMBER("ThisWorkbookDataModel","[Measures].[👥 Aktuel tilmeldingsantal]")))/N($K$7),"0%")&amp;")"
&amp;" ∙ 👤 "&amp;TEXT(N(CUBEVALUE("ThisWorkbookDataModel",
CUBEMEMBER("ThisWorkbookDataModel",{"[Billettype_d1].[K: Billettype emoji].&amp;[🏓]","[Aldersgruppe_d2].[K: Aldersgruppe].&amp;[[&lt;=39]] Senior]"}),
CUBEMEMBER("ThisWorkbookDataModel","[Measures].[👥 Aktuel tilmeldingsantal]"))),"#.##0")
&amp;"  Senior ("&amp;TEXT(N(CUBEVALUE("ThisWorkbookDataModel",
CUBEMEMBER("ThisWorkbookDataModel",{"[Billettype_d1].[K: Billettype emoji].&amp;[🏓]","[Aldersgruppe_d2].[K: Aldersgruppe].&amp;[[&lt;=39]] Senior]"}),
CUBEMEMBER("ThisWorkbookDataModel","[Measures].[👥 Aktuel tilmeldingsantal]")))/N($K$7),"0%")&amp;")"
&amp;" ∙ 👤 "&amp;TEXT(N(CUBEVALUE("ThisWorkbookDataModel",
CUBEMEMBER("ThisWorkbookDataModel",{"[Billettype_d1].[K: Billettype emoji].&amp;[🏓]","[Aldersgruppe_d2].[K: Aldersgruppe].&amp;[[&gt;=40]] Veteran]"}),
CUBEMEMBER("ThisWorkbookDataModel","[Measures].[👥 Aktuel tilmeldingsantal]"))),"#.##0")
&amp;"  Veteran ("&amp;TEXT(N(CUBEVALUE("ThisWorkbookDataModel",
CUBEMEMBER("ThisWorkbookDataModel",{"[Billettype_d1].[K: Billettype emoji].&amp;[🏓]","[Aldersgruppe_d2].[K: Aldersgruppe].&amp;[[&gt;=40]] Veteran]"}),
CUBEMEMBER("ThisWorkbookDataModel","[Measures].[👥 Aktuel tilmeldingsantal]")))/N($K$7),"0%")&amp;")"</f>
        <v>👤 8  Ungdom (17%) ∙ 👤 26  Senior (54%) ∙ 👤 14  Veteran (29%)</v>
      </c>
      <c r="H41" s="139" t="str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👤 Ungdom 19% ∙ 👤 Senior 57% ∙ 👤 Veteran 24%</v>
      </c>
      <c r="I41" s="139" t="str">
        <f t="shared" si="2"/>
        <v>👤 Ungdom 19% ∙ 👤 Senior 57% ∙ 👤 Veteran 24%</v>
      </c>
      <c r="J41" s="139" t="str">
        <f t="shared" si="2"/>
        <v>👤 Ungdom 19% ∙ 👤 Senior 57% ∙ 👤 Veteran 24%</v>
      </c>
      <c r="M41" s="4">
        <v>8</v>
      </c>
      <c r="N41" s="1" t="s">
        <v>448</v>
      </c>
      <c r="O41" s="4">
        <v>21</v>
      </c>
      <c r="P41" t="s">
        <v>221</v>
      </c>
      <c r="Q41" s="1" t="s">
        <v>955</v>
      </c>
      <c r="S41" s="4">
        <v>18</v>
      </c>
      <c r="T41" s="1" t="s">
        <v>599</v>
      </c>
      <c r="U41" s="1" t="s">
        <v>8</v>
      </c>
      <c r="V41" s="4">
        <v>20</v>
      </c>
      <c r="W41" s="4" t="s">
        <v>221</v>
      </c>
      <c r="X41" s="93">
        <v>44717.938194444447</v>
      </c>
      <c r="Y41" s="1" t="s">
        <v>955</v>
      </c>
      <c r="Z41" s="1" t="s">
        <v>760</v>
      </c>
      <c r="AA41" s="115">
        <v>150</v>
      </c>
    </row>
    <row r="42" spans="1:27" x14ac:dyDescent="0.3">
      <c r="A42" s="46" t="s">
        <v>0</v>
      </c>
      <c r="B42" s="47" t="s">
        <v>177</v>
      </c>
      <c r="E42" s="21" t="str">
        <f>"🏓 "&amp;TEXT(N($K$7),"#.##0")&amp;" ∙ 🥳 "&amp;TEXT(N($Q$7),"#.##0")</f>
        <v>🏓 48 ∙ 🥳 42</v>
      </c>
      <c r="G42" s="139" t="str">
        <f>"👤 Min. "&amp;TEXT(N(CUBEVALUE("ThisWorkbookDataModel",
CUBEMEMBER("ThisWorkbookDataModel","[Billettype_d1].[K: Billettype emoji].&amp;[🏓]"),
CUBEMEMBER("ThisWorkbookDataModel","[Measures].[👤 Aktuel alder min.]"))),"#.##0")&amp;" år"
&amp;" ∙ 👤 Gns. "&amp;TEXT(N(CUBEVALUE("ThisWorkbookDataModel",
CUBEMEMBER("ThisWorkbookDataModel","[Billettype_d1].[K: Billettype emoji].&amp;[🏓]"),
CUBEMEMBER("ThisWorkbookDataModel","[Measures].[👥 Aktuel alder gns.]"))),"#.##0")&amp;" år"
&amp;" ∙ 👤 Maks. "&amp;TEXT(N(CUBEVALUE("ThisWorkbookDataModel",
CUBEMEMBER("ThisWorkbookDataModel","[Billettype_d1].[K: Billettype emoji].&amp;[🏓]"),
CUBEMEMBER("ThisWorkbookDataModel","[Measures].[👤 Aktuel alder maks.]"))),"#.##0")&amp;" år"</f>
        <v>👤 Min. 10 år ∙ 👤 Gns. 32 år ∙ 👤 Maks. 72 år</v>
      </c>
      <c r="H42" s="139"/>
      <c r="I42" s="139"/>
      <c r="J42" s="139"/>
      <c r="M42" s="4">
        <v>9</v>
      </c>
      <c r="N42" s="1" t="s">
        <v>447</v>
      </c>
      <c r="O42" s="4">
        <v>21</v>
      </c>
      <c r="P42" t="s">
        <v>221</v>
      </c>
      <c r="Q42" s="1" t="s">
        <v>955</v>
      </c>
      <c r="S42" s="4">
        <v>19</v>
      </c>
      <c r="T42" s="1" t="s">
        <v>588</v>
      </c>
      <c r="U42" s="1" t="s">
        <v>589</v>
      </c>
      <c r="V42" s="4">
        <v>16</v>
      </c>
      <c r="W42" s="4" t="s">
        <v>221</v>
      </c>
      <c r="X42" s="93">
        <v>44717.919444444444</v>
      </c>
      <c r="Y42" s="1" t="s">
        <v>392</v>
      </c>
      <c r="Z42" s="1" t="s">
        <v>760</v>
      </c>
      <c r="AA42" s="115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720 (7,5%)</v>
      </c>
      <c r="E43" s="20" t="str">
        <f>$B$52</f>
        <v>♂️ 54 herrer (90%) ∙ ♀️ 6 damer (10%)</v>
      </c>
      <c r="G43" s="139" t="str">
        <f>"🏛️ "&amp;TEXT(N(CUBEVALUE("ThisWorkbookDataModel",
CUBEMEMBER("ThisWorkbookDataModel",{"[Billettype_d1].[K: Billettype emoji].&amp;[🏓]","[Landsdel_d3].[K: Landsdel].&amp;[Jylland]"}),
CUBEMEMBER("ThisWorkbookDataModel","[Measures].[👥 Aktuel tilmeldingsantal (kun med klub)]"))),"0")
&amp;" Jylland ("&amp;TEXT(N(CUBEVALUE("ThisWorkbookDataModel",
CUBEMEMBER("ThisWorkbookDataModel",{"[Billettype_d1].[K: Billettype emoji].&amp;[🏓]","[Landsdel_d3].[K: Landsdel].&amp;[Jylland]"}),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Landsdel].&amp;[Fyn]"}),
CUBEMEMBER("ThisWorkbookDataModel","[Measures].[👥 Aktuel tilmeldingsantal (kun med klub)]"))),"0")
&amp;" Fyn ("&amp;TEXT(N(CUBEVALUE("ThisWorkbookDataModel",
CUBEMEMBER("ThisWorkbookDataModel",{"[Billettype_d1].[K: Billettype emoji].&amp;[🏓]","[Landsdel_d3].[K: Landsdel].&amp;[Fyn]"}),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Landsdel].&amp;[Sjælland]"}),
CUBEMEMBER("ThisWorkbookDataModel","[Measures].[👥 Aktuel tilmeldingsantal (kun med klub)]"))),"0")
&amp;" Sjælland ("&amp;TEXT(N(CUBEVALUE("ThisWorkbookDataModel",
CUBEMEMBER("ThisWorkbookDataModel",{"[Billettype_d1].[K: Billettype emoji].&amp;[🏓]","[Landsdel_d3].[K: Landsdel].&amp;[Sjælland]"}),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Landsdel].&amp;[Bornholm]"}),
CUBEMEMBER("ThisWorkbookDataModel","[Measures].[👥 Aktuel tilmeldingsantal (kun med klub)]"))),"0")
&amp;" Bornholm ("&amp;TEXT(N(CUBEVALUE("ThisWorkbookDataModel",
CUBEMEMBER("ThisWorkbookDataModel",{"[Billettype_d1].[K: Billettype emoji].&amp;[🏓]","[Landsdel_d3].[K: Landsdel].&amp;[Bornholm]"}),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39" t="str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🏛️ Jylland 81% ∙ 🏛️ Fyn 6% ∙ 🏛️ Sjælland 13% ∙ 🏛️ Bornholm 0%</v>
      </c>
      <c r="I43" s="139" t="str">
        <f t="shared" si="3"/>
        <v>🏛️ Jylland 81% ∙ 🏛️ Fyn 6% ∙ 🏛️ Sjælland 13% ∙ 🏛️ Bornholm 0%</v>
      </c>
      <c r="J43" s="139" t="str">
        <f t="shared" si="3"/>
        <v>🏛️ Jylland 81% ∙ 🏛️ Fyn 6% ∙ 🏛️ Sjælland 13% ∙ 🏛️ Bornholm 0%</v>
      </c>
      <c r="M43" s="4">
        <v>10</v>
      </c>
      <c r="N43" s="1" t="s">
        <v>261</v>
      </c>
      <c r="O43" s="4">
        <v>22</v>
      </c>
      <c r="P43" t="s">
        <v>221</v>
      </c>
      <c r="Q43" s="1" t="s">
        <v>955</v>
      </c>
      <c r="S43" s="4">
        <v>20</v>
      </c>
      <c r="T43" s="1" t="s">
        <v>564</v>
      </c>
      <c r="U43" s="1" t="s">
        <v>560</v>
      </c>
      <c r="V43" s="4">
        <v>35</v>
      </c>
      <c r="W43" s="4" t="s">
        <v>221</v>
      </c>
      <c r="X43" s="93">
        <v>44717.879861111112</v>
      </c>
      <c r="Y43" s="1" t="s">
        <v>392</v>
      </c>
      <c r="Z43" s="1" t="s">
        <v>760</v>
      </c>
      <c r="AA43" s="115">
        <v>125</v>
      </c>
    </row>
    <row r="44" spans="1:27" x14ac:dyDescent="0.3">
      <c r="A44" s="49">
        <v>2</v>
      </c>
      <c r="B44" s="70" t="str">
        <f>LEFT($H$24,1)&amp;" "&amp;TEXT($I$24,"kr. #.##0,00")
&amp;" ud af potentielt "&amp;TEXT($K$24,"kr. #.##0")
&amp;" ("&amp;TEXT($J$24,"0%")&amp;")"</f>
        <v>🥈 kr. 240,00 ud af potentielt kr. 480 (5%)</v>
      </c>
      <c r="E44" s="20" t="str">
        <f>$B$53</f>
        <v>👤 8 Ungdom (13%) ∙ 👤 38 Senior (63%) ∙ 👤 14 Veteran (23%)</v>
      </c>
      <c r="G44" s="139" t="str">
        <f>"👤 "&amp;TEXT(N(CUBEVALUE("ThisWorkbookDataModel",
CUBEMEMBER("ThisWorkbookDataModel",{"[Billettype_d1].[K: Billettype emoji].&amp;[🏓]","[Ratinggruppe_d2].[K: Ratinggruppe].&amp;[[&gt;=2000]] Elite]"}),
CUBEMEMBER("ThisWorkbookDataModel","[Measures].[👥 Aktuel tilmeldingsantal]"))),"#.##0")
&amp;" [&gt;=2000] Elite ("&amp;TEXT(N(CUBEVALUE("ThisWorkbookDataModel",
CUBEMEMBER("ThisWorkbookDataModel",{"[Billettype_d1].[K: Billettype emoji].&amp;[🏓]","[Ratinggruppe_d2].[K: Ratinggruppe].&amp;[[&gt;=2000]] Elite]"}),
CUBEMEMBER("ThisWorkbookDataModel","[Measures].[👥 Aktuel tilmeldingsantal]")))/N($K$7),"0%")&amp;")"
&amp;" ∙ 👤 "&amp;TEXT(N(CUBEVALUE("ThisWorkbookDataModel",
CUBEMEMBER("ThisWorkbookDataModel",{"[Billettype_d1].[K: Billettype emoji].&amp;[🏓]","[Ratinggruppe_d2].[K: Ratinggruppe].&amp;[[&lt;=1999]] Ikke-Elite]"}),
CUBEMEMBER("ThisWorkbookDataModel","[Measures].[👥 Aktuel tilmeldingsantal]"))),"#.##0")
&amp;" [&lt;=1999] Ikke-elite ("&amp;TEXT(N(CUBEVALUE("ThisWorkbookDataModel",
CUBEMEMBER("ThisWorkbookDataModel",{"[Billettype_d1].[K: Billettype emoji].&amp;[🏓]","[Ratinggruppe_d2].[K: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39"/>
      <c r="I44" s="139"/>
      <c r="J44" s="139"/>
      <c r="M44" s="4">
        <v>11</v>
      </c>
      <c r="N44" s="1" t="s">
        <v>925</v>
      </c>
      <c r="O44" s="4">
        <v>24</v>
      </c>
      <c r="P44" t="s">
        <v>221</v>
      </c>
      <c r="Q44" s="1" t="s">
        <v>955</v>
      </c>
      <c r="S44" s="4">
        <v>20</v>
      </c>
      <c r="T44" s="1" t="s">
        <v>564</v>
      </c>
      <c r="U44" s="1" t="s">
        <v>560</v>
      </c>
      <c r="V44" s="4">
        <v>35</v>
      </c>
      <c r="W44" s="4" t="s">
        <v>221</v>
      </c>
      <c r="X44" s="93">
        <v>44717.879861111112</v>
      </c>
      <c r="Y44" s="1" t="s">
        <v>955</v>
      </c>
      <c r="Z44" s="1" t="s">
        <v>760</v>
      </c>
      <c r="AA44" s="115">
        <v>150</v>
      </c>
    </row>
    <row r="45" spans="1:27" x14ac:dyDescent="0.3">
      <c r="E45" s="20" t="str">
        <f>$B$54</f>
        <v>👤 Min. 10 år ∙ 👤 Gns. 32 år ∙ 👤 Maks. 72 år</v>
      </c>
      <c r="G45" s="139" t="str">
        <f>"👤 Min. "&amp;TEXT(N(CUBEVALUE("ThisWorkbookDataModel",
CUBEMEMBER("ThisWorkbookDataModel","[Billettype_d1].[K: Billettype emoji].&amp;[🏓]"),
CUBEMEMBER("ThisWorkbookDataModel","[Measures].[👤 Rating min.]"))),"0")&amp;" rating"
&amp;" ∙ 👤 Gns. "&amp;TEXT(N(CUBEVALUE("ThisWorkbookDataModel",
CUBEMEMBER("ThisWorkbookDataModel","[Billettype_d1].[K: Billettype emoji].&amp;[🏓]"),
CUBEMEMBER("ThisWorkbookDataModel","[Measures].[👥 Aktuel rating gns.]"))),"0")&amp;" rating"
&amp;" ∙ 👤 Maks. "&amp;TEXT(N(CUBEVALUE("ThisWorkbookDataModel",
CUBEMEMBER("ThisWorkbookDataModel","[Billettype_d1].[K: Billettype emoji].&amp;[🏓]"),
CUBEMEMBER("ThisWorkbookDataModel","[Measures].[👤 Aktuel rating maks.]"))),"0")&amp;" rating"</f>
        <v>👤 Min. 914 rating ∙ 👤 Gns. 1985 rating ∙ 👤 Maks. 2587 rating</v>
      </c>
      <c r="H45" s="139"/>
      <c r="I45" s="139"/>
      <c r="J45" s="139"/>
      <c r="M45" s="4">
        <v>12</v>
      </c>
      <c r="N45" s="1" t="s">
        <v>280</v>
      </c>
      <c r="O45" s="4">
        <v>25</v>
      </c>
      <c r="P45" t="s">
        <v>221</v>
      </c>
      <c r="Q45" s="1" t="s">
        <v>955</v>
      </c>
      <c r="S45" s="4">
        <v>21</v>
      </c>
      <c r="T45" s="1" t="s">
        <v>558</v>
      </c>
      <c r="U45" s="1" t="s">
        <v>560</v>
      </c>
      <c r="V45" s="4">
        <v>36</v>
      </c>
      <c r="W45" s="4" t="s">
        <v>221</v>
      </c>
      <c r="X45" s="93">
        <v>44717.878472222219</v>
      </c>
      <c r="Y45" s="1" t="s">
        <v>392</v>
      </c>
      <c r="Z45" s="1" t="s">
        <v>760</v>
      </c>
      <c r="AA45" s="115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39" t="str">
        <f>"🛖 "&amp;TEXT(N(CUBEVALUE("ThisWorkbookDataModel",
CUBEMEMBER("ThisWorkbookDataModel","[Billettype_d1].[K: Billettype emoji].&amp;[🏓]"),
CUBEMEMBER("ThisWorkbookDataModel","[Measures].[🛖 Aktuel klubantal]"))),"#.##0")&amp;" klubber"</f>
        <v>🛖 16 klubber</v>
      </c>
      <c r="H46" s="139"/>
      <c r="I46" s="139"/>
      <c r="J46" s="139"/>
      <c r="M46" s="4">
        <v>13</v>
      </c>
      <c r="N46" s="1" t="s">
        <v>509</v>
      </c>
      <c r="O46" s="4">
        <v>25</v>
      </c>
      <c r="P46" t="s">
        <v>221</v>
      </c>
      <c r="Q46" s="1" t="s">
        <v>955</v>
      </c>
      <c r="S46" s="4">
        <v>21</v>
      </c>
      <c r="T46" s="1" t="s">
        <v>558</v>
      </c>
      <c r="U46" s="1" t="s">
        <v>560</v>
      </c>
      <c r="V46" s="4">
        <v>36</v>
      </c>
      <c r="W46" s="4" t="s">
        <v>221</v>
      </c>
      <c r="X46" s="93">
        <v>44717.878472222219</v>
      </c>
      <c r="Y46" s="1" t="s">
        <v>955</v>
      </c>
      <c r="Z46" s="1" t="s">
        <v>760</v>
      </c>
      <c r="AA46" s="115">
        <v>150</v>
      </c>
    </row>
    <row r="47" spans="1:27" x14ac:dyDescent="0.3">
      <c r="B47" s="20" t="str">
        <f>$G$29&amp;": "&amp;$I$29</f>
        <v>🎁 Ældst Ping Pong: Bent O. Jakobsen, Sisu/MBK [72 år, 08-09-1950] 🏓</v>
      </c>
      <c r="E47" s="20" t="str">
        <f>$B$56</f>
        <v>🛖 16 klubber</v>
      </c>
      <c r="G47" s="139" t="s">
        <v>235</v>
      </c>
      <c r="H47" s="139"/>
      <c r="I47" s="139"/>
      <c r="J47" s="139"/>
      <c r="M47" s="4">
        <v>14</v>
      </c>
      <c r="N47" s="1" t="s">
        <v>738</v>
      </c>
      <c r="O47" s="4">
        <v>25</v>
      </c>
      <c r="P47" t="s">
        <v>221</v>
      </c>
      <c r="Q47" s="1" t="s">
        <v>955</v>
      </c>
      <c r="S47" s="4">
        <v>22</v>
      </c>
      <c r="T47" s="1" t="s">
        <v>565</v>
      </c>
      <c r="U47" s="1" t="s">
        <v>243</v>
      </c>
      <c r="V47" s="4">
        <v>21</v>
      </c>
      <c r="W47" s="4" t="s">
        <v>221</v>
      </c>
      <c r="X47" s="93">
        <v>44717.869444444441</v>
      </c>
      <c r="Y47" s="1" t="s">
        <v>392</v>
      </c>
      <c r="Z47" s="1" t="s">
        <v>760</v>
      </c>
      <c r="AA47" s="115">
        <v>125</v>
      </c>
    </row>
    <row r="48" spans="1:27" x14ac:dyDescent="0.3">
      <c r="A48" s="45"/>
      <c r="B48" s="45"/>
      <c r="E48" s="20" t="s">
        <v>235</v>
      </c>
      <c r="G48" s="4" t="s">
        <v>0</v>
      </c>
      <c r="H48" t="s">
        <v>122</v>
      </c>
      <c r="I48" s="4" t="s">
        <v>14</v>
      </c>
      <c r="J48" s="18" t="s">
        <v>82</v>
      </c>
      <c r="M48" s="4">
        <v>15</v>
      </c>
      <c r="N48" s="1" t="s">
        <v>496</v>
      </c>
      <c r="O48" s="4">
        <v>26</v>
      </c>
      <c r="P48" t="s">
        <v>221</v>
      </c>
      <c r="Q48" s="1" t="s">
        <v>955</v>
      </c>
      <c r="S48" s="4">
        <v>22</v>
      </c>
      <c r="T48" s="1" t="s">
        <v>565</v>
      </c>
      <c r="U48" s="1" t="s">
        <v>243</v>
      </c>
      <c r="V48" s="4">
        <v>21</v>
      </c>
      <c r="W48" s="4" t="s">
        <v>221</v>
      </c>
      <c r="X48" s="93">
        <v>44717.869444444441</v>
      </c>
      <c r="Y48" s="1" t="s">
        <v>955</v>
      </c>
      <c r="Z48" s="1" t="s">
        <v>760</v>
      </c>
      <c r="AA48" s="115">
        <v>150</v>
      </c>
    </row>
    <row r="49" spans="1:27" x14ac:dyDescent="0.3">
      <c r="A49" s="134"/>
      <c r="B49" s="155" t="s">
        <v>189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363</v>
      </c>
      <c r="M49" s="4">
        <v>16</v>
      </c>
      <c r="N49" s="1" t="s">
        <v>223</v>
      </c>
      <c r="O49" s="4">
        <v>26</v>
      </c>
      <c r="P49" t="s">
        <v>221</v>
      </c>
      <c r="Q49" s="1" t="s">
        <v>955</v>
      </c>
      <c r="S49" s="4">
        <v>23</v>
      </c>
      <c r="T49" s="1" t="s">
        <v>567</v>
      </c>
      <c r="U49" s="1" t="s">
        <v>9</v>
      </c>
      <c r="V49" s="4">
        <v>20</v>
      </c>
      <c r="W49" s="4" t="s">
        <v>221</v>
      </c>
      <c r="X49" s="93">
        <v>44717.861111111109</v>
      </c>
      <c r="Y49" s="1" t="s">
        <v>955</v>
      </c>
      <c r="Z49" s="1" t="s">
        <v>760</v>
      </c>
      <c r="AA49" s="115">
        <v>150</v>
      </c>
    </row>
    <row r="50" spans="1:27" x14ac:dyDescent="0.3">
      <c r="A50" s="134"/>
      <c r="B50" s="134"/>
      <c r="D50" s="4">
        <v>1</v>
      </c>
      <c r="E50" t="s">
        <v>952</v>
      </c>
      <c r="G50" s="4">
        <v>2</v>
      </c>
      <c r="H50" t="s">
        <v>278</v>
      </c>
      <c r="I50" s="4">
        <v>21</v>
      </c>
      <c r="J50" s="18" t="s">
        <v>279</v>
      </c>
      <c r="M50" s="4">
        <v>17</v>
      </c>
      <c r="N50" s="1" t="s">
        <v>459</v>
      </c>
      <c r="O50" s="4">
        <v>27</v>
      </c>
      <c r="P50" t="s">
        <v>222</v>
      </c>
      <c r="Q50" s="1" t="s">
        <v>955</v>
      </c>
      <c r="S50" s="4">
        <v>23</v>
      </c>
      <c r="T50" s="1" t="s">
        <v>567</v>
      </c>
      <c r="U50" s="1" t="s">
        <v>9</v>
      </c>
      <c r="V50" s="4">
        <v>20</v>
      </c>
      <c r="W50" s="4" t="s">
        <v>221</v>
      </c>
      <c r="X50" s="93">
        <v>44717.861111111109</v>
      </c>
      <c r="Y50" s="1" t="s">
        <v>392</v>
      </c>
      <c r="Z50" s="1" t="s">
        <v>760</v>
      </c>
      <c r="AA50" s="115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96 (50%) ∙ 🥳 42 ud af 200 (21%)</v>
      </c>
      <c r="D51" s="4">
        <v>2</v>
      </c>
      <c r="E51" t="s">
        <v>1121</v>
      </c>
      <c r="G51" s="4">
        <v>3</v>
      </c>
      <c r="H51" t="s">
        <v>281</v>
      </c>
      <c r="I51" s="4">
        <v>29</v>
      </c>
      <c r="J51" s="18" t="s">
        <v>361</v>
      </c>
      <c r="M51" s="4">
        <v>18</v>
      </c>
      <c r="N51" s="1" t="s">
        <v>224</v>
      </c>
      <c r="O51" s="4">
        <v>27</v>
      </c>
      <c r="P51" t="s">
        <v>221</v>
      </c>
      <c r="Q51" s="1" t="s">
        <v>955</v>
      </c>
      <c r="S51" s="4">
        <v>24</v>
      </c>
      <c r="T51" s="1" t="s">
        <v>552</v>
      </c>
      <c r="U51" s="1" t="s">
        <v>8</v>
      </c>
      <c r="V51" s="4">
        <v>31</v>
      </c>
      <c r="W51" s="4" t="s">
        <v>222</v>
      </c>
      <c r="X51" s="93">
        <v>44717.824305555558</v>
      </c>
      <c r="Y51" s="1" t="s">
        <v>955</v>
      </c>
      <c r="Z51" s="1" t="s">
        <v>760</v>
      </c>
      <c r="AA51" s="115">
        <v>150</v>
      </c>
    </row>
    <row r="52" spans="1:27" x14ac:dyDescent="0.3">
      <c r="B52" s="20" t="str">
        <f>"♂️ "&amp;TEXT(N(CUBEVALUE("ThisWorkbookDataModel",
CUBEMEMBER("ThisWorkbookDataModel","[Køn_d2].[K: Køn emoji].&amp;[♂]"),
CUBEMEMBER("ThisWorkbookDataModel","[Measures].[👥 Aktuel tilmeldingsantal]"))),"#.##0")&amp;" herrer"
&amp;" ("&amp;TEXT(N(CUBEVALUE("ThisWorkbookDataModel",
CUBEMEMBER("ThisWorkbookDataModel","[Køn_d2].[K: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CUBEMEMBER("ThisWorkbookDataModel","[Køn_d2].[K: Køn emoji].&amp;[♀]"),
CUBEMEMBER("ThisWorkbookDataModel","[Measures].[👥 Aktuel tilmeldingsantal]"))),"#.##0")&amp;" damer"
&amp;" ("&amp;TEXT(N(CUBEVALUE("ThisWorkbookDataModel",
CUBEMEMBER("ThisWorkbookDataModel","[Køn_d2].[K: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1122</v>
      </c>
      <c r="G52" s="4">
        <v>4</v>
      </c>
      <c r="H52" t="s">
        <v>450</v>
      </c>
      <c r="I52" s="4">
        <v>34</v>
      </c>
      <c r="J52" s="18" t="s">
        <v>451</v>
      </c>
      <c r="M52" s="4">
        <v>19</v>
      </c>
      <c r="N52" s="1" t="s">
        <v>460</v>
      </c>
      <c r="O52" s="4">
        <v>28</v>
      </c>
      <c r="P52" t="s">
        <v>222</v>
      </c>
      <c r="Q52" s="1" t="s">
        <v>955</v>
      </c>
      <c r="S52" s="4">
        <v>25</v>
      </c>
      <c r="T52" s="1" t="s">
        <v>559</v>
      </c>
      <c r="U52" s="1" t="s">
        <v>8</v>
      </c>
      <c r="V52" s="4">
        <v>33</v>
      </c>
      <c r="W52" s="4" t="s">
        <v>222</v>
      </c>
      <c r="X52" s="93">
        <v>44717.819444444445</v>
      </c>
      <c r="Y52" s="1" t="s">
        <v>955</v>
      </c>
      <c r="Z52" s="1" t="s">
        <v>760</v>
      </c>
      <c r="AA52" s="115">
        <v>150</v>
      </c>
    </row>
    <row r="53" spans="1:27" x14ac:dyDescent="0.3">
      <c r="B53" s="20" t="str">
        <f>"👤 "&amp;TEXT(N(CUBEVALUE("ThisWorkbookDataModel",
CUBEMEMBER("ThisWorkbookDataModel","[Aldersgruppe_d2].[K: Aldersgruppe].&amp;[[&lt;=17]] Ungdom]"),
CUBEMEMBER("ThisWorkbookDataModel","[Measures].[👥 Aktuel tilmeldingsantal]"))),"#.##0")
&amp;" Ungdom ("&amp;TEXT(N(CUBEVALUE("ThisWorkbookDataModel",
CUBEMEMBER("ThisWorkbookDataModel","[Aldersgruppe_d2].[K: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CUBEMEMBER("ThisWorkbookDataModel","[Aldersgruppe_d2].[K: Aldersgruppe].&amp;[[&lt;=39]] Senior]"),
CUBEMEMBER("ThisWorkbookDataModel","[Measures].[👥 Aktuel tilmeldingsantal]"))),"#.##0")
&amp;" Senior ("&amp;TEXT(N(CUBEVALUE("ThisWorkbookDataModel",
CUBEMEMBER("ThisWorkbookDataModel","[Aldersgruppe_d2].[K: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CUBEMEMBER("ThisWorkbookDataModel","[Aldersgruppe_d2].[K: Aldersgruppe].&amp;[[&gt;=40]] Veteran]"),
CUBEMEMBER("ThisWorkbookDataModel","[Measures].[👥 Aktuel tilmeldingsantal]"))),"#.##0")
&amp;" Veteran ("&amp;TEXT(N(CUBEVALUE("ThisWorkbookDataModel",
CUBEMEMBER("ThisWorkbookDataModel","[Aldersgruppe_d2].[K: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38 Senior (63%) ∙ 👤 14 Veteran (23%)</v>
      </c>
      <c r="D53" s="4">
        <v>4</v>
      </c>
      <c r="E53" t="s">
        <v>928</v>
      </c>
      <c r="G53" s="4">
        <v>5</v>
      </c>
      <c r="H53" t="s">
        <v>610</v>
      </c>
      <c r="I53" s="4">
        <v>29</v>
      </c>
      <c r="J53" s="18" t="s">
        <v>611</v>
      </c>
      <c r="M53" s="4">
        <v>20</v>
      </c>
      <c r="N53" s="1" t="s">
        <v>213</v>
      </c>
      <c r="O53" s="4">
        <v>28</v>
      </c>
      <c r="P53" t="s">
        <v>221</v>
      </c>
      <c r="Q53" s="1" t="s">
        <v>955</v>
      </c>
      <c r="S53" s="4">
        <v>26</v>
      </c>
      <c r="T53" s="1" t="s">
        <v>544</v>
      </c>
      <c r="U53" s="1" t="s">
        <v>8</v>
      </c>
      <c r="V53" s="4">
        <v>47</v>
      </c>
      <c r="W53" s="4" t="s">
        <v>221</v>
      </c>
      <c r="X53" s="93">
        <v>44717.660416666666</v>
      </c>
      <c r="Y53" s="1" t="s">
        <v>392</v>
      </c>
      <c r="Z53" s="1" t="s">
        <v>760</v>
      </c>
      <c r="AA53" s="115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32 år ∙ 👤 Maks. 72 år</v>
      </c>
      <c r="D54" s="4">
        <v>5</v>
      </c>
      <c r="E54" t="s">
        <v>364</v>
      </c>
      <c r="G54" s="4">
        <v>6</v>
      </c>
      <c r="H54" t="s">
        <v>275</v>
      </c>
      <c r="I54" s="4">
        <v>57</v>
      </c>
      <c r="J54" s="18" t="s">
        <v>366</v>
      </c>
      <c r="M54" s="4">
        <v>21</v>
      </c>
      <c r="N54" s="1" t="s">
        <v>78</v>
      </c>
      <c r="O54" s="4">
        <v>28</v>
      </c>
      <c r="P54" t="s">
        <v>221</v>
      </c>
      <c r="Q54" s="1" t="s">
        <v>955</v>
      </c>
      <c r="S54" s="4">
        <v>26</v>
      </c>
      <c r="T54" s="1" t="s">
        <v>544</v>
      </c>
      <c r="U54" s="1" t="s">
        <v>8</v>
      </c>
      <c r="V54" s="4">
        <v>47</v>
      </c>
      <c r="W54" s="4" t="s">
        <v>221</v>
      </c>
      <c r="X54" s="93">
        <v>44717.660416666666</v>
      </c>
      <c r="Y54" s="1" t="s">
        <v>955</v>
      </c>
      <c r="Z54" s="1" t="s">
        <v>760</v>
      </c>
      <c r="AA54" s="115">
        <v>150</v>
      </c>
    </row>
    <row r="55" spans="1:27" x14ac:dyDescent="0.3">
      <c r="B55" s="20" t="str">
        <f>"🏛️ Jylland ("&amp;TEXT(N(CUBEVALUE("ThisWorkbookDataModel",
CUBEMEMBER("ThisWorkbookDataModel","[Landsdel_d3].[K: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CUBEMEMBER("ThisWorkbookDataModel","[Landsdel_d3].[K: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CUBEMEMBER("ThisWorkbookDataModel","[Landsdel_d3].[K: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CUBEMEMBER("ThisWorkbookDataModel","[Landsdel_d3].[K: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1123</v>
      </c>
      <c r="G55" s="4">
        <v>7</v>
      </c>
      <c r="H55" t="s">
        <v>347</v>
      </c>
      <c r="I55" s="4">
        <v>44</v>
      </c>
      <c r="J55" s="18" t="s">
        <v>353</v>
      </c>
      <c r="M55" s="4">
        <v>22</v>
      </c>
      <c r="N55" s="1" t="s">
        <v>422</v>
      </c>
      <c r="O55" s="4">
        <v>29</v>
      </c>
      <c r="P55" t="s">
        <v>221</v>
      </c>
      <c r="Q55" s="1" t="s">
        <v>955</v>
      </c>
      <c r="S55" s="4">
        <v>27</v>
      </c>
      <c r="T55" s="1" t="s">
        <v>507</v>
      </c>
      <c r="U55" s="1" t="s">
        <v>41</v>
      </c>
      <c r="V55" s="4">
        <v>25</v>
      </c>
      <c r="W55" s="4" t="s">
        <v>221</v>
      </c>
      <c r="X55" s="93">
        <v>44717.536805555559</v>
      </c>
      <c r="Y55" s="1" t="s">
        <v>955</v>
      </c>
      <c r="Z55" s="1" t="s">
        <v>760</v>
      </c>
      <c r="AA55" s="115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1124</v>
      </c>
      <c r="G56" s="4">
        <v>8</v>
      </c>
      <c r="H56" t="s">
        <v>280</v>
      </c>
      <c r="I56" s="4">
        <v>25</v>
      </c>
      <c r="J56" s="18" t="s">
        <v>367</v>
      </c>
      <c r="M56" s="4">
        <v>23</v>
      </c>
      <c r="N56" s="1" t="s">
        <v>281</v>
      </c>
      <c r="O56" s="4">
        <v>29</v>
      </c>
      <c r="P56" t="s">
        <v>221</v>
      </c>
      <c r="Q56" s="1" t="s">
        <v>955</v>
      </c>
      <c r="S56" s="4">
        <v>28</v>
      </c>
      <c r="T56" s="1" t="s">
        <v>499</v>
      </c>
      <c r="U56" s="1" t="s">
        <v>329</v>
      </c>
      <c r="V56" s="4">
        <v>52</v>
      </c>
      <c r="W56" s="4" t="s">
        <v>221</v>
      </c>
      <c r="X56" s="93">
        <v>44716.847222222219</v>
      </c>
      <c r="Y56" s="1" t="s">
        <v>392</v>
      </c>
      <c r="Z56" s="1" t="s">
        <v>760</v>
      </c>
      <c r="AA56" s="115">
        <v>125</v>
      </c>
    </row>
    <row r="57" spans="1:27" x14ac:dyDescent="0.3">
      <c r="B57" s="22" t="s">
        <v>506</v>
      </c>
      <c r="D57" s="4">
        <v>8</v>
      </c>
      <c r="E57" t="s">
        <v>891</v>
      </c>
      <c r="G57" s="4">
        <v>9</v>
      </c>
      <c r="H57" t="s">
        <v>880</v>
      </c>
      <c r="I57" s="4">
        <v>33</v>
      </c>
      <c r="J57" s="18" t="s">
        <v>881</v>
      </c>
      <c r="M57" s="4">
        <v>24</v>
      </c>
      <c r="N57" s="1" t="s">
        <v>610</v>
      </c>
      <c r="O57" s="4">
        <v>29</v>
      </c>
      <c r="P57" t="s">
        <v>221</v>
      </c>
      <c r="Q57" s="1" t="s">
        <v>955</v>
      </c>
      <c r="S57" s="4">
        <v>29</v>
      </c>
      <c r="T57" s="1" t="s">
        <v>497</v>
      </c>
      <c r="U57" s="1" t="s">
        <v>8</v>
      </c>
      <c r="V57" s="4">
        <v>19</v>
      </c>
      <c r="W57" s="4" t="s">
        <v>221</v>
      </c>
      <c r="X57" s="93">
        <v>44716.84375</v>
      </c>
      <c r="Y57" s="1" t="s">
        <v>392</v>
      </c>
      <c r="Z57" s="1" t="s">
        <v>760</v>
      </c>
      <c r="AA57" s="115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1125</v>
      </c>
      <c r="G58" s="4">
        <v>10</v>
      </c>
      <c r="H58" t="s">
        <v>572</v>
      </c>
      <c r="I58" s="4">
        <v>20</v>
      </c>
      <c r="J58" s="18" t="s">
        <v>573</v>
      </c>
      <c r="M58" s="4">
        <v>25</v>
      </c>
      <c r="N58" s="1" t="s">
        <v>397</v>
      </c>
      <c r="O58" s="4">
        <v>30</v>
      </c>
      <c r="P58" t="s">
        <v>222</v>
      </c>
      <c r="Q58" s="1" t="s">
        <v>955</v>
      </c>
      <c r="S58" s="4">
        <v>29</v>
      </c>
      <c r="T58" s="1" t="s">
        <v>497</v>
      </c>
      <c r="U58" s="1" t="s">
        <v>8</v>
      </c>
      <c r="V58" s="4">
        <v>19</v>
      </c>
      <c r="W58" s="4" t="s">
        <v>221</v>
      </c>
      <c r="X58" s="93">
        <v>44716.84375</v>
      </c>
      <c r="Y58" s="1" t="s">
        <v>955</v>
      </c>
      <c r="Z58" s="1" t="s">
        <v>760</v>
      </c>
      <c r="AA58" s="115">
        <v>150</v>
      </c>
    </row>
    <row r="59" spans="1:27" x14ac:dyDescent="0.3">
      <c r="A59" s="4">
        <v>1</v>
      </c>
      <c r="B59" t="s">
        <v>893</v>
      </c>
      <c r="D59" s="4">
        <v>10</v>
      </c>
      <c r="E59" t="s">
        <v>1126</v>
      </c>
      <c r="G59" s="4">
        <v>11</v>
      </c>
      <c r="H59" t="s">
        <v>602</v>
      </c>
      <c r="I59" s="4">
        <v>20</v>
      </c>
      <c r="J59" s="18" t="s">
        <v>603</v>
      </c>
      <c r="M59" s="4">
        <v>26</v>
      </c>
      <c r="N59" s="1" t="s">
        <v>227</v>
      </c>
      <c r="O59" s="4">
        <v>30</v>
      </c>
      <c r="P59" t="s">
        <v>221</v>
      </c>
      <c r="Q59" s="1" t="s">
        <v>955</v>
      </c>
      <c r="S59" s="4">
        <v>28</v>
      </c>
      <c r="T59" s="1" t="s">
        <v>499</v>
      </c>
      <c r="U59" s="1" t="s">
        <v>329</v>
      </c>
      <c r="V59" s="4">
        <v>52</v>
      </c>
      <c r="W59" s="4" t="s">
        <v>221</v>
      </c>
      <c r="X59" s="93">
        <v>44716.841666666667</v>
      </c>
      <c r="Y59" s="1" t="s">
        <v>955</v>
      </c>
      <c r="Z59" s="1" t="s">
        <v>760</v>
      </c>
      <c r="AA59" s="115">
        <v>150</v>
      </c>
    </row>
    <row r="60" spans="1:27" x14ac:dyDescent="0.3">
      <c r="A60" s="4">
        <v>2</v>
      </c>
      <c r="B60" t="s">
        <v>909</v>
      </c>
      <c r="D60" s="4">
        <v>11</v>
      </c>
      <c r="E60" t="s">
        <v>1127</v>
      </c>
      <c r="G60" s="4">
        <v>12</v>
      </c>
      <c r="H60" t="s">
        <v>261</v>
      </c>
      <c r="I60" s="4">
        <v>22</v>
      </c>
      <c r="J60" s="18" t="s">
        <v>262</v>
      </c>
      <c r="M60" s="4">
        <v>27</v>
      </c>
      <c r="N60" s="1" t="s">
        <v>556</v>
      </c>
      <c r="O60" s="4">
        <v>31</v>
      </c>
      <c r="P60" t="s">
        <v>222</v>
      </c>
      <c r="Q60" s="1" t="s">
        <v>955</v>
      </c>
      <c r="S60" s="4">
        <v>30</v>
      </c>
      <c r="T60" s="1" t="s">
        <v>495</v>
      </c>
      <c r="U60" s="1" t="s">
        <v>8</v>
      </c>
      <c r="V60" s="4">
        <v>26</v>
      </c>
      <c r="W60" s="4" t="s">
        <v>221</v>
      </c>
      <c r="X60" s="93">
        <v>44716.684027777781</v>
      </c>
      <c r="Y60" s="1" t="s">
        <v>955</v>
      </c>
      <c r="Z60" s="1" t="s">
        <v>760</v>
      </c>
      <c r="AA60" s="115">
        <v>150</v>
      </c>
    </row>
    <row r="61" spans="1:27" x14ac:dyDescent="0.3">
      <c r="A61" s="4">
        <v>3</v>
      </c>
      <c r="B61" t="s">
        <v>351</v>
      </c>
      <c r="D61" s="4">
        <v>12</v>
      </c>
      <c r="E61" t="s">
        <v>1128</v>
      </c>
      <c r="G61" s="4">
        <v>13</v>
      </c>
      <c r="H61" t="s">
        <v>422</v>
      </c>
      <c r="I61" s="4">
        <v>29</v>
      </c>
      <c r="J61" s="18" t="s">
        <v>423</v>
      </c>
      <c r="M61" s="4">
        <v>28</v>
      </c>
      <c r="N61" s="1" t="s">
        <v>402</v>
      </c>
      <c r="O61" s="4">
        <v>32</v>
      </c>
      <c r="P61" t="s">
        <v>222</v>
      </c>
      <c r="Q61" s="1" t="s">
        <v>955</v>
      </c>
      <c r="S61" s="4">
        <v>31</v>
      </c>
      <c r="T61" s="1" t="s">
        <v>458</v>
      </c>
      <c r="U61" s="1" t="s">
        <v>79</v>
      </c>
      <c r="V61" s="4">
        <v>28</v>
      </c>
      <c r="W61" s="4" t="s">
        <v>222</v>
      </c>
      <c r="X61" s="93">
        <v>44715.844444444447</v>
      </c>
      <c r="Y61" s="1" t="s">
        <v>955</v>
      </c>
      <c r="Z61" s="1" t="s">
        <v>760</v>
      </c>
      <c r="AA61" s="115">
        <v>150</v>
      </c>
    </row>
    <row r="62" spans="1:27" x14ac:dyDescent="0.3">
      <c r="A62" s="4">
        <v>4</v>
      </c>
      <c r="B62" t="s">
        <v>1155</v>
      </c>
      <c r="D62" s="4">
        <v>13</v>
      </c>
      <c r="E62" t="s">
        <v>1129</v>
      </c>
      <c r="G62" s="4">
        <v>14</v>
      </c>
      <c r="H62" t="s">
        <v>752</v>
      </c>
      <c r="I62" s="4">
        <v>61</v>
      </c>
      <c r="J62" s="18" t="s">
        <v>753</v>
      </c>
      <c r="M62" s="4">
        <v>29</v>
      </c>
      <c r="N62" s="1" t="s">
        <v>277</v>
      </c>
      <c r="O62" s="4">
        <v>32</v>
      </c>
      <c r="P62" t="s">
        <v>221</v>
      </c>
      <c r="Q62" s="1" t="s">
        <v>955</v>
      </c>
      <c r="S62" s="4">
        <v>32</v>
      </c>
      <c r="T62" s="1" t="s">
        <v>457</v>
      </c>
      <c r="U62" s="1" t="s">
        <v>79</v>
      </c>
      <c r="V62" s="4">
        <v>27</v>
      </c>
      <c r="W62" s="4" t="s">
        <v>222</v>
      </c>
      <c r="X62" s="93">
        <v>44715.844444444447</v>
      </c>
      <c r="Y62" s="1" t="s">
        <v>955</v>
      </c>
      <c r="Z62" s="1" t="s">
        <v>760</v>
      </c>
      <c r="AA62" s="115">
        <v>150</v>
      </c>
    </row>
    <row r="63" spans="1:27" x14ac:dyDescent="0.3">
      <c r="A63" s="4">
        <v>5</v>
      </c>
      <c r="B63" t="s">
        <v>352</v>
      </c>
      <c r="D63" s="4">
        <v>14</v>
      </c>
      <c r="E63" t="s">
        <v>941</v>
      </c>
      <c r="G63" s="4">
        <v>15</v>
      </c>
      <c r="H63" t="s">
        <v>502</v>
      </c>
      <c r="I63" s="4">
        <v>52</v>
      </c>
      <c r="J63" s="18" t="s">
        <v>503</v>
      </c>
      <c r="M63" s="4">
        <v>30</v>
      </c>
      <c r="N63" s="1" t="s">
        <v>549</v>
      </c>
      <c r="O63" s="4">
        <v>33</v>
      </c>
      <c r="P63" t="s">
        <v>222</v>
      </c>
      <c r="Q63" s="1" t="s">
        <v>955</v>
      </c>
      <c r="S63" s="4">
        <v>8</v>
      </c>
      <c r="T63" s="1" t="s">
        <v>449</v>
      </c>
      <c r="U63" s="1" t="s">
        <v>4</v>
      </c>
      <c r="V63" s="4">
        <v>34</v>
      </c>
      <c r="W63" s="4" t="s">
        <v>221</v>
      </c>
      <c r="X63" s="93">
        <v>44715.702777777777</v>
      </c>
      <c r="Y63" s="1" t="s">
        <v>392</v>
      </c>
      <c r="Z63" s="1" t="s">
        <v>760</v>
      </c>
      <c r="AA63" s="115">
        <v>125</v>
      </c>
    </row>
    <row r="64" spans="1:27" x14ac:dyDescent="0.3">
      <c r="A64" s="4">
        <v>6</v>
      </c>
      <c r="B64" t="s">
        <v>1156</v>
      </c>
      <c r="D64" s="4">
        <v>15</v>
      </c>
      <c r="E64" t="s">
        <v>1130</v>
      </c>
      <c r="G64" s="4">
        <v>16</v>
      </c>
      <c r="H64" t="s">
        <v>574</v>
      </c>
      <c r="I64" s="4">
        <v>21</v>
      </c>
      <c r="J64" s="18" t="s">
        <v>575</v>
      </c>
      <c r="M64" s="4">
        <v>31</v>
      </c>
      <c r="N64" s="1" t="s">
        <v>450</v>
      </c>
      <c r="O64" s="4">
        <v>34</v>
      </c>
      <c r="P64" t="s">
        <v>221</v>
      </c>
      <c r="Q64" s="1" t="s">
        <v>955</v>
      </c>
      <c r="S64" s="4">
        <v>33</v>
      </c>
      <c r="T64" s="1" t="s">
        <v>441</v>
      </c>
      <c r="U64" s="1" t="s">
        <v>79</v>
      </c>
      <c r="V64" s="4">
        <v>21</v>
      </c>
      <c r="W64" s="4" t="s">
        <v>221</v>
      </c>
      <c r="X64" s="93">
        <v>44715.603472222225</v>
      </c>
      <c r="Y64" s="1" t="s">
        <v>392</v>
      </c>
      <c r="Z64" s="1" t="s">
        <v>760</v>
      </c>
      <c r="AA64" s="115">
        <v>125</v>
      </c>
    </row>
    <row r="65" spans="1:27" x14ac:dyDescent="0.3">
      <c r="A65" s="4">
        <v>7</v>
      </c>
      <c r="B65" t="s">
        <v>1157</v>
      </c>
      <c r="D65" s="4">
        <v>16</v>
      </c>
      <c r="E65" t="s">
        <v>930</v>
      </c>
      <c r="G65" s="4">
        <v>17</v>
      </c>
      <c r="H65" t="s">
        <v>581</v>
      </c>
      <c r="I65" s="4">
        <v>35</v>
      </c>
      <c r="J65" s="18" t="s">
        <v>582</v>
      </c>
      <c r="M65" s="4">
        <v>32</v>
      </c>
      <c r="N65" s="1" t="s">
        <v>581</v>
      </c>
      <c r="O65" s="4">
        <v>35</v>
      </c>
      <c r="P65" t="s">
        <v>221</v>
      </c>
      <c r="Q65" s="1" t="s">
        <v>955</v>
      </c>
      <c r="S65" s="4">
        <v>33</v>
      </c>
      <c r="T65" s="1" t="s">
        <v>441</v>
      </c>
      <c r="U65" s="1" t="s">
        <v>79</v>
      </c>
      <c r="V65" s="4">
        <v>21</v>
      </c>
      <c r="W65" s="4" t="s">
        <v>221</v>
      </c>
      <c r="X65" s="93">
        <v>44715.603472222225</v>
      </c>
      <c r="Y65" s="1" t="s">
        <v>955</v>
      </c>
      <c r="Z65" s="1" t="s">
        <v>760</v>
      </c>
      <c r="AA65" s="115">
        <v>150</v>
      </c>
    </row>
    <row r="66" spans="1:27" x14ac:dyDescent="0.3">
      <c r="A66" s="4">
        <v>8</v>
      </c>
      <c r="B66" t="s">
        <v>1158</v>
      </c>
      <c r="D66" s="4">
        <v>17</v>
      </c>
      <c r="E66" t="s">
        <v>948</v>
      </c>
      <c r="G66" s="4">
        <v>18</v>
      </c>
      <c r="H66" t="s">
        <v>219</v>
      </c>
      <c r="I66" s="4">
        <v>40</v>
      </c>
      <c r="J66" s="18" t="s">
        <v>368</v>
      </c>
      <c r="M66" s="4">
        <v>33</v>
      </c>
      <c r="N66" s="1" t="s">
        <v>583</v>
      </c>
      <c r="O66" s="4">
        <v>36</v>
      </c>
      <c r="P66" t="s">
        <v>221</v>
      </c>
      <c r="Q66" s="1" t="s">
        <v>955</v>
      </c>
      <c r="S66" s="4">
        <v>34</v>
      </c>
      <c r="T66" s="1" t="s">
        <v>442</v>
      </c>
      <c r="U66" s="1" t="s">
        <v>79</v>
      </c>
      <c r="V66" s="4">
        <v>21</v>
      </c>
      <c r="W66" s="4" t="s">
        <v>221</v>
      </c>
      <c r="X66" s="93">
        <v>44715.602777777778</v>
      </c>
      <c r="Y66" s="1" t="s">
        <v>955</v>
      </c>
      <c r="Z66" s="1" t="s">
        <v>760</v>
      </c>
      <c r="AA66" s="115">
        <v>150</v>
      </c>
    </row>
    <row r="67" spans="1:27" x14ac:dyDescent="0.3">
      <c r="A67" s="4">
        <v>9</v>
      </c>
      <c r="B67" t="s">
        <v>938</v>
      </c>
      <c r="D67" s="4">
        <v>18</v>
      </c>
      <c r="E67" t="s">
        <v>1131</v>
      </c>
      <c r="G67" s="4">
        <v>19</v>
      </c>
      <c r="H67" t="s">
        <v>362</v>
      </c>
      <c r="I67" s="4">
        <v>24</v>
      </c>
      <c r="J67" s="18" t="s">
        <v>369</v>
      </c>
      <c r="M67" s="4">
        <v>34</v>
      </c>
      <c r="N67" s="1" t="s">
        <v>260</v>
      </c>
      <c r="O67" s="4">
        <v>38</v>
      </c>
      <c r="P67" t="s">
        <v>221</v>
      </c>
      <c r="Q67" s="1" t="s">
        <v>955</v>
      </c>
      <c r="S67" s="4">
        <v>35</v>
      </c>
      <c r="T67" s="1" t="s">
        <v>444</v>
      </c>
      <c r="U67" s="1" t="s">
        <v>32</v>
      </c>
      <c r="V67" s="4">
        <v>21</v>
      </c>
      <c r="W67" s="4" t="s">
        <v>221</v>
      </c>
      <c r="X67" s="93">
        <v>44715.602083333331</v>
      </c>
      <c r="Y67" s="1" t="s">
        <v>955</v>
      </c>
      <c r="Z67" s="1" t="s">
        <v>760</v>
      </c>
      <c r="AA67" s="115">
        <v>150</v>
      </c>
    </row>
    <row r="68" spans="1:27" x14ac:dyDescent="0.3">
      <c r="A68" s="4">
        <v>10</v>
      </c>
      <c r="B68" t="s">
        <v>1148</v>
      </c>
      <c r="D68" s="4">
        <v>19</v>
      </c>
      <c r="E68" t="s">
        <v>939</v>
      </c>
      <c r="G68" s="4">
        <v>20</v>
      </c>
      <c r="H68" t="s">
        <v>504</v>
      </c>
      <c r="I68" s="4">
        <v>19</v>
      </c>
      <c r="J68" s="18" t="s">
        <v>505</v>
      </c>
      <c r="M68" s="4">
        <v>35</v>
      </c>
      <c r="N68" s="1" t="s">
        <v>251</v>
      </c>
      <c r="O68" s="4">
        <v>39</v>
      </c>
      <c r="P68" t="s">
        <v>221</v>
      </c>
      <c r="Q68" s="1" t="s">
        <v>955</v>
      </c>
      <c r="S68" s="4">
        <v>35</v>
      </c>
      <c r="T68" s="1" t="s">
        <v>444</v>
      </c>
      <c r="U68" s="1" t="s">
        <v>32</v>
      </c>
      <c r="V68" s="4">
        <v>21</v>
      </c>
      <c r="W68" s="4" t="s">
        <v>221</v>
      </c>
      <c r="X68" s="93">
        <v>44715.602083333331</v>
      </c>
      <c r="Y68" s="1" t="s">
        <v>392</v>
      </c>
      <c r="Z68" s="1" t="s">
        <v>760</v>
      </c>
      <c r="AA68" s="115">
        <v>125</v>
      </c>
    </row>
    <row r="69" spans="1:27" x14ac:dyDescent="0.3">
      <c r="A69" s="4">
        <v>11</v>
      </c>
      <c r="B69" t="s">
        <v>1159</v>
      </c>
      <c r="D69" s="4">
        <v>20</v>
      </c>
      <c r="E69" t="s">
        <v>932</v>
      </c>
      <c r="G69" s="4">
        <v>21</v>
      </c>
      <c r="H69" t="s">
        <v>583</v>
      </c>
      <c r="I69" s="4">
        <v>36</v>
      </c>
      <c r="J69" s="18" t="s">
        <v>584</v>
      </c>
      <c r="M69" s="4">
        <v>36</v>
      </c>
      <c r="N69" s="1" t="s">
        <v>219</v>
      </c>
      <c r="O69" s="4">
        <v>40</v>
      </c>
      <c r="P69" t="s">
        <v>221</v>
      </c>
      <c r="Q69" s="1" t="s">
        <v>955</v>
      </c>
      <c r="S69" s="4">
        <v>37</v>
      </c>
      <c r="T69" s="1" t="s">
        <v>425</v>
      </c>
      <c r="U69" s="1" t="s">
        <v>332</v>
      </c>
      <c r="V69" s="4">
        <v>44</v>
      </c>
      <c r="W69" s="4" t="s">
        <v>221</v>
      </c>
      <c r="X69" s="93">
        <v>44713.90902777778</v>
      </c>
      <c r="Y69" s="1" t="s">
        <v>392</v>
      </c>
      <c r="Z69" s="1" t="s">
        <v>760</v>
      </c>
      <c r="AA69" s="115">
        <v>125</v>
      </c>
    </row>
    <row r="70" spans="1:27" x14ac:dyDescent="0.3">
      <c r="A70" s="4">
        <v>12</v>
      </c>
      <c r="B70" t="s">
        <v>1160</v>
      </c>
      <c r="D70" s="4">
        <v>21</v>
      </c>
      <c r="E70" t="s">
        <v>1132</v>
      </c>
      <c r="G70" s="4">
        <v>22</v>
      </c>
      <c r="H70" t="s">
        <v>223</v>
      </c>
      <c r="I70" s="4">
        <v>26</v>
      </c>
      <c r="J70" s="18" t="s">
        <v>229</v>
      </c>
      <c r="M70" s="4">
        <v>37</v>
      </c>
      <c r="N70" s="1" t="s">
        <v>730</v>
      </c>
      <c r="O70" s="4">
        <v>44</v>
      </c>
      <c r="P70" t="s">
        <v>221</v>
      </c>
      <c r="Q70" s="1" t="s">
        <v>955</v>
      </c>
      <c r="S70" s="4">
        <v>38</v>
      </c>
      <c r="T70" s="1" t="s">
        <v>255</v>
      </c>
      <c r="U70" s="1" t="s">
        <v>41</v>
      </c>
      <c r="V70" s="4">
        <v>29</v>
      </c>
      <c r="W70" s="4" t="s">
        <v>221</v>
      </c>
      <c r="X70" s="93">
        <v>44713.765277777777</v>
      </c>
      <c r="Y70" s="1" t="s">
        <v>955</v>
      </c>
      <c r="Z70" s="1" t="s">
        <v>760</v>
      </c>
      <c r="AA70" s="115">
        <v>150</v>
      </c>
    </row>
    <row r="71" spans="1:27" x14ac:dyDescent="0.3">
      <c r="A71" s="4">
        <v>13</v>
      </c>
      <c r="B71" t="s">
        <v>894</v>
      </c>
      <c r="D71" s="4">
        <v>22</v>
      </c>
      <c r="E71" t="s">
        <v>1133</v>
      </c>
      <c r="G71" s="4">
        <v>23</v>
      </c>
      <c r="H71" t="s">
        <v>224</v>
      </c>
      <c r="I71" s="4">
        <v>27</v>
      </c>
      <c r="J71" s="18" t="s">
        <v>370</v>
      </c>
      <c r="M71" s="4">
        <v>38</v>
      </c>
      <c r="N71" s="1" t="s">
        <v>546</v>
      </c>
      <c r="O71" s="4">
        <v>47</v>
      </c>
      <c r="P71" t="s">
        <v>221</v>
      </c>
      <c r="Q71" s="1" t="s">
        <v>955</v>
      </c>
      <c r="S71" s="4">
        <v>38</v>
      </c>
      <c r="T71" s="1" t="s">
        <v>255</v>
      </c>
      <c r="U71" s="1" t="s">
        <v>41</v>
      </c>
      <c r="V71" s="4">
        <v>29</v>
      </c>
      <c r="W71" s="4" t="s">
        <v>221</v>
      </c>
      <c r="X71" s="93">
        <v>44713.765277777777</v>
      </c>
      <c r="Y71" s="1" t="s">
        <v>392</v>
      </c>
      <c r="Z71" s="1" t="s">
        <v>760</v>
      </c>
      <c r="AA71" s="115">
        <v>125</v>
      </c>
    </row>
    <row r="72" spans="1:27" x14ac:dyDescent="0.3">
      <c r="A72" s="4">
        <v>14</v>
      </c>
      <c r="B72" t="s">
        <v>1161</v>
      </c>
      <c r="D72" s="4">
        <v>23</v>
      </c>
      <c r="E72" t="s">
        <v>892</v>
      </c>
      <c r="G72" s="4">
        <v>24</v>
      </c>
      <c r="H72" t="s">
        <v>882</v>
      </c>
      <c r="I72" s="4">
        <v>20</v>
      </c>
      <c r="J72" s="18" t="s">
        <v>883</v>
      </c>
      <c r="M72" s="4">
        <v>39</v>
      </c>
      <c r="N72" s="1" t="s">
        <v>214</v>
      </c>
      <c r="O72" s="4">
        <v>50</v>
      </c>
      <c r="P72" t="s">
        <v>221</v>
      </c>
      <c r="Q72" s="1" t="s">
        <v>955</v>
      </c>
      <c r="S72" s="4">
        <v>39</v>
      </c>
      <c r="T72" s="1" t="s">
        <v>305</v>
      </c>
      <c r="U72" s="1" t="s">
        <v>79</v>
      </c>
      <c r="V72" s="4">
        <v>69</v>
      </c>
      <c r="W72" s="4" t="s">
        <v>221</v>
      </c>
      <c r="X72" s="93">
        <v>44713.481249999997</v>
      </c>
      <c r="Y72" s="1" t="s">
        <v>955</v>
      </c>
      <c r="Z72" s="1" t="s">
        <v>760</v>
      </c>
      <c r="AA72" s="115">
        <v>150</v>
      </c>
    </row>
    <row r="73" spans="1:27" x14ac:dyDescent="0.3">
      <c r="A73" s="4">
        <v>15</v>
      </c>
      <c r="B73" t="s">
        <v>942</v>
      </c>
      <c r="D73" s="4">
        <v>24</v>
      </c>
      <c r="E73" t="s">
        <v>936</v>
      </c>
      <c r="G73" s="4">
        <v>25</v>
      </c>
      <c r="H73" t="s">
        <v>546</v>
      </c>
      <c r="I73" s="4">
        <v>47</v>
      </c>
      <c r="J73" s="18" t="s">
        <v>621</v>
      </c>
      <c r="M73" s="4">
        <v>40</v>
      </c>
      <c r="N73" s="1" t="s">
        <v>502</v>
      </c>
      <c r="O73" s="4">
        <v>52</v>
      </c>
      <c r="P73" t="s">
        <v>221</v>
      </c>
      <c r="Q73" s="1" t="s">
        <v>955</v>
      </c>
      <c r="S73" s="4">
        <v>41</v>
      </c>
      <c r="T73" s="1" t="s">
        <v>399</v>
      </c>
      <c r="U73" s="1" t="s">
        <v>329</v>
      </c>
      <c r="V73" s="4">
        <v>32</v>
      </c>
      <c r="W73" s="4" t="s">
        <v>222</v>
      </c>
      <c r="X73" s="93">
        <v>44710.816666666666</v>
      </c>
      <c r="Y73" s="1" t="s">
        <v>955</v>
      </c>
      <c r="Z73" s="1" t="s">
        <v>760</v>
      </c>
      <c r="AA73" s="115">
        <v>150</v>
      </c>
    </row>
    <row r="74" spans="1:27" x14ac:dyDescent="0.3">
      <c r="A74" s="4">
        <v>16</v>
      </c>
      <c r="B74" t="s">
        <v>1162</v>
      </c>
      <c r="D74" s="4">
        <v>25</v>
      </c>
      <c r="E74" t="s">
        <v>1134</v>
      </c>
      <c r="G74" s="4">
        <v>26</v>
      </c>
      <c r="H74" t="s">
        <v>730</v>
      </c>
      <c r="I74" s="4">
        <v>44</v>
      </c>
      <c r="J74" s="18" t="s">
        <v>355</v>
      </c>
      <c r="M74" s="4">
        <v>41</v>
      </c>
      <c r="N74" s="1" t="s">
        <v>306</v>
      </c>
      <c r="O74" s="4">
        <v>69</v>
      </c>
      <c r="P74" t="s">
        <v>221</v>
      </c>
      <c r="Q74" s="1" t="s">
        <v>955</v>
      </c>
      <c r="S74" s="4">
        <v>42</v>
      </c>
      <c r="T74" s="1" t="s">
        <v>264</v>
      </c>
      <c r="U74" s="1" t="s">
        <v>8</v>
      </c>
      <c r="V74" s="4">
        <v>30</v>
      </c>
      <c r="W74" s="4" t="s">
        <v>222</v>
      </c>
      <c r="X74" s="93">
        <v>44710.638888888891</v>
      </c>
      <c r="Y74" s="1" t="s">
        <v>955</v>
      </c>
      <c r="Z74" s="1" t="s">
        <v>760</v>
      </c>
      <c r="AA74" s="115">
        <v>150</v>
      </c>
    </row>
    <row r="75" spans="1:27" x14ac:dyDescent="0.3">
      <c r="A75" s="4">
        <v>17</v>
      </c>
      <c r="B75" t="s">
        <v>944</v>
      </c>
      <c r="D75" s="4">
        <v>26</v>
      </c>
      <c r="E75" t="s">
        <v>1135</v>
      </c>
      <c r="G75" s="4">
        <v>27</v>
      </c>
      <c r="H75" t="s">
        <v>277</v>
      </c>
      <c r="I75" s="4">
        <v>32</v>
      </c>
      <c r="J75" s="18" t="s">
        <v>355</v>
      </c>
      <c r="M75" s="4">
        <v>42</v>
      </c>
      <c r="N75" s="1" t="s">
        <v>220</v>
      </c>
      <c r="O75" s="4">
        <v>72</v>
      </c>
      <c r="P75" t="s">
        <v>221</v>
      </c>
      <c r="Q75" s="1" t="s">
        <v>955</v>
      </c>
      <c r="S75" s="4">
        <v>44</v>
      </c>
      <c r="T75" s="1" t="s">
        <v>357</v>
      </c>
      <c r="U75" s="1" t="s">
        <v>8</v>
      </c>
      <c r="V75" s="4">
        <v>17</v>
      </c>
      <c r="W75" s="4" t="s">
        <v>221</v>
      </c>
      <c r="X75" s="93">
        <v>44708.784722222219</v>
      </c>
      <c r="Y75" s="1" t="s">
        <v>392</v>
      </c>
      <c r="Z75" s="1" t="s">
        <v>760</v>
      </c>
      <c r="AA75" s="115">
        <v>125</v>
      </c>
    </row>
    <row r="76" spans="1:27" x14ac:dyDescent="0.3">
      <c r="A76" s="4">
        <v>18</v>
      </c>
      <c r="B76" t="s">
        <v>943</v>
      </c>
      <c r="D76" s="4">
        <v>27</v>
      </c>
      <c r="E76" t="s">
        <v>1136</v>
      </c>
      <c r="G76" s="4">
        <v>28</v>
      </c>
      <c r="H76" t="s">
        <v>700</v>
      </c>
      <c r="I76" s="4">
        <v>16</v>
      </c>
      <c r="J76" s="18" t="s">
        <v>701</v>
      </c>
      <c r="S76" s="4">
        <v>45</v>
      </c>
      <c r="T76" s="1" t="s">
        <v>59</v>
      </c>
      <c r="U76" s="1" t="s">
        <v>8</v>
      </c>
      <c r="V76" s="4">
        <v>32</v>
      </c>
      <c r="W76" s="4" t="s">
        <v>221</v>
      </c>
      <c r="X76" s="93">
        <v>44708.69027777778</v>
      </c>
      <c r="Y76" s="1" t="s">
        <v>392</v>
      </c>
      <c r="Z76" s="1" t="s">
        <v>760</v>
      </c>
      <c r="AA76" s="115">
        <v>125</v>
      </c>
    </row>
    <row r="77" spans="1:27" x14ac:dyDescent="0.3">
      <c r="A77" s="4">
        <v>19</v>
      </c>
      <c r="B77" t="s">
        <v>1163</v>
      </c>
      <c r="D77" s="4">
        <v>28</v>
      </c>
      <c r="E77" t="s">
        <v>1137</v>
      </c>
      <c r="G77" s="4">
        <v>29</v>
      </c>
      <c r="H77" t="s">
        <v>251</v>
      </c>
      <c r="I77" s="4">
        <v>39</v>
      </c>
      <c r="J77" s="18" t="s">
        <v>371</v>
      </c>
      <c r="S77" s="4">
        <v>46</v>
      </c>
      <c r="T77" s="1" t="s">
        <v>285</v>
      </c>
      <c r="U77" s="1" t="s">
        <v>5</v>
      </c>
      <c r="V77" s="4">
        <v>15</v>
      </c>
      <c r="W77" s="4" t="s">
        <v>221</v>
      </c>
      <c r="X77" s="93">
        <v>44708.527777777781</v>
      </c>
      <c r="Y77" s="1" t="s">
        <v>392</v>
      </c>
      <c r="Z77" s="1" t="s">
        <v>760</v>
      </c>
      <c r="AA77" s="115">
        <v>125</v>
      </c>
    </row>
    <row r="78" spans="1:27" x14ac:dyDescent="0.3">
      <c r="A78" s="4">
        <v>20</v>
      </c>
      <c r="B78" t="s">
        <v>1152</v>
      </c>
      <c r="D78" s="4">
        <v>29</v>
      </c>
      <c r="E78" t="s">
        <v>1138</v>
      </c>
      <c r="G78" s="4">
        <v>30</v>
      </c>
      <c r="H78" t="s">
        <v>227</v>
      </c>
      <c r="I78" s="4">
        <v>30</v>
      </c>
      <c r="J78" s="18" t="s">
        <v>372</v>
      </c>
      <c r="S78" s="4">
        <v>47</v>
      </c>
      <c r="T78" s="1" t="s">
        <v>287</v>
      </c>
      <c r="U78" s="1" t="s">
        <v>5</v>
      </c>
      <c r="V78" s="4">
        <v>12</v>
      </c>
      <c r="W78" s="4" t="s">
        <v>221</v>
      </c>
      <c r="X78" s="93">
        <v>44708.524305555555</v>
      </c>
      <c r="Y78" s="1" t="s">
        <v>392</v>
      </c>
      <c r="Z78" s="1" t="s">
        <v>760</v>
      </c>
      <c r="AA78" s="115">
        <v>125</v>
      </c>
    </row>
    <row r="79" spans="1:27" x14ac:dyDescent="0.3">
      <c r="A79" s="4">
        <v>21</v>
      </c>
      <c r="B79" t="s">
        <v>1164</v>
      </c>
      <c r="D79" s="4">
        <v>30</v>
      </c>
      <c r="E79" t="s">
        <v>427</v>
      </c>
      <c r="G79" s="4">
        <v>31</v>
      </c>
      <c r="H79" t="s">
        <v>426</v>
      </c>
      <c r="I79" s="4">
        <v>44</v>
      </c>
      <c r="J79" s="18" t="s">
        <v>429</v>
      </c>
      <c r="S79" s="4">
        <v>48</v>
      </c>
      <c r="T79" s="1" t="s">
        <v>283</v>
      </c>
      <c r="U79" s="1" t="s">
        <v>5</v>
      </c>
      <c r="V79" s="4">
        <v>44</v>
      </c>
      <c r="W79" s="4" t="s">
        <v>221</v>
      </c>
      <c r="X79" s="93">
        <v>44708.522222222222</v>
      </c>
      <c r="Y79" s="1" t="s">
        <v>392</v>
      </c>
      <c r="Z79" s="1" t="s">
        <v>760</v>
      </c>
      <c r="AA79" s="115">
        <v>125</v>
      </c>
    </row>
    <row r="80" spans="1:27" x14ac:dyDescent="0.3">
      <c r="A80" s="4">
        <v>22</v>
      </c>
      <c r="B80" t="s">
        <v>1165</v>
      </c>
      <c r="D80" s="4">
        <v>31</v>
      </c>
      <c r="E80" t="s">
        <v>1139</v>
      </c>
      <c r="G80" s="4">
        <v>32</v>
      </c>
      <c r="H80" t="s">
        <v>358</v>
      </c>
      <c r="I80" s="4">
        <v>17</v>
      </c>
      <c r="J80" s="18" t="s">
        <v>359</v>
      </c>
      <c r="S80" s="4">
        <v>49</v>
      </c>
      <c r="T80" s="1" t="s">
        <v>345</v>
      </c>
      <c r="U80" s="1" t="s">
        <v>8</v>
      </c>
      <c r="V80" s="4">
        <v>13</v>
      </c>
      <c r="W80" s="4" t="s">
        <v>221</v>
      </c>
      <c r="X80" s="93">
        <v>44704.757638888892</v>
      </c>
      <c r="Y80" s="1" t="s">
        <v>392</v>
      </c>
      <c r="Z80" s="1" t="s">
        <v>760</v>
      </c>
      <c r="AA80" s="115">
        <v>125</v>
      </c>
    </row>
    <row r="81" spans="1:27" x14ac:dyDescent="0.3">
      <c r="A81" s="4">
        <v>23</v>
      </c>
      <c r="B81" t="s">
        <v>937</v>
      </c>
      <c r="D81" s="4">
        <v>32</v>
      </c>
      <c r="E81" t="s">
        <v>945</v>
      </c>
      <c r="G81" s="4">
        <v>33</v>
      </c>
      <c r="H81" t="s">
        <v>448</v>
      </c>
      <c r="I81" s="4">
        <v>21</v>
      </c>
      <c r="J81" s="18" t="s">
        <v>622</v>
      </c>
      <c r="S81" s="4">
        <v>50</v>
      </c>
      <c r="T81" s="1" t="s">
        <v>339</v>
      </c>
      <c r="U81" s="1" t="s">
        <v>338</v>
      </c>
      <c r="V81" s="4">
        <v>60</v>
      </c>
      <c r="W81" s="4" t="s">
        <v>221</v>
      </c>
      <c r="X81" s="93">
        <v>44702.731944444444</v>
      </c>
      <c r="Y81" s="1" t="s">
        <v>392</v>
      </c>
      <c r="Z81" s="1" t="s">
        <v>760</v>
      </c>
      <c r="AA81" s="115">
        <v>125</v>
      </c>
    </row>
    <row r="82" spans="1:27" x14ac:dyDescent="0.3">
      <c r="A82" s="4">
        <v>24</v>
      </c>
      <c r="B82" t="s">
        <v>926</v>
      </c>
      <c r="D82" s="4">
        <v>33</v>
      </c>
      <c r="E82" t="s">
        <v>855</v>
      </c>
      <c r="G82" s="4">
        <v>34</v>
      </c>
      <c r="H82" t="s">
        <v>220</v>
      </c>
      <c r="I82" s="4">
        <v>72</v>
      </c>
      <c r="J82" s="18" t="s">
        <v>373</v>
      </c>
      <c r="S82" s="4">
        <v>39</v>
      </c>
      <c r="T82" s="1" t="s">
        <v>305</v>
      </c>
      <c r="U82" s="1" t="s">
        <v>79</v>
      </c>
      <c r="V82" s="4">
        <v>69</v>
      </c>
      <c r="W82" s="4" t="s">
        <v>221</v>
      </c>
      <c r="X82" s="93">
        <v>44702.537499999999</v>
      </c>
      <c r="Y82" s="1" t="s">
        <v>392</v>
      </c>
      <c r="Z82" s="1" t="s">
        <v>760</v>
      </c>
      <c r="AA82" s="115">
        <v>125</v>
      </c>
    </row>
    <row r="83" spans="1:27" x14ac:dyDescent="0.3">
      <c r="A83" s="4">
        <v>25</v>
      </c>
      <c r="B83" t="s">
        <v>1150</v>
      </c>
      <c r="D83" s="4">
        <v>34</v>
      </c>
      <c r="E83" t="s">
        <v>950</v>
      </c>
      <c r="G83" s="4">
        <v>35</v>
      </c>
      <c r="H83" t="s">
        <v>851</v>
      </c>
      <c r="I83" s="4">
        <v>56</v>
      </c>
      <c r="J83" s="18" t="s">
        <v>852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221</v>
      </c>
      <c r="X83" s="93">
        <v>44701.754861111112</v>
      </c>
      <c r="Y83" s="1" t="s">
        <v>955</v>
      </c>
      <c r="Z83" s="1" t="s">
        <v>760</v>
      </c>
      <c r="AA83" s="115">
        <v>150</v>
      </c>
    </row>
    <row r="84" spans="1:27" x14ac:dyDescent="0.3">
      <c r="A84" s="4">
        <v>26</v>
      </c>
      <c r="B84" t="s">
        <v>1166</v>
      </c>
      <c r="D84" s="4">
        <v>35</v>
      </c>
      <c r="E84" t="s">
        <v>1140</v>
      </c>
      <c r="G84" s="4">
        <v>36</v>
      </c>
      <c r="H84" t="s">
        <v>214</v>
      </c>
      <c r="I84" s="4">
        <v>50</v>
      </c>
      <c r="J84" s="18" t="s">
        <v>374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221</v>
      </c>
      <c r="X84" s="93">
        <v>44701.754861111112</v>
      </c>
      <c r="Y84" s="1" t="s">
        <v>392</v>
      </c>
      <c r="Z84" s="1" t="s">
        <v>760</v>
      </c>
      <c r="AA84" s="115">
        <v>125</v>
      </c>
    </row>
    <row r="85" spans="1:27" x14ac:dyDescent="0.3">
      <c r="A85" s="4">
        <v>27</v>
      </c>
      <c r="B85" t="s">
        <v>1154</v>
      </c>
      <c r="D85" s="4">
        <v>36</v>
      </c>
      <c r="E85" t="s">
        <v>1141</v>
      </c>
      <c r="G85" s="4">
        <v>37</v>
      </c>
      <c r="H85" t="s">
        <v>342</v>
      </c>
      <c r="I85" s="4">
        <v>60</v>
      </c>
      <c r="J85" s="18" t="s">
        <v>375</v>
      </c>
      <c r="S85" s="4">
        <v>52</v>
      </c>
      <c r="T85" s="1" t="s">
        <v>267</v>
      </c>
      <c r="U85" s="1" t="s">
        <v>4</v>
      </c>
      <c r="V85" s="4">
        <v>25</v>
      </c>
      <c r="W85" s="4" t="s">
        <v>221</v>
      </c>
      <c r="X85" s="93">
        <v>44701.75</v>
      </c>
      <c r="Y85" s="1" t="s">
        <v>955</v>
      </c>
      <c r="Z85" s="1" t="s">
        <v>760</v>
      </c>
      <c r="AA85" s="115">
        <v>150</v>
      </c>
    </row>
    <row r="86" spans="1:27" x14ac:dyDescent="0.3">
      <c r="A86" s="4">
        <v>28</v>
      </c>
      <c r="B86" t="s">
        <v>1167</v>
      </c>
      <c r="D86" s="4">
        <v>37</v>
      </c>
      <c r="E86" t="s">
        <v>350</v>
      </c>
      <c r="G86" s="4">
        <v>38</v>
      </c>
      <c r="H86" t="s">
        <v>594</v>
      </c>
      <c r="I86" s="4">
        <v>16</v>
      </c>
      <c r="J86" s="18" t="s">
        <v>595</v>
      </c>
      <c r="S86" s="4">
        <v>52</v>
      </c>
      <c r="T86" s="1" t="s">
        <v>267</v>
      </c>
      <c r="U86" s="1" t="s">
        <v>4</v>
      </c>
      <c r="V86" s="4">
        <v>25</v>
      </c>
      <c r="W86" s="4" t="s">
        <v>221</v>
      </c>
      <c r="X86" s="93">
        <v>44701.75</v>
      </c>
      <c r="Y86" s="1" t="s">
        <v>392</v>
      </c>
      <c r="Z86" s="1" t="s">
        <v>760</v>
      </c>
      <c r="AA86" s="115">
        <v>125</v>
      </c>
    </row>
    <row r="87" spans="1:27" x14ac:dyDescent="0.3">
      <c r="A87" s="4">
        <v>29</v>
      </c>
      <c r="B87" t="s">
        <v>1153</v>
      </c>
      <c r="D87" s="4">
        <v>38</v>
      </c>
      <c r="E87" t="s">
        <v>1142</v>
      </c>
      <c r="G87" s="4">
        <v>39</v>
      </c>
      <c r="H87" t="s">
        <v>349</v>
      </c>
      <c r="I87" s="4">
        <v>15</v>
      </c>
      <c r="J87" s="18" t="s">
        <v>354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221</v>
      </c>
      <c r="X87" s="93">
        <v>44696.911805555559</v>
      </c>
      <c r="Y87" s="1" t="s">
        <v>955</v>
      </c>
      <c r="Z87" s="1" t="s">
        <v>760</v>
      </c>
      <c r="AA87" s="115">
        <v>150</v>
      </c>
    </row>
    <row r="88" spans="1:27" x14ac:dyDescent="0.3">
      <c r="A88" s="4">
        <v>30</v>
      </c>
      <c r="B88" t="s">
        <v>1149</v>
      </c>
      <c r="D88" s="4">
        <v>39</v>
      </c>
      <c r="E88" t="s">
        <v>365</v>
      </c>
      <c r="G88" s="4">
        <v>40</v>
      </c>
      <c r="H88" t="s">
        <v>884</v>
      </c>
      <c r="I88" s="4">
        <v>40</v>
      </c>
      <c r="J88" s="18" t="s">
        <v>885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221</v>
      </c>
      <c r="X88" s="93">
        <v>44696.911805555559</v>
      </c>
      <c r="Y88" s="1" t="s">
        <v>392</v>
      </c>
      <c r="Z88" s="1" t="s">
        <v>760</v>
      </c>
      <c r="AA88" s="115">
        <v>125</v>
      </c>
    </row>
    <row r="89" spans="1:27" x14ac:dyDescent="0.3">
      <c r="A89" s="4">
        <v>31</v>
      </c>
      <c r="B89" t="s">
        <v>951</v>
      </c>
      <c r="D89" s="4">
        <v>40</v>
      </c>
      <c r="E89" t="s">
        <v>907</v>
      </c>
      <c r="G89" s="4">
        <v>41</v>
      </c>
      <c r="H89" t="s">
        <v>348</v>
      </c>
      <c r="I89" s="4">
        <v>12</v>
      </c>
      <c r="J89" s="18" t="s">
        <v>376</v>
      </c>
      <c r="S89" s="4">
        <v>45</v>
      </c>
      <c r="T89" s="1" t="s">
        <v>59</v>
      </c>
      <c r="U89" s="1" t="s">
        <v>8</v>
      </c>
      <c r="V89" s="4">
        <v>32</v>
      </c>
      <c r="W89" s="4" t="s">
        <v>221</v>
      </c>
      <c r="X89" s="93">
        <v>44693.757638888892</v>
      </c>
      <c r="Y89" s="1" t="s">
        <v>955</v>
      </c>
      <c r="Z89" s="1" t="s">
        <v>760</v>
      </c>
      <c r="AA89" s="115">
        <v>150</v>
      </c>
    </row>
    <row r="90" spans="1:27" x14ac:dyDescent="0.3">
      <c r="A90" s="4">
        <v>32</v>
      </c>
      <c r="B90" t="s">
        <v>1168</v>
      </c>
      <c r="D90" s="4">
        <v>41</v>
      </c>
      <c r="E90" t="s">
        <v>1143</v>
      </c>
      <c r="G90" s="4">
        <v>42</v>
      </c>
      <c r="H90" t="s">
        <v>903</v>
      </c>
      <c r="I90" s="4">
        <v>10</v>
      </c>
      <c r="J90" s="18" t="s">
        <v>904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221</v>
      </c>
      <c r="X90" s="93">
        <v>44691.591666666667</v>
      </c>
      <c r="Y90" s="1" t="s">
        <v>392</v>
      </c>
      <c r="Z90" s="1" t="s">
        <v>760</v>
      </c>
      <c r="AA90" s="115">
        <v>125</v>
      </c>
    </row>
    <row r="91" spans="1:27" x14ac:dyDescent="0.3">
      <c r="A91" s="4">
        <v>33</v>
      </c>
      <c r="B91" t="s">
        <v>1169</v>
      </c>
      <c r="D91" s="4">
        <v>42</v>
      </c>
      <c r="E91" t="s">
        <v>908</v>
      </c>
      <c r="G91" s="4">
        <v>43</v>
      </c>
      <c r="H91" t="s">
        <v>346</v>
      </c>
      <c r="I91" s="4">
        <v>13</v>
      </c>
      <c r="J91" s="18" t="s">
        <v>623</v>
      </c>
      <c r="S91" s="4">
        <v>55</v>
      </c>
      <c r="T91" s="1" t="s">
        <v>253</v>
      </c>
      <c r="U91" s="1" t="s">
        <v>4</v>
      </c>
      <c r="V91" s="4">
        <v>22</v>
      </c>
      <c r="W91" s="4" t="s">
        <v>221</v>
      </c>
      <c r="X91" s="93">
        <v>44684.895138888889</v>
      </c>
      <c r="Y91" s="1" t="s">
        <v>392</v>
      </c>
      <c r="Z91" s="1" t="s">
        <v>760</v>
      </c>
      <c r="AA91" s="115">
        <v>125</v>
      </c>
    </row>
    <row r="92" spans="1:27" x14ac:dyDescent="0.3">
      <c r="A92" s="4">
        <v>34</v>
      </c>
      <c r="B92" t="s">
        <v>927</v>
      </c>
      <c r="D92" s="4">
        <v>43</v>
      </c>
      <c r="E92" t="s">
        <v>1144</v>
      </c>
      <c r="G92" s="4">
        <v>44</v>
      </c>
      <c r="H92" t="s">
        <v>886</v>
      </c>
      <c r="I92" s="4">
        <v>10</v>
      </c>
      <c r="J92" s="18" t="s">
        <v>905</v>
      </c>
      <c r="S92" s="4">
        <v>55</v>
      </c>
      <c r="T92" s="1" t="s">
        <v>253</v>
      </c>
      <c r="U92" s="1" t="s">
        <v>4</v>
      </c>
      <c r="V92" s="4">
        <v>22</v>
      </c>
      <c r="W92" s="4" t="s">
        <v>221</v>
      </c>
      <c r="X92" s="93">
        <v>44684.89166666667</v>
      </c>
      <c r="Y92" s="1" t="s">
        <v>955</v>
      </c>
      <c r="Z92" s="1" t="s">
        <v>760</v>
      </c>
      <c r="AA92" s="115">
        <v>150</v>
      </c>
    </row>
    <row r="93" spans="1:27" x14ac:dyDescent="0.3">
      <c r="A93" s="4">
        <v>35</v>
      </c>
      <c r="B93" t="s">
        <v>1146</v>
      </c>
      <c r="D93" s="4">
        <v>44</v>
      </c>
      <c r="E93" t="s">
        <v>942</v>
      </c>
      <c r="G93" s="4">
        <v>45</v>
      </c>
      <c r="H93" t="s">
        <v>260</v>
      </c>
      <c r="I93" s="4">
        <v>38</v>
      </c>
      <c r="J93" s="18" t="s">
        <v>740</v>
      </c>
      <c r="S93" s="4">
        <v>56</v>
      </c>
      <c r="T93" s="1" t="s">
        <v>259</v>
      </c>
      <c r="U93" s="1" t="s">
        <v>79</v>
      </c>
      <c r="V93" s="4">
        <v>38</v>
      </c>
      <c r="W93" s="4" t="s">
        <v>221</v>
      </c>
      <c r="X93" s="93">
        <v>44681.845833333333</v>
      </c>
      <c r="Y93" s="1" t="s">
        <v>955</v>
      </c>
      <c r="Z93" s="1" t="s">
        <v>760</v>
      </c>
      <c r="AA93" s="115">
        <v>150</v>
      </c>
    </row>
    <row r="94" spans="1:27" x14ac:dyDescent="0.3">
      <c r="A94" s="4">
        <v>36</v>
      </c>
      <c r="B94" t="s">
        <v>1170</v>
      </c>
      <c r="D94" s="4">
        <v>45</v>
      </c>
      <c r="E94" t="s">
        <v>926</v>
      </c>
      <c r="G94" s="4">
        <v>46</v>
      </c>
      <c r="H94" t="s">
        <v>306</v>
      </c>
      <c r="I94" s="4">
        <v>69</v>
      </c>
      <c r="J94" s="18" t="s">
        <v>741</v>
      </c>
      <c r="S94" s="4">
        <v>56</v>
      </c>
      <c r="T94" s="1" t="s">
        <v>259</v>
      </c>
      <c r="U94" s="1" t="s">
        <v>79</v>
      </c>
      <c r="V94" s="4">
        <v>38</v>
      </c>
      <c r="W94" s="4" t="s">
        <v>221</v>
      </c>
      <c r="X94" s="93">
        <v>44681.845833333333</v>
      </c>
      <c r="Y94" s="1" t="s">
        <v>392</v>
      </c>
      <c r="Z94" s="1" t="s">
        <v>760</v>
      </c>
      <c r="AA94" s="115">
        <v>125</v>
      </c>
    </row>
    <row r="95" spans="1:27" x14ac:dyDescent="0.3">
      <c r="A95" s="4">
        <v>37</v>
      </c>
      <c r="B95" t="s">
        <v>933</v>
      </c>
      <c r="D95" s="4">
        <v>46</v>
      </c>
      <c r="E95" t="s">
        <v>1145</v>
      </c>
      <c r="G95" s="4">
        <v>47</v>
      </c>
      <c r="H95" t="s">
        <v>446</v>
      </c>
      <c r="I95" s="4">
        <v>21</v>
      </c>
      <c r="J95" s="18" t="s">
        <v>742</v>
      </c>
      <c r="S95" s="4">
        <v>58</v>
      </c>
      <c r="T95" s="1" t="s">
        <v>250</v>
      </c>
      <c r="U95" s="1" t="s">
        <v>8</v>
      </c>
      <c r="V95" s="4">
        <v>39</v>
      </c>
      <c r="W95" s="4" t="s">
        <v>221</v>
      </c>
      <c r="X95" s="93">
        <v>44677.94027777778</v>
      </c>
      <c r="Y95" s="1" t="s">
        <v>955</v>
      </c>
      <c r="Z95" s="1" t="s">
        <v>760</v>
      </c>
      <c r="AA95" s="115">
        <v>150</v>
      </c>
    </row>
    <row r="96" spans="1:27" x14ac:dyDescent="0.3">
      <c r="A96" s="4">
        <v>38</v>
      </c>
      <c r="B96" t="s">
        <v>1147</v>
      </c>
      <c r="D96" s="4">
        <v>47</v>
      </c>
      <c r="E96" t="s">
        <v>1146</v>
      </c>
      <c r="G96" s="4">
        <v>48</v>
      </c>
      <c r="H96" t="s">
        <v>738</v>
      </c>
      <c r="I96" s="4">
        <v>25</v>
      </c>
      <c r="J96" s="18" t="s">
        <v>743</v>
      </c>
      <c r="S96" s="4">
        <v>58</v>
      </c>
      <c r="T96" s="1" t="s">
        <v>250</v>
      </c>
      <c r="U96" s="1" t="s">
        <v>8</v>
      </c>
      <c r="V96" s="4">
        <v>39</v>
      </c>
      <c r="W96" s="4" t="s">
        <v>221</v>
      </c>
      <c r="X96" s="93">
        <v>44677.94027777778</v>
      </c>
      <c r="Y96" s="1" t="s">
        <v>392</v>
      </c>
      <c r="Z96" s="1" t="s">
        <v>760</v>
      </c>
      <c r="AA96" s="115">
        <v>125</v>
      </c>
    </row>
    <row r="97" spans="1:27" x14ac:dyDescent="0.3">
      <c r="A97" s="4">
        <v>39</v>
      </c>
      <c r="B97" t="s">
        <v>1171</v>
      </c>
      <c r="D97" s="4">
        <v>48</v>
      </c>
      <c r="E97" t="s">
        <v>1147</v>
      </c>
      <c r="G97" s="4"/>
      <c r="I97" s="4"/>
      <c r="J97" s="18"/>
      <c r="S97" s="4">
        <v>60</v>
      </c>
      <c r="T97" s="1" t="s">
        <v>246</v>
      </c>
      <c r="U97" s="1" t="s">
        <v>8</v>
      </c>
      <c r="V97" s="4">
        <v>24</v>
      </c>
      <c r="W97" s="4" t="s">
        <v>221</v>
      </c>
      <c r="X97" s="93">
        <v>44676.413888888892</v>
      </c>
      <c r="Y97" s="1" t="s">
        <v>392</v>
      </c>
      <c r="Z97" s="1" t="s">
        <v>760</v>
      </c>
      <c r="AA97" s="115">
        <v>125</v>
      </c>
    </row>
    <row r="98" spans="1:27" x14ac:dyDescent="0.3">
      <c r="A98" s="4">
        <v>40</v>
      </c>
      <c r="B98" t="s">
        <v>895</v>
      </c>
      <c r="D98" s="4">
        <v>49</v>
      </c>
      <c r="E98" t="s">
        <v>1148</v>
      </c>
      <c r="G98" s="134" t="s">
        <v>491</v>
      </c>
      <c r="H98" s="134"/>
      <c r="I98" s="134"/>
      <c r="J98" s="134"/>
      <c r="S98" s="4">
        <v>61</v>
      </c>
      <c r="T98" s="1" t="s">
        <v>226</v>
      </c>
      <c r="U98" s="1" t="s">
        <v>8</v>
      </c>
      <c r="V98" s="4">
        <v>30</v>
      </c>
      <c r="W98" s="4" t="s">
        <v>221</v>
      </c>
      <c r="X98" s="93">
        <v>44674.414583333331</v>
      </c>
      <c r="Y98" s="1" t="s">
        <v>392</v>
      </c>
      <c r="Z98" s="1" t="s">
        <v>760</v>
      </c>
      <c r="AA98" s="115">
        <v>125</v>
      </c>
    </row>
    <row r="99" spans="1:27" x14ac:dyDescent="0.3">
      <c r="A99" s="4">
        <v>41</v>
      </c>
      <c r="B99" t="s">
        <v>934</v>
      </c>
      <c r="D99" s="4">
        <v>50</v>
      </c>
      <c r="E99" t="s">
        <v>1149</v>
      </c>
      <c r="G99" s="134"/>
      <c r="H99" s="134"/>
      <c r="I99" s="134"/>
      <c r="J99" s="134"/>
      <c r="S99" s="4">
        <v>61</v>
      </c>
      <c r="T99" s="1" t="s">
        <v>226</v>
      </c>
      <c r="U99" s="1" t="s">
        <v>8</v>
      </c>
      <c r="V99" s="4">
        <v>30</v>
      </c>
      <c r="W99" s="4" t="s">
        <v>221</v>
      </c>
      <c r="X99" s="93">
        <v>44674.414583333331</v>
      </c>
      <c r="Y99" s="1" t="s">
        <v>955</v>
      </c>
      <c r="Z99" s="1" t="s">
        <v>760</v>
      </c>
      <c r="AA99" s="115">
        <v>150</v>
      </c>
    </row>
    <row r="100" spans="1:27" x14ac:dyDescent="0.3">
      <c r="A100" s="4">
        <v>42</v>
      </c>
      <c r="B100" t="s">
        <v>1172</v>
      </c>
      <c r="D100" s="4">
        <v>51</v>
      </c>
      <c r="E100" t="s">
        <v>937</v>
      </c>
      <c r="G100" s="137" t="str">
        <f>$G$39</f>
        <v>🏓 48 ud af 96 tilmeldinger (50%)</v>
      </c>
      <c r="H100" s="137" t="str">
        <f>"🏓 "&amp;$K$7&amp;" ud af "&amp;$K$6&amp;" ∙ 🎉 "&amp;$Q$7&amp;" ud af "&amp;$Q$6</f>
        <v>🏓 48 ud af 96 ∙ 🎉 42 ud af 200</v>
      </c>
      <c r="I100" s="137" t="str">
        <f>"🏓 "&amp;$K$7&amp;" ud af "&amp;$K$6&amp;" ∙ 🎉 "&amp;$Q$7&amp;" ud af "&amp;$Q$6</f>
        <v>🏓 48 ud af 96 ∙ 🎉 42 ud af 200</v>
      </c>
      <c r="J100" s="137" t="str">
        <f>"🏓 "&amp;$K$7&amp;" ud af "&amp;$K$6&amp;" ∙ 🎉 "&amp;$Q$7&amp;" ud af "&amp;$Q$6</f>
        <v>🏓 48 ud af 96 ∙ 🎉 42 ud af 200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221</v>
      </c>
      <c r="X100" s="93">
        <v>44672.62777777778</v>
      </c>
      <c r="Y100" s="1" t="s">
        <v>392</v>
      </c>
      <c r="Z100" s="1" t="s">
        <v>760</v>
      </c>
      <c r="AA100" s="115">
        <v>125</v>
      </c>
    </row>
    <row r="101" spans="1:27" x14ac:dyDescent="0.3">
      <c r="A101" s="4">
        <v>43</v>
      </c>
      <c r="B101" t="s">
        <v>929</v>
      </c>
      <c r="D101" s="4">
        <v>52</v>
      </c>
      <c r="E101" t="s">
        <v>1150</v>
      </c>
      <c r="G101" s="139" t="str">
        <f>$G$40</f>
        <v>♂️ 48 herrer (100%) ∙ ♀️ 0 damer (0%)</v>
      </c>
      <c r="H101" s="139"/>
      <c r="I101" s="139"/>
      <c r="J101" s="139"/>
      <c r="S101" s="4">
        <v>62</v>
      </c>
      <c r="T101" s="1" t="s">
        <v>62</v>
      </c>
      <c r="U101" s="1" t="s">
        <v>3</v>
      </c>
      <c r="V101" s="4">
        <v>27</v>
      </c>
      <c r="W101" s="4" t="s">
        <v>221</v>
      </c>
      <c r="X101" s="93">
        <v>44672.62777777778</v>
      </c>
      <c r="Y101" s="1" t="s">
        <v>955</v>
      </c>
      <c r="Z101" s="1" t="s">
        <v>760</v>
      </c>
      <c r="AA101" s="115">
        <v>150</v>
      </c>
    </row>
    <row r="102" spans="1:27" x14ac:dyDescent="0.3">
      <c r="A102" s="4">
        <v>44</v>
      </c>
      <c r="B102" t="s">
        <v>931</v>
      </c>
      <c r="D102" s="4">
        <v>53</v>
      </c>
      <c r="E102" t="s">
        <v>1151</v>
      </c>
      <c r="G102" s="139" t="str">
        <f>$G$41</f>
        <v>👤 8  Ungdom (17%) ∙ 👤 26  Senior (54%) ∙ 👤 14  Veteran (29%)</v>
      </c>
      <c r="H102" s="139" t="str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👤 Ungdom 19% ∙ 👤 Senior 57% ∙ 👤 Veteran 24%</v>
      </c>
      <c r="I102" s="139" t="str">
        <f t="shared" si="4"/>
        <v>👤 Ungdom 19% ∙ 👤 Senior 57% ∙ 👤 Veteran 24%</v>
      </c>
      <c r="J102" s="139" t="str">
        <f t="shared" si="4"/>
        <v>👤 Ungdom 19% ∙ 👤 Senior 57% ∙ 👤 Veteran 24%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221</v>
      </c>
      <c r="X102" s="93">
        <v>44672.620833333334</v>
      </c>
      <c r="Y102" s="1" t="s">
        <v>392</v>
      </c>
      <c r="Z102" s="1" t="s">
        <v>760</v>
      </c>
      <c r="AA102" s="115">
        <v>125</v>
      </c>
    </row>
    <row r="103" spans="1:27" x14ac:dyDescent="0.3">
      <c r="A103" s="4">
        <v>45</v>
      </c>
      <c r="B103" t="s">
        <v>1144</v>
      </c>
      <c r="D103" s="4">
        <v>54</v>
      </c>
      <c r="E103" t="s">
        <v>934</v>
      </c>
      <c r="G103" s="139" t="str">
        <f>$G$42</f>
        <v>👤 Min. 10 år ∙ 👤 Gns. 32 år ∙ 👤 Maks. 72 år</v>
      </c>
      <c r="H103" s="139"/>
      <c r="I103" s="139"/>
      <c r="J103" s="139"/>
      <c r="S103" s="4">
        <v>63</v>
      </c>
      <c r="T103" s="1" t="s">
        <v>27</v>
      </c>
      <c r="U103" s="1" t="s">
        <v>8</v>
      </c>
      <c r="V103" s="4">
        <v>26</v>
      </c>
      <c r="W103" s="4" t="s">
        <v>221</v>
      </c>
      <c r="X103" s="93">
        <v>44672.620833333334</v>
      </c>
      <c r="Y103" s="1" t="s">
        <v>955</v>
      </c>
      <c r="Z103" s="1" t="s">
        <v>760</v>
      </c>
      <c r="AA103" s="115">
        <v>150</v>
      </c>
    </row>
    <row r="104" spans="1:27" x14ac:dyDescent="0.3">
      <c r="A104" s="4">
        <v>46</v>
      </c>
      <c r="B104" t="s">
        <v>1173</v>
      </c>
      <c r="D104" s="4">
        <v>55</v>
      </c>
      <c r="E104" t="s">
        <v>933</v>
      </c>
      <c r="G104" s="139" t="str">
        <f>$G$43</f>
        <v>🏛️ 41 Jylland (91%) ∙ 🏛️ 0 Fyn (0%) ∙ 🏛️ 4 Sjælland (9%) ∙ 🏛️ 0 Bornholm (0%)</v>
      </c>
      <c r="H104" s="139" t="str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🏛️ Jylland 81% ∙ 🏛️ Fyn 6% ∙ 🏛️ Sjælland 13% ∙ 🏛️ Bornholm 0%</v>
      </c>
      <c r="I104" s="139" t="str">
        <f t="shared" si="5"/>
        <v>🏛️ Jylland 81% ∙ 🏛️ Fyn 6% ∙ 🏛️ Sjælland 13% ∙ 🏛️ Bornholm 0%</v>
      </c>
      <c r="J104" s="139" t="str">
        <f t="shared" si="5"/>
        <v>🏛️ Jylland 81% ∙ 🏛️ Fyn 6% ∙ 🏛️ Sjælland 13% ∙ 🏛️ Bornholm 0%</v>
      </c>
      <c r="S104" s="4">
        <v>5</v>
      </c>
      <c r="T104" s="1" t="s">
        <v>218</v>
      </c>
      <c r="U104" s="1" t="s">
        <v>8</v>
      </c>
      <c r="V104" s="4">
        <v>72</v>
      </c>
      <c r="W104" s="4" t="s">
        <v>221</v>
      </c>
      <c r="X104" s="93">
        <v>44669.447222222225</v>
      </c>
      <c r="Y104" s="1" t="s">
        <v>392</v>
      </c>
      <c r="Z104" s="1" t="s">
        <v>760</v>
      </c>
      <c r="AA104" s="115">
        <v>125</v>
      </c>
    </row>
    <row r="105" spans="1:27" x14ac:dyDescent="0.3">
      <c r="A105" s="4">
        <v>47</v>
      </c>
      <c r="B105" t="s">
        <v>1174</v>
      </c>
      <c r="D105" s="4">
        <v>56</v>
      </c>
      <c r="E105" t="s">
        <v>946</v>
      </c>
      <c r="G105" s="139" t="str">
        <f>$G$45</f>
        <v>👤 Min. 914 rating ∙ 👤 Gns. 1985 rating ∙ 👤 Maks. 2587 rating</v>
      </c>
      <c r="H105" s="139"/>
      <c r="I105" s="139"/>
      <c r="J105" s="139"/>
      <c r="S105" s="4">
        <v>64</v>
      </c>
      <c r="T105" s="1" t="s">
        <v>217</v>
      </c>
      <c r="U105" s="1" t="s">
        <v>8</v>
      </c>
      <c r="V105" s="4">
        <v>40</v>
      </c>
      <c r="W105" s="4" t="s">
        <v>221</v>
      </c>
      <c r="X105" s="93">
        <v>44669.404861111114</v>
      </c>
      <c r="Y105" s="1" t="s">
        <v>392</v>
      </c>
      <c r="Z105" s="1" t="s">
        <v>760</v>
      </c>
      <c r="AA105" s="115">
        <v>125</v>
      </c>
    </row>
    <row r="106" spans="1:27" x14ac:dyDescent="0.3">
      <c r="A106" s="4">
        <v>48</v>
      </c>
      <c r="B106" t="s">
        <v>947</v>
      </c>
      <c r="D106" s="4">
        <v>57</v>
      </c>
      <c r="E106" t="s">
        <v>1152</v>
      </c>
      <c r="G106" s="139" t="str">
        <f>$G$46</f>
        <v>🛖 16 klubber</v>
      </c>
      <c r="H106" s="139"/>
      <c r="I106" s="139"/>
      <c r="J106" s="139"/>
      <c r="S106" s="4">
        <v>64</v>
      </c>
      <c r="T106" s="1" t="s">
        <v>217</v>
      </c>
      <c r="U106" s="1" t="s">
        <v>8</v>
      </c>
      <c r="V106" s="4">
        <v>40</v>
      </c>
      <c r="W106" s="4" t="s">
        <v>221</v>
      </c>
      <c r="X106" s="93">
        <v>44669.404861111114</v>
      </c>
      <c r="Y106" s="1" t="s">
        <v>955</v>
      </c>
      <c r="Z106" s="1" t="s">
        <v>760</v>
      </c>
      <c r="AA106" s="115">
        <v>150</v>
      </c>
    </row>
    <row r="107" spans="1:27" x14ac:dyDescent="0.3">
      <c r="A107" s="4">
        <v>49</v>
      </c>
      <c r="B107" t="s">
        <v>1175</v>
      </c>
      <c r="D107" s="4">
        <v>58</v>
      </c>
      <c r="E107" t="s">
        <v>1153</v>
      </c>
      <c r="G107" s="139" t="s">
        <v>492</v>
      </c>
      <c r="H107" s="139"/>
      <c r="I107" s="139"/>
      <c r="J107" s="139"/>
      <c r="S107" s="4">
        <v>65</v>
      </c>
      <c r="T107" s="1" t="s">
        <v>211</v>
      </c>
      <c r="U107" s="1" t="s">
        <v>41</v>
      </c>
      <c r="V107" s="4">
        <v>50</v>
      </c>
      <c r="W107" s="4" t="s">
        <v>221</v>
      </c>
      <c r="X107" s="93">
        <v>44668.746527777781</v>
      </c>
      <c r="Y107" s="1" t="s">
        <v>955</v>
      </c>
      <c r="Z107" s="1" t="s">
        <v>760</v>
      </c>
      <c r="AA107" s="115">
        <v>150</v>
      </c>
    </row>
    <row r="108" spans="1:27" x14ac:dyDescent="0.3">
      <c r="A108" s="4">
        <v>50</v>
      </c>
      <c r="B108" t="s">
        <v>1176</v>
      </c>
      <c r="D108" s="4">
        <v>59</v>
      </c>
      <c r="E108" t="s">
        <v>1154</v>
      </c>
      <c r="G108" s="1" t="s">
        <v>205</v>
      </c>
      <c r="H108" t="s">
        <v>493</v>
      </c>
      <c r="I108" s="4" t="s">
        <v>433</v>
      </c>
      <c r="J108" s="18" t="s">
        <v>82</v>
      </c>
      <c r="S108" s="4">
        <v>65</v>
      </c>
      <c r="T108" s="1" t="s">
        <v>211</v>
      </c>
      <c r="U108" s="1" t="s">
        <v>41</v>
      </c>
      <c r="V108" s="4">
        <v>50</v>
      </c>
      <c r="W108" s="4" t="s">
        <v>221</v>
      </c>
      <c r="X108" s="93">
        <v>44668.746527777781</v>
      </c>
      <c r="Y108" s="1" t="s">
        <v>392</v>
      </c>
      <c r="Z108" s="1" t="s">
        <v>760</v>
      </c>
      <c r="AA108" s="115">
        <v>125</v>
      </c>
    </row>
    <row r="109" spans="1:27" x14ac:dyDescent="0.3">
      <c r="A109" s="4">
        <v>51</v>
      </c>
      <c r="B109" t="s">
        <v>428</v>
      </c>
      <c r="D109" s="4">
        <v>60</v>
      </c>
      <c r="E109" t="s">
        <v>943</v>
      </c>
      <c r="G109" s="87"/>
      <c r="H109" t="s">
        <v>910</v>
      </c>
      <c r="I109" s="4"/>
      <c r="J109" s="18"/>
      <c r="S109" s="4">
        <v>66</v>
      </c>
      <c r="T109" s="1" t="s">
        <v>212</v>
      </c>
      <c r="U109" s="1" t="s">
        <v>41</v>
      </c>
      <c r="V109" s="4">
        <v>28</v>
      </c>
      <c r="W109" s="4" t="s">
        <v>221</v>
      </c>
      <c r="X109" s="93">
        <v>44668.722916666666</v>
      </c>
      <c r="Y109" s="1" t="s">
        <v>955</v>
      </c>
      <c r="Z109" s="1" t="s">
        <v>760</v>
      </c>
      <c r="AA109" s="115">
        <v>150</v>
      </c>
    </row>
    <row r="110" spans="1:27" x14ac:dyDescent="0.3">
      <c r="A110" s="4">
        <v>52</v>
      </c>
      <c r="B110" t="s">
        <v>935</v>
      </c>
      <c r="G110" s="87"/>
      <c r="H110" t="s">
        <v>906</v>
      </c>
      <c r="I110" s="4" t="s">
        <v>221</v>
      </c>
      <c r="J110" s="18" t="s">
        <v>904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221</v>
      </c>
      <c r="X110" s="93">
        <v>44668.5</v>
      </c>
      <c r="Y110" s="1" t="s">
        <v>955</v>
      </c>
      <c r="Z110" s="1" t="s">
        <v>760</v>
      </c>
      <c r="AA110" s="115">
        <v>150</v>
      </c>
    </row>
    <row r="111" spans="1:27" x14ac:dyDescent="0.3">
      <c r="A111" s="4">
        <v>53</v>
      </c>
      <c r="B111" t="s">
        <v>949</v>
      </c>
      <c r="G111" s="87"/>
      <c r="H111" t="s">
        <v>887</v>
      </c>
      <c r="I111" s="4" t="s">
        <v>221</v>
      </c>
      <c r="J111" s="18" t="s">
        <v>905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221</v>
      </c>
      <c r="X111" s="93">
        <v>44668.5</v>
      </c>
      <c r="Y111" s="1" t="s">
        <v>392</v>
      </c>
      <c r="Z111" s="1" t="s">
        <v>760</v>
      </c>
      <c r="AA111" s="115">
        <v>125</v>
      </c>
    </row>
    <row r="112" spans="1:27" x14ac:dyDescent="0.3">
      <c r="A112" s="4">
        <v>54</v>
      </c>
      <c r="B112" t="s">
        <v>940</v>
      </c>
      <c r="G112" s="87"/>
      <c r="H112" t="s">
        <v>888</v>
      </c>
      <c r="I112" s="4" t="s">
        <v>221</v>
      </c>
      <c r="J112" s="18" t="s">
        <v>883</v>
      </c>
      <c r="S112" s="4">
        <v>13</v>
      </c>
      <c r="T112" s="1" t="s">
        <v>724</v>
      </c>
      <c r="U112" s="1" t="s">
        <v>725</v>
      </c>
      <c r="V112" s="4">
        <v>26</v>
      </c>
      <c r="W112" s="4" t="s">
        <v>221</v>
      </c>
      <c r="X112" s="93">
        <v>44722.759027777778</v>
      </c>
      <c r="Y112" s="1" t="s">
        <v>392</v>
      </c>
      <c r="Z112" s="1" t="s">
        <v>758</v>
      </c>
      <c r="AA112" s="115">
        <v>125</v>
      </c>
    </row>
    <row r="113" spans="1:27" x14ac:dyDescent="0.3">
      <c r="A113" s="4">
        <v>55</v>
      </c>
      <c r="B113" t="s">
        <v>856</v>
      </c>
      <c r="G113" s="87"/>
      <c r="H113" t="s">
        <v>704</v>
      </c>
      <c r="I113" s="4" t="s">
        <v>221</v>
      </c>
      <c r="J113" s="18" t="s">
        <v>621</v>
      </c>
      <c r="S113" s="4">
        <v>17</v>
      </c>
      <c r="T113" s="1" t="s">
        <v>597</v>
      </c>
      <c r="U113" s="1" t="s">
        <v>5</v>
      </c>
      <c r="V113" s="4">
        <v>24</v>
      </c>
      <c r="W113" s="4" t="s">
        <v>221</v>
      </c>
      <c r="X113" s="93">
        <v>44717.939583333333</v>
      </c>
      <c r="Y113" s="1" t="s">
        <v>392</v>
      </c>
      <c r="Z113" s="1" t="s">
        <v>758</v>
      </c>
      <c r="AA113" s="115">
        <v>125</v>
      </c>
    </row>
    <row r="114" spans="1:27" x14ac:dyDescent="0.3">
      <c r="A114" s="4">
        <v>56</v>
      </c>
      <c r="B114" t="s">
        <v>276</v>
      </c>
      <c r="G114" s="87"/>
      <c r="H114" t="s">
        <v>705</v>
      </c>
      <c r="I114" s="4" t="s">
        <v>221</v>
      </c>
      <c r="J114" s="18" t="s">
        <v>505</v>
      </c>
      <c r="S114" s="4">
        <v>17</v>
      </c>
      <c r="T114" s="1" t="s">
        <v>597</v>
      </c>
      <c r="U114" s="1" t="s">
        <v>5</v>
      </c>
      <c r="V114" s="4">
        <v>24</v>
      </c>
      <c r="W114" s="4" t="s">
        <v>221</v>
      </c>
      <c r="X114" s="93">
        <v>44717.939583333333</v>
      </c>
      <c r="Y114" s="1" t="s">
        <v>955</v>
      </c>
      <c r="Z114" s="1" t="s">
        <v>758</v>
      </c>
      <c r="AA114" s="115">
        <v>150</v>
      </c>
    </row>
    <row r="115" spans="1:27" x14ac:dyDescent="0.3">
      <c r="A115" s="4">
        <v>57</v>
      </c>
      <c r="B115" t="s">
        <v>1177</v>
      </c>
      <c r="G115" s="87"/>
      <c r="H115" t="s">
        <v>1095</v>
      </c>
      <c r="I115" s="4" t="s">
        <v>221</v>
      </c>
      <c r="J115" s="18" t="s">
        <v>359</v>
      </c>
      <c r="S115" s="4">
        <v>18</v>
      </c>
      <c r="T115" s="1" t="s">
        <v>599</v>
      </c>
      <c r="U115" s="1" t="s">
        <v>8</v>
      </c>
      <c r="V115" s="4">
        <v>20</v>
      </c>
      <c r="W115" s="4" t="s">
        <v>221</v>
      </c>
      <c r="X115" s="93">
        <v>44717.938194444447</v>
      </c>
      <c r="Y115" s="1" t="s">
        <v>392</v>
      </c>
      <c r="Z115" s="1" t="s">
        <v>758</v>
      </c>
      <c r="AA115" s="115">
        <v>125</v>
      </c>
    </row>
    <row r="116" spans="1:27" x14ac:dyDescent="0.3">
      <c r="A116" s="4">
        <v>58</v>
      </c>
      <c r="B116" t="s">
        <v>1178</v>
      </c>
      <c r="G116" s="87"/>
      <c r="H116" t="s">
        <v>1097</v>
      </c>
      <c r="I116" s="4" t="s">
        <v>221</v>
      </c>
      <c r="J116" s="18" t="s">
        <v>623</v>
      </c>
      <c r="S116" s="4">
        <v>36</v>
      </c>
      <c r="T116" s="1" t="s">
        <v>432</v>
      </c>
      <c r="U116" s="1" t="s">
        <v>332</v>
      </c>
      <c r="V116" s="4">
        <v>31</v>
      </c>
      <c r="W116" s="4" t="s">
        <v>221</v>
      </c>
      <c r="X116" s="93">
        <v>44713.955555555556</v>
      </c>
      <c r="Y116" s="1" t="s">
        <v>392</v>
      </c>
      <c r="Z116" s="1" t="s">
        <v>758</v>
      </c>
      <c r="AA116" s="115">
        <v>125</v>
      </c>
    </row>
    <row r="117" spans="1:27" x14ac:dyDescent="0.3">
      <c r="A117" s="4">
        <v>59</v>
      </c>
      <c r="B117" t="s">
        <v>946</v>
      </c>
      <c r="G117" s="87"/>
      <c r="H117" t="s">
        <v>1096</v>
      </c>
      <c r="I117" s="4" t="s">
        <v>221</v>
      </c>
      <c r="J117" s="18" t="s">
        <v>355</v>
      </c>
      <c r="S117" s="4">
        <v>40</v>
      </c>
      <c r="T117" s="1" t="s">
        <v>912</v>
      </c>
      <c r="U117" s="1" t="s">
        <v>79</v>
      </c>
      <c r="V117" s="4">
        <v>19</v>
      </c>
      <c r="W117" s="4" t="s">
        <v>221</v>
      </c>
      <c r="X117" s="93">
        <v>44711.988888888889</v>
      </c>
      <c r="Y117" s="1" t="s">
        <v>392</v>
      </c>
      <c r="Z117" s="1" t="s">
        <v>758</v>
      </c>
      <c r="AA117" s="115">
        <v>125</v>
      </c>
    </row>
    <row r="118" spans="1:27" x14ac:dyDescent="0.3">
      <c r="A118" s="4">
        <v>60</v>
      </c>
      <c r="B118" t="s">
        <v>1179</v>
      </c>
      <c r="G118" s="87"/>
      <c r="H118" t="s">
        <v>1098</v>
      </c>
      <c r="I118" s="4" t="s">
        <v>221</v>
      </c>
      <c r="J118" s="18" t="s">
        <v>371</v>
      </c>
      <c r="S118" s="4">
        <v>43</v>
      </c>
      <c r="T118" s="1" t="s">
        <v>390</v>
      </c>
      <c r="U118" s="1" t="s">
        <v>400</v>
      </c>
      <c r="V118" s="4">
        <v>23</v>
      </c>
      <c r="W118" s="4" t="s">
        <v>221</v>
      </c>
      <c r="X118" s="93">
        <v>44709.570138888892</v>
      </c>
      <c r="Y118" s="1" t="s">
        <v>392</v>
      </c>
      <c r="Z118" s="1" t="s">
        <v>758</v>
      </c>
      <c r="AA118" s="115">
        <v>125</v>
      </c>
    </row>
    <row r="119" spans="1:27" x14ac:dyDescent="0.3">
      <c r="G119" s="87"/>
      <c r="H119" t="s">
        <v>1099</v>
      </c>
      <c r="I119" s="4" t="s">
        <v>221</v>
      </c>
      <c r="J119" s="18" t="s">
        <v>369</v>
      </c>
      <c r="S119" s="4">
        <v>43</v>
      </c>
      <c r="T119" s="1" t="s">
        <v>390</v>
      </c>
      <c r="U119" s="1" t="s">
        <v>400</v>
      </c>
      <c r="V119" s="4">
        <v>23</v>
      </c>
      <c r="W119" s="4" t="s">
        <v>221</v>
      </c>
      <c r="X119" s="93">
        <v>44709.567361111112</v>
      </c>
      <c r="Y119" s="1" t="s">
        <v>955</v>
      </c>
      <c r="Z119" s="1" t="s">
        <v>758</v>
      </c>
      <c r="AA119" s="115">
        <v>150</v>
      </c>
    </row>
    <row r="120" spans="1:27" x14ac:dyDescent="0.3">
      <c r="G120" s="87"/>
      <c r="H120" t="s">
        <v>1100</v>
      </c>
      <c r="I120" s="4" t="s">
        <v>221</v>
      </c>
      <c r="J120" s="18" t="s">
        <v>372</v>
      </c>
      <c r="S120" s="4">
        <v>57</v>
      </c>
      <c r="T120" s="1" t="s">
        <v>257</v>
      </c>
      <c r="U120" s="1" t="s">
        <v>8</v>
      </c>
      <c r="V120" s="4">
        <v>25</v>
      </c>
      <c r="W120" s="4" t="s">
        <v>221</v>
      </c>
      <c r="X120" s="93">
        <v>44680.863888888889</v>
      </c>
      <c r="Y120" s="1" t="s">
        <v>392</v>
      </c>
      <c r="Z120" s="1" t="s">
        <v>758</v>
      </c>
      <c r="AA120" s="115">
        <v>125</v>
      </c>
    </row>
    <row r="121" spans="1:27" x14ac:dyDescent="0.3">
      <c r="G121" s="87"/>
      <c r="H121" t="s">
        <v>1101</v>
      </c>
      <c r="I121" s="4" t="s">
        <v>221</v>
      </c>
      <c r="J121" s="18" t="s">
        <v>229</v>
      </c>
      <c r="S121" s="4">
        <v>57</v>
      </c>
      <c r="T121" s="1" t="s">
        <v>257</v>
      </c>
      <c r="U121" s="1" t="s">
        <v>8</v>
      </c>
      <c r="V121" s="4">
        <v>25</v>
      </c>
      <c r="W121" s="4" t="s">
        <v>221</v>
      </c>
      <c r="X121" s="93">
        <v>44680.863888888889</v>
      </c>
      <c r="Y121" s="1" t="s">
        <v>955</v>
      </c>
      <c r="Z121" s="1" t="s">
        <v>758</v>
      </c>
      <c r="AA121" s="115">
        <v>150</v>
      </c>
    </row>
    <row r="122" spans="1:27" x14ac:dyDescent="0.3">
      <c r="G122" s="87"/>
      <c r="H122" t="s">
        <v>1102</v>
      </c>
      <c r="I122" s="4" t="s">
        <v>221</v>
      </c>
      <c r="J122" s="18" t="s">
        <v>373</v>
      </c>
      <c r="S122" s="4">
        <v>59</v>
      </c>
      <c r="T122" s="1" t="s">
        <v>25</v>
      </c>
      <c r="U122" s="1" t="s">
        <v>6</v>
      </c>
      <c r="V122" s="4">
        <v>33</v>
      </c>
      <c r="W122" s="4" t="s">
        <v>221</v>
      </c>
      <c r="X122" s="93">
        <v>44677.732638888891</v>
      </c>
      <c r="Y122" s="1" t="s">
        <v>392</v>
      </c>
      <c r="Z122" s="1" t="s">
        <v>758</v>
      </c>
      <c r="AA122" s="115">
        <v>125</v>
      </c>
    </row>
    <row r="123" spans="1:27" x14ac:dyDescent="0.3">
      <c r="G123" s="87"/>
      <c r="H123" t="s">
        <v>706</v>
      </c>
      <c r="I123" s="4" t="s">
        <v>221</v>
      </c>
      <c r="J123" s="18" t="s">
        <v>368</v>
      </c>
      <c r="S123" s="4"/>
      <c r="T123" s="1"/>
      <c r="U123" s="1"/>
      <c r="V123" s="4"/>
      <c r="W123" s="76"/>
      <c r="X123" s="4"/>
      <c r="Y123" s="1"/>
      <c r="Z123" s="1"/>
    </row>
    <row r="124" spans="1:27" x14ac:dyDescent="0.3">
      <c r="G124" s="87"/>
      <c r="H124" t="s">
        <v>510</v>
      </c>
      <c r="I124" s="4" t="s">
        <v>510</v>
      </c>
      <c r="J124" s="18" t="s">
        <v>510</v>
      </c>
      <c r="S124" s="4"/>
      <c r="T124" s="1"/>
      <c r="U124" s="1"/>
      <c r="V124" s="4"/>
      <c r="W124" s="76"/>
      <c r="X124" s="4"/>
      <c r="Y124" s="1"/>
      <c r="Z124" s="1"/>
    </row>
    <row r="125" spans="1:27" x14ac:dyDescent="0.3">
      <c r="G125" s="87"/>
      <c r="H125" t="s">
        <v>835</v>
      </c>
      <c r="I125" s="4"/>
      <c r="J125" s="18"/>
      <c r="S125" s="4"/>
      <c r="T125" s="1"/>
      <c r="U125" s="1"/>
      <c r="V125" s="4"/>
      <c r="W125" s="76"/>
      <c r="X125" s="4"/>
      <c r="Y125" s="1"/>
      <c r="Z125" s="1"/>
    </row>
    <row r="126" spans="1:27" x14ac:dyDescent="0.3">
      <c r="G126" s="87"/>
      <c r="H126" t="s">
        <v>1103</v>
      </c>
      <c r="I126" s="4" t="s">
        <v>221</v>
      </c>
      <c r="J126" s="18" t="s">
        <v>355</v>
      </c>
      <c r="S126" s="4"/>
      <c r="T126" s="1"/>
      <c r="U126" s="1"/>
      <c r="V126" s="4"/>
      <c r="W126" s="76"/>
      <c r="X126" s="4"/>
      <c r="Y126" s="1"/>
      <c r="Z126" s="1"/>
    </row>
    <row r="127" spans="1:27" x14ac:dyDescent="0.3">
      <c r="G127" s="87"/>
      <c r="H127" t="s">
        <v>1104</v>
      </c>
      <c r="I127" s="4" t="s">
        <v>221</v>
      </c>
      <c r="J127" s="18" t="s">
        <v>701</v>
      </c>
    </row>
    <row r="128" spans="1:27" x14ac:dyDescent="0.3">
      <c r="G128" s="87"/>
      <c r="H128" t="s">
        <v>1105</v>
      </c>
      <c r="I128" s="4" t="s">
        <v>221</v>
      </c>
      <c r="J128" s="18" t="s">
        <v>603</v>
      </c>
    </row>
    <row r="129" spans="7:10" x14ac:dyDescent="0.3">
      <c r="G129" s="87"/>
      <c r="H129" t="s">
        <v>1106</v>
      </c>
      <c r="I129" s="4" t="s">
        <v>221</v>
      </c>
      <c r="J129" s="18" t="s">
        <v>451</v>
      </c>
    </row>
    <row r="130" spans="7:10" x14ac:dyDescent="0.3">
      <c r="G130" s="87"/>
      <c r="H130" t="s">
        <v>1107</v>
      </c>
      <c r="I130" s="4" t="s">
        <v>221</v>
      </c>
      <c r="J130" s="18" t="s">
        <v>367</v>
      </c>
    </row>
    <row r="131" spans="7:10" x14ac:dyDescent="0.3">
      <c r="G131" s="87"/>
      <c r="H131" t="s">
        <v>1108</v>
      </c>
      <c r="I131" s="4" t="s">
        <v>221</v>
      </c>
      <c r="J131" s="18" t="s">
        <v>279</v>
      </c>
    </row>
    <row r="132" spans="7:10" x14ac:dyDescent="0.3">
      <c r="G132" s="87"/>
      <c r="H132" t="s">
        <v>1109</v>
      </c>
      <c r="I132" s="4" t="s">
        <v>221</v>
      </c>
      <c r="J132" s="18" t="s">
        <v>262</v>
      </c>
    </row>
    <row r="133" spans="7:10" x14ac:dyDescent="0.3">
      <c r="G133" s="87"/>
      <c r="H133" t="s">
        <v>510</v>
      </c>
      <c r="I133" s="4" t="s">
        <v>510</v>
      </c>
      <c r="J133" s="18" t="s">
        <v>510</v>
      </c>
    </row>
    <row r="134" spans="7:10" x14ac:dyDescent="0.3">
      <c r="G134" s="87"/>
      <c r="H134" t="s">
        <v>836</v>
      </c>
      <c r="I134" s="4"/>
      <c r="J134" s="18"/>
    </row>
    <row r="135" spans="7:10" x14ac:dyDescent="0.3">
      <c r="G135" s="87"/>
      <c r="H135" t="s">
        <v>1110</v>
      </c>
      <c r="I135" s="4" t="s">
        <v>221</v>
      </c>
      <c r="J135" s="18" t="s">
        <v>885</v>
      </c>
    </row>
    <row r="136" spans="7:10" x14ac:dyDescent="0.3">
      <c r="G136" s="87"/>
      <c r="H136" t="s">
        <v>708</v>
      </c>
      <c r="I136" s="4" t="s">
        <v>221</v>
      </c>
      <c r="J136" s="18" t="s">
        <v>354</v>
      </c>
    </row>
    <row r="137" spans="7:10" x14ac:dyDescent="0.3">
      <c r="G137" s="87"/>
      <c r="H137" t="s">
        <v>707</v>
      </c>
      <c r="I137" s="4" t="s">
        <v>221</v>
      </c>
      <c r="J137" s="18" t="s">
        <v>376</v>
      </c>
    </row>
    <row r="138" spans="7:10" x14ac:dyDescent="0.3">
      <c r="G138" s="87"/>
      <c r="H138" t="s">
        <v>1111</v>
      </c>
      <c r="I138" s="4" t="s">
        <v>221</v>
      </c>
      <c r="J138" s="18" t="s">
        <v>353</v>
      </c>
    </row>
    <row r="139" spans="7:10" x14ac:dyDescent="0.3">
      <c r="G139" s="87"/>
      <c r="H139" t="s">
        <v>1112</v>
      </c>
      <c r="I139" s="4" t="s">
        <v>221</v>
      </c>
      <c r="J139" s="18" t="s">
        <v>361</v>
      </c>
    </row>
    <row r="140" spans="7:10" x14ac:dyDescent="0.3">
      <c r="G140" s="87"/>
      <c r="H140" t="s">
        <v>709</v>
      </c>
      <c r="I140" s="4" t="s">
        <v>221</v>
      </c>
      <c r="J140" s="18" t="s">
        <v>363</v>
      </c>
    </row>
    <row r="141" spans="7:10" x14ac:dyDescent="0.3">
      <c r="G141" s="87"/>
      <c r="H141" t="s">
        <v>510</v>
      </c>
      <c r="I141" s="4" t="s">
        <v>510</v>
      </c>
      <c r="J141" s="18" t="s">
        <v>510</v>
      </c>
    </row>
    <row r="142" spans="7:10" x14ac:dyDescent="0.3">
      <c r="G142" s="87"/>
      <c r="H142" t="s">
        <v>853</v>
      </c>
      <c r="I142" s="4"/>
      <c r="J142" s="18"/>
    </row>
    <row r="143" spans="7:10" x14ac:dyDescent="0.3">
      <c r="G143" s="87"/>
      <c r="H143" t="s">
        <v>854</v>
      </c>
      <c r="I143" s="4" t="s">
        <v>221</v>
      </c>
      <c r="J143" s="18" t="s">
        <v>852</v>
      </c>
    </row>
    <row r="144" spans="7:10" x14ac:dyDescent="0.3">
      <c r="G144" s="87"/>
      <c r="H144" t="s">
        <v>1113</v>
      </c>
      <c r="I144" s="4" t="s">
        <v>221</v>
      </c>
      <c r="J144" s="18" t="s">
        <v>423</v>
      </c>
    </row>
    <row r="145" spans="7:10" x14ac:dyDescent="0.3">
      <c r="G145" s="87"/>
      <c r="H145" t="s">
        <v>714</v>
      </c>
      <c r="I145" s="4" t="s">
        <v>221</v>
      </c>
      <c r="J145" s="18" t="s">
        <v>374</v>
      </c>
    </row>
    <row r="146" spans="7:10" x14ac:dyDescent="0.3">
      <c r="G146" s="87"/>
      <c r="H146" t="s">
        <v>510</v>
      </c>
      <c r="I146" s="4" t="s">
        <v>510</v>
      </c>
      <c r="J146" s="18" t="s">
        <v>510</v>
      </c>
    </row>
    <row r="147" spans="7:10" x14ac:dyDescent="0.3">
      <c r="G147" s="87"/>
      <c r="H147" t="s">
        <v>837</v>
      </c>
      <c r="I147" s="4"/>
      <c r="J147" s="18"/>
    </row>
    <row r="148" spans="7:10" x14ac:dyDescent="0.3">
      <c r="G148" s="87"/>
      <c r="H148" t="s">
        <v>711</v>
      </c>
      <c r="I148" s="4" t="s">
        <v>221</v>
      </c>
      <c r="J148" s="18" t="s">
        <v>611</v>
      </c>
    </row>
    <row r="149" spans="7:10" x14ac:dyDescent="0.3">
      <c r="G149" s="87"/>
      <c r="H149" t="s">
        <v>712</v>
      </c>
      <c r="I149" s="4" t="s">
        <v>221</v>
      </c>
      <c r="J149" s="18" t="s">
        <v>582</v>
      </c>
    </row>
    <row r="150" spans="7:10" x14ac:dyDescent="0.3">
      <c r="G150" s="87"/>
      <c r="H150" t="s">
        <v>710</v>
      </c>
      <c r="I150" s="4" t="s">
        <v>221</v>
      </c>
      <c r="J150" s="18" t="s">
        <v>584</v>
      </c>
    </row>
    <row r="151" spans="7:10" x14ac:dyDescent="0.3">
      <c r="G151" s="87"/>
      <c r="H151" t="s">
        <v>510</v>
      </c>
      <c r="I151" s="4" t="s">
        <v>510</v>
      </c>
      <c r="J151" s="18" t="s">
        <v>510</v>
      </c>
    </row>
    <row r="152" spans="7:10" x14ac:dyDescent="0.3">
      <c r="G152" s="87"/>
      <c r="H152" t="s">
        <v>889</v>
      </c>
      <c r="I152" s="4"/>
      <c r="J152" s="18"/>
    </row>
    <row r="153" spans="7:10" x14ac:dyDescent="0.3">
      <c r="G153" s="87"/>
      <c r="H153" t="s">
        <v>890</v>
      </c>
      <c r="I153" s="4" t="s">
        <v>221</v>
      </c>
      <c r="J153" s="18" t="s">
        <v>881</v>
      </c>
    </row>
    <row r="154" spans="7:10" x14ac:dyDescent="0.3">
      <c r="G154" s="87"/>
      <c r="H154" t="s">
        <v>717</v>
      </c>
      <c r="I154" s="4" t="s">
        <v>221</v>
      </c>
      <c r="J154" s="18" t="s">
        <v>366</v>
      </c>
    </row>
    <row r="155" spans="7:10" x14ac:dyDescent="0.3">
      <c r="G155" s="87"/>
      <c r="H155" t="s">
        <v>510</v>
      </c>
      <c r="I155" s="4" t="s">
        <v>510</v>
      </c>
      <c r="J155" s="18" t="s">
        <v>510</v>
      </c>
    </row>
    <row r="156" spans="7:10" x14ac:dyDescent="0.3">
      <c r="G156" s="87"/>
      <c r="H156" t="s">
        <v>838</v>
      </c>
      <c r="I156" s="4"/>
      <c r="J156" s="18"/>
    </row>
    <row r="157" spans="7:10" x14ac:dyDescent="0.3">
      <c r="G157" s="87"/>
      <c r="H157" t="s">
        <v>1114</v>
      </c>
      <c r="I157" s="4" t="s">
        <v>221</v>
      </c>
      <c r="J157" s="18" t="s">
        <v>573</v>
      </c>
    </row>
    <row r="158" spans="7:10" x14ac:dyDescent="0.3">
      <c r="G158" s="87"/>
      <c r="H158" t="s">
        <v>510</v>
      </c>
      <c r="I158" s="4" t="s">
        <v>510</v>
      </c>
      <c r="J158" s="18" t="s">
        <v>510</v>
      </c>
    </row>
    <row r="159" spans="7:10" x14ac:dyDescent="0.3">
      <c r="G159" s="87"/>
      <c r="H159" t="s">
        <v>911</v>
      </c>
      <c r="I159" s="4"/>
      <c r="J159" s="18"/>
    </row>
    <row r="160" spans="7:10" x14ac:dyDescent="0.3">
      <c r="G160" s="87"/>
      <c r="H160" t="s">
        <v>713</v>
      </c>
      <c r="I160" s="4" t="s">
        <v>221</v>
      </c>
      <c r="J160" s="18" t="s">
        <v>429</v>
      </c>
    </row>
    <row r="161" spans="7:10" x14ac:dyDescent="0.3">
      <c r="G161" s="87"/>
      <c r="H161" t="s">
        <v>510</v>
      </c>
      <c r="I161" s="4" t="s">
        <v>510</v>
      </c>
      <c r="J161" s="18" t="s">
        <v>510</v>
      </c>
    </row>
    <row r="162" spans="7:10" x14ac:dyDescent="0.3">
      <c r="G162" s="87"/>
      <c r="H162" t="s">
        <v>596</v>
      </c>
      <c r="I162" s="4"/>
      <c r="J162" s="18"/>
    </row>
    <row r="163" spans="7:10" x14ac:dyDescent="0.3">
      <c r="G163" s="87"/>
      <c r="H163" t="s">
        <v>1115</v>
      </c>
      <c r="I163" s="4" t="s">
        <v>221</v>
      </c>
      <c r="J163" s="18" t="s">
        <v>595</v>
      </c>
    </row>
    <row r="164" spans="7:10" x14ac:dyDescent="0.3">
      <c r="G164" s="87"/>
      <c r="H164" t="s">
        <v>510</v>
      </c>
      <c r="I164" s="4" t="s">
        <v>510</v>
      </c>
      <c r="J164" s="18" t="s">
        <v>510</v>
      </c>
    </row>
    <row r="165" spans="7:10" x14ac:dyDescent="0.3">
      <c r="G165" s="87"/>
      <c r="H165" t="s">
        <v>754</v>
      </c>
      <c r="I165" s="4"/>
      <c r="J165" s="18"/>
    </row>
    <row r="166" spans="7:10" x14ac:dyDescent="0.3">
      <c r="G166" s="87"/>
      <c r="H166" t="s">
        <v>1116</v>
      </c>
      <c r="I166" s="4" t="s">
        <v>221</v>
      </c>
      <c r="J166" s="18" t="s">
        <v>753</v>
      </c>
    </row>
    <row r="167" spans="7:10" x14ac:dyDescent="0.3">
      <c r="G167" s="87"/>
      <c r="H167" t="s">
        <v>510</v>
      </c>
      <c r="I167" s="4" t="s">
        <v>510</v>
      </c>
      <c r="J167" s="18" t="s">
        <v>510</v>
      </c>
    </row>
    <row r="168" spans="7:10" x14ac:dyDescent="0.3">
      <c r="G168" s="87"/>
      <c r="H168" t="s">
        <v>839</v>
      </c>
      <c r="I168" s="4"/>
      <c r="J168" s="18"/>
    </row>
    <row r="169" spans="7:10" x14ac:dyDescent="0.3">
      <c r="G169" s="87"/>
      <c r="H169" t="s">
        <v>715</v>
      </c>
      <c r="I169" s="4" t="s">
        <v>221</v>
      </c>
      <c r="J169" s="18" t="s">
        <v>622</v>
      </c>
    </row>
    <row r="170" spans="7:10" x14ac:dyDescent="0.3">
      <c r="G170" s="87"/>
      <c r="H170" t="s">
        <v>510</v>
      </c>
      <c r="I170" s="4" t="s">
        <v>510</v>
      </c>
      <c r="J170" s="18" t="s">
        <v>510</v>
      </c>
    </row>
    <row r="171" spans="7:10" x14ac:dyDescent="0.3">
      <c r="G171" s="87"/>
      <c r="H171" t="s">
        <v>840</v>
      </c>
      <c r="I171" s="4"/>
      <c r="J171" s="18"/>
    </row>
    <row r="172" spans="7:10" x14ac:dyDescent="0.3">
      <c r="G172" s="87"/>
      <c r="H172" t="s">
        <v>739</v>
      </c>
      <c r="I172" s="4" t="s">
        <v>221</v>
      </c>
      <c r="J172" s="18" t="s">
        <v>743</v>
      </c>
    </row>
    <row r="173" spans="7:10" x14ac:dyDescent="0.3">
      <c r="G173" s="87"/>
      <c r="H173" t="s">
        <v>510</v>
      </c>
      <c r="I173" s="4" t="s">
        <v>510</v>
      </c>
      <c r="J173" s="18" t="s">
        <v>510</v>
      </c>
    </row>
    <row r="174" spans="7:10" x14ac:dyDescent="0.3">
      <c r="G174" s="87"/>
      <c r="H174" t="s">
        <v>511</v>
      </c>
      <c r="I174" s="4"/>
      <c r="J174" s="18"/>
    </row>
    <row r="175" spans="7:10" x14ac:dyDescent="0.3">
      <c r="G175" s="87"/>
      <c r="H175" t="s">
        <v>1117</v>
      </c>
      <c r="I175" s="4" t="s">
        <v>221</v>
      </c>
      <c r="J175" s="18" t="s">
        <v>375</v>
      </c>
    </row>
    <row r="176" spans="7:10" x14ac:dyDescent="0.3">
      <c r="G176" s="87"/>
      <c r="H176" t="s">
        <v>510</v>
      </c>
      <c r="I176" s="4" t="s">
        <v>510</v>
      </c>
      <c r="J176" s="18" t="s">
        <v>510</v>
      </c>
    </row>
    <row r="177" spans="7:10" x14ac:dyDescent="0.3">
      <c r="G177" s="87"/>
      <c r="H177" t="s">
        <v>841</v>
      </c>
      <c r="I177" s="4"/>
      <c r="J177" s="18"/>
    </row>
    <row r="178" spans="7:10" x14ac:dyDescent="0.3">
      <c r="G178" s="87"/>
      <c r="H178" t="s">
        <v>716</v>
      </c>
      <c r="I178" s="4" t="s">
        <v>221</v>
      </c>
      <c r="J178" s="18" t="s">
        <v>503</v>
      </c>
    </row>
    <row r="179" spans="7:10" x14ac:dyDescent="0.3">
      <c r="G179" s="87"/>
      <c r="H179" t="s">
        <v>510</v>
      </c>
      <c r="I179" s="4" t="s">
        <v>510</v>
      </c>
      <c r="J179" s="18" t="s">
        <v>510</v>
      </c>
    </row>
    <row r="180" spans="7:10" x14ac:dyDescent="0.3">
      <c r="G180" s="87"/>
      <c r="H180" t="s">
        <v>842</v>
      </c>
      <c r="I180" s="4"/>
      <c r="J180" s="18"/>
    </row>
    <row r="181" spans="7:10" x14ac:dyDescent="0.3">
      <c r="G181" s="87"/>
      <c r="H181" t="s">
        <v>1118</v>
      </c>
      <c r="I181" s="4" t="s">
        <v>221</v>
      </c>
      <c r="J181" s="18" t="s">
        <v>370</v>
      </c>
    </row>
    <row r="182" spans="7:10" x14ac:dyDescent="0.3">
      <c r="G182" s="87"/>
      <c r="H182" t="s">
        <v>510</v>
      </c>
      <c r="I182" s="4" t="s">
        <v>510</v>
      </c>
      <c r="J182" s="18" t="s">
        <v>510</v>
      </c>
    </row>
    <row r="183" spans="7:10" x14ac:dyDescent="0.3">
      <c r="G183" s="87"/>
      <c r="H183" t="s">
        <v>843</v>
      </c>
      <c r="I183" s="4"/>
      <c r="J183" s="18"/>
    </row>
    <row r="184" spans="7:10" x14ac:dyDescent="0.3">
      <c r="G184" s="87"/>
      <c r="H184" t="s">
        <v>1119</v>
      </c>
      <c r="I184" s="4" t="s">
        <v>221</v>
      </c>
      <c r="J184" s="18" t="s">
        <v>575</v>
      </c>
    </row>
    <row r="185" spans="7:10" x14ac:dyDescent="0.3">
      <c r="G185" s="87"/>
      <c r="H185" t="s">
        <v>510</v>
      </c>
      <c r="I185" s="4" t="s">
        <v>510</v>
      </c>
      <c r="J185" s="18" t="s">
        <v>510</v>
      </c>
    </row>
    <row r="186" spans="7:10" x14ac:dyDescent="0.3">
      <c r="G186" s="87"/>
      <c r="H186" t="s">
        <v>844</v>
      </c>
      <c r="I186" s="4"/>
      <c r="J186" s="18"/>
    </row>
    <row r="187" spans="7:10" x14ac:dyDescent="0.3">
      <c r="G187" s="87"/>
      <c r="H187" t="s">
        <v>718</v>
      </c>
      <c r="I187" s="4" t="s">
        <v>221</v>
      </c>
      <c r="J187" s="18" t="s">
        <v>742</v>
      </c>
    </row>
    <row r="188" spans="7:10" x14ac:dyDescent="0.3">
      <c r="G188" s="87"/>
      <c r="H188" t="s">
        <v>719</v>
      </c>
      <c r="I188" s="4" t="s">
        <v>221</v>
      </c>
      <c r="J188" s="18" t="s">
        <v>741</v>
      </c>
    </row>
    <row r="189" spans="7:10" x14ac:dyDescent="0.3">
      <c r="G189" s="87"/>
      <c r="H189" t="s">
        <v>1120</v>
      </c>
      <c r="I189" s="4" t="s">
        <v>221</v>
      </c>
      <c r="J189" s="18" t="s">
        <v>740</v>
      </c>
    </row>
  </sheetData>
  <sheetProtection selectLockedCells="1" autoFilter="0"/>
  <mergeCells count="125"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B1"/>
      <selection pane="bottomLeft" sqref="A1:AC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18" t="s">
        <v>170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</row>
    <row r="2" spans="1:29" x14ac:dyDescent="0.3">
      <c r="A2" s="133" t="str">
        <f>'🗂️ Filtre nøgletal'!$A$2</f>
        <v>🔃 Opdateret 25-11-2022 kl. 23:53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</row>
    <row r="3" spans="1:29" x14ac:dyDescent="0.3">
      <c r="A3" s="177" t="s">
        <v>71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7"/>
    </row>
    <row r="4" spans="1:29" x14ac:dyDescent="0.3">
      <c r="A4" s="177"/>
      <c r="B4" s="177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</row>
    <row r="6" spans="1:29" x14ac:dyDescent="0.3">
      <c r="A6" s="178" t="s">
        <v>67</v>
      </c>
      <c r="B6" s="178"/>
      <c r="C6" s="178"/>
      <c r="D6" s="178"/>
      <c r="F6" s="178" t="s">
        <v>68</v>
      </c>
      <c r="G6" s="178"/>
      <c r="H6" s="178"/>
      <c r="I6" s="178"/>
      <c r="K6" s="178" t="s">
        <v>69</v>
      </c>
      <c r="L6" s="178"/>
      <c r="M6" s="178"/>
      <c r="N6" s="178"/>
      <c r="P6" s="178" t="s">
        <v>70</v>
      </c>
      <c r="Q6" s="178"/>
      <c r="R6" s="178"/>
      <c r="S6" s="178"/>
      <c r="U6" s="178" t="s">
        <v>72</v>
      </c>
      <c r="V6" s="178"/>
      <c r="W6" s="178"/>
      <c r="X6" s="178"/>
      <c r="Z6" s="178" t="s">
        <v>73</v>
      </c>
      <c r="AA6" s="178"/>
      <c r="AB6" s="178"/>
      <c r="AC6" s="178"/>
    </row>
    <row r="7" spans="1:29" x14ac:dyDescent="0.3">
      <c r="A7" s="105" t="s">
        <v>811</v>
      </c>
      <c r="B7" s="106" t="s">
        <v>812</v>
      </c>
      <c r="C7" s="107" t="s">
        <v>813</v>
      </c>
      <c r="D7" s="108" t="s">
        <v>814</v>
      </c>
      <c r="E7" s="113" t="s">
        <v>68</v>
      </c>
      <c r="F7" s="105" t="s">
        <v>815</v>
      </c>
      <c r="G7" s="106" t="s">
        <v>816</v>
      </c>
      <c r="H7" s="107" t="s">
        <v>817</v>
      </c>
      <c r="I7" s="108" t="s">
        <v>818</v>
      </c>
      <c r="J7" s="113" t="s">
        <v>69</v>
      </c>
      <c r="K7" s="105" t="s">
        <v>819</v>
      </c>
      <c r="L7" s="106" t="s">
        <v>820</v>
      </c>
      <c r="M7" s="107" t="s">
        <v>821</v>
      </c>
      <c r="N7" s="108" t="s">
        <v>822</v>
      </c>
      <c r="O7" s="113" t="s">
        <v>70</v>
      </c>
      <c r="P7" s="105" t="s">
        <v>823</v>
      </c>
      <c r="Q7" s="106" t="s">
        <v>824</v>
      </c>
      <c r="R7" s="107" t="s">
        <v>825</v>
      </c>
      <c r="S7" s="108" t="s">
        <v>826</v>
      </c>
      <c r="T7" s="113" t="s">
        <v>72</v>
      </c>
      <c r="U7" s="105" t="s">
        <v>827</v>
      </c>
      <c r="V7" s="106" t="s">
        <v>828</v>
      </c>
      <c r="W7" s="107" t="s">
        <v>829</v>
      </c>
      <c r="X7" s="108" t="s">
        <v>830</v>
      </c>
      <c r="Y7" s="113" t="s">
        <v>73</v>
      </c>
      <c r="Z7" s="105" t="s">
        <v>831</v>
      </c>
      <c r="AA7" s="106" t="s">
        <v>832</v>
      </c>
      <c r="AB7" s="107" t="s">
        <v>833</v>
      </c>
      <c r="AC7" s="108" t="s">
        <v>834</v>
      </c>
    </row>
    <row r="8" spans="1:29" x14ac:dyDescent="0.3">
      <c r="A8" s="109">
        <v>1</v>
      </c>
      <c r="B8" t="s">
        <v>78</v>
      </c>
      <c r="C8" s="4">
        <v>28</v>
      </c>
      <c r="D8" s="110" t="s">
        <v>363</v>
      </c>
      <c r="E8" s="114">
        <v>2</v>
      </c>
      <c r="F8" s="109">
        <v>16</v>
      </c>
      <c r="G8" t="s">
        <v>574</v>
      </c>
      <c r="H8" s="4">
        <v>21</v>
      </c>
      <c r="I8" s="110" t="s">
        <v>575</v>
      </c>
      <c r="J8" s="114">
        <v>3</v>
      </c>
      <c r="K8" s="109">
        <v>17</v>
      </c>
      <c r="L8" t="s">
        <v>581</v>
      </c>
      <c r="M8" s="4">
        <v>35</v>
      </c>
      <c r="N8" s="110" t="s">
        <v>582</v>
      </c>
      <c r="O8" s="114">
        <v>4</v>
      </c>
      <c r="P8" s="109">
        <v>32</v>
      </c>
      <c r="Q8" t="s">
        <v>358</v>
      </c>
      <c r="R8" s="4">
        <v>17</v>
      </c>
      <c r="S8" s="110" t="s">
        <v>359</v>
      </c>
      <c r="T8" s="114">
        <v>5</v>
      </c>
      <c r="U8" s="109">
        <v>33</v>
      </c>
      <c r="V8" t="s">
        <v>448</v>
      </c>
      <c r="W8" s="4">
        <v>21</v>
      </c>
      <c r="X8" s="110" t="s">
        <v>622</v>
      </c>
      <c r="Y8" s="114">
        <v>6</v>
      </c>
      <c r="Z8" s="109">
        <v>48</v>
      </c>
      <c r="AA8" t="s">
        <v>738</v>
      </c>
      <c r="AB8" s="4">
        <v>25</v>
      </c>
      <c r="AC8" s="110" t="s">
        <v>743</v>
      </c>
    </row>
    <row r="9" spans="1:29" x14ac:dyDescent="0.3">
      <c r="A9" s="109">
        <v>2</v>
      </c>
      <c r="B9" t="s">
        <v>278</v>
      </c>
      <c r="C9" s="4">
        <v>21</v>
      </c>
      <c r="D9" s="110" t="s">
        <v>279</v>
      </c>
      <c r="E9" s="113">
        <v>2</v>
      </c>
      <c r="F9" s="109">
        <v>15</v>
      </c>
      <c r="G9" t="s">
        <v>502</v>
      </c>
      <c r="H9" s="4">
        <v>52</v>
      </c>
      <c r="I9" s="110" t="s">
        <v>503</v>
      </c>
      <c r="J9" s="113">
        <v>3</v>
      </c>
      <c r="K9" s="109">
        <v>18</v>
      </c>
      <c r="L9" t="s">
        <v>219</v>
      </c>
      <c r="M9" s="4">
        <v>40</v>
      </c>
      <c r="N9" s="110" t="s">
        <v>368</v>
      </c>
      <c r="O9" s="113">
        <v>4</v>
      </c>
      <c r="P9" s="109">
        <v>31</v>
      </c>
      <c r="Q9" t="s">
        <v>426</v>
      </c>
      <c r="R9" s="4">
        <v>44</v>
      </c>
      <c r="S9" s="110" t="s">
        <v>429</v>
      </c>
      <c r="T9" s="113">
        <v>5</v>
      </c>
      <c r="U9" s="109">
        <v>34</v>
      </c>
      <c r="V9" t="s">
        <v>220</v>
      </c>
      <c r="W9" s="4">
        <v>72</v>
      </c>
      <c r="X9" s="110" t="s">
        <v>373</v>
      </c>
      <c r="Y9" s="113">
        <v>6</v>
      </c>
      <c r="Z9" s="109">
        <v>47</v>
      </c>
      <c r="AA9" t="s">
        <v>446</v>
      </c>
      <c r="AB9" s="4">
        <v>21</v>
      </c>
      <c r="AC9" s="110" t="s">
        <v>742</v>
      </c>
    </row>
    <row r="10" spans="1:29" x14ac:dyDescent="0.3">
      <c r="A10" s="109">
        <v>3</v>
      </c>
      <c r="B10" t="s">
        <v>281</v>
      </c>
      <c r="C10" s="4">
        <v>29</v>
      </c>
      <c r="D10" s="110" t="s">
        <v>361</v>
      </c>
      <c r="E10" s="113">
        <v>2</v>
      </c>
      <c r="F10" s="109">
        <v>14</v>
      </c>
      <c r="G10" t="s">
        <v>752</v>
      </c>
      <c r="H10" s="4">
        <v>61</v>
      </c>
      <c r="I10" s="110" t="s">
        <v>753</v>
      </c>
      <c r="J10" s="113">
        <v>3</v>
      </c>
      <c r="K10" s="109">
        <v>19</v>
      </c>
      <c r="L10" t="s">
        <v>362</v>
      </c>
      <c r="M10" s="4">
        <v>24</v>
      </c>
      <c r="N10" s="110" t="s">
        <v>369</v>
      </c>
      <c r="O10" s="113">
        <v>4</v>
      </c>
      <c r="P10" s="109">
        <v>30</v>
      </c>
      <c r="Q10" t="s">
        <v>227</v>
      </c>
      <c r="R10" s="4">
        <v>30</v>
      </c>
      <c r="S10" s="110" t="s">
        <v>372</v>
      </c>
      <c r="T10" s="113">
        <v>5</v>
      </c>
      <c r="U10" s="109">
        <v>35</v>
      </c>
      <c r="V10" t="s">
        <v>851</v>
      </c>
      <c r="W10" s="4">
        <v>56</v>
      </c>
      <c r="X10" s="110" t="s">
        <v>852</v>
      </c>
      <c r="Y10" s="113">
        <v>6</v>
      </c>
      <c r="Z10" s="109">
        <v>46</v>
      </c>
      <c r="AA10" t="s">
        <v>306</v>
      </c>
      <c r="AB10" s="4">
        <v>69</v>
      </c>
      <c r="AC10" s="110" t="s">
        <v>741</v>
      </c>
    </row>
    <row r="11" spans="1:29" x14ac:dyDescent="0.3">
      <c r="A11" s="109">
        <v>4</v>
      </c>
      <c r="B11" t="s">
        <v>450</v>
      </c>
      <c r="C11" s="4">
        <v>34</v>
      </c>
      <c r="D11" s="110" t="s">
        <v>451</v>
      </c>
      <c r="E11" s="113">
        <v>2</v>
      </c>
      <c r="F11" s="109">
        <v>13</v>
      </c>
      <c r="G11" t="s">
        <v>422</v>
      </c>
      <c r="H11" s="4">
        <v>29</v>
      </c>
      <c r="I11" s="110" t="s">
        <v>423</v>
      </c>
      <c r="J11" s="113">
        <v>3</v>
      </c>
      <c r="K11" s="109">
        <v>20</v>
      </c>
      <c r="L11" t="s">
        <v>504</v>
      </c>
      <c r="M11" s="4">
        <v>19</v>
      </c>
      <c r="N11" s="110" t="s">
        <v>505</v>
      </c>
      <c r="O11" s="113">
        <v>4</v>
      </c>
      <c r="P11" s="109">
        <v>29</v>
      </c>
      <c r="Q11" t="s">
        <v>251</v>
      </c>
      <c r="R11" s="4">
        <v>39</v>
      </c>
      <c r="S11" s="110" t="s">
        <v>371</v>
      </c>
      <c r="T11" s="113">
        <v>5</v>
      </c>
      <c r="U11" s="109">
        <v>36</v>
      </c>
      <c r="V11" t="s">
        <v>214</v>
      </c>
      <c r="W11" s="4">
        <v>50</v>
      </c>
      <c r="X11" s="110" t="s">
        <v>374</v>
      </c>
      <c r="Y11" s="113">
        <v>6</v>
      </c>
      <c r="Z11" s="109">
        <v>45</v>
      </c>
      <c r="AA11" t="s">
        <v>260</v>
      </c>
      <c r="AB11" s="4">
        <v>38</v>
      </c>
      <c r="AC11" s="110" t="s">
        <v>740</v>
      </c>
    </row>
    <row r="12" spans="1:29" x14ac:dyDescent="0.3">
      <c r="A12" s="109">
        <v>5</v>
      </c>
      <c r="B12" t="s">
        <v>610</v>
      </c>
      <c r="C12" s="4">
        <v>29</v>
      </c>
      <c r="D12" s="110" t="s">
        <v>611</v>
      </c>
      <c r="E12" s="113">
        <v>2</v>
      </c>
      <c r="F12" s="109">
        <v>12</v>
      </c>
      <c r="G12" t="s">
        <v>261</v>
      </c>
      <c r="H12" s="4">
        <v>22</v>
      </c>
      <c r="I12" s="110" t="s">
        <v>262</v>
      </c>
      <c r="J12" s="113">
        <v>3</v>
      </c>
      <c r="K12" s="109">
        <v>21</v>
      </c>
      <c r="L12" t="s">
        <v>583</v>
      </c>
      <c r="M12" s="4">
        <v>36</v>
      </c>
      <c r="N12" s="110" t="s">
        <v>584</v>
      </c>
      <c r="O12" s="113">
        <v>4</v>
      </c>
      <c r="P12" s="109">
        <v>28</v>
      </c>
      <c r="Q12" t="s">
        <v>700</v>
      </c>
      <c r="R12" s="4">
        <v>16</v>
      </c>
      <c r="S12" s="110" t="s">
        <v>701</v>
      </c>
      <c r="T12" s="113">
        <v>5</v>
      </c>
      <c r="U12" s="109">
        <v>37</v>
      </c>
      <c r="V12" t="s">
        <v>342</v>
      </c>
      <c r="W12" s="4">
        <v>60</v>
      </c>
      <c r="X12" s="110" t="s">
        <v>375</v>
      </c>
      <c r="Y12" s="113">
        <v>6</v>
      </c>
      <c r="Z12" s="109">
        <v>44</v>
      </c>
      <c r="AA12" t="s">
        <v>886</v>
      </c>
      <c r="AB12" s="4">
        <v>10</v>
      </c>
      <c r="AC12" s="110" t="s">
        <v>905</v>
      </c>
    </row>
    <row r="13" spans="1:29" x14ac:dyDescent="0.3">
      <c r="A13" s="109">
        <v>6</v>
      </c>
      <c r="B13" t="s">
        <v>275</v>
      </c>
      <c r="C13" s="4">
        <v>57</v>
      </c>
      <c r="D13" s="110" t="s">
        <v>366</v>
      </c>
      <c r="E13" s="113">
        <v>2</v>
      </c>
      <c r="F13" s="109">
        <v>11</v>
      </c>
      <c r="G13" t="s">
        <v>602</v>
      </c>
      <c r="H13" s="4">
        <v>20</v>
      </c>
      <c r="I13" s="110" t="s">
        <v>603</v>
      </c>
      <c r="J13" s="113">
        <v>3</v>
      </c>
      <c r="K13" s="109">
        <v>22</v>
      </c>
      <c r="L13" t="s">
        <v>223</v>
      </c>
      <c r="M13" s="4">
        <v>26</v>
      </c>
      <c r="N13" s="110" t="s">
        <v>229</v>
      </c>
      <c r="O13" s="113">
        <v>4</v>
      </c>
      <c r="P13" s="109">
        <v>27</v>
      </c>
      <c r="Q13" t="s">
        <v>277</v>
      </c>
      <c r="R13" s="4">
        <v>32</v>
      </c>
      <c r="S13" s="110" t="s">
        <v>355</v>
      </c>
      <c r="T13" s="113">
        <v>5</v>
      </c>
      <c r="U13" s="109">
        <v>38</v>
      </c>
      <c r="V13" t="s">
        <v>594</v>
      </c>
      <c r="W13" s="4">
        <v>16</v>
      </c>
      <c r="X13" s="110" t="s">
        <v>595</v>
      </c>
      <c r="Y13" s="113">
        <v>6</v>
      </c>
      <c r="Z13" s="109">
        <v>43</v>
      </c>
      <c r="AA13" t="s">
        <v>346</v>
      </c>
      <c r="AB13" s="4">
        <v>13</v>
      </c>
      <c r="AC13" s="110" t="s">
        <v>623</v>
      </c>
    </row>
    <row r="14" spans="1:29" x14ac:dyDescent="0.3">
      <c r="A14" s="109">
        <v>7</v>
      </c>
      <c r="B14" t="s">
        <v>347</v>
      </c>
      <c r="C14" s="4">
        <v>44</v>
      </c>
      <c r="D14" s="110" t="s">
        <v>353</v>
      </c>
      <c r="E14" s="113">
        <v>2</v>
      </c>
      <c r="F14" s="109">
        <v>10</v>
      </c>
      <c r="G14" t="s">
        <v>572</v>
      </c>
      <c r="H14" s="4">
        <v>20</v>
      </c>
      <c r="I14" s="110" t="s">
        <v>573</v>
      </c>
      <c r="J14" s="113">
        <v>3</v>
      </c>
      <c r="K14" s="109">
        <v>23</v>
      </c>
      <c r="L14" t="s">
        <v>224</v>
      </c>
      <c r="M14" s="4">
        <v>27</v>
      </c>
      <c r="N14" s="110" t="s">
        <v>370</v>
      </c>
      <c r="O14" s="113">
        <v>4</v>
      </c>
      <c r="P14" s="109">
        <v>26</v>
      </c>
      <c r="Q14" t="s">
        <v>730</v>
      </c>
      <c r="R14" s="4">
        <v>44</v>
      </c>
      <c r="S14" s="110" t="s">
        <v>355</v>
      </c>
      <c r="T14" s="113">
        <v>5</v>
      </c>
      <c r="U14" s="109">
        <v>39</v>
      </c>
      <c r="V14" t="s">
        <v>349</v>
      </c>
      <c r="W14" s="4">
        <v>15</v>
      </c>
      <c r="X14" s="110" t="s">
        <v>354</v>
      </c>
      <c r="Y14" s="113">
        <v>6</v>
      </c>
      <c r="Z14" s="109">
        <v>42</v>
      </c>
      <c r="AA14" t="s">
        <v>903</v>
      </c>
      <c r="AB14" s="4">
        <v>10</v>
      </c>
      <c r="AC14" s="110" t="s">
        <v>904</v>
      </c>
    </row>
    <row r="15" spans="1:29" x14ac:dyDescent="0.3">
      <c r="A15" s="109">
        <v>8</v>
      </c>
      <c r="B15" t="s">
        <v>280</v>
      </c>
      <c r="C15" s="4">
        <v>25</v>
      </c>
      <c r="D15" s="110" t="s">
        <v>367</v>
      </c>
      <c r="E15" s="113">
        <v>2</v>
      </c>
      <c r="F15" s="109">
        <v>9</v>
      </c>
      <c r="G15" t="s">
        <v>880</v>
      </c>
      <c r="H15" s="4">
        <v>33</v>
      </c>
      <c r="I15" s="110" t="s">
        <v>881</v>
      </c>
      <c r="J15" s="113">
        <v>3</v>
      </c>
      <c r="K15" s="109">
        <v>24</v>
      </c>
      <c r="L15" t="s">
        <v>882</v>
      </c>
      <c r="M15" s="4">
        <v>20</v>
      </c>
      <c r="N15" s="110" t="s">
        <v>883</v>
      </c>
      <c r="O15" s="113">
        <v>4</v>
      </c>
      <c r="P15" s="109">
        <v>25</v>
      </c>
      <c r="Q15" t="s">
        <v>546</v>
      </c>
      <c r="R15" s="4">
        <v>47</v>
      </c>
      <c r="S15" s="110" t="s">
        <v>621</v>
      </c>
      <c r="T15" s="113">
        <v>5</v>
      </c>
      <c r="U15" s="109">
        <v>40</v>
      </c>
      <c r="V15" t="s">
        <v>884</v>
      </c>
      <c r="W15" s="4">
        <v>40</v>
      </c>
      <c r="X15" s="110" t="s">
        <v>885</v>
      </c>
      <c r="Y15" s="113">
        <v>6</v>
      </c>
      <c r="Z15" s="109">
        <v>41</v>
      </c>
      <c r="AA15" t="s">
        <v>348</v>
      </c>
      <c r="AB15" s="4">
        <v>12</v>
      </c>
      <c r="AC15" s="110" t="s">
        <v>376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77" t="s">
        <v>74</v>
      </c>
      <c r="B22" s="177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</row>
    <row r="23" spans="1:29" x14ac:dyDescent="0.3">
      <c r="A23" s="177"/>
      <c r="B23" s="177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</row>
    <row r="24" spans="1:29" x14ac:dyDescent="0.3">
      <c r="A24" s="133" t="str">
        <f>'💡🏆🎫 Status'!$G$39</f>
        <v>🏓 48 ud af 96 tilmeldinger (50%)</v>
      </c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</row>
    <row r="25" spans="1:29" x14ac:dyDescent="0.3">
      <c r="A25" s="133" t="s">
        <v>757</v>
      </c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</row>
    <row r="26" spans="1:29" x14ac:dyDescent="0.3">
      <c r="A26" s="133" t="str">
        <f>'💡🏆🎫 Status'!$G$38</f>
        <v>🔃🏓 Rating opdateret pr. 27-05-2022</v>
      </c>
      <c r="B26" s="133"/>
      <c r="C26" s="133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</row>
    <row r="29" spans="1:29" x14ac:dyDescent="0.3">
      <c r="F29" s="179" t="s">
        <v>154</v>
      </c>
      <c r="G29" s="180"/>
      <c r="H29" s="180"/>
      <c r="I29" s="181"/>
      <c r="K29" s="179" t="s">
        <v>155</v>
      </c>
      <c r="L29" s="180"/>
      <c r="M29" s="180"/>
      <c r="N29" s="181"/>
      <c r="P29" s="179" t="s">
        <v>156</v>
      </c>
      <c r="Q29" s="180"/>
      <c r="R29" s="180"/>
      <c r="S29" s="181"/>
      <c r="U29" s="179" t="s">
        <v>157</v>
      </c>
      <c r="V29" s="180"/>
      <c r="W29" s="180"/>
      <c r="X29" s="181"/>
    </row>
    <row r="30" spans="1:29" x14ac:dyDescent="0.3">
      <c r="F30" s="89" t="str" cm="1">
        <f t="array" ref="F30:I30">IFERROR(IF(ISBLANK(INDEX(Tilmeldinger_billettype_1_seedning[#Headers],1,)),"",INDEX(Tilmeldinger_billettype_1_seedning[#Headers],1,)),"")</f>
        <v>Nr.</v>
      </c>
      <c r="G30" s="90" t="str">
        <v>Navn og bordtennisklub</v>
      </c>
      <c r="H30" s="91" t="str">
        <v>Alder</v>
      </c>
      <c r="I30" s="92" t="str">
        <v>Rating</v>
      </c>
      <c r="K30" s="89" t="str" cm="1">
        <f t="array" ref="K30:N30">IFERROR(IF(ISBLANK(INDEX(Tilmeldinger_billettype_1_seedning[#Headers],1,)),"",INDEX(Tilmeldinger_billettype_1_seedning[#Headers],1,)),"")</f>
        <v>Nr.</v>
      </c>
      <c r="L30" s="90" t="str">
        <v>Navn og bordtennisklub</v>
      </c>
      <c r="M30" s="91" t="str">
        <v>Alder</v>
      </c>
      <c r="N30" s="92" t="str">
        <v>Rating</v>
      </c>
      <c r="P30" s="89" t="str" cm="1">
        <f t="array" ref="P30:S30">IFERROR(IF(ISBLANK(INDEX(Tilmeldinger_billettype_1_seedning[#Headers],1,)),"",INDEX(Tilmeldinger_billettype_1_seedning[#Headers],1,)),"")</f>
        <v>Nr.</v>
      </c>
      <c r="Q30" s="90" t="str">
        <v>Navn og bordtennisklub</v>
      </c>
      <c r="R30" s="91" t="str">
        <v>Alder</v>
      </c>
      <c r="S30" s="92" t="str">
        <v>Rating</v>
      </c>
      <c r="U30" s="89" t="str" cm="1">
        <f t="array" ref="U30:X30">IFERROR(IF(ISBLANK(INDEX(Tilmeldinger_billettype_1_seedning[#Headers],1,)),"",INDEX(Tilmeldinger_billettype_1_seedning[#Headers],1,)),"")</f>
        <v>Nr.</v>
      </c>
      <c r="V30" s="90" t="str">
        <v>Navn og bordtennisklub</v>
      </c>
      <c r="W30" s="91" t="str">
        <v>Alder</v>
      </c>
      <c r="X30" s="92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34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21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61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29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17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30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39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72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38</v>
      </c>
      <c r="X36" s="44" t="str">
        <v>(Ingen rating) [1]</v>
      </c>
    </row>
    <row r="39" spans="6:24" x14ac:dyDescent="0.3">
      <c r="F39" s="179" t="s">
        <v>158</v>
      </c>
      <c r="G39" s="180"/>
      <c r="H39" s="180"/>
      <c r="I39" s="181"/>
      <c r="K39" s="179" t="s">
        <v>159</v>
      </c>
      <c r="L39" s="180"/>
      <c r="M39" s="180"/>
      <c r="N39" s="181"/>
      <c r="P39" s="179" t="s">
        <v>160</v>
      </c>
      <c r="Q39" s="180"/>
      <c r="R39" s="180"/>
      <c r="S39" s="181"/>
      <c r="U39" s="179" t="s">
        <v>161</v>
      </c>
      <c r="V39" s="180"/>
      <c r="W39" s="180"/>
      <c r="X39" s="181"/>
    </row>
    <row r="40" spans="6:24" x14ac:dyDescent="0.3">
      <c r="F40" s="89" t="str" cm="1">
        <f t="array" ref="F40:I40">IFERROR(IF(ISBLANK(INDEX(Tilmeldinger_billettype_1_seedning[#Headers],1,)),"",INDEX(Tilmeldinger_billettype_1_seedning[#Headers],1,)),"")</f>
        <v>Nr.</v>
      </c>
      <c r="G40" s="90" t="str">
        <v>Navn og bordtennisklub</v>
      </c>
      <c r="H40" s="91" t="str">
        <v>Alder</v>
      </c>
      <c r="I40" s="92" t="str">
        <v>Rating</v>
      </c>
      <c r="K40" s="89" t="str" cm="1">
        <f t="array" ref="K40:N40">IFERROR(IF(ISBLANK(INDEX(Tilmeldinger_billettype_1_seedning[#Headers],1,)),"",INDEX(Tilmeldinger_billettype_1_seedning[#Headers],1,)),"")</f>
        <v>Nr.</v>
      </c>
      <c r="L40" s="90" t="str">
        <v>Navn og bordtennisklub</v>
      </c>
      <c r="M40" s="91" t="str">
        <v>Alder</v>
      </c>
      <c r="N40" s="92" t="str">
        <v>Rating</v>
      </c>
      <c r="P40" s="89" t="str" cm="1">
        <f t="array" ref="P40:S40">IFERROR(IF(ISBLANK(INDEX(Tilmeldinger_billettype_1_seedning[#Headers],1,)),"",INDEX(Tilmeldinger_billettype_1_seedning[#Headers],1,)),"")</f>
        <v>Nr.</v>
      </c>
      <c r="Q40" s="90" t="str">
        <v>Navn og bordtennisklub</v>
      </c>
      <c r="R40" s="91" t="str">
        <v>Alder</v>
      </c>
      <c r="S40" s="92" t="str">
        <v>Rating</v>
      </c>
      <c r="U40" s="89" t="str" cm="1">
        <f t="array" ref="U40:X40">IFERROR(IF(ISBLANK(INDEX(Tilmeldinger_billettype_1_seedning[#Headers],1,)),"",INDEX(Tilmeldinger_billettype_1_seedning[#Headers],1,)),"")</f>
        <v>Nr.</v>
      </c>
      <c r="V40" s="90" t="str">
        <v>Navn og bordtennisklub</v>
      </c>
      <c r="W40" s="91" t="str">
        <v>Alder</v>
      </c>
      <c r="X40" s="92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44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25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22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20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20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16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Peter Skalborg Jensen, Sisu/MBK</v>
      </c>
      <c r="M44" s="41">
        <v>32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Hans Herluf Boisen, BTK Viby</v>
      </c>
      <c r="R44" s="41">
        <v>44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60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16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40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13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79" t="s">
        <v>165</v>
      </c>
      <c r="G49" s="180"/>
      <c r="H49" s="180"/>
      <c r="I49" s="181"/>
      <c r="K49" s="179" t="s">
        <v>164</v>
      </c>
      <c r="L49" s="180"/>
      <c r="M49" s="180"/>
      <c r="N49" s="181"/>
      <c r="P49" s="179" t="s">
        <v>163</v>
      </c>
      <c r="Q49" s="180"/>
      <c r="R49" s="180"/>
      <c r="S49" s="181"/>
      <c r="U49" s="179" t="s">
        <v>162</v>
      </c>
      <c r="V49" s="180"/>
      <c r="W49" s="180"/>
      <c r="X49" s="181"/>
    </row>
    <row r="50" spans="6:24" x14ac:dyDescent="0.3">
      <c r="F50" s="89" t="str" cm="1">
        <f t="array" ref="F50:I50">IFERROR(IF(ISBLANK(INDEX(Tilmeldinger_billettype_1_seedning[#Headers],1,)),"",INDEX(Tilmeldinger_billettype_1_seedning[#Headers],1,)),"")</f>
        <v>Nr.</v>
      </c>
      <c r="G50" s="90" t="str">
        <v>Navn og bordtennisklub</v>
      </c>
      <c r="H50" s="91" t="str">
        <v>Alder</v>
      </c>
      <c r="I50" s="92" t="str">
        <v>Rating</v>
      </c>
      <c r="K50" s="89" t="str" cm="1">
        <f t="array" ref="K50:N50">IFERROR(IF(ISBLANK(INDEX(Tilmeldinger_billettype_1_seedning[#Headers],1,)),"",INDEX(Tilmeldinger_billettype_1_seedning[#Headers],1,)),"")</f>
        <v>Nr.</v>
      </c>
      <c r="L50" s="90" t="str">
        <v>Navn og bordtennisklub</v>
      </c>
      <c r="M50" s="91" t="str">
        <v>Alder</v>
      </c>
      <c r="N50" s="92" t="str">
        <v>Rating</v>
      </c>
      <c r="P50" s="89" t="str" cm="1">
        <f t="array" ref="P50:S50">IFERROR(IF(ISBLANK(INDEX(Tilmeldinger_billettype_1_seedning[#Headers],1,)),"",INDEX(Tilmeldinger_billettype_1_seedning[#Headers],1,)),"")</f>
        <v>Nr.</v>
      </c>
      <c r="Q50" s="90" t="str">
        <v>Navn og bordtennisklub</v>
      </c>
      <c r="R50" s="91" t="str">
        <v>Alder</v>
      </c>
      <c r="S50" s="92" t="str">
        <v>Rating</v>
      </c>
      <c r="U50" s="89" t="str" cm="1">
        <f t="array" ref="U50:X50">IFERROR(IF(ISBLANK(INDEX(Tilmeldinger_billettype_1_seedning[#Headers],1,)),"",INDEX(Tilmeldinger_billettype_1_seedning[#Headers],1,)),"")</f>
        <v>Nr.</v>
      </c>
      <c r="V50" s="90" t="str">
        <v>Navn og bordtennisklub</v>
      </c>
      <c r="W50" s="91" t="str">
        <v>Alder</v>
      </c>
      <c r="X50" s="92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18" t="s">
        <v>171</v>
      </c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</row>
    <row r="63" spans="6:24" x14ac:dyDescent="0.3">
      <c r="F63" s="133" t="str">
        <f>'🗂️ Filtre nøgletal'!$A$2</f>
        <v>🔃 Opdateret 25-11-2022 kl. 23:53</v>
      </c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</row>
    <row r="64" spans="6:24" x14ac:dyDescent="0.3">
      <c r="F64" s="177" t="s">
        <v>71</v>
      </c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</row>
    <row r="65" spans="6:24" x14ac:dyDescent="0.3">
      <c r="F65" s="177"/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</row>
    <row r="67" spans="6:24" x14ac:dyDescent="0.3">
      <c r="F67" s="178" t="s">
        <v>67</v>
      </c>
      <c r="G67" s="178"/>
      <c r="H67" s="178"/>
      <c r="I67" s="178"/>
      <c r="K67" s="178" t="s">
        <v>68</v>
      </c>
      <c r="L67" s="178"/>
      <c r="M67" s="178"/>
      <c r="N67" s="178"/>
      <c r="P67" s="178" t="s">
        <v>69</v>
      </c>
      <c r="Q67" s="178"/>
      <c r="R67" s="178"/>
      <c r="S67" s="178"/>
      <c r="U67" s="178" t="s">
        <v>70</v>
      </c>
      <c r="V67" s="178"/>
      <c r="W67" s="178"/>
      <c r="X67" s="178"/>
    </row>
    <row r="68" spans="6:24" x14ac:dyDescent="0.3">
      <c r="F68" s="105" t="s">
        <v>811</v>
      </c>
      <c r="G68" s="106" t="s">
        <v>812</v>
      </c>
      <c r="H68" s="107" t="s">
        <v>813</v>
      </c>
      <c r="I68" s="108" t="s">
        <v>814</v>
      </c>
      <c r="J68" s="113" t="s">
        <v>68</v>
      </c>
      <c r="K68" s="105" t="s">
        <v>815</v>
      </c>
      <c r="L68" s="106" t="s">
        <v>816</v>
      </c>
      <c r="M68" s="107" t="s">
        <v>817</v>
      </c>
      <c r="N68" s="108" t="s">
        <v>818</v>
      </c>
      <c r="O68" s="113" t="s">
        <v>69</v>
      </c>
      <c r="P68" s="105" t="s">
        <v>819</v>
      </c>
      <c r="Q68" s="106" t="s">
        <v>820</v>
      </c>
      <c r="R68" s="107" t="s">
        <v>821</v>
      </c>
      <c r="S68" s="108" t="s">
        <v>822</v>
      </c>
      <c r="T68" s="113" t="s">
        <v>70</v>
      </c>
      <c r="U68" s="105" t="s">
        <v>823</v>
      </c>
      <c r="V68" s="106" t="s">
        <v>824</v>
      </c>
      <c r="W68" s="107" t="s">
        <v>825</v>
      </c>
      <c r="X68" s="108" t="s">
        <v>826</v>
      </c>
    </row>
    <row r="69" spans="6:24" x14ac:dyDescent="0.3">
      <c r="F69" s="109">
        <v>1</v>
      </c>
      <c r="G69" t="s">
        <v>78</v>
      </c>
      <c r="H69" s="4">
        <v>28</v>
      </c>
      <c r="I69" s="110" t="s">
        <v>363</v>
      </c>
      <c r="J69" s="114">
        <v>2</v>
      </c>
      <c r="K69" s="109">
        <v>24</v>
      </c>
      <c r="L69" t="s">
        <v>882</v>
      </c>
      <c r="M69" s="4">
        <v>20</v>
      </c>
      <c r="N69" s="110" t="s">
        <v>883</v>
      </c>
      <c r="O69" s="114">
        <v>3</v>
      </c>
      <c r="P69" s="109">
        <v>25</v>
      </c>
      <c r="Q69" t="s">
        <v>546</v>
      </c>
      <c r="R69" s="4">
        <v>47</v>
      </c>
      <c r="S69" s="110" t="s">
        <v>621</v>
      </c>
      <c r="T69" s="114">
        <v>4</v>
      </c>
      <c r="U69" s="109">
        <v>48</v>
      </c>
      <c r="V69" t="s">
        <v>738</v>
      </c>
      <c r="W69" s="4">
        <v>25</v>
      </c>
      <c r="X69" s="110" t="s">
        <v>743</v>
      </c>
    </row>
    <row r="70" spans="6:24" x14ac:dyDescent="0.3">
      <c r="F70" s="109">
        <v>2</v>
      </c>
      <c r="G70" t="s">
        <v>278</v>
      </c>
      <c r="H70" s="4">
        <v>21</v>
      </c>
      <c r="I70" s="110" t="s">
        <v>279</v>
      </c>
      <c r="J70" s="113">
        <v>2</v>
      </c>
      <c r="K70" s="109">
        <v>23</v>
      </c>
      <c r="L70" t="s">
        <v>224</v>
      </c>
      <c r="M70" s="4">
        <v>27</v>
      </c>
      <c r="N70" s="110" t="s">
        <v>370</v>
      </c>
      <c r="O70" s="113">
        <v>3</v>
      </c>
      <c r="P70" s="109">
        <v>26</v>
      </c>
      <c r="Q70" t="s">
        <v>730</v>
      </c>
      <c r="R70" s="4">
        <v>44</v>
      </c>
      <c r="S70" s="110" t="s">
        <v>355</v>
      </c>
      <c r="T70" s="113">
        <v>4</v>
      </c>
      <c r="U70" s="109">
        <v>47</v>
      </c>
      <c r="V70" t="s">
        <v>446</v>
      </c>
      <c r="W70" s="4">
        <v>21</v>
      </c>
      <c r="X70" s="110" t="s">
        <v>742</v>
      </c>
    </row>
    <row r="71" spans="6:24" x14ac:dyDescent="0.3">
      <c r="F71" s="109">
        <v>3</v>
      </c>
      <c r="G71" t="s">
        <v>281</v>
      </c>
      <c r="H71" s="4">
        <v>29</v>
      </c>
      <c r="I71" s="110" t="s">
        <v>361</v>
      </c>
      <c r="J71" s="113">
        <v>2</v>
      </c>
      <c r="K71" s="109">
        <v>22</v>
      </c>
      <c r="L71" t="s">
        <v>223</v>
      </c>
      <c r="M71" s="4">
        <v>26</v>
      </c>
      <c r="N71" s="110" t="s">
        <v>229</v>
      </c>
      <c r="O71" s="113">
        <v>3</v>
      </c>
      <c r="P71" s="109">
        <v>27</v>
      </c>
      <c r="Q71" t="s">
        <v>277</v>
      </c>
      <c r="R71" s="4">
        <v>32</v>
      </c>
      <c r="S71" s="110" t="s">
        <v>355</v>
      </c>
      <c r="T71" s="113">
        <v>4</v>
      </c>
      <c r="U71" s="109">
        <v>46</v>
      </c>
      <c r="V71" t="s">
        <v>306</v>
      </c>
      <c r="W71" s="4">
        <v>69</v>
      </c>
      <c r="X71" s="110" t="s">
        <v>741</v>
      </c>
    </row>
    <row r="72" spans="6:24" x14ac:dyDescent="0.3">
      <c r="F72" s="109">
        <v>4</v>
      </c>
      <c r="G72" t="s">
        <v>450</v>
      </c>
      <c r="H72" s="4">
        <v>34</v>
      </c>
      <c r="I72" s="110" t="s">
        <v>451</v>
      </c>
      <c r="J72" s="113">
        <v>2</v>
      </c>
      <c r="K72" s="109">
        <v>21</v>
      </c>
      <c r="L72" t="s">
        <v>583</v>
      </c>
      <c r="M72" s="4">
        <v>36</v>
      </c>
      <c r="N72" s="110" t="s">
        <v>584</v>
      </c>
      <c r="O72" s="113">
        <v>3</v>
      </c>
      <c r="P72" s="109">
        <v>28</v>
      </c>
      <c r="Q72" t="s">
        <v>700</v>
      </c>
      <c r="R72" s="4">
        <v>16</v>
      </c>
      <c r="S72" s="110" t="s">
        <v>701</v>
      </c>
      <c r="T72" s="113">
        <v>4</v>
      </c>
      <c r="U72" s="109">
        <v>45</v>
      </c>
      <c r="V72" t="s">
        <v>260</v>
      </c>
      <c r="W72" s="4">
        <v>38</v>
      </c>
      <c r="X72" s="110" t="s">
        <v>740</v>
      </c>
    </row>
    <row r="73" spans="6:24" x14ac:dyDescent="0.3">
      <c r="F73" s="109">
        <v>5</v>
      </c>
      <c r="G73" t="s">
        <v>610</v>
      </c>
      <c r="H73" s="4">
        <v>29</v>
      </c>
      <c r="I73" s="110" t="s">
        <v>611</v>
      </c>
      <c r="J73" s="113">
        <v>2</v>
      </c>
      <c r="K73" s="109">
        <v>20</v>
      </c>
      <c r="L73" t="s">
        <v>504</v>
      </c>
      <c r="M73" s="4">
        <v>19</v>
      </c>
      <c r="N73" s="110" t="s">
        <v>505</v>
      </c>
      <c r="O73" s="113">
        <v>3</v>
      </c>
      <c r="P73" s="109">
        <v>29</v>
      </c>
      <c r="Q73" t="s">
        <v>251</v>
      </c>
      <c r="R73" s="4">
        <v>39</v>
      </c>
      <c r="S73" s="110" t="s">
        <v>371</v>
      </c>
      <c r="T73" s="113">
        <v>4</v>
      </c>
      <c r="U73" s="109">
        <v>44</v>
      </c>
      <c r="V73" t="s">
        <v>886</v>
      </c>
      <c r="W73" s="4">
        <v>10</v>
      </c>
      <c r="X73" s="110" t="s">
        <v>905</v>
      </c>
    </row>
    <row r="74" spans="6:24" x14ac:dyDescent="0.3">
      <c r="F74" s="109">
        <v>6</v>
      </c>
      <c r="G74" t="s">
        <v>275</v>
      </c>
      <c r="H74" s="4">
        <v>57</v>
      </c>
      <c r="I74" s="110" t="s">
        <v>366</v>
      </c>
      <c r="J74" s="113">
        <v>2</v>
      </c>
      <c r="K74" s="109">
        <v>19</v>
      </c>
      <c r="L74" t="s">
        <v>362</v>
      </c>
      <c r="M74" s="4">
        <v>24</v>
      </c>
      <c r="N74" s="110" t="s">
        <v>369</v>
      </c>
      <c r="O74" s="113">
        <v>3</v>
      </c>
      <c r="P74" s="109">
        <v>30</v>
      </c>
      <c r="Q74" t="s">
        <v>227</v>
      </c>
      <c r="R74" s="4">
        <v>30</v>
      </c>
      <c r="S74" s="110" t="s">
        <v>372</v>
      </c>
      <c r="T74" s="113">
        <v>4</v>
      </c>
      <c r="U74" s="109">
        <v>43</v>
      </c>
      <c r="V74" t="s">
        <v>346</v>
      </c>
      <c r="W74" s="4">
        <v>13</v>
      </c>
      <c r="X74" s="110" t="s">
        <v>623</v>
      </c>
    </row>
    <row r="75" spans="6:24" x14ac:dyDescent="0.3">
      <c r="F75" s="109">
        <v>7</v>
      </c>
      <c r="G75" t="s">
        <v>347</v>
      </c>
      <c r="H75" s="4">
        <v>44</v>
      </c>
      <c r="I75" s="110" t="s">
        <v>353</v>
      </c>
      <c r="J75" s="113">
        <v>2</v>
      </c>
      <c r="K75" s="109">
        <v>18</v>
      </c>
      <c r="L75" t="s">
        <v>219</v>
      </c>
      <c r="M75" s="4">
        <v>40</v>
      </c>
      <c r="N75" s="110" t="s">
        <v>368</v>
      </c>
      <c r="O75" s="113">
        <v>3</v>
      </c>
      <c r="P75" s="109">
        <v>31</v>
      </c>
      <c r="Q75" t="s">
        <v>426</v>
      </c>
      <c r="R75" s="4">
        <v>44</v>
      </c>
      <c r="S75" s="110" t="s">
        <v>429</v>
      </c>
      <c r="T75" s="113">
        <v>4</v>
      </c>
      <c r="U75" s="109">
        <v>42</v>
      </c>
      <c r="V75" t="s">
        <v>903</v>
      </c>
      <c r="W75" s="4">
        <v>10</v>
      </c>
      <c r="X75" s="110" t="s">
        <v>904</v>
      </c>
    </row>
    <row r="76" spans="6:24" x14ac:dyDescent="0.3">
      <c r="F76" s="109">
        <v>8</v>
      </c>
      <c r="G76" t="s">
        <v>280</v>
      </c>
      <c r="H76" s="4">
        <v>25</v>
      </c>
      <c r="I76" s="110" t="s">
        <v>367</v>
      </c>
      <c r="J76" s="113">
        <v>2</v>
      </c>
      <c r="K76" s="109">
        <v>17</v>
      </c>
      <c r="L76" t="s">
        <v>581</v>
      </c>
      <c r="M76" s="4">
        <v>35</v>
      </c>
      <c r="N76" s="110" t="s">
        <v>582</v>
      </c>
      <c r="O76" s="113">
        <v>3</v>
      </c>
      <c r="P76" s="109">
        <v>32</v>
      </c>
      <c r="Q76" t="s">
        <v>358</v>
      </c>
      <c r="R76" s="4">
        <v>17</v>
      </c>
      <c r="S76" s="110" t="s">
        <v>359</v>
      </c>
      <c r="T76" s="113">
        <v>4</v>
      </c>
      <c r="U76" s="109">
        <v>41</v>
      </c>
      <c r="V76" t="s">
        <v>348</v>
      </c>
      <c r="W76" s="4">
        <v>12</v>
      </c>
      <c r="X76" s="110" t="s">
        <v>376</v>
      </c>
    </row>
    <row r="77" spans="6:24" x14ac:dyDescent="0.3">
      <c r="F77" s="109">
        <v>9</v>
      </c>
      <c r="G77" t="s">
        <v>880</v>
      </c>
      <c r="H77" s="4">
        <v>33</v>
      </c>
      <c r="I77" s="110" t="s">
        <v>881</v>
      </c>
      <c r="J77" s="113">
        <v>2</v>
      </c>
      <c r="K77" s="109">
        <v>16</v>
      </c>
      <c r="L77" t="s">
        <v>574</v>
      </c>
      <c r="M77" s="4">
        <v>21</v>
      </c>
      <c r="N77" s="110" t="s">
        <v>575</v>
      </c>
      <c r="O77" s="113">
        <v>3</v>
      </c>
      <c r="P77" s="109">
        <v>33</v>
      </c>
      <c r="Q77" t="s">
        <v>448</v>
      </c>
      <c r="R77" s="4">
        <v>21</v>
      </c>
      <c r="S77" s="110" t="s">
        <v>622</v>
      </c>
      <c r="T77" s="113">
        <v>4</v>
      </c>
      <c r="U77" s="109">
        <v>40</v>
      </c>
      <c r="V77" t="s">
        <v>884</v>
      </c>
      <c r="W77" s="4">
        <v>40</v>
      </c>
      <c r="X77" s="110" t="s">
        <v>885</v>
      </c>
    </row>
    <row r="78" spans="6:24" x14ac:dyDescent="0.3">
      <c r="F78" s="109">
        <v>10</v>
      </c>
      <c r="G78" t="s">
        <v>572</v>
      </c>
      <c r="H78" s="4">
        <v>20</v>
      </c>
      <c r="I78" s="110" t="s">
        <v>573</v>
      </c>
      <c r="J78" s="113">
        <v>2</v>
      </c>
      <c r="K78" s="109">
        <v>15</v>
      </c>
      <c r="L78" t="s">
        <v>502</v>
      </c>
      <c r="M78" s="4">
        <v>52</v>
      </c>
      <c r="N78" s="110" t="s">
        <v>503</v>
      </c>
      <c r="O78" s="113">
        <v>3</v>
      </c>
      <c r="P78" s="109">
        <v>34</v>
      </c>
      <c r="Q78" t="s">
        <v>220</v>
      </c>
      <c r="R78" s="4">
        <v>72</v>
      </c>
      <c r="S78" s="110" t="s">
        <v>373</v>
      </c>
      <c r="T78" s="113">
        <v>4</v>
      </c>
      <c r="U78" s="109">
        <v>39</v>
      </c>
      <c r="V78" t="s">
        <v>349</v>
      </c>
      <c r="W78" s="4">
        <v>15</v>
      </c>
      <c r="X78" s="110" t="s">
        <v>354</v>
      </c>
    </row>
    <row r="79" spans="6:24" x14ac:dyDescent="0.3">
      <c r="F79" s="109">
        <v>11</v>
      </c>
      <c r="G79" t="s">
        <v>602</v>
      </c>
      <c r="H79" s="4">
        <v>20</v>
      </c>
      <c r="I79" s="110" t="s">
        <v>603</v>
      </c>
      <c r="J79" s="113">
        <v>2</v>
      </c>
      <c r="K79" s="109">
        <v>14</v>
      </c>
      <c r="L79" t="s">
        <v>752</v>
      </c>
      <c r="M79" s="4">
        <v>61</v>
      </c>
      <c r="N79" s="110" t="s">
        <v>753</v>
      </c>
      <c r="O79" s="113">
        <v>3</v>
      </c>
      <c r="P79" s="109">
        <v>35</v>
      </c>
      <c r="Q79" t="s">
        <v>851</v>
      </c>
      <c r="R79" s="4">
        <v>56</v>
      </c>
      <c r="S79" s="110" t="s">
        <v>852</v>
      </c>
      <c r="T79" s="113">
        <v>4</v>
      </c>
      <c r="U79" s="109">
        <v>38</v>
      </c>
      <c r="V79" t="s">
        <v>594</v>
      </c>
      <c r="W79" s="4">
        <v>16</v>
      </c>
      <c r="X79" s="110" t="s">
        <v>595</v>
      </c>
    </row>
    <row r="80" spans="6:24" x14ac:dyDescent="0.3">
      <c r="F80" s="109">
        <v>12</v>
      </c>
      <c r="G80" s="111" t="s">
        <v>261</v>
      </c>
      <c r="H80" s="112">
        <v>22</v>
      </c>
      <c r="I80" s="110" t="s">
        <v>262</v>
      </c>
      <c r="J80" s="113">
        <v>2</v>
      </c>
      <c r="K80" s="109">
        <v>13</v>
      </c>
      <c r="L80" s="111" t="s">
        <v>422</v>
      </c>
      <c r="M80" s="112">
        <v>29</v>
      </c>
      <c r="N80" s="110" t="s">
        <v>423</v>
      </c>
      <c r="O80" s="113">
        <v>3</v>
      </c>
      <c r="P80" s="109">
        <v>36</v>
      </c>
      <c r="Q80" s="111" t="s">
        <v>214</v>
      </c>
      <c r="R80" s="112">
        <v>50</v>
      </c>
      <c r="S80" s="110" t="s">
        <v>374</v>
      </c>
      <c r="T80" s="113">
        <v>4</v>
      </c>
      <c r="U80" s="109">
        <v>37</v>
      </c>
      <c r="V80" s="111" t="s">
        <v>342</v>
      </c>
      <c r="W80" s="112">
        <v>60</v>
      </c>
      <c r="X80" s="110" t="s">
        <v>375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77" t="s">
        <v>74</v>
      </c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</row>
    <row r="87" spans="6:24" x14ac:dyDescent="0.3">
      <c r="F87" s="177"/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</row>
    <row r="88" spans="6:24" x14ac:dyDescent="0.3">
      <c r="F88" s="133" t="str">
        <f>'💡🏆🎫 Status'!$G$39</f>
        <v>🏓 48 ud af 96 tilmeldinger (50%)</v>
      </c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</row>
    <row r="89" spans="6:24" x14ac:dyDescent="0.3">
      <c r="F89" s="133" t="str">
        <f>$A$25</f>
        <v>⏩ Nr. 1-3 går videre til A-slutspil, og de resterende går i B-slutspil.</v>
      </c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</row>
    <row r="90" spans="6:24" x14ac:dyDescent="0.3">
      <c r="F90" s="133" t="str">
        <f>'💡🏆🎫 Status'!$G$38</f>
        <v>🔃🏓 Rating opdateret pr. 27-05-2022</v>
      </c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</row>
    <row r="93" spans="6:24" x14ac:dyDescent="0.3">
      <c r="F93" s="179" t="s">
        <v>154</v>
      </c>
      <c r="G93" s="180"/>
      <c r="H93" s="180"/>
      <c r="I93" s="181"/>
      <c r="K93" s="179" t="s">
        <v>155</v>
      </c>
      <c r="L93" s="180"/>
      <c r="M93" s="180"/>
      <c r="N93" s="181"/>
      <c r="P93" s="179" t="s">
        <v>156</v>
      </c>
      <c r="Q93" s="180"/>
      <c r="R93" s="180"/>
      <c r="S93" s="181"/>
      <c r="U93" s="179" t="s">
        <v>157</v>
      </c>
      <c r="V93" s="180"/>
      <c r="W93" s="180"/>
      <c r="X93" s="181"/>
    </row>
    <row r="94" spans="6:24" x14ac:dyDescent="0.3">
      <c r="F94" s="89" t="str" cm="1">
        <f t="array" ref="F94:I94">IFERROR(IF(ISBLANK(INDEX(Tilmeldinger_billettype_1_seedning[#Headers],1,)),"",INDEX(Tilmeldinger_billettype_1_seedning[#Headers],1,)),"")</f>
        <v>Nr.</v>
      </c>
      <c r="G94" s="90" t="str">
        <v>Navn og bordtennisklub</v>
      </c>
      <c r="H94" s="91" t="str">
        <v>Alder</v>
      </c>
      <c r="I94" s="92" t="str">
        <v>Rating</v>
      </c>
      <c r="K94" s="89" t="str" cm="1">
        <f t="array" ref="K94:N94">IFERROR(IF(ISBLANK(INDEX(Tilmeldinger_billettype_1_seedning[#Headers],1,)),"",INDEX(Tilmeldinger_billettype_1_seedning[#Headers],1,)),"")</f>
        <v>Nr.</v>
      </c>
      <c r="L94" s="90" t="str">
        <v>Navn og bordtennisklub</v>
      </c>
      <c r="M94" s="91" t="str">
        <v>Alder</v>
      </c>
      <c r="N94" s="92" t="str">
        <v>Rating</v>
      </c>
      <c r="P94" s="89" t="str" cm="1">
        <f t="array" ref="P94:S94">IFERROR(IF(ISBLANK(INDEX(Tilmeldinger_billettype_1_seedning[#Headers],1,)),"",INDEX(Tilmeldinger_billettype_1_seedning[#Headers],1,)),"")</f>
        <v>Nr.</v>
      </c>
      <c r="Q94" s="90" t="str">
        <v>Navn og bordtennisklub</v>
      </c>
      <c r="R94" s="91" t="str">
        <v>Alder</v>
      </c>
      <c r="S94" s="92" t="str">
        <v>Rating</v>
      </c>
      <c r="U94" s="89" t="str" cm="1">
        <f t="array" ref="U94:X94">IFERROR(IF(ISBLANK(INDEX(Tilmeldinger_billettype_1_seedning[#Headers],1,)),"",INDEX(Tilmeldinger_billettype_1_seedning[#Headers],1,)),"")</f>
        <v>Nr.</v>
      </c>
      <c r="V94" s="90" t="str">
        <v>Navn og bordtennisklub</v>
      </c>
      <c r="W94" s="91" t="str">
        <v>Alder</v>
      </c>
      <c r="X94" s="92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34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Hans Herluf Boisen, BTK Viby</v>
      </c>
      <c r="M97" s="41">
        <v>44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Peter Skalborg Jensen, Sisu/MBK</v>
      </c>
      <c r="R97" s="41">
        <v>32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16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38</v>
      </c>
      <c r="X98" s="44" t="str">
        <v>(Ingen rating) [1]</v>
      </c>
    </row>
    <row r="101" spans="6:24" x14ac:dyDescent="0.3">
      <c r="F101" s="179" t="s">
        <v>158</v>
      </c>
      <c r="G101" s="180"/>
      <c r="H101" s="180"/>
      <c r="I101" s="181"/>
      <c r="K101" s="179" t="s">
        <v>159</v>
      </c>
      <c r="L101" s="180"/>
      <c r="M101" s="180"/>
      <c r="N101" s="181"/>
      <c r="P101" s="179" t="s">
        <v>160</v>
      </c>
      <c r="Q101" s="180"/>
      <c r="R101" s="180"/>
      <c r="S101" s="181"/>
      <c r="U101" s="179" t="s">
        <v>161</v>
      </c>
      <c r="V101" s="180"/>
      <c r="W101" s="180"/>
      <c r="X101" s="181"/>
    </row>
    <row r="102" spans="6:24" x14ac:dyDescent="0.3">
      <c r="F102" s="89" t="str" cm="1">
        <f t="array" ref="F102:I102">IFERROR(IF(ISBLANK(INDEX(Tilmeldinger_billettype_1_seedning[#Headers],1,)),"",INDEX(Tilmeldinger_billettype_1_seedning[#Headers],1,)),"")</f>
        <v>Nr.</v>
      </c>
      <c r="G102" s="90" t="str">
        <v>Navn og bordtennisklub</v>
      </c>
      <c r="H102" s="91" t="str">
        <v>Alder</v>
      </c>
      <c r="I102" s="92" t="str">
        <v>Rating</v>
      </c>
      <c r="K102" s="89" t="str" cm="1">
        <f t="array" ref="K102:N102">IFERROR(IF(ISBLANK(INDEX(Tilmeldinger_billettype_1_seedning[#Headers],1,)),"",INDEX(Tilmeldinger_billettype_1_seedning[#Headers],1,)),"")</f>
        <v>Nr.</v>
      </c>
      <c r="L102" s="90" t="str">
        <v>Navn og bordtennisklub</v>
      </c>
      <c r="M102" s="91" t="str">
        <v>Alder</v>
      </c>
      <c r="N102" s="92" t="str">
        <v>Rating</v>
      </c>
      <c r="P102" s="89" t="str" cm="1">
        <f t="array" ref="P102:S102">IFERROR(IF(ISBLANK(INDEX(Tilmeldinger_billettype_1_seedning[#Headers],1,)),"",INDEX(Tilmeldinger_billettype_1_seedning[#Headers],1,)),"")</f>
        <v>Nr.</v>
      </c>
      <c r="Q102" s="90" t="str">
        <v>Navn og bordtennisklub</v>
      </c>
      <c r="R102" s="91" t="str">
        <v>Alder</v>
      </c>
      <c r="S102" s="92" t="str">
        <v>Rating</v>
      </c>
      <c r="U102" s="89" t="str" cm="1">
        <f t="array" ref="U102:X102">IFERROR(IF(ISBLANK(INDEX(Tilmeldinger_billettype_1_seedning[#Headers],1,)),"",INDEX(Tilmeldinger_billettype_1_seedning[#Headers],1,)),"")</f>
        <v>Nr.</v>
      </c>
      <c r="V102" s="90" t="str">
        <v>Navn og bordtennisklub</v>
      </c>
      <c r="W102" s="91" t="str">
        <v>Alder</v>
      </c>
      <c r="X102" s="92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44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25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39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30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17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13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79" t="s">
        <v>165</v>
      </c>
      <c r="G109" s="180"/>
      <c r="H109" s="180"/>
      <c r="I109" s="181"/>
      <c r="K109" s="179" t="s">
        <v>164</v>
      </c>
      <c r="L109" s="180"/>
      <c r="M109" s="180"/>
      <c r="N109" s="181"/>
      <c r="P109" s="179" t="s">
        <v>163</v>
      </c>
      <c r="Q109" s="180"/>
      <c r="R109" s="180"/>
      <c r="S109" s="181"/>
      <c r="U109" s="179" t="s">
        <v>162</v>
      </c>
      <c r="V109" s="180"/>
      <c r="W109" s="180"/>
      <c r="X109" s="181"/>
    </row>
    <row r="110" spans="6:24" x14ac:dyDescent="0.3">
      <c r="F110" s="89" t="str" cm="1">
        <f t="array" ref="F110:I110">IFERROR(IF(ISBLANK(INDEX(Tilmeldinger_billettype_1_seedning[#Headers],1,)),"",INDEX(Tilmeldinger_billettype_1_seedning[#Headers],1,)),"")</f>
        <v>Nr.</v>
      </c>
      <c r="G110" s="90" t="str">
        <v>Navn og bordtennisklub</v>
      </c>
      <c r="H110" s="91" t="str">
        <v>Alder</v>
      </c>
      <c r="I110" s="92" t="str">
        <v>Rating</v>
      </c>
      <c r="K110" s="89" t="str" cm="1">
        <f t="array" ref="K110:N110">IFERROR(IF(ISBLANK(INDEX(Tilmeldinger_billettype_1_seedning[#Headers],1,)),"",INDEX(Tilmeldinger_billettype_1_seedning[#Headers],1,)),"")</f>
        <v>Nr.</v>
      </c>
      <c r="L110" s="90" t="str">
        <v>Navn og bordtennisklub</v>
      </c>
      <c r="M110" s="91" t="str">
        <v>Alder</v>
      </c>
      <c r="N110" s="92" t="str">
        <v>Rating</v>
      </c>
      <c r="P110" s="89" t="str" cm="1">
        <f t="array" ref="P110:S110">IFERROR(IF(ISBLANK(INDEX(Tilmeldinger_billettype_1_seedning[#Headers],1,)),"",INDEX(Tilmeldinger_billettype_1_seedning[#Headers],1,)),"")</f>
        <v>Nr.</v>
      </c>
      <c r="Q110" s="90" t="str">
        <v>Navn og bordtennisklub</v>
      </c>
      <c r="R110" s="91" t="str">
        <v>Alder</v>
      </c>
      <c r="S110" s="92" t="str">
        <v>Rating</v>
      </c>
      <c r="U110" s="89" t="str" cm="1">
        <f t="array" ref="U110:X110">IFERROR(IF(ISBLANK(INDEX(Tilmeldinger_billettype_1_seedning[#Headers],1,)),"",INDEX(Tilmeldinger_billettype_1_seedning[#Headers],1,)),"")</f>
        <v>Nr.</v>
      </c>
      <c r="V110" s="90" t="str">
        <v>Navn og bordtennisklub</v>
      </c>
      <c r="W110" s="91" t="str">
        <v>Alder</v>
      </c>
      <c r="X110" s="92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20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20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22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21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61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29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72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40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16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60</v>
      </c>
      <c r="X114" s="44" t="str">
        <v>1491</v>
      </c>
    </row>
    <row r="117" spans="6:24" x14ac:dyDescent="0.3">
      <c r="F117" s="179" t="s">
        <v>166</v>
      </c>
      <c r="G117" s="180"/>
      <c r="H117" s="180"/>
      <c r="I117" s="181"/>
      <c r="K117" s="179" t="s">
        <v>167</v>
      </c>
      <c r="L117" s="180"/>
      <c r="M117" s="180"/>
      <c r="N117" s="181"/>
      <c r="P117" s="179" t="s">
        <v>168</v>
      </c>
      <c r="Q117" s="180"/>
      <c r="R117" s="180"/>
      <c r="S117" s="181"/>
      <c r="U117" s="179" t="s">
        <v>169</v>
      </c>
      <c r="V117" s="180"/>
      <c r="W117" s="180"/>
      <c r="X117" s="181"/>
    </row>
    <row r="118" spans="6:24" x14ac:dyDescent="0.3">
      <c r="F118" s="89" t="str" cm="1">
        <f t="array" ref="F118:I118">IFERROR(IF(ISBLANK(INDEX(Tilmeldinger_billettype_1_seedning[#Headers],1,)),"",INDEX(Tilmeldinger_billettype_1_seedning[#Headers],1,)),"")</f>
        <v>Nr.</v>
      </c>
      <c r="G118" s="90" t="str">
        <v>Navn og bordtennisklub</v>
      </c>
      <c r="H118" s="91" t="str">
        <v>Alder</v>
      </c>
      <c r="I118" s="92" t="str">
        <v>Rating</v>
      </c>
      <c r="K118" s="89" t="str" cm="1">
        <f t="array" ref="K118:N118">IFERROR(IF(ISBLANK(INDEX(Tilmeldinger_billettype_1_seedning[#Headers],1,)),"",INDEX(Tilmeldinger_billettype_1_seedning[#Headers],1,)),"")</f>
        <v>Nr.</v>
      </c>
      <c r="L118" s="90" t="str">
        <v>Navn og bordtennisklub</v>
      </c>
      <c r="M118" s="91" t="str">
        <v>Alder</v>
      </c>
      <c r="N118" s="92" t="str">
        <v>Rating</v>
      </c>
      <c r="P118" s="89" t="str" cm="1">
        <f t="array" ref="P118:S118">IFERROR(IF(ISBLANK(INDEX(Tilmeldinger_billettype_1_seedning[#Headers],1,)),"",INDEX(Tilmeldinger_billettype_1_seedning[#Headers],1,)),"")</f>
        <v>Nr.</v>
      </c>
      <c r="Q118" s="90" t="str">
        <v>Navn og bordtennisklub</v>
      </c>
      <c r="R118" s="91" t="str">
        <v>Alder</v>
      </c>
      <c r="S118" s="92" t="str">
        <v>Rating</v>
      </c>
      <c r="U118" s="89" t="str" cm="1">
        <f t="array" ref="U118:X118">IFERROR(IF(ISBLANK(INDEX(Tilmeldinger_billettype_1_seedning[#Headers],1,)),"",INDEX(Tilmeldinger_billettype_1_seedning[#Headers],1,)),"")</f>
        <v>Nr.</v>
      </c>
      <c r="V118" s="90" t="str">
        <v>Navn og bordtennisklub</v>
      </c>
      <c r="W118" s="91" t="str">
        <v>Alder</v>
      </c>
      <c r="X118" s="92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90:X90"/>
    <mergeCell ref="F88:X88"/>
    <mergeCell ref="F109:I109"/>
    <mergeCell ref="K109:N109"/>
    <mergeCell ref="P109:S109"/>
    <mergeCell ref="U109:X109"/>
    <mergeCell ref="F89:X89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86:X87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E2"/>
  <sheetViews>
    <sheetView showGridLines="0" zoomScaleNormal="100" zoomScaleSheetLayoutView="100" workbookViewId="0">
      <pane ySplit="2" topLeftCell="A3" activePane="bottomLeft" state="frozen"/>
      <selection sqref="A1:AB1"/>
      <selection pane="bottomLeft" sqref="A1:AB1"/>
    </sheetView>
  </sheetViews>
  <sheetFormatPr defaultColWidth="8.88671875" defaultRowHeight="14.4" x14ac:dyDescent="0.3"/>
  <cols>
    <col min="1" max="1" width="62.88671875" customWidth="1"/>
    <col min="2" max="2" width="11.109375" customWidth="1"/>
    <col min="3" max="3" width="26.21875" customWidth="1"/>
    <col min="4" max="4" width="11.109375" customWidth="1"/>
    <col min="5" max="5" width="32" customWidth="1"/>
  </cols>
  <sheetData>
    <row r="1" spans="1:5" ht="31.2" x14ac:dyDescent="0.6">
      <c r="A1" s="118" t="s">
        <v>756</v>
      </c>
      <c r="B1" s="118"/>
      <c r="C1" s="118"/>
      <c r="D1" s="118"/>
      <c r="E1" s="118"/>
    </row>
    <row r="2" spans="1:5" x14ac:dyDescent="0.3">
      <c r="A2" s="133" t="str">
        <f>"🔃 Opdateret "&amp;TEXT(CUBEVALUE("ThisWorkbookDataModel",CUBEMEMBER("ThisWorkbookDataModel","[Measures].[🔃 Sidst opdateret]")),"dd-mm-åååå kl. tt:mm")</f>
        <v>🔃 Opdateret 25-11-2022 kl. 23:53</v>
      </c>
      <c r="B2" s="133"/>
      <c r="C2" s="133"/>
      <c r="D2" s="133"/>
      <c r="E2" s="133"/>
    </row>
  </sheetData>
  <sheetProtection selectLockedCells="1" autoFilter="0"/>
  <mergeCells count="2">
    <mergeCell ref="A1:E1"/>
    <mergeCell ref="A2:E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B1"/>
      <selection pane="topRight" sqref="A1:AB1"/>
      <selection pane="bottomLeft" sqref="A1:AB1"/>
      <selection pane="bottomRight" sqref="A1:AB1"/>
    </sheetView>
  </sheetViews>
  <sheetFormatPr defaultRowHeight="14.4" x14ac:dyDescent="0.3"/>
  <cols>
    <col min="1" max="1" width="3" bestFit="1" customWidth="1"/>
    <col min="2" max="2" width="25.88671875" bestFit="1" customWidth="1"/>
    <col min="3" max="3" width="46.441406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1.6640625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18" t="s">
        <v>182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3" x14ac:dyDescent="0.3">
      <c r="A2" s="133" t="str">
        <f>'🗂️ Filtre nøgletal'!$A$2</f>
        <v>🔃 Opdateret 25-11-2022 kl. 23:53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</row>
    <row r="4" spans="1:13" x14ac:dyDescent="0.3">
      <c r="A4" s="182"/>
      <c r="B4" s="185"/>
      <c r="C4" s="186"/>
      <c r="D4" s="183"/>
      <c r="E4" s="187"/>
      <c r="F4" s="187"/>
      <c r="G4" s="187"/>
      <c r="H4" s="187"/>
      <c r="I4" s="187"/>
      <c r="J4" s="187"/>
      <c r="K4" s="187"/>
      <c r="L4" s="187"/>
      <c r="M4" s="187"/>
    </row>
    <row r="5" spans="1:13" x14ac:dyDescent="0.3">
      <c r="A5" s="183"/>
      <c r="B5" s="187"/>
      <c r="C5" s="188"/>
      <c r="D5" s="183"/>
      <c r="E5" s="187"/>
      <c r="F5" s="187"/>
      <c r="G5" s="187"/>
      <c r="H5" s="187"/>
      <c r="I5" s="187"/>
      <c r="J5" s="187"/>
      <c r="K5" s="187"/>
      <c r="L5" s="187"/>
      <c r="M5" s="187"/>
    </row>
    <row r="6" spans="1:13" x14ac:dyDescent="0.3">
      <c r="A6" s="183"/>
      <c r="B6" s="198" t="s">
        <v>172</v>
      </c>
      <c r="C6" s="199">
        <v>83</v>
      </c>
      <c r="D6" s="183"/>
      <c r="E6" s="187"/>
      <c r="F6" s="187"/>
      <c r="G6" s="187"/>
      <c r="H6" s="187"/>
      <c r="I6" s="187"/>
      <c r="J6" s="187"/>
      <c r="K6" s="187"/>
      <c r="L6" s="187"/>
      <c r="M6" s="187"/>
    </row>
    <row r="7" spans="1:13" x14ac:dyDescent="0.3">
      <c r="A7" s="183"/>
      <c r="B7" s="198" t="s">
        <v>173</v>
      </c>
      <c r="C7" s="199">
        <v>23</v>
      </c>
      <c r="D7" s="183"/>
      <c r="E7" s="187"/>
      <c r="F7" s="187"/>
      <c r="G7" s="187"/>
      <c r="H7" s="187"/>
      <c r="I7" s="187"/>
      <c r="J7" s="187"/>
      <c r="K7" s="187"/>
      <c r="L7" s="187"/>
      <c r="M7" s="187"/>
    </row>
    <row r="8" spans="1:13" x14ac:dyDescent="0.3">
      <c r="A8" s="183"/>
      <c r="B8" s="198" t="s">
        <v>414</v>
      </c>
      <c r="C8" s="199">
        <v>392</v>
      </c>
      <c r="D8" s="183"/>
      <c r="E8" s="187"/>
      <c r="F8" s="187"/>
      <c r="G8" s="187"/>
      <c r="H8" s="187"/>
      <c r="I8" s="187"/>
      <c r="J8" s="187"/>
      <c r="K8" s="187"/>
      <c r="L8" s="187"/>
      <c r="M8" s="187"/>
    </row>
    <row r="9" spans="1:13" x14ac:dyDescent="0.3">
      <c r="A9" s="183"/>
      <c r="B9" s="198" t="s">
        <v>415</v>
      </c>
      <c r="C9" s="199">
        <v>302</v>
      </c>
      <c r="D9" s="183"/>
      <c r="E9" s="187"/>
      <c r="F9" s="187"/>
      <c r="G9" s="187"/>
      <c r="H9" s="187"/>
      <c r="I9" s="187"/>
      <c r="J9" s="187"/>
      <c r="K9" s="187"/>
      <c r="L9" s="187"/>
      <c r="M9" s="187"/>
    </row>
    <row r="10" spans="1:13" x14ac:dyDescent="0.3">
      <c r="A10" s="183"/>
      <c r="B10" s="193" t="s">
        <v>137</v>
      </c>
      <c r="C10" s="194">
        <v>60</v>
      </c>
      <c r="D10" s="183"/>
      <c r="E10" s="187"/>
      <c r="F10" s="187"/>
      <c r="G10" s="187"/>
      <c r="H10" s="187"/>
      <c r="I10" s="187"/>
      <c r="J10" s="187"/>
      <c r="K10" s="187"/>
      <c r="L10" s="187"/>
      <c r="M10" s="187"/>
    </row>
    <row r="11" spans="1:13" x14ac:dyDescent="0.3">
      <c r="A11" s="183"/>
      <c r="B11" s="193" t="s">
        <v>919</v>
      </c>
      <c r="C11" s="194">
        <v>8</v>
      </c>
      <c r="D11" s="183"/>
      <c r="E11" s="187"/>
      <c r="F11" s="187"/>
      <c r="G11" s="187"/>
      <c r="H11" s="187"/>
      <c r="I11" s="187"/>
      <c r="J11" s="187"/>
      <c r="K11" s="187"/>
      <c r="L11" s="187"/>
      <c r="M11" s="187"/>
    </row>
    <row r="12" spans="1:13" x14ac:dyDescent="0.3">
      <c r="A12" s="183"/>
      <c r="B12" s="193" t="s">
        <v>1181</v>
      </c>
      <c r="C12" s="194">
        <v>7</v>
      </c>
      <c r="D12" s="183"/>
      <c r="E12" s="187"/>
      <c r="F12" s="187"/>
      <c r="G12" s="187"/>
      <c r="H12" s="187"/>
      <c r="I12" s="187"/>
      <c r="J12" s="187"/>
      <c r="K12" s="187"/>
      <c r="L12" s="187"/>
      <c r="M12" s="187"/>
    </row>
    <row r="13" spans="1:13" x14ac:dyDescent="0.3">
      <c r="A13" s="183"/>
      <c r="B13" s="193" t="s">
        <v>416</v>
      </c>
      <c r="C13" s="194">
        <v>90</v>
      </c>
      <c r="D13" s="183"/>
      <c r="E13" s="187"/>
      <c r="F13" s="187"/>
      <c r="G13" s="187"/>
      <c r="H13" s="187"/>
      <c r="I13" s="187"/>
      <c r="J13" s="187"/>
      <c r="K13" s="187"/>
      <c r="L13" s="187"/>
      <c r="M13" s="187"/>
    </row>
    <row r="14" spans="1:13" x14ac:dyDescent="0.3">
      <c r="A14" s="183"/>
      <c r="B14" s="193" t="s">
        <v>920</v>
      </c>
      <c r="C14" s="194">
        <v>11</v>
      </c>
      <c r="D14" s="183"/>
      <c r="E14" s="187"/>
      <c r="F14" s="187"/>
      <c r="G14" s="187"/>
      <c r="H14" s="187"/>
      <c r="I14" s="187"/>
      <c r="J14" s="187"/>
      <c r="K14" s="187"/>
      <c r="L14" s="187"/>
      <c r="M14" s="187"/>
    </row>
    <row r="15" spans="1:13" x14ac:dyDescent="0.3">
      <c r="A15" s="183"/>
      <c r="B15" s="193" t="s">
        <v>138</v>
      </c>
      <c r="C15" s="195">
        <v>1.5</v>
      </c>
      <c r="D15" s="183"/>
      <c r="E15" s="187"/>
      <c r="F15" s="187"/>
      <c r="G15" s="187"/>
      <c r="H15" s="187"/>
      <c r="I15" s="187"/>
      <c r="J15" s="187"/>
      <c r="K15" s="187"/>
      <c r="L15" s="187"/>
      <c r="M15" s="187"/>
    </row>
    <row r="16" spans="1:13" x14ac:dyDescent="0.3">
      <c r="A16" s="183"/>
      <c r="B16" s="193" t="s">
        <v>139</v>
      </c>
      <c r="C16" s="194">
        <v>16</v>
      </c>
      <c r="D16" s="183"/>
      <c r="E16" s="187"/>
      <c r="F16" s="187"/>
      <c r="G16" s="187"/>
      <c r="H16" s="187"/>
      <c r="I16" s="187"/>
      <c r="J16" s="187"/>
      <c r="K16" s="187"/>
      <c r="L16" s="187"/>
      <c r="M16" s="187"/>
    </row>
    <row r="17" spans="1:13" x14ac:dyDescent="0.3">
      <c r="A17" s="183"/>
      <c r="B17" s="193" t="s">
        <v>140</v>
      </c>
      <c r="C17" s="197" t="s">
        <v>869</v>
      </c>
      <c r="D17" s="183"/>
      <c r="E17" s="187"/>
      <c r="F17" s="187"/>
      <c r="G17" s="187"/>
      <c r="H17" s="187"/>
      <c r="I17" s="187"/>
      <c r="J17" s="187"/>
      <c r="K17" s="187"/>
      <c r="L17" s="187"/>
      <c r="M17" s="187"/>
    </row>
    <row r="18" spans="1:13" x14ac:dyDescent="0.3">
      <c r="A18" s="183"/>
      <c r="B18" s="193" t="s">
        <v>141</v>
      </c>
      <c r="C18" s="197" t="s">
        <v>1094</v>
      </c>
      <c r="D18" s="183"/>
      <c r="E18" s="187"/>
      <c r="F18" s="187"/>
      <c r="G18" s="187"/>
      <c r="H18" s="187"/>
      <c r="I18" s="187"/>
      <c r="J18" s="187"/>
      <c r="K18" s="187"/>
      <c r="L18" s="187"/>
      <c r="M18" s="187"/>
    </row>
    <row r="19" spans="1:13" x14ac:dyDescent="0.3">
      <c r="A19" s="183"/>
      <c r="B19" s="193" t="s">
        <v>144</v>
      </c>
      <c r="C19" s="194">
        <v>62</v>
      </c>
      <c r="D19" s="183"/>
      <c r="E19" s="187"/>
      <c r="F19" s="187"/>
      <c r="G19" s="187"/>
      <c r="H19" s="187"/>
      <c r="I19" s="187"/>
      <c r="J19" s="187"/>
      <c r="K19" s="187"/>
      <c r="L19" s="187"/>
      <c r="M19" s="187"/>
    </row>
    <row r="20" spans="1:13" x14ac:dyDescent="0.3">
      <c r="A20" s="183"/>
      <c r="B20" s="193" t="s">
        <v>145</v>
      </c>
      <c r="C20" s="194">
        <v>31.944444444444443</v>
      </c>
      <c r="D20" s="183"/>
      <c r="E20" s="187"/>
      <c r="F20" s="187"/>
      <c r="G20" s="187"/>
      <c r="H20" s="187"/>
      <c r="I20" s="187"/>
      <c r="J20" s="187"/>
      <c r="K20" s="187"/>
      <c r="L20" s="187"/>
      <c r="M20" s="187"/>
    </row>
    <row r="21" spans="1:13" x14ac:dyDescent="0.3">
      <c r="A21" s="183"/>
      <c r="B21" s="193" t="s">
        <v>240</v>
      </c>
      <c r="C21" s="197" t="s">
        <v>913</v>
      </c>
      <c r="D21" s="183"/>
      <c r="E21" s="187"/>
      <c r="F21" s="187"/>
      <c r="G21" s="187"/>
      <c r="H21" s="187"/>
      <c r="I21" s="187"/>
      <c r="J21" s="187"/>
      <c r="K21" s="187"/>
      <c r="L21" s="187"/>
      <c r="M21" s="187"/>
    </row>
    <row r="22" spans="1:13" x14ac:dyDescent="0.3">
      <c r="A22" s="183"/>
      <c r="B22" s="193" t="s">
        <v>241</v>
      </c>
      <c r="C22" s="197" t="s">
        <v>918</v>
      </c>
      <c r="D22" s="183"/>
      <c r="E22" s="187"/>
      <c r="F22" s="187"/>
      <c r="G22" s="187"/>
      <c r="H22" s="187"/>
      <c r="I22" s="187"/>
      <c r="J22" s="187"/>
      <c r="K22" s="187"/>
      <c r="L22" s="187"/>
      <c r="M22" s="187"/>
    </row>
    <row r="23" spans="1:13" x14ac:dyDescent="0.3">
      <c r="A23" s="183"/>
      <c r="B23" s="193" t="s">
        <v>720</v>
      </c>
      <c r="C23" s="196">
        <v>1673</v>
      </c>
      <c r="D23" s="183"/>
      <c r="E23" s="187"/>
      <c r="F23" s="187"/>
      <c r="G23" s="187"/>
      <c r="H23" s="187"/>
      <c r="I23" s="187"/>
      <c r="J23" s="187"/>
      <c r="K23" s="187"/>
      <c r="L23" s="187"/>
      <c r="M23" s="187"/>
    </row>
    <row r="24" spans="1:13" x14ac:dyDescent="0.3">
      <c r="A24" s="183"/>
      <c r="B24" s="193" t="s">
        <v>721</v>
      </c>
      <c r="C24" s="196">
        <v>2046.551282051282</v>
      </c>
      <c r="D24" s="183"/>
      <c r="E24" s="187"/>
      <c r="F24" s="187"/>
      <c r="G24" s="187"/>
      <c r="H24" s="187"/>
      <c r="I24" s="187"/>
      <c r="J24" s="187"/>
      <c r="K24" s="187"/>
      <c r="L24" s="187"/>
      <c r="M24" s="187"/>
    </row>
    <row r="25" spans="1:13" x14ac:dyDescent="0.3">
      <c r="A25" s="183"/>
      <c r="B25" s="193" t="s">
        <v>142</v>
      </c>
      <c r="C25" s="200">
        <v>12300</v>
      </c>
      <c r="D25" s="183"/>
      <c r="E25" s="187"/>
      <c r="F25" s="187"/>
      <c r="G25" s="187"/>
      <c r="H25" s="187"/>
      <c r="I25" s="187"/>
      <c r="J25" s="187"/>
      <c r="K25" s="187"/>
      <c r="L25" s="187"/>
      <c r="M25" s="187"/>
    </row>
    <row r="26" spans="1:13" x14ac:dyDescent="0.3">
      <c r="A26" s="183"/>
      <c r="B26" s="193" t="s">
        <v>143</v>
      </c>
      <c r="C26" s="200">
        <v>-11100</v>
      </c>
      <c r="D26" s="183"/>
      <c r="E26" s="187"/>
      <c r="F26" s="187"/>
      <c r="G26" s="187"/>
      <c r="H26" s="187"/>
      <c r="I26" s="187"/>
      <c r="J26" s="187"/>
      <c r="K26" s="187"/>
      <c r="L26" s="187"/>
      <c r="M26" s="187"/>
    </row>
    <row r="27" spans="1:13" x14ac:dyDescent="0.3">
      <c r="A27" s="183"/>
      <c r="B27" s="193" t="s">
        <v>417</v>
      </c>
      <c r="C27" s="200">
        <v>1200</v>
      </c>
      <c r="D27" s="183"/>
      <c r="E27" s="187"/>
      <c r="F27" s="187"/>
      <c r="G27" s="187"/>
      <c r="H27" s="187"/>
      <c r="I27" s="187"/>
      <c r="J27" s="187"/>
      <c r="K27" s="187"/>
      <c r="L27" s="187"/>
      <c r="M27" s="187"/>
    </row>
    <row r="28" spans="1:13" x14ac:dyDescent="0.3">
      <c r="A28" s="183"/>
      <c r="B28" s="187"/>
      <c r="C28" s="189"/>
      <c r="D28" s="183"/>
      <c r="E28" s="187"/>
      <c r="F28" s="187"/>
      <c r="G28" s="187"/>
      <c r="H28" s="187"/>
      <c r="I28" s="187"/>
      <c r="J28" s="187"/>
      <c r="K28" s="187"/>
      <c r="L28" s="187"/>
      <c r="M28" s="187"/>
    </row>
    <row r="29" spans="1:13" x14ac:dyDescent="0.3">
      <c r="A29" s="184"/>
      <c r="B29" s="190"/>
      <c r="C29" s="191"/>
      <c r="D29" s="183"/>
      <c r="E29" s="187"/>
      <c r="F29" s="187"/>
      <c r="G29" s="187"/>
      <c r="H29" s="187"/>
      <c r="I29" s="187"/>
      <c r="J29" s="187"/>
      <c r="K29" s="187"/>
      <c r="L29" s="187"/>
      <c r="M29" s="187"/>
    </row>
    <row r="32" spans="1:13" ht="14.4" customHeight="1" x14ac:dyDescent="0.3">
      <c r="A32" s="134" t="s">
        <v>232</v>
      </c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</row>
    <row r="33" spans="1:13" ht="14.4" customHeight="1" x14ac:dyDescent="0.3">
      <c r="A33" s="134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</row>
    <row r="34" spans="1:13" x14ac:dyDescent="0.3">
      <c r="A34" s="139" t="s">
        <v>237</v>
      </c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</row>
    <row r="35" spans="1:13" x14ac:dyDescent="0.3">
      <c r="B35" s="4" t="s">
        <v>403</v>
      </c>
      <c r="C35" s="192" t="s">
        <v>149</v>
      </c>
      <c r="D35" s="192" t="s">
        <v>488</v>
      </c>
      <c r="E35" s="1" t="s">
        <v>487</v>
      </c>
      <c r="F35" s="1" t="s">
        <v>586</v>
      </c>
      <c r="G35" s="192" t="s">
        <v>490</v>
      </c>
      <c r="H35" s="192" t="s">
        <v>489</v>
      </c>
      <c r="I35" s="4" t="s">
        <v>439</v>
      </c>
      <c r="J35" s="4" t="s">
        <v>732</v>
      </c>
      <c r="K35" s="4" t="s">
        <v>142</v>
      </c>
      <c r="L35" s="4" t="s">
        <v>143</v>
      </c>
      <c r="M35" s="4" t="s">
        <v>417</v>
      </c>
    </row>
    <row r="36" spans="1:13" x14ac:dyDescent="0.3">
      <c r="A36" s="17">
        <v>1</v>
      </c>
      <c r="B36" s="16" t="s">
        <v>924</v>
      </c>
      <c r="C36" s="2" t="s">
        <v>962</v>
      </c>
      <c r="D36" s="2" t="s">
        <v>1057</v>
      </c>
      <c r="E36" s="85" t="s">
        <v>221</v>
      </c>
      <c r="F36" s="85" t="s">
        <v>585</v>
      </c>
      <c r="G36" s="2" t="s">
        <v>478</v>
      </c>
      <c r="H36" s="2" t="s">
        <v>454</v>
      </c>
      <c r="I36" s="16" t="s">
        <v>452</v>
      </c>
      <c r="J36" s="16" t="s">
        <v>748</v>
      </c>
      <c r="K36" s="86">
        <v>150</v>
      </c>
      <c r="L36" s="86">
        <v>-150</v>
      </c>
      <c r="M36" s="86">
        <v>0</v>
      </c>
    </row>
    <row r="37" spans="1:13" x14ac:dyDescent="0.3">
      <c r="A37" s="17">
        <v>2</v>
      </c>
      <c r="B37" s="16" t="s">
        <v>899</v>
      </c>
      <c r="C37" s="2" t="s">
        <v>963</v>
      </c>
      <c r="D37" s="2" t="s">
        <v>900</v>
      </c>
      <c r="E37" s="85" t="s">
        <v>221</v>
      </c>
      <c r="F37" s="85" t="s">
        <v>901</v>
      </c>
      <c r="G37" s="2" t="s">
        <v>480</v>
      </c>
      <c r="H37" s="2" t="s">
        <v>454</v>
      </c>
      <c r="I37" s="16" t="s">
        <v>452</v>
      </c>
      <c r="J37" s="16" t="s">
        <v>748</v>
      </c>
      <c r="K37" s="86">
        <v>125</v>
      </c>
      <c r="L37" s="86">
        <v>-100</v>
      </c>
      <c r="M37" s="86">
        <v>25</v>
      </c>
    </row>
    <row r="38" spans="1:13" x14ac:dyDescent="0.3">
      <c r="A38" s="17">
        <v>3</v>
      </c>
      <c r="B38" s="16" t="s">
        <v>870</v>
      </c>
      <c r="C38" s="2" t="s">
        <v>964</v>
      </c>
      <c r="D38" s="2" t="s">
        <v>1058</v>
      </c>
      <c r="E38" s="85" t="s">
        <v>221</v>
      </c>
      <c r="F38" s="85" t="s">
        <v>871</v>
      </c>
      <c r="G38" s="2" t="s">
        <v>481</v>
      </c>
      <c r="H38" s="2" t="s">
        <v>454</v>
      </c>
      <c r="I38" s="16" t="s">
        <v>452</v>
      </c>
      <c r="J38" s="16" t="s">
        <v>748</v>
      </c>
      <c r="K38" s="86">
        <v>125</v>
      </c>
      <c r="L38" s="86">
        <v>-100</v>
      </c>
      <c r="M38" s="86">
        <v>25</v>
      </c>
    </row>
    <row r="39" spans="1:13" x14ac:dyDescent="0.3">
      <c r="A39" s="17">
        <v>4</v>
      </c>
      <c r="B39" s="16" t="s">
        <v>872</v>
      </c>
      <c r="C39" s="2" t="s">
        <v>965</v>
      </c>
      <c r="D39" s="2" t="s">
        <v>873</v>
      </c>
      <c r="E39" s="85" t="s">
        <v>221</v>
      </c>
      <c r="F39" s="85" t="s">
        <v>874</v>
      </c>
      <c r="G39" s="2" t="s">
        <v>483</v>
      </c>
      <c r="H39" s="2" t="s">
        <v>454</v>
      </c>
      <c r="I39" s="16" t="s">
        <v>452</v>
      </c>
      <c r="J39" s="16" t="s">
        <v>748</v>
      </c>
      <c r="K39" s="86">
        <v>125</v>
      </c>
      <c r="L39" s="86">
        <v>-100</v>
      </c>
      <c r="M39" s="86">
        <v>25</v>
      </c>
    </row>
    <row r="40" spans="1:13" x14ac:dyDescent="0.3">
      <c r="A40" s="17">
        <v>5</v>
      </c>
      <c r="B40" s="16" t="s">
        <v>806</v>
      </c>
      <c r="C40" s="2" t="s">
        <v>1049</v>
      </c>
      <c r="D40" s="2" t="s">
        <v>1059</v>
      </c>
      <c r="E40" s="85" t="s">
        <v>221</v>
      </c>
      <c r="F40" s="85" t="s">
        <v>537</v>
      </c>
      <c r="G40" s="2" t="s">
        <v>480</v>
      </c>
      <c r="H40" s="2" t="s">
        <v>454</v>
      </c>
      <c r="I40" s="16" t="s">
        <v>1050</v>
      </c>
      <c r="J40" s="16" t="s">
        <v>748</v>
      </c>
      <c r="K40" s="86">
        <v>275</v>
      </c>
      <c r="L40" s="86">
        <v>-250</v>
      </c>
      <c r="M40" s="86">
        <v>25</v>
      </c>
    </row>
    <row r="41" spans="1:13" x14ac:dyDescent="0.3">
      <c r="A41" s="17">
        <v>6</v>
      </c>
      <c r="B41" s="16" t="s">
        <v>875</v>
      </c>
      <c r="C41" s="2" t="s">
        <v>966</v>
      </c>
      <c r="D41" s="2" t="s">
        <v>876</v>
      </c>
      <c r="E41" s="85" t="s">
        <v>221</v>
      </c>
      <c r="F41" s="85" t="s">
        <v>902</v>
      </c>
      <c r="G41" s="2" t="s">
        <v>480</v>
      </c>
      <c r="H41" s="2" t="s">
        <v>454</v>
      </c>
      <c r="I41" s="16" t="s">
        <v>452</v>
      </c>
      <c r="J41" s="16" t="s">
        <v>748</v>
      </c>
      <c r="K41" s="86">
        <v>125</v>
      </c>
      <c r="L41" s="86">
        <v>-100</v>
      </c>
      <c r="M41" s="86">
        <v>25</v>
      </c>
    </row>
    <row r="42" spans="1:13" x14ac:dyDescent="0.3">
      <c r="A42" s="17">
        <v>7</v>
      </c>
      <c r="B42" s="16" t="s">
        <v>877</v>
      </c>
      <c r="C42" s="2" t="s">
        <v>967</v>
      </c>
      <c r="D42" s="2" t="s">
        <v>878</v>
      </c>
      <c r="E42" s="85" t="s">
        <v>221</v>
      </c>
      <c r="F42" s="85" t="s">
        <v>879</v>
      </c>
      <c r="G42" s="2" t="s">
        <v>480</v>
      </c>
      <c r="H42" s="2" t="s">
        <v>454</v>
      </c>
      <c r="I42" s="16" t="s">
        <v>452</v>
      </c>
      <c r="J42" s="16" t="s">
        <v>748</v>
      </c>
      <c r="K42" s="86">
        <v>125</v>
      </c>
      <c r="L42" s="86">
        <v>-100</v>
      </c>
      <c r="M42" s="86">
        <v>25</v>
      </c>
    </row>
    <row r="43" spans="1:13" x14ac:dyDescent="0.3">
      <c r="A43" s="17">
        <v>8</v>
      </c>
      <c r="B43" s="16" t="s">
        <v>780</v>
      </c>
      <c r="C43" s="2" t="s">
        <v>1051</v>
      </c>
      <c r="D43" s="2" t="s">
        <v>1060</v>
      </c>
      <c r="E43" s="85" t="s">
        <v>221</v>
      </c>
      <c r="F43" s="85" t="s">
        <v>516</v>
      </c>
      <c r="G43" s="2" t="s">
        <v>475</v>
      </c>
      <c r="H43" s="2" t="s">
        <v>454</v>
      </c>
      <c r="I43" s="16" t="s">
        <v>1050</v>
      </c>
      <c r="J43" s="16" t="s">
        <v>748</v>
      </c>
      <c r="K43" s="86">
        <v>275</v>
      </c>
      <c r="L43" s="86">
        <v>-250</v>
      </c>
      <c r="M43" s="86">
        <v>25</v>
      </c>
    </row>
    <row r="44" spans="1:13" x14ac:dyDescent="0.3">
      <c r="A44" s="17">
        <v>9</v>
      </c>
      <c r="B44" s="16" t="s">
        <v>848</v>
      </c>
      <c r="C44" s="2" t="s">
        <v>968</v>
      </c>
      <c r="D44" s="2" t="s">
        <v>849</v>
      </c>
      <c r="E44" s="85" t="s">
        <v>221</v>
      </c>
      <c r="F44" s="85" t="s">
        <v>850</v>
      </c>
      <c r="G44" s="2" t="s">
        <v>478</v>
      </c>
      <c r="H44" s="2" t="s">
        <v>454</v>
      </c>
      <c r="I44" s="16" t="s">
        <v>452</v>
      </c>
      <c r="J44" s="16" t="s">
        <v>748</v>
      </c>
      <c r="K44" s="86">
        <v>125</v>
      </c>
      <c r="L44" s="86">
        <v>-100</v>
      </c>
      <c r="M44" s="86">
        <v>25</v>
      </c>
    </row>
    <row r="45" spans="1:13" x14ac:dyDescent="0.3">
      <c r="A45" s="17">
        <v>10</v>
      </c>
      <c r="B45" s="16" t="s">
        <v>761</v>
      </c>
      <c r="C45" s="2" t="s">
        <v>969</v>
      </c>
      <c r="D45" s="2" t="s">
        <v>1061</v>
      </c>
      <c r="E45" s="85" t="s">
        <v>221</v>
      </c>
      <c r="F45" s="85" t="s">
        <v>750</v>
      </c>
      <c r="G45" s="2" t="s">
        <v>751</v>
      </c>
      <c r="H45" s="2" t="s">
        <v>454</v>
      </c>
      <c r="I45" s="16" t="s">
        <v>452</v>
      </c>
      <c r="J45" s="16" t="s">
        <v>748</v>
      </c>
      <c r="K45" s="86">
        <v>125</v>
      </c>
      <c r="L45" s="86">
        <v>-100</v>
      </c>
      <c r="M45" s="86">
        <v>25</v>
      </c>
    </row>
    <row r="46" spans="1:13" x14ac:dyDescent="0.3">
      <c r="A46" s="17">
        <v>11</v>
      </c>
      <c r="B46" s="16" t="s">
        <v>762</v>
      </c>
      <c r="C46" s="2" t="s">
        <v>970</v>
      </c>
      <c r="D46" s="2" t="s">
        <v>737</v>
      </c>
      <c r="E46" s="85" t="s">
        <v>221</v>
      </c>
      <c r="F46" s="85" t="s">
        <v>585</v>
      </c>
      <c r="G46" s="2" t="s">
        <v>747</v>
      </c>
      <c r="H46" s="2" t="s">
        <v>454</v>
      </c>
      <c r="I46" s="16" t="s">
        <v>452</v>
      </c>
      <c r="J46" s="16" t="s">
        <v>748</v>
      </c>
      <c r="K46" s="86">
        <v>275</v>
      </c>
      <c r="L46" s="86">
        <v>-250</v>
      </c>
      <c r="M46" s="86">
        <v>25</v>
      </c>
    </row>
    <row r="47" spans="1:13" x14ac:dyDescent="0.3">
      <c r="A47" s="17">
        <v>12</v>
      </c>
      <c r="B47" s="16" t="s">
        <v>763</v>
      </c>
      <c r="C47" s="2" t="s">
        <v>971</v>
      </c>
      <c r="D47" s="2" t="s">
        <v>1062</v>
      </c>
      <c r="E47" s="85" t="s">
        <v>221</v>
      </c>
      <c r="F47" s="85" t="s">
        <v>529</v>
      </c>
      <c r="G47" s="2" t="s">
        <v>475</v>
      </c>
      <c r="H47" s="2" t="s">
        <v>454</v>
      </c>
      <c r="I47" s="16" t="s">
        <v>452</v>
      </c>
      <c r="J47" s="16" t="s">
        <v>748</v>
      </c>
      <c r="K47" s="86">
        <v>275</v>
      </c>
      <c r="L47" s="86">
        <v>-250</v>
      </c>
      <c r="M47" s="86">
        <v>25</v>
      </c>
    </row>
    <row r="48" spans="1:13" x14ac:dyDescent="0.3">
      <c r="A48" s="17">
        <v>13</v>
      </c>
      <c r="B48" s="16" t="s">
        <v>974</v>
      </c>
      <c r="C48" s="2" t="s">
        <v>975</v>
      </c>
      <c r="D48" s="2" t="s">
        <v>976</v>
      </c>
      <c r="E48" s="85" t="s">
        <v>221</v>
      </c>
      <c r="F48" s="85" t="s">
        <v>977</v>
      </c>
      <c r="G48" s="2" t="s">
        <v>978</v>
      </c>
      <c r="H48" s="2" t="s">
        <v>454</v>
      </c>
      <c r="I48" s="16" t="s">
        <v>961</v>
      </c>
      <c r="J48" s="16" t="s">
        <v>748</v>
      </c>
      <c r="K48" s="86"/>
      <c r="L48" s="86"/>
      <c r="M48" s="86"/>
    </row>
    <row r="49" spans="1:13" x14ac:dyDescent="0.3">
      <c r="A49" s="17">
        <v>14</v>
      </c>
      <c r="B49" s="16" t="s">
        <v>764</v>
      </c>
      <c r="C49" s="2" t="s">
        <v>972</v>
      </c>
      <c r="D49" s="2" t="s">
        <v>1063</v>
      </c>
      <c r="E49" s="85" t="s">
        <v>221</v>
      </c>
      <c r="F49" s="85" t="s">
        <v>699</v>
      </c>
      <c r="G49" s="2" t="s">
        <v>475</v>
      </c>
      <c r="H49" s="2" t="s">
        <v>454</v>
      </c>
      <c r="I49" s="16" t="s">
        <v>452</v>
      </c>
      <c r="J49" s="16" t="s">
        <v>748</v>
      </c>
      <c r="K49" s="86">
        <v>125</v>
      </c>
      <c r="L49" s="86">
        <v>-100</v>
      </c>
      <c r="M49" s="86">
        <v>25</v>
      </c>
    </row>
    <row r="50" spans="1:13" x14ac:dyDescent="0.3">
      <c r="A50" s="17">
        <v>15</v>
      </c>
      <c r="B50" s="16" t="s">
        <v>765</v>
      </c>
      <c r="C50" s="2" t="s">
        <v>979</v>
      </c>
      <c r="D50" s="2" t="s">
        <v>608</v>
      </c>
      <c r="E50" s="85" t="s">
        <v>221</v>
      </c>
      <c r="F50" s="85" t="s">
        <v>609</v>
      </c>
      <c r="G50" s="2" t="s">
        <v>578</v>
      </c>
      <c r="H50" s="2" t="s">
        <v>454</v>
      </c>
      <c r="I50" s="16" t="s">
        <v>973</v>
      </c>
      <c r="J50" s="16" t="s">
        <v>748</v>
      </c>
      <c r="K50" s="86">
        <v>275</v>
      </c>
      <c r="L50" s="86">
        <v>-250</v>
      </c>
      <c r="M50" s="86">
        <v>25</v>
      </c>
    </row>
    <row r="51" spans="1:13" x14ac:dyDescent="0.3">
      <c r="A51" s="17">
        <v>16</v>
      </c>
      <c r="B51" s="16" t="s">
        <v>766</v>
      </c>
      <c r="C51" s="2" t="s">
        <v>980</v>
      </c>
      <c r="D51" s="2" t="s">
        <v>1064</v>
      </c>
      <c r="E51" s="85" t="s">
        <v>221</v>
      </c>
      <c r="F51" s="85" t="s">
        <v>601</v>
      </c>
      <c r="G51" s="2" t="s">
        <v>475</v>
      </c>
      <c r="H51" s="2" t="s">
        <v>454</v>
      </c>
      <c r="I51" s="16" t="s">
        <v>973</v>
      </c>
      <c r="J51" s="16" t="s">
        <v>748</v>
      </c>
      <c r="K51" s="86">
        <v>275</v>
      </c>
      <c r="L51" s="86">
        <v>-250</v>
      </c>
      <c r="M51" s="86">
        <v>25</v>
      </c>
    </row>
    <row r="52" spans="1:13" x14ac:dyDescent="0.3">
      <c r="A52" s="17">
        <v>17</v>
      </c>
      <c r="B52" s="16" t="s">
        <v>981</v>
      </c>
      <c r="C52" s="2" t="s">
        <v>982</v>
      </c>
      <c r="D52" s="2" t="s">
        <v>1065</v>
      </c>
      <c r="E52" s="85" t="s">
        <v>221</v>
      </c>
      <c r="F52" s="85" t="s">
        <v>983</v>
      </c>
      <c r="G52" s="2" t="s">
        <v>481</v>
      </c>
      <c r="H52" s="2" t="s">
        <v>454</v>
      </c>
      <c r="I52" s="16" t="s">
        <v>961</v>
      </c>
      <c r="J52" s="16" t="s">
        <v>749</v>
      </c>
      <c r="K52" s="86"/>
      <c r="L52" s="86"/>
      <c r="M52" s="86"/>
    </row>
    <row r="53" spans="1:13" x14ac:dyDescent="0.3">
      <c r="A53" s="17">
        <v>18</v>
      </c>
      <c r="B53" s="16" t="s">
        <v>767</v>
      </c>
      <c r="C53" s="2" t="s">
        <v>984</v>
      </c>
      <c r="D53" s="2" t="s">
        <v>1066</v>
      </c>
      <c r="E53" s="85" t="s">
        <v>221</v>
      </c>
      <c r="F53" s="85" t="s">
        <v>617</v>
      </c>
      <c r="G53" s="2" t="s">
        <v>480</v>
      </c>
      <c r="H53" s="2" t="s">
        <v>454</v>
      </c>
      <c r="I53" s="16" t="s">
        <v>985</v>
      </c>
      <c r="J53" s="16" t="s">
        <v>748</v>
      </c>
      <c r="K53" s="86">
        <v>150</v>
      </c>
      <c r="L53" s="86">
        <v>-150</v>
      </c>
      <c r="M53" s="86">
        <v>0</v>
      </c>
    </row>
    <row r="54" spans="1:13" x14ac:dyDescent="0.3">
      <c r="A54" s="17">
        <v>19</v>
      </c>
      <c r="B54" s="16" t="s">
        <v>768</v>
      </c>
      <c r="C54" s="2" t="s">
        <v>986</v>
      </c>
      <c r="D54" s="2" t="s">
        <v>1067</v>
      </c>
      <c r="E54" s="85" t="s">
        <v>221</v>
      </c>
      <c r="F54" s="85" t="s">
        <v>592</v>
      </c>
      <c r="G54" s="2" t="s">
        <v>593</v>
      </c>
      <c r="H54" s="2" t="s">
        <v>454</v>
      </c>
      <c r="I54" s="16" t="s">
        <v>973</v>
      </c>
      <c r="J54" s="16" t="s">
        <v>748</v>
      </c>
      <c r="K54" s="86">
        <v>125</v>
      </c>
      <c r="L54" s="86">
        <v>-100</v>
      </c>
      <c r="M54" s="86">
        <v>25</v>
      </c>
    </row>
    <row r="55" spans="1:13" x14ac:dyDescent="0.3">
      <c r="A55" s="17">
        <v>20</v>
      </c>
      <c r="B55" s="16" t="s">
        <v>769</v>
      </c>
      <c r="C55" s="2" t="s">
        <v>987</v>
      </c>
      <c r="D55" s="2" t="s">
        <v>576</v>
      </c>
      <c r="E55" s="85" t="s">
        <v>221</v>
      </c>
      <c r="F55" s="85" t="s">
        <v>577</v>
      </c>
      <c r="G55" s="2" t="s">
        <v>578</v>
      </c>
      <c r="H55" s="2" t="s">
        <v>454</v>
      </c>
      <c r="I55" s="16" t="s">
        <v>973</v>
      </c>
      <c r="J55" s="16" t="s">
        <v>748</v>
      </c>
      <c r="K55" s="86">
        <v>275</v>
      </c>
      <c r="L55" s="86">
        <v>-250</v>
      </c>
      <c r="M55" s="86">
        <v>25</v>
      </c>
    </row>
    <row r="56" spans="1:13" x14ac:dyDescent="0.3">
      <c r="A56" s="17">
        <v>21</v>
      </c>
      <c r="B56" s="16" t="s">
        <v>770</v>
      </c>
      <c r="C56" s="2" t="s">
        <v>988</v>
      </c>
      <c r="D56" s="2" t="s">
        <v>579</v>
      </c>
      <c r="E56" s="85" t="s">
        <v>221</v>
      </c>
      <c r="F56" s="85" t="s">
        <v>580</v>
      </c>
      <c r="G56" s="2" t="s">
        <v>578</v>
      </c>
      <c r="H56" s="2" t="s">
        <v>454</v>
      </c>
      <c r="I56" s="16" t="s">
        <v>973</v>
      </c>
      <c r="J56" s="16" t="s">
        <v>748</v>
      </c>
      <c r="K56" s="86">
        <v>275</v>
      </c>
      <c r="L56" s="86">
        <v>-250</v>
      </c>
      <c r="M56" s="86">
        <v>25</v>
      </c>
    </row>
    <row r="57" spans="1:13" x14ac:dyDescent="0.3">
      <c r="A57" s="17">
        <v>22</v>
      </c>
      <c r="B57" s="16" t="s">
        <v>771</v>
      </c>
      <c r="C57" s="2" t="s">
        <v>989</v>
      </c>
      <c r="D57" s="2" t="s">
        <v>1068</v>
      </c>
      <c r="E57" s="85" t="s">
        <v>221</v>
      </c>
      <c r="F57" s="85" t="s">
        <v>568</v>
      </c>
      <c r="G57" s="2" t="s">
        <v>569</v>
      </c>
      <c r="H57" s="2" t="s">
        <v>454</v>
      </c>
      <c r="I57" s="16" t="s">
        <v>973</v>
      </c>
      <c r="J57" s="16" t="s">
        <v>748</v>
      </c>
      <c r="K57" s="86">
        <v>275</v>
      </c>
      <c r="L57" s="86">
        <v>-250</v>
      </c>
      <c r="M57" s="86">
        <v>25</v>
      </c>
    </row>
    <row r="58" spans="1:13" x14ac:dyDescent="0.3">
      <c r="A58" s="17">
        <v>23</v>
      </c>
      <c r="B58" s="16" t="s">
        <v>772</v>
      </c>
      <c r="C58" s="2" t="s">
        <v>990</v>
      </c>
      <c r="D58" s="2" t="s">
        <v>1069</v>
      </c>
      <c r="E58" s="85" t="s">
        <v>221</v>
      </c>
      <c r="F58" s="85" t="s">
        <v>570</v>
      </c>
      <c r="G58" s="2" t="s">
        <v>571</v>
      </c>
      <c r="H58" s="2" t="s">
        <v>454</v>
      </c>
      <c r="I58" s="16" t="s">
        <v>973</v>
      </c>
      <c r="J58" s="16" t="s">
        <v>748</v>
      </c>
      <c r="K58" s="86">
        <v>275</v>
      </c>
      <c r="L58" s="86">
        <v>-250</v>
      </c>
      <c r="M58" s="86">
        <v>25</v>
      </c>
    </row>
    <row r="59" spans="1:13" x14ac:dyDescent="0.3">
      <c r="A59" s="17">
        <v>24</v>
      </c>
      <c r="B59" s="16" t="s">
        <v>773</v>
      </c>
      <c r="C59" s="2" t="s">
        <v>991</v>
      </c>
      <c r="D59" s="2" t="s">
        <v>554</v>
      </c>
      <c r="E59" s="85" t="s">
        <v>222</v>
      </c>
      <c r="F59" s="85" t="s">
        <v>555</v>
      </c>
      <c r="G59" s="2" t="s">
        <v>480</v>
      </c>
      <c r="H59" s="2" t="s">
        <v>454</v>
      </c>
      <c r="I59" s="16" t="s">
        <v>973</v>
      </c>
      <c r="J59" s="16" t="s">
        <v>748</v>
      </c>
      <c r="K59" s="86">
        <v>150</v>
      </c>
      <c r="L59" s="86">
        <v>-150</v>
      </c>
      <c r="M59" s="86">
        <v>0</v>
      </c>
    </row>
    <row r="60" spans="1:13" x14ac:dyDescent="0.3">
      <c r="A60" s="17">
        <v>25</v>
      </c>
      <c r="B60" s="16" t="s">
        <v>774</v>
      </c>
      <c r="C60" s="2" t="s">
        <v>992</v>
      </c>
      <c r="D60" s="2" t="s">
        <v>550</v>
      </c>
      <c r="E60" s="85" t="s">
        <v>222</v>
      </c>
      <c r="F60" s="85" t="s">
        <v>551</v>
      </c>
      <c r="G60" s="2" t="s">
        <v>480</v>
      </c>
      <c r="H60" s="2" t="s">
        <v>454</v>
      </c>
      <c r="I60" s="16" t="s">
        <v>973</v>
      </c>
      <c r="J60" s="16" t="s">
        <v>748</v>
      </c>
      <c r="K60" s="86">
        <v>150</v>
      </c>
      <c r="L60" s="86">
        <v>-150</v>
      </c>
      <c r="M60" s="86">
        <v>0</v>
      </c>
    </row>
    <row r="61" spans="1:13" x14ac:dyDescent="0.3">
      <c r="A61" s="17">
        <v>26</v>
      </c>
      <c r="B61" s="16" t="s">
        <v>775</v>
      </c>
      <c r="C61" s="2" t="s">
        <v>993</v>
      </c>
      <c r="D61" s="2" t="s">
        <v>545</v>
      </c>
      <c r="E61" s="85" t="s">
        <v>221</v>
      </c>
      <c r="F61" s="85" t="s">
        <v>618</v>
      </c>
      <c r="G61" s="2" t="s">
        <v>480</v>
      </c>
      <c r="H61" s="2" t="s">
        <v>454</v>
      </c>
      <c r="I61" s="16" t="s">
        <v>973</v>
      </c>
      <c r="J61" s="16" t="s">
        <v>748</v>
      </c>
      <c r="K61" s="86">
        <v>275</v>
      </c>
      <c r="L61" s="86">
        <v>-250</v>
      </c>
      <c r="M61" s="86">
        <v>25</v>
      </c>
    </row>
    <row r="62" spans="1:13" x14ac:dyDescent="0.3">
      <c r="A62" s="17">
        <v>27</v>
      </c>
      <c r="B62" s="16" t="s">
        <v>776</v>
      </c>
      <c r="C62" s="2" t="s">
        <v>994</v>
      </c>
      <c r="D62" s="2" t="s">
        <v>508</v>
      </c>
      <c r="E62" s="85" t="s">
        <v>221</v>
      </c>
      <c r="F62" s="85" t="s">
        <v>512</v>
      </c>
      <c r="G62" s="2" t="s">
        <v>478</v>
      </c>
      <c r="H62" s="2" t="s">
        <v>454</v>
      </c>
      <c r="I62" s="16" t="s">
        <v>973</v>
      </c>
      <c r="J62" s="16" t="s">
        <v>748</v>
      </c>
      <c r="K62" s="86">
        <v>150</v>
      </c>
      <c r="L62" s="86">
        <v>-150</v>
      </c>
      <c r="M62" s="86">
        <v>0</v>
      </c>
    </row>
    <row r="63" spans="1:13" x14ac:dyDescent="0.3">
      <c r="A63" s="17">
        <v>28</v>
      </c>
      <c r="B63" s="16" t="s">
        <v>1054</v>
      </c>
      <c r="C63" s="2" t="s">
        <v>996</v>
      </c>
      <c r="D63" s="2" t="s">
        <v>501</v>
      </c>
      <c r="E63" s="85" t="s">
        <v>221</v>
      </c>
      <c r="F63" s="85" t="s">
        <v>514</v>
      </c>
      <c r="G63" s="2" t="s">
        <v>479</v>
      </c>
      <c r="H63" s="2" t="s">
        <v>454</v>
      </c>
      <c r="I63" s="16" t="s">
        <v>973</v>
      </c>
      <c r="J63" s="16" t="s">
        <v>748</v>
      </c>
      <c r="K63" s="86">
        <v>275</v>
      </c>
      <c r="L63" s="86">
        <v>-250</v>
      </c>
      <c r="M63" s="86">
        <v>25</v>
      </c>
    </row>
    <row r="64" spans="1:13" x14ac:dyDescent="0.3">
      <c r="A64" s="17">
        <v>29</v>
      </c>
      <c r="B64" s="16" t="s">
        <v>777</v>
      </c>
      <c r="C64" s="2" t="s">
        <v>995</v>
      </c>
      <c r="D64" s="2" t="s">
        <v>500</v>
      </c>
      <c r="E64" s="85" t="s">
        <v>221</v>
      </c>
      <c r="F64" s="85" t="s">
        <v>513</v>
      </c>
      <c r="G64" s="2" t="s">
        <v>480</v>
      </c>
      <c r="H64" s="2" t="s">
        <v>454</v>
      </c>
      <c r="I64" s="16" t="s">
        <v>973</v>
      </c>
      <c r="J64" s="16" t="s">
        <v>748</v>
      </c>
      <c r="K64" s="86">
        <v>275</v>
      </c>
      <c r="L64" s="86">
        <v>-250</v>
      </c>
      <c r="M64" s="86">
        <v>25</v>
      </c>
    </row>
    <row r="65" spans="1:13" x14ac:dyDescent="0.3">
      <c r="A65" s="17">
        <v>30</v>
      </c>
      <c r="B65" s="16" t="s">
        <v>778</v>
      </c>
      <c r="C65" s="2" t="s">
        <v>997</v>
      </c>
      <c r="D65" s="2" t="s">
        <v>1070</v>
      </c>
      <c r="E65" s="85" t="s">
        <v>221</v>
      </c>
      <c r="F65" s="85" t="s">
        <v>515</v>
      </c>
      <c r="G65" s="2" t="s">
        <v>480</v>
      </c>
      <c r="H65" s="2" t="s">
        <v>454</v>
      </c>
      <c r="I65" s="16" t="s">
        <v>973</v>
      </c>
      <c r="J65" s="16" t="s">
        <v>748</v>
      </c>
      <c r="K65" s="86">
        <v>150</v>
      </c>
      <c r="L65" s="86">
        <v>-150</v>
      </c>
      <c r="M65" s="86">
        <v>0</v>
      </c>
    </row>
    <row r="66" spans="1:13" x14ac:dyDescent="0.3">
      <c r="A66" s="17">
        <v>31</v>
      </c>
      <c r="B66" s="16" t="s">
        <v>779</v>
      </c>
      <c r="C66" s="2" t="s">
        <v>999</v>
      </c>
      <c r="D66" s="2" t="s">
        <v>1071</v>
      </c>
      <c r="E66" s="85" t="s">
        <v>222</v>
      </c>
      <c r="F66" s="85" t="s">
        <v>585</v>
      </c>
      <c r="G66" s="2" t="s">
        <v>474</v>
      </c>
      <c r="H66" s="2" t="s">
        <v>453</v>
      </c>
      <c r="I66" s="16" t="s">
        <v>973</v>
      </c>
      <c r="J66" s="16" t="s">
        <v>748</v>
      </c>
      <c r="K66" s="86">
        <v>150</v>
      </c>
      <c r="L66" s="86">
        <v>-150</v>
      </c>
      <c r="M66" s="86">
        <v>0</v>
      </c>
    </row>
    <row r="67" spans="1:13" x14ac:dyDescent="0.3">
      <c r="A67" s="17">
        <v>32</v>
      </c>
      <c r="B67" s="16" t="s">
        <v>779</v>
      </c>
      <c r="C67" s="2" t="s">
        <v>998</v>
      </c>
      <c r="D67" s="2" t="s">
        <v>1072</v>
      </c>
      <c r="E67" s="85" t="s">
        <v>222</v>
      </c>
      <c r="F67" s="85" t="s">
        <v>585</v>
      </c>
      <c r="G67" s="2" t="s">
        <v>474</v>
      </c>
      <c r="H67" s="2" t="s">
        <v>453</v>
      </c>
      <c r="I67" s="16" t="s">
        <v>973</v>
      </c>
      <c r="J67" s="16" t="s">
        <v>748</v>
      </c>
      <c r="K67" s="86">
        <v>150</v>
      </c>
      <c r="L67" s="86">
        <v>-150</v>
      </c>
      <c r="M67" s="86">
        <v>0</v>
      </c>
    </row>
    <row r="68" spans="1:13" x14ac:dyDescent="0.3">
      <c r="A68" s="17">
        <v>33</v>
      </c>
      <c r="B68" s="16" t="s">
        <v>781</v>
      </c>
      <c r="C68" s="2" t="s">
        <v>1000</v>
      </c>
      <c r="D68" s="2" t="s">
        <v>463</v>
      </c>
      <c r="E68" s="85" t="s">
        <v>221</v>
      </c>
      <c r="F68" s="85" t="s">
        <v>585</v>
      </c>
      <c r="G68" s="2" t="s">
        <v>474</v>
      </c>
      <c r="H68" s="2" t="s">
        <v>453</v>
      </c>
      <c r="I68" s="16" t="s">
        <v>973</v>
      </c>
      <c r="J68" s="16" t="s">
        <v>748</v>
      </c>
      <c r="K68" s="86">
        <v>275</v>
      </c>
      <c r="L68" s="86">
        <v>-250</v>
      </c>
      <c r="M68" s="86">
        <v>25</v>
      </c>
    </row>
    <row r="69" spans="1:13" x14ac:dyDescent="0.3">
      <c r="A69" s="17">
        <v>34</v>
      </c>
      <c r="B69" s="16" t="s">
        <v>782</v>
      </c>
      <c r="C69" s="2" t="s">
        <v>1001</v>
      </c>
      <c r="D69" s="2" t="s">
        <v>464</v>
      </c>
      <c r="E69" s="85" t="s">
        <v>221</v>
      </c>
      <c r="F69" s="85" t="s">
        <v>585</v>
      </c>
      <c r="G69" s="2" t="s">
        <v>474</v>
      </c>
      <c r="H69" s="2" t="s">
        <v>453</v>
      </c>
      <c r="I69" s="16" t="s">
        <v>973</v>
      </c>
      <c r="J69" s="16" t="s">
        <v>748</v>
      </c>
      <c r="K69" s="86">
        <v>150</v>
      </c>
      <c r="L69" s="86">
        <v>-150</v>
      </c>
      <c r="M69" s="86">
        <v>0</v>
      </c>
    </row>
    <row r="70" spans="1:13" x14ac:dyDescent="0.3">
      <c r="A70" s="17">
        <v>35</v>
      </c>
      <c r="B70" s="16" t="s">
        <v>783</v>
      </c>
      <c r="C70" s="2" t="s">
        <v>1002</v>
      </c>
      <c r="D70" s="2" t="s">
        <v>465</v>
      </c>
      <c r="E70" s="85" t="s">
        <v>221</v>
      </c>
      <c r="F70" s="85" t="s">
        <v>619</v>
      </c>
      <c r="G70" s="2" t="s">
        <v>476</v>
      </c>
      <c r="H70" s="2" t="s">
        <v>454</v>
      </c>
      <c r="I70" s="16" t="s">
        <v>973</v>
      </c>
      <c r="J70" s="16" t="s">
        <v>748</v>
      </c>
      <c r="K70" s="86">
        <v>275</v>
      </c>
      <c r="L70" s="86">
        <v>-250</v>
      </c>
      <c r="M70" s="86">
        <v>25</v>
      </c>
    </row>
    <row r="71" spans="1:13" x14ac:dyDescent="0.3">
      <c r="A71" s="17">
        <v>36</v>
      </c>
      <c r="B71" s="16" t="s">
        <v>1003</v>
      </c>
      <c r="C71" s="2" t="s">
        <v>1004</v>
      </c>
      <c r="D71" s="2" t="s">
        <v>1073</v>
      </c>
      <c r="E71" s="85" t="s">
        <v>221</v>
      </c>
      <c r="F71" s="85" t="s">
        <v>1005</v>
      </c>
      <c r="G71" s="2" t="s">
        <v>477</v>
      </c>
      <c r="H71" s="2" t="s">
        <v>454</v>
      </c>
      <c r="I71" s="16" t="s">
        <v>961</v>
      </c>
      <c r="J71" s="16" t="s">
        <v>748</v>
      </c>
      <c r="K71" s="86"/>
      <c r="L71" s="86"/>
      <c r="M71" s="86"/>
    </row>
    <row r="72" spans="1:13" x14ac:dyDescent="0.3">
      <c r="A72" s="17">
        <v>37</v>
      </c>
      <c r="B72" s="16" t="s">
        <v>784</v>
      </c>
      <c r="C72" s="2" t="s">
        <v>1006</v>
      </c>
      <c r="D72" s="2" t="s">
        <v>466</v>
      </c>
      <c r="E72" s="85" t="s">
        <v>221</v>
      </c>
      <c r="F72" s="85" t="s">
        <v>517</v>
      </c>
      <c r="G72" s="2" t="s">
        <v>477</v>
      </c>
      <c r="H72" s="2" t="s">
        <v>454</v>
      </c>
      <c r="I72" s="16" t="s">
        <v>973</v>
      </c>
      <c r="J72" s="16" t="s">
        <v>748</v>
      </c>
      <c r="K72" s="86">
        <v>125</v>
      </c>
      <c r="L72" s="86">
        <v>-100</v>
      </c>
      <c r="M72" s="86">
        <v>25</v>
      </c>
    </row>
    <row r="73" spans="1:13" x14ac:dyDescent="0.3">
      <c r="A73" s="17">
        <v>38</v>
      </c>
      <c r="B73" s="16" t="s">
        <v>785</v>
      </c>
      <c r="C73" s="2" t="s">
        <v>1007</v>
      </c>
      <c r="D73" s="2" t="s">
        <v>1074</v>
      </c>
      <c r="E73" s="85" t="s">
        <v>221</v>
      </c>
      <c r="F73" s="85" t="s">
        <v>518</v>
      </c>
      <c r="G73" s="2" t="s">
        <v>478</v>
      </c>
      <c r="H73" s="2" t="s">
        <v>454</v>
      </c>
      <c r="I73" s="16" t="s">
        <v>973</v>
      </c>
      <c r="J73" s="16" t="s">
        <v>748</v>
      </c>
      <c r="K73" s="86">
        <v>275</v>
      </c>
      <c r="L73" s="86">
        <v>-250</v>
      </c>
      <c r="M73" s="86">
        <v>25</v>
      </c>
    </row>
    <row r="74" spans="1:13" x14ac:dyDescent="0.3">
      <c r="A74" s="17">
        <v>39</v>
      </c>
      <c r="B74" s="16" t="s">
        <v>794</v>
      </c>
      <c r="C74" s="2" t="s">
        <v>1052</v>
      </c>
      <c r="D74" s="2" t="s">
        <v>469</v>
      </c>
      <c r="E74" s="85" t="s">
        <v>221</v>
      </c>
      <c r="F74" s="85" t="s">
        <v>585</v>
      </c>
      <c r="G74" s="2" t="s">
        <v>474</v>
      </c>
      <c r="H74" s="2" t="s">
        <v>453</v>
      </c>
      <c r="I74" s="16" t="s">
        <v>973</v>
      </c>
      <c r="J74" s="16" t="s">
        <v>748</v>
      </c>
      <c r="K74" s="86">
        <v>275</v>
      </c>
      <c r="L74" s="86">
        <v>-250</v>
      </c>
      <c r="M74" s="86">
        <v>25</v>
      </c>
    </row>
    <row r="75" spans="1:13" x14ac:dyDescent="0.3">
      <c r="A75" s="17">
        <v>40</v>
      </c>
      <c r="B75" s="16" t="s">
        <v>1008</v>
      </c>
      <c r="C75" s="2" t="s">
        <v>1009</v>
      </c>
      <c r="D75" s="2" t="s">
        <v>1010</v>
      </c>
      <c r="E75" s="85" t="s">
        <v>221</v>
      </c>
      <c r="F75" s="85" t="s">
        <v>585</v>
      </c>
      <c r="G75" s="2" t="s">
        <v>474</v>
      </c>
      <c r="H75" s="2" t="s">
        <v>454</v>
      </c>
      <c r="I75" s="16" t="s">
        <v>961</v>
      </c>
      <c r="J75" s="16" t="s">
        <v>748</v>
      </c>
      <c r="K75" s="86"/>
      <c r="L75" s="86"/>
      <c r="M75" s="86"/>
    </row>
    <row r="76" spans="1:13" x14ac:dyDescent="0.3">
      <c r="A76" s="17">
        <v>41</v>
      </c>
      <c r="B76" s="16" t="s">
        <v>786</v>
      </c>
      <c r="C76" s="2" t="s">
        <v>1011</v>
      </c>
      <c r="D76" s="2" t="s">
        <v>1075</v>
      </c>
      <c r="E76" s="85" t="s">
        <v>222</v>
      </c>
      <c r="F76" s="85" t="s">
        <v>519</v>
      </c>
      <c r="G76" s="2" t="s">
        <v>479</v>
      </c>
      <c r="H76" s="2" t="s">
        <v>454</v>
      </c>
      <c r="I76" s="16" t="s">
        <v>973</v>
      </c>
      <c r="J76" s="16" t="s">
        <v>748</v>
      </c>
      <c r="K76" s="86">
        <v>150</v>
      </c>
      <c r="L76" s="86">
        <v>-150</v>
      </c>
      <c r="M76" s="86">
        <v>0</v>
      </c>
    </row>
    <row r="77" spans="1:13" x14ac:dyDescent="0.3">
      <c r="A77" s="17">
        <v>42</v>
      </c>
      <c r="B77" s="16" t="s">
        <v>787</v>
      </c>
      <c r="C77" s="2" t="s">
        <v>1012</v>
      </c>
      <c r="D77" s="2" t="s">
        <v>1076</v>
      </c>
      <c r="E77" s="85" t="s">
        <v>222</v>
      </c>
      <c r="F77" s="85" t="s">
        <v>520</v>
      </c>
      <c r="G77" s="2" t="s">
        <v>480</v>
      </c>
      <c r="H77" s="2" t="s">
        <v>454</v>
      </c>
      <c r="I77" s="16" t="s">
        <v>973</v>
      </c>
      <c r="J77" s="16" t="s">
        <v>748</v>
      </c>
      <c r="K77" s="86">
        <v>150</v>
      </c>
      <c r="L77" s="86">
        <v>-150</v>
      </c>
      <c r="M77" s="86">
        <v>0</v>
      </c>
    </row>
    <row r="78" spans="1:13" x14ac:dyDescent="0.3">
      <c r="A78" s="17">
        <v>43</v>
      </c>
      <c r="B78" s="16" t="s">
        <v>1055</v>
      </c>
      <c r="C78" s="2" t="s">
        <v>1013</v>
      </c>
      <c r="D78" s="2" t="s">
        <v>1014</v>
      </c>
      <c r="E78" s="85" t="s">
        <v>221</v>
      </c>
      <c r="F78" s="85" t="s">
        <v>1015</v>
      </c>
      <c r="G78" s="2" t="s">
        <v>1016</v>
      </c>
      <c r="H78" s="2" t="s">
        <v>454</v>
      </c>
      <c r="I78" s="16" t="s">
        <v>961</v>
      </c>
      <c r="J78" s="16" t="s">
        <v>748</v>
      </c>
      <c r="K78" s="86"/>
      <c r="L78" s="86"/>
      <c r="M78" s="86"/>
    </row>
    <row r="79" spans="1:13" x14ac:dyDescent="0.3">
      <c r="A79" s="17">
        <v>44</v>
      </c>
      <c r="B79" s="16" t="s">
        <v>788</v>
      </c>
      <c r="C79" s="2" t="s">
        <v>1017</v>
      </c>
      <c r="D79" s="2" t="s">
        <v>1077</v>
      </c>
      <c r="E79" s="85" t="s">
        <v>221</v>
      </c>
      <c r="F79" s="85" t="s">
        <v>521</v>
      </c>
      <c r="G79" s="2" t="s">
        <v>480</v>
      </c>
      <c r="H79" s="2" t="s">
        <v>454</v>
      </c>
      <c r="I79" s="16" t="s">
        <v>973</v>
      </c>
      <c r="J79" s="16" t="s">
        <v>748</v>
      </c>
      <c r="K79" s="86">
        <v>125</v>
      </c>
      <c r="L79" s="86">
        <v>-100</v>
      </c>
      <c r="M79" s="86">
        <v>25</v>
      </c>
    </row>
    <row r="80" spans="1:13" x14ac:dyDescent="0.3">
      <c r="A80" s="17">
        <v>45</v>
      </c>
      <c r="B80" s="16" t="s">
        <v>798</v>
      </c>
      <c r="C80" s="2" t="s">
        <v>1053</v>
      </c>
      <c r="D80" s="2" t="s">
        <v>1078</v>
      </c>
      <c r="E80" s="85" t="s">
        <v>221</v>
      </c>
      <c r="F80" s="85" t="s">
        <v>529</v>
      </c>
      <c r="G80" s="2" t="s">
        <v>480</v>
      </c>
      <c r="H80" s="2" t="s">
        <v>454</v>
      </c>
      <c r="I80" s="16" t="s">
        <v>973</v>
      </c>
      <c r="J80" s="16" t="s">
        <v>749</v>
      </c>
      <c r="K80" s="86">
        <v>275</v>
      </c>
      <c r="L80" s="86">
        <v>-250</v>
      </c>
      <c r="M80" s="86">
        <v>25</v>
      </c>
    </row>
    <row r="81" spans="1:13" x14ac:dyDescent="0.3">
      <c r="A81" s="17">
        <v>46</v>
      </c>
      <c r="B81" s="16" t="s">
        <v>789</v>
      </c>
      <c r="C81" s="2" t="s">
        <v>1018</v>
      </c>
      <c r="D81" s="2" t="s">
        <v>467</v>
      </c>
      <c r="E81" s="85" t="s">
        <v>221</v>
      </c>
      <c r="F81" s="85" t="s">
        <v>522</v>
      </c>
      <c r="G81" s="2" t="s">
        <v>481</v>
      </c>
      <c r="H81" s="2" t="s">
        <v>454</v>
      </c>
      <c r="I81" s="16" t="s">
        <v>973</v>
      </c>
      <c r="J81" s="16" t="s">
        <v>748</v>
      </c>
      <c r="K81" s="86">
        <v>125</v>
      </c>
      <c r="L81" s="86">
        <v>-100</v>
      </c>
      <c r="M81" s="86">
        <v>25</v>
      </c>
    </row>
    <row r="82" spans="1:13" x14ac:dyDescent="0.3">
      <c r="A82" s="17">
        <v>47</v>
      </c>
      <c r="B82" s="16" t="s">
        <v>790</v>
      </c>
      <c r="C82" s="2" t="s">
        <v>1019</v>
      </c>
      <c r="D82" s="2" t="s">
        <v>468</v>
      </c>
      <c r="E82" s="85" t="s">
        <v>221</v>
      </c>
      <c r="F82" s="85" t="s">
        <v>523</v>
      </c>
      <c r="G82" s="2" t="s">
        <v>481</v>
      </c>
      <c r="H82" s="2" t="s">
        <v>454</v>
      </c>
      <c r="I82" s="16" t="s">
        <v>973</v>
      </c>
      <c r="J82" s="16" t="s">
        <v>748</v>
      </c>
      <c r="K82" s="86">
        <v>125</v>
      </c>
      <c r="L82" s="86">
        <v>-100</v>
      </c>
      <c r="M82" s="86">
        <v>25</v>
      </c>
    </row>
    <row r="83" spans="1:13" x14ac:dyDescent="0.3">
      <c r="A83" s="17">
        <v>48</v>
      </c>
      <c r="B83" s="16" t="s">
        <v>791</v>
      </c>
      <c r="C83" s="2" t="s">
        <v>1020</v>
      </c>
      <c r="D83" s="2" t="s">
        <v>1079</v>
      </c>
      <c r="E83" s="85" t="s">
        <v>221</v>
      </c>
      <c r="F83" s="85" t="s">
        <v>524</v>
      </c>
      <c r="G83" s="2" t="s">
        <v>481</v>
      </c>
      <c r="H83" s="2" t="s">
        <v>454</v>
      </c>
      <c r="I83" s="16" t="s">
        <v>973</v>
      </c>
      <c r="J83" s="16" t="s">
        <v>748</v>
      </c>
      <c r="K83" s="86">
        <v>125</v>
      </c>
      <c r="L83" s="86">
        <v>-100</v>
      </c>
      <c r="M83" s="86">
        <v>25</v>
      </c>
    </row>
    <row r="84" spans="1:13" x14ac:dyDescent="0.3">
      <c r="A84" s="17">
        <v>49</v>
      </c>
      <c r="B84" s="16" t="s">
        <v>792</v>
      </c>
      <c r="C84" s="2" t="s">
        <v>1021</v>
      </c>
      <c r="D84" s="2" t="s">
        <v>1080</v>
      </c>
      <c r="E84" s="85" t="s">
        <v>221</v>
      </c>
      <c r="F84" s="85" t="s">
        <v>620</v>
      </c>
      <c r="G84" s="2" t="s">
        <v>480</v>
      </c>
      <c r="H84" s="2" t="s">
        <v>454</v>
      </c>
      <c r="I84" s="16" t="s">
        <v>973</v>
      </c>
      <c r="J84" s="16" t="s">
        <v>748</v>
      </c>
      <c r="K84" s="86">
        <v>125</v>
      </c>
      <c r="L84" s="86">
        <v>-100</v>
      </c>
      <c r="M84" s="86">
        <v>25</v>
      </c>
    </row>
    <row r="85" spans="1:13" x14ac:dyDescent="0.3">
      <c r="A85" s="17">
        <v>50</v>
      </c>
      <c r="B85" s="16" t="s">
        <v>793</v>
      </c>
      <c r="C85" s="2" t="s">
        <v>1022</v>
      </c>
      <c r="D85" s="2" t="s">
        <v>1081</v>
      </c>
      <c r="E85" s="85" t="s">
        <v>221</v>
      </c>
      <c r="F85" s="85" t="s">
        <v>525</v>
      </c>
      <c r="G85" s="2" t="s">
        <v>482</v>
      </c>
      <c r="H85" s="2" t="s">
        <v>454</v>
      </c>
      <c r="I85" s="16" t="s">
        <v>973</v>
      </c>
      <c r="J85" s="16" t="s">
        <v>748</v>
      </c>
      <c r="K85" s="86">
        <v>125</v>
      </c>
      <c r="L85" s="86">
        <v>-100</v>
      </c>
      <c r="M85" s="86">
        <v>25</v>
      </c>
    </row>
    <row r="86" spans="1:13" x14ac:dyDescent="0.3">
      <c r="A86" s="17">
        <v>51</v>
      </c>
      <c r="B86" s="16" t="s">
        <v>795</v>
      </c>
      <c r="C86" s="2" t="s">
        <v>1023</v>
      </c>
      <c r="D86" s="2" t="s">
        <v>1082</v>
      </c>
      <c r="E86" s="85" t="s">
        <v>221</v>
      </c>
      <c r="F86" s="85" t="s">
        <v>526</v>
      </c>
      <c r="G86" s="2" t="s">
        <v>481</v>
      </c>
      <c r="H86" s="2" t="s">
        <v>454</v>
      </c>
      <c r="I86" s="16" t="s">
        <v>973</v>
      </c>
      <c r="J86" s="16" t="s">
        <v>749</v>
      </c>
      <c r="K86" s="86">
        <v>275</v>
      </c>
      <c r="L86" s="86">
        <v>-250</v>
      </c>
      <c r="M86" s="86">
        <v>25</v>
      </c>
    </row>
    <row r="87" spans="1:13" x14ac:dyDescent="0.3">
      <c r="A87" s="17">
        <v>52</v>
      </c>
      <c r="B87" s="16" t="s">
        <v>796</v>
      </c>
      <c r="C87" s="2" t="s">
        <v>1024</v>
      </c>
      <c r="D87" s="2" t="s">
        <v>1083</v>
      </c>
      <c r="E87" s="85" t="s">
        <v>221</v>
      </c>
      <c r="F87" s="85" t="s">
        <v>527</v>
      </c>
      <c r="G87" s="2" t="s">
        <v>475</v>
      </c>
      <c r="H87" s="2" t="s">
        <v>454</v>
      </c>
      <c r="I87" s="16" t="s">
        <v>973</v>
      </c>
      <c r="J87" s="16" t="s">
        <v>748</v>
      </c>
      <c r="K87" s="86">
        <v>275</v>
      </c>
      <c r="L87" s="86">
        <v>-250</v>
      </c>
      <c r="M87" s="86">
        <v>25</v>
      </c>
    </row>
    <row r="88" spans="1:13" x14ac:dyDescent="0.3">
      <c r="A88" s="17">
        <v>53</v>
      </c>
      <c r="B88" s="16" t="s">
        <v>797</v>
      </c>
      <c r="C88" s="2" t="s">
        <v>1025</v>
      </c>
      <c r="D88" s="2" t="s">
        <v>1084</v>
      </c>
      <c r="E88" s="85" t="s">
        <v>221</v>
      </c>
      <c r="F88" s="85" t="s">
        <v>528</v>
      </c>
      <c r="G88" s="2" t="s">
        <v>475</v>
      </c>
      <c r="H88" s="2" t="s">
        <v>454</v>
      </c>
      <c r="I88" s="16" t="s">
        <v>973</v>
      </c>
      <c r="J88" s="16" t="s">
        <v>749</v>
      </c>
      <c r="K88" s="86">
        <v>275</v>
      </c>
      <c r="L88" s="86">
        <v>-250</v>
      </c>
      <c r="M88" s="86">
        <v>25</v>
      </c>
    </row>
    <row r="89" spans="1:13" x14ac:dyDescent="0.3">
      <c r="A89" s="17">
        <v>54</v>
      </c>
      <c r="B89" s="16" t="s">
        <v>799</v>
      </c>
      <c r="C89" s="2" t="s">
        <v>1026</v>
      </c>
      <c r="D89" s="2" t="s">
        <v>470</v>
      </c>
      <c r="E89" s="85" t="s">
        <v>221</v>
      </c>
      <c r="F89" s="85" t="s">
        <v>530</v>
      </c>
      <c r="G89" s="2" t="s">
        <v>483</v>
      </c>
      <c r="H89" s="2" t="s">
        <v>454</v>
      </c>
      <c r="I89" s="16" t="s">
        <v>973</v>
      </c>
      <c r="J89" s="16" t="s">
        <v>749</v>
      </c>
      <c r="K89" s="86">
        <v>125</v>
      </c>
      <c r="L89" s="86">
        <v>-100</v>
      </c>
      <c r="M89" s="86">
        <v>25</v>
      </c>
    </row>
    <row r="90" spans="1:13" x14ac:dyDescent="0.3">
      <c r="A90" s="17">
        <v>55</v>
      </c>
      <c r="B90" s="16" t="s">
        <v>1056</v>
      </c>
      <c r="C90" s="2" t="s">
        <v>1027</v>
      </c>
      <c r="D90" s="2" t="s">
        <v>1085</v>
      </c>
      <c r="E90" s="85" t="s">
        <v>221</v>
      </c>
      <c r="F90" s="85" t="s">
        <v>531</v>
      </c>
      <c r="G90" s="2" t="s">
        <v>475</v>
      </c>
      <c r="H90" s="2" t="s">
        <v>454</v>
      </c>
      <c r="I90" s="16" t="s">
        <v>973</v>
      </c>
      <c r="J90" s="16" t="s">
        <v>748</v>
      </c>
      <c r="K90" s="86">
        <v>275</v>
      </c>
      <c r="L90" s="86">
        <v>-250</v>
      </c>
      <c r="M90" s="86">
        <v>25</v>
      </c>
    </row>
    <row r="91" spans="1:13" x14ac:dyDescent="0.3">
      <c r="A91" s="17">
        <v>56</v>
      </c>
      <c r="B91" s="16" t="s">
        <v>800</v>
      </c>
      <c r="C91" s="2" t="s">
        <v>1028</v>
      </c>
      <c r="D91" s="2" t="s">
        <v>1086</v>
      </c>
      <c r="E91" s="85" t="s">
        <v>221</v>
      </c>
      <c r="F91" s="85" t="s">
        <v>585</v>
      </c>
      <c r="G91" s="2" t="s">
        <v>474</v>
      </c>
      <c r="H91" s="2" t="s">
        <v>453</v>
      </c>
      <c r="I91" s="16" t="s">
        <v>973</v>
      </c>
      <c r="J91" s="16" t="s">
        <v>748</v>
      </c>
      <c r="K91" s="86">
        <v>275</v>
      </c>
      <c r="L91" s="86">
        <v>-250</v>
      </c>
      <c r="M91" s="86">
        <v>25</v>
      </c>
    </row>
    <row r="92" spans="1:13" x14ac:dyDescent="0.3">
      <c r="A92" s="17">
        <v>57</v>
      </c>
      <c r="B92" s="16" t="s">
        <v>1029</v>
      </c>
      <c r="C92" s="2" t="s">
        <v>1030</v>
      </c>
      <c r="D92" s="2" t="s">
        <v>1031</v>
      </c>
      <c r="E92" s="85" t="s">
        <v>221</v>
      </c>
      <c r="F92" s="85" t="s">
        <v>1032</v>
      </c>
      <c r="G92" s="2" t="s">
        <v>480</v>
      </c>
      <c r="H92" s="2" t="s">
        <v>454</v>
      </c>
      <c r="I92" s="16" t="s">
        <v>961</v>
      </c>
      <c r="J92" s="16" t="s">
        <v>748</v>
      </c>
      <c r="K92" s="86"/>
      <c r="L92" s="86"/>
      <c r="M92" s="86"/>
    </row>
    <row r="93" spans="1:13" x14ac:dyDescent="0.3">
      <c r="A93" s="17">
        <v>58</v>
      </c>
      <c r="B93" s="16" t="s">
        <v>801</v>
      </c>
      <c r="C93" s="2" t="s">
        <v>1033</v>
      </c>
      <c r="D93" s="2" t="s">
        <v>1087</v>
      </c>
      <c r="E93" s="85" t="s">
        <v>221</v>
      </c>
      <c r="F93" s="85" t="s">
        <v>532</v>
      </c>
      <c r="G93" s="2" t="s">
        <v>480</v>
      </c>
      <c r="H93" s="2" t="s">
        <v>454</v>
      </c>
      <c r="I93" s="16" t="s">
        <v>973</v>
      </c>
      <c r="J93" s="16" t="s">
        <v>748</v>
      </c>
      <c r="K93" s="86">
        <v>275</v>
      </c>
      <c r="L93" s="86">
        <v>-250</v>
      </c>
      <c r="M93" s="86">
        <v>25</v>
      </c>
    </row>
    <row r="94" spans="1:13" x14ac:dyDescent="0.3">
      <c r="A94" s="17">
        <v>59</v>
      </c>
      <c r="B94" s="16" t="s">
        <v>1034</v>
      </c>
      <c r="C94" s="2" t="s">
        <v>1035</v>
      </c>
      <c r="D94" s="2" t="s">
        <v>1088</v>
      </c>
      <c r="E94" s="85" t="s">
        <v>221</v>
      </c>
      <c r="F94" s="85" t="s">
        <v>1036</v>
      </c>
      <c r="G94" s="2" t="s">
        <v>1037</v>
      </c>
      <c r="H94" s="2" t="s">
        <v>454</v>
      </c>
      <c r="I94" s="16" t="s">
        <v>961</v>
      </c>
      <c r="J94" s="16" t="s">
        <v>748</v>
      </c>
      <c r="K94" s="86"/>
      <c r="L94" s="86"/>
      <c r="M94" s="86"/>
    </row>
    <row r="95" spans="1:13" x14ac:dyDescent="0.3">
      <c r="A95" s="17">
        <v>60</v>
      </c>
      <c r="B95" s="16" t="s">
        <v>802</v>
      </c>
      <c r="C95" s="2" t="s">
        <v>1038</v>
      </c>
      <c r="D95" s="2" t="s">
        <v>1089</v>
      </c>
      <c r="E95" s="85" t="s">
        <v>221</v>
      </c>
      <c r="F95" s="85" t="s">
        <v>533</v>
      </c>
      <c r="G95" s="2" t="s">
        <v>480</v>
      </c>
      <c r="H95" s="2" t="s">
        <v>454</v>
      </c>
      <c r="I95" s="16" t="s">
        <v>973</v>
      </c>
      <c r="J95" s="16" t="s">
        <v>748</v>
      </c>
      <c r="K95" s="86">
        <v>125</v>
      </c>
      <c r="L95" s="86">
        <v>-100</v>
      </c>
      <c r="M95" s="86">
        <v>25</v>
      </c>
    </row>
    <row r="96" spans="1:13" x14ac:dyDescent="0.3">
      <c r="A96" s="17">
        <v>61</v>
      </c>
      <c r="B96" s="16" t="s">
        <v>803</v>
      </c>
      <c r="C96" s="2" t="s">
        <v>1039</v>
      </c>
      <c r="D96" s="2" t="s">
        <v>1090</v>
      </c>
      <c r="E96" s="85" t="s">
        <v>221</v>
      </c>
      <c r="F96" s="85" t="s">
        <v>534</v>
      </c>
      <c r="G96" s="2" t="s">
        <v>480</v>
      </c>
      <c r="H96" s="2" t="s">
        <v>454</v>
      </c>
      <c r="I96" s="16" t="s">
        <v>973</v>
      </c>
      <c r="J96" s="16" t="s">
        <v>748</v>
      </c>
      <c r="K96" s="86">
        <v>275</v>
      </c>
      <c r="L96" s="86">
        <v>-250</v>
      </c>
      <c r="M96" s="86">
        <v>25</v>
      </c>
    </row>
    <row r="97" spans="1:13" x14ac:dyDescent="0.3">
      <c r="A97" s="17">
        <v>62</v>
      </c>
      <c r="B97" s="16" t="s">
        <v>804</v>
      </c>
      <c r="C97" s="2" t="s">
        <v>1040</v>
      </c>
      <c r="D97" s="2" t="s">
        <v>1091</v>
      </c>
      <c r="E97" s="85" t="s">
        <v>221</v>
      </c>
      <c r="F97" s="85" t="s">
        <v>535</v>
      </c>
      <c r="G97" s="2" t="s">
        <v>484</v>
      </c>
      <c r="H97" s="2" t="s">
        <v>454</v>
      </c>
      <c r="I97" s="16" t="s">
        <v>973</v>
      </c>
      <c r="J97" s="16" t="s">
        <v>749</v>
      </c>
      <c r="K97" s="86">
        <v>275</v>
      </c>
      <c r="L97" s="86">
        <v>-250</v>
      </c>
      <c r="M97" s="86">
        <v>25</v>
      </c>
    </row>
    <row r="98" spans="1:13" x14ac:dyDescent="0.3">
      <c r="A98" s="17">
        <v>63</v>
      </c>
      <c r="B98" s="16" t="s">
        <v>805</v>
      </c>
      <c r="C98" s="2" t="s">
        <v>1041</v>
      </c>
      <c r="D98" s="2" t="s">
        <v>1092</v>
      </c>
      <c r="E98" s="85" t="s">
        <v>221</v>
      </c>
      <c r="F98" s="85" t="s">
        <v>536</v>
      </c>
      <c r="G98" s="2" t="s">
        <v>480</v>
      </c>
      <c r="H98" s="2" t="s">
        <v>454</v>
      </c>
      <c r="I98" s="16" t="s">
        <v>973</v>
      </c>
      <c r="J98" s="16" t="s">
        <v>748</v>
      </c>
      <c r="K98" s="86">
        <v>275</v>
      </c>
      <c r="L98" s="86">
        <v>-250</v>
      </c>
      <c r="M98" s="86">
        <v>25</v>
      </c>
    </row>
    <row r="99" spans="1:13" x14ac:dyDescent="0.3">
      <c r="A99" s="17">
        <v>64</v>
      </c>
      <c r="B99" s="16" t="s">
        <v>807</v>
      </c>
      <c r="C99" s="2" t="s">
        <v>1042</v>
      </c>
      <c r="D99" s="2" t="s">
        <v>471</v>
      </c>
      <c r="E99" s="85" t="s">
        <v>221</v>
      </c>
      <c r="F99" s="85" t="s">
        <v>538</v>
      </c>
      <c r="G99" s="2" t="s">
        <v>480</v>
      </c>
      <c r="H99" s="2" t="s">
        <v>454</v>
      </c>
      <c r="I99" s="16" t="s">
        <v>973</v>
      </c>
      <c r="J99" s="16" t="s">
        <v>748</v>
      </c>
      <c r="K99" s="86">
        <v>275</v>
      </c>
      <c r="L99" s="86">
        <v>-250</v>
      </c>
      <c r="M99" s="86">
        <v>25</v>
      </c>
    </row>
    <row r="100" spans="1:13" x14ac:dyDescent="0.3">
      <c r="A100" s="17">
        <v>65</v>
      </c>
      <c r="B100" s="16" t="s">
        <v>808</v>
      </c>
      <c r="C100" s="2" t="s">
        <v>1043</v>
      </c>
      <c r="D100" s="2" t="s">
        <v>472</v>
      </c>
      <c r="E100" s="85" t="s">
        <v>221</v>
      </c>
      <c r="F100" s="85" t="s">
        <v>539</v>
      </c>
      <c r="G100" s="2" t="s">
        <v>478</v>
      </c>
      <c r="H100" s="2" t="s">
        <v>454</v>
      </c>
      <c r="I100" s="16" t="s">
        <v>973</v>
      </c>
      <c r="J100" s="16" t="s">
        <v>748</v>
      </c>
      <c r="K100" s="86">
        <v>275</v>
      </c>
      <c r="L100" s="86">
        <v>-250</v>
      </c>
      <c r="M100" s="86">
        <v>25</v>
      </c>
    </row>
    <row r="101" spans="1:13" x14ac:dyDescent="0.3">
      <c r="A101" s="17">
        <v>66</v>
      </c>
      <c r="B101" s="16" t="s">
        <v>809</v>
      </c>
      <c r="C101" s="2" t="s">
        <v>1044</v>
      </c>
      <c r="D101" s="2" t="s">
        <v>1093</v>
      </c>
      <c r="E101" s="85" t="s">
        <v>221</v>
      </c>
      <c r="F101" s="85" t="s">
        <v>540</v>
      </c>
      <c r="G101" s="2" t="s">
        <v>478</v>
      </c>
      <c r="H101" s="2" t="s">
        <v>454</v>
      </c>
      <c r="I101" s="16" t="s">
        <v>973</v>
      </c>
      <c r="J101" s="16" t="s">
        <v>748</v>
      </c>
      <c r="K101" s="86">
        <v>150</v>
      </c>
      <c r="L101" s="86">
        <v>-150</v>
      </c>
      <c r="M101" s="86">
        <v>0</v>
      </c>
    </row>
    <row r="102" spans="1:13" x14ac:dyDescent="0.3">
      <c r="A102" s="17">
        <v>67</v>
      </c>
      <c r="B102" s="16" t="s">
        <v>810</v>
      </c>
      <c r="C102" s="2" t="s">
        <v>1045</v>
      </c>
      <c r="D102" s="2" t="s">
        <v>473</v>
      </c>
      <c r="E102" s="85" t="s">
        <v>221</v>
      </c>
      <c r="F102" s="85" t="s">
        <v>541</v>
      </c>
      <c r="G102" s="2" t="s">
        <v>481</v>
      </c>
      <c r="H102" s="2" t="s">
        <v>454</v>
      </c>
      <c r="I102" s="16" t="s">
        <v>973</v>
      </c>
      <c r="J102" s="16" t="s">
        <v>749</v>
      </c>
      <c r="K102" s="86">
        <v>275</v>
      </c>
      <c r="L102" s="86">
        <v>-250</v>
      </c>
      <c r="M102" s="86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0.xml>��
</file>

<file path=customXml/item21.xml>��
</file>

<file path=customXml/item22.xml>��
</file>

<file path=customXml/item23.xml>��
</file>

<file path=customXml/item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8.xml>��
</file>

<file path=customXml/item49.xml>��
</file>

<file path=customXml/item50.xml>��
</file>

<file path=customXml/item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=�e�=�e�<ث�<ث�=�d�=�d�=�d�=�d�=�e�=�e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5.xml>��
</file>

<file path=customXml/item186.xml>��
</file>

<file path=customXml/item1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88.xml>��
</file>

<file path=customXml/item18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09.xml>��
</file>

<file path=customXml/item21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11.xml>��
</file>

<file path=customXml/item212.xml>��
</file>

<file path=customXml/item213.xml>��
</file>

<file path=customXml/item21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��=ذ�=ذ�=ذ�=ذ�=ذ�=ذ�=�d�=�d�<ث�<ث�=�d�=�d�(=�e�((=�e�(=���(=���(=�d�=�d�<����(<����(=�e�=ت�(=ت�(=�e�=�e�=�e�=�e�=�d�=�d�=�d�=�d�<ث�<ث�<ث�<ث�=�e�=�e�=�d�=�d�=�e�(=�e�(=�e�=�e�<؁�<؁�<؁�<؁�=��<ث�<ث�=�e�=���<ث�<ث�=ز�=ز�=�d�=�d�=�d�=�d�=�d�=�d�=�d�=�d�<ث�<ث�=����=����=����=��=��=����=����=�e�=�e�=���=���=�d�=�d�=�e�=�e�=�d�=�d�=�d�=�d�=�e�=�e�=�d�=�d�=�e�=�e�=����=�e�=�e�=�e�=����=�e�<ث�<ث�=�d�=�d�=�d�=�d�=ذ�=ذ�=ذ�=ذ�=ذ�=ذ�=�d�=�d�<ث�<ث�=�d�=�d�(=�e�((=�e�(=���(=���(=�d�=�d�<����(<����(=�e�=ت�(=ت�(=�e�=�e�=�e�=�e�=�d�=�d�=�d�=�d�<ث�<ث�<ث�<ث�=�e�=�e�=�d�=�d�=�e�(=�e�(=�e�=�e�<؁�<؁�<؁�<؁�=��<ث�<ث�=�e�=���<ث�<ث�=ز�=ز�=�d�=�d�=�d�=�d�=�d�=�d�=�d�=�d�<ث�<ث�=����=����=����=��=��=����=����=�e�=�e�=���=���=�d�=�d�=�e�=�e�=�d�=�d�=�d�=�d�=�e�=�e�=�d�=�d�=�e�=�e�=����=�e�=�e�=�e�=����=�e�<ث�<ث�=�d�=�d�=�d�=�d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=�e�=�e�=�e�=����=����=����=�e�=�e�=�e�<ث�<ث�<ث�=�d�=�d�=�d�=�d�=�d�=�d�=�e�=�e�=�e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=�e�=�e�=�e�=����=����=����=�e�=�e�=�e�<ث�<ث�<ث�=�d�=�d�=�d�=�d�=�d�=�d�=�e�=�e�=�e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65.xml>��
</file>

<file path=customXml/item266.xml>��
</file>

<file path=customXml/item267.xml>��
</file>

<file path=customXml/item268.xml>��
</file>

<file path=customXml/item2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70.xml>��
</file>

<file path=customXml/item271.xml>��
</file>

<file path=customXml/item272.xml>��
</file>

<file path=customXml/item2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74.xml>��
</file>

<file path=customXml/item2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86.xml>��
</file>

<file path=customXml/item287.xml>��
</file>

<file path=customXml/item288.xml>��
</file>

<file path=customXml/item28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=�e�=�e�<ث�<ث�=�d�=�d�=�d�=�d�
</file>

<file path=customXml/item319.xml>��
</file>

<file path=customXml/item320.xml>��
</file>

<file path=customXml/item321.xml>��
</file>

<file path=customXml/item322.xml>��
</file>

<file path=customXml/item3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Props1.xml><?xml version="1.0" encoding="utf-8"?>
<ds:datastoreItem xmlns:ds="http://schemas.openxmlformats.org/officeDocument/2006/customXml" ds:itemID="{52DBC7F1-89D0-4C25-ADB8-8F9FEF73BA90}">
  <ds:schemaRefs/>
</ds:datastoreItem>
</file>

<file path=customXml/itemProps2.xml><?xml version="1.0" encoding="utf-8"?>
<ds:datastoreItem xmlns:ds="http://schemas.openxmlformats.org/officeDocument/2006/customXml" ds:itemID="{FE215DC8-1A6B-419F-8969-25DC139AAC2E}">
  <ds:schemaRefs/>
</ds:datastoreItem>
</file>

<file path=customXml/itemProps3.xml><?xml version="1.0" encoding="utf-8"?>
<ds:datastoreItem xmlns:ds="http://schemas.openxmlformats.org/officeDocument/2006/customXml" ds:itemID="{9C7E069C-5D84-4D81-874D-1864F4E651DF}">
  <ds:schemaRefs/>
</ds:datastoreItem>
</file>

<file path=customXml/itemProps4.xml><?xml version="1.0" encoding="utf-8"?>
<ds:datastoreItem xmlns:ds="http://schemas.openxmlformats.org/officeDocument/2006/customXml" ds:itemID="{3FB705ED-05B8-4E45-81A3-222A774FA697}">
  <ds:schemaRefs/>
</ds:datastoreItem>
</file>

<file path=customXml/itemProps5.xml><?xml version="1.0" encoding="utf-8"?>
<ds:datastoreItem xmlns:ds="http://schemas.openxmlformats.org/officeDocument/2006/customXml" ds:itemID="{B2AC3AD3-7E1C-4AC2-8DBF-B49D75A4D8BC}">
  <ds:schemaRefs/>
</ds:datastoreItem>
</file>

<file path=customXml/itemProps6.xml><?xml version="1.0" encoding="utf-8"?>
<ds:datastoreItem xmlns:ds="http://schemas.openxmlformats.org/officeDocument/2006/customXml" ds:itemID="{18C40777-35D3-4760-BC72-5CF54962CD7A}">
  <ds:schemaRefs/>
</ds:datastoreItem>
</file>

<file path=customXml/itemProps7.xml><?xml version="1.0" encoding="utf-8"?>
<ds:datastoreItem xmlns:ds="http://schemas.openxmlformats.org/officeDocument/2006/customXml" ds:itemID="{68165E59-A20F-4A45-B534-68A21512B1F6}">
  <ds:schemaRefs/>
</ds:datastoreItem>
</file>

<file path=customXml/itemProps8.xml><?xml version="1.0" encoding="utf-8"?>
<ds:datastoreItem xmlns:ds="http://schemas.openxmlformats.org/officeDocument/2006/customXml" ds:itemID="{DAF10DCE-B342-4024-9D39-53D7E20335D6}">
  <ds:schemaRefs/>
</ds:datastoreItem>
</file>

<file path=customXml/itemProps9.xml><?xml version="1.0" encoding="utf-8"?>
<ds:datastoreItem xmlns:ds="http://schemas.openxmlformats.org/officeDocument/2006/customXml" ds:itemID="{E6FC5B71-70D2-4143-8561-7ABBC9E4A6C1}">
  <ds:schemaRefs/>
</ds:datastoreItem>
</file>

<file path=customXml/itemProps10.xml><?xml version="1.0" encoding="utf-8"?>
<ds:datastoreItem xmlns:ds="http://schemas.openxmlformats.org/officeDocument/2006/customXml" ds:itemID="{4333D3B8-E6B4-4E2C-887D-48FA2B3F86C4}">
  <ds:schemaRefs/>
</ds:datastoreItem>
</file>

<file path=customXml/itemProps11.xml><?xml version="1.0" encoding="utf-8"?>
<ds:datastoreItem xmlns:ds="http://schemas.openxmlformats.org/officeDocument/2006/customXml" ds:itemID="{BD6450A0-8A16-4656-ADFE-74A4B6008D50}">
  <ds:schemaRefs/>
</ds:datastoreItem>
</file>

<file path=customXml/itemProps12.xml><?xml version="1.0" encoding="utf-8"?>
<ds:datastoreItem xmlns:ds="http://schemas.openxmlformats.org/officeDocument/2006/customXml" ds:itemID="{6A46DA27-4518-443A-B443-73F6556004AD}">
  <ds:schemaRefs/>
</ds:datastoreItem>
</file>

<file path=customXml/itemProps13.xml><?xml version="1.0" encoding="utf-8"?>
<ds:datastoreItem xmlns:ds="http://schemas.openxmlformats.org/officeDocument/2006/customXml" ds:itemID="{322F7AEC-7E7F-443B-82EC-24299B9DA18B}">
  <ds:schemaRefs/>
</ds:datastoreItem>
</file>

<file path=customXml/itemProps14.xml><?xml version="1.0" encoding="utf-8"?>
<ds:datastoreItem xmlns:ds="http://schemas.openxmlformats.org/officeDocument/2006/customXml" ds:itemID="{AA8E8DC6-2B8D-4BDF-BE29-BBF67832545B}">
  <ds:schemaRefs/>
</ds:datastoreItem>
</file>

<file path=customXml/itemProps15.xml><?xml version="1.0" encoding="utf-8"?>
<ds:datastoreItem xmlns:ds="http://schemas.openxmlformats.org/officeDocument/2006/customXml" ds:itemID="{ED0EB0BB-F1F8-4C76-839C-5282E3E8BC9B}">
  <ds:schemaRefs/>
</ds:datastoreItem>
</file>

<file path=customXml/itemProps16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7.xml><?xml version="1.0" encoding="utf-8"?>
<ds:datastoreItem xmlns:ds="http://schemas.openxmlformats.org/officeDocument/2006/customXml" ds:itemID="{EB8F0F60-4561-471A-AD30-040A401213EF}">
  <ds:schemaRefs/>
</ds:datastoreItem>
</file>

<file path=customXml/itemProps18.xml><?xml version="1.0" encoding="utf-8"?>
<ds:datastoreItem xmlns:ds="http://schemas.openxmlformats.org/officeDocument/2006/customXml" ds:itemID="{BDF5B7E9-6EAC-496B-B055-E4061B1B5419}">
  <ds:schemaRefs/>
</ds:datastoreItem>
</file>

<file path=customXml/itemProps19.xml><?xml version="1.0" encoding="utf-8"?>
<ds:datastoreItem xmlns:ds="http://schemas.openxmlformats.org/officeDocument/2006/customXml" ds:itemID="{440DB35D-319D-4F74-8AA4-C1B771C6B380}">
  <ds:schemaRefs/>
</ds:datastoreItem>
</file>

<file path=customXml/itemProps20.xml><?xml version="1.0" encoding="utf-8"?>
<ds:datastoreItem xmlns:ds="http://schemas.openxmlformats.org/officeDocument/2006/customXml" ds:itemID="{E63C1FAD-22CF-4399-B94E-B4B8B6359048}">
  <ds:schemaRefs/>
</ds:datastoreItem>
</file>

<file path=customXml/itemProps21.xml><?xml version="1.0" encoding="utf-8"?>
<ds:datastoreItem xmlns:ds="http://schemas.openxmlformats.org/officeDocument/2006/customXml" ds:itemID="{51F53C30-13C9-411E-8D57-61C4F01F8FE8}">
  <ds:schemaRefs/>
</ds:datastoreItem>
</file>

<file path=customXml/itemProps22.xml><?xml version="1.0" encoding="utf-8"?>
<ds:datastoreItem xmlns:ds="http://schemas.openxmlformats.org/officeDocument/2006/customXml" ds:itemID="{A8A33985-B84A-4BB2-86BC-F4C1379B480C}">
  <ds:schemaRefs/>
</ds:datastoreItem>
</file>

<file path=customXml/itemProps23.xml><?xml version="1.0" encoding="utf-8"?>
<ds:datastoreItem xmlns:ds="http://schemas.openxmlformats.org/officeDocument/2006/customXml" ds:itemID="{808D9452-9A76-491B-836B-14F8F0FD57B9}">
  <ds:schemaRefs/>
</ds:datastoreItem>
</file>

<file path=customXml/itemProps24.xml><?xml version="1.0" encoding="utf-8"?>
<ds:datastoreItem xmlns:ds="http://schemas.openxmlformats.org/officeDocument/2006/customXml" ds:itemID="{7A6FF62D-E039-4B61-9AB8-CC616F6CEA00}">
  <ds:schemaRefs/>
</ds:datastoreItem>
</file>

<file path=customXml/itemProps25.xml><?xml version="1.0" encoding="utf-8"?>
<ds:datastoreItem xmlns:ds="http://schemas.openxmlformats.org/officeDocument/2006/customXml" ds:itemID="{B2FB7D35-2CBB-465E-9099-90590B9286A5}">
  <ds:schemaRefs/>
</ds:datastoreItem>
</file>

<file path=customXml/itemProps26.xml><?xml version="1.0" encoding="utf-8"?>
<ds:datastoreItem xmlns:ds="http://schemas.openxmlformats.org/officeDocument/2006/customXml" ds:itemID="{04635E87-0CF5-4615-8EEC-3705B91110EA}">
  <ds:schemaRefs/>
</ds:datastoreItem>
</file>

<file path=customXml/itemProps27.xml><?xml version="1.0" encoding="utf-8"?>
<ds:datastoreItem xmlns:ds="http://schemas.openxmlformats.org/officeDocument/2006/customXml" ds:itemID="{E0DBDE7B-24D7-4137-A6B8-2CB3E541D09E}">
  <ds:schemaRefs/>
</ds:datastoreItem>
</file>

<file path=customXml/itemProps28.xml><?xml version="1.0" encoding="utf-8"?>
<ds:datastoreItem xmlns:ds="http://schemas.openxmlformats.org/officeDocument/2006/customXml" ds:itemID="{AFD5AEBF-0748-4259-90B3-2BD9EA7BD8D6}">
  <ds:schemaRefs/>
</ds:datastoreItem>
</file>

<file path=customXml/itemProps29.xml><?xml version="1.0" encoding="utf-8"?>
<ds:datastoreItem xmlns:ds="http://schemas.openxmlformats.org/officeDocument/2006/customXml" ds:itemID="{4FB23629-CF29-4686-A548-98299C42B8C7}">
  <ds:schemaRefs/>
</ds:datastoreItem>
</file>

<file path=customXml/itemProps30.xml><?xml version="1.0" encoding="utf-8"?>
<ds:datastoreItem xmlns:ds="http://schemas.openxmlformats.org/officeDocument/2006/customXml" ds:itemID="{2922F0E0-A5EF-4CDD-BBC5-E37B8165520F}">
  <ds:schemaRefs/>
</ds:datastoreItem>
</file>

<file path=customXml/itemProps31.xml><?xml version="1.0" encoding="utf-8"?>
<ds:datastoreItem xmlns:ds="http://schemas.openxmlformats.org/officeDocument/2006/customXml" ds:itemID="{DB4DE79D-36D4-4503-A275-426A923032EF}">
  <ds:schemaRefs/>
</ds:datastoreItem>
</file>

<file path=customXml/itemProps32.xml><?xml version="1.0" encoding="utf-8"?>
<ds:datastoreItem xmlns:ds="http://schemas.openxmlformats.org/officeDocument/2006/customXml" ds:itemID="{F55706EB-6904-4C17-BF73-45AE61EAC5EC}">
  <ds:schemaRefs/>
</ds:datastoreItem>
</file>

<file path=customXml/itemProps33.xml><?xml version="1.0" encoding="utf-8"?>
<ds:datastoreItem xmlns:ds="http://schemas.openxmlformats.org/officeDocument/2006/customXml" ds:itemID="{DB014C60-D4A5-4192-8CB5-FF911FC6E607}">
  <ds:schemaRefs/>
</ds:datastoreItem>
</file>

<file path=customXml/itemProps34.xml><?xml version="1.0" encoding="utf-8"?>
<ds:datastoreItem xmlns:ds="http://schemas.openxmlformats.org/officeDocument/2006/customXml" ds:itemID="{8CE1331B-66A3-49B6-A998-F232301EF363}">
  <ds:schemaRefs/>
</ds:datastoreItem>
</file>

<file path=customXml/itemProps35.xml><?xml version="1.0" encoding="utf-8"?>
<ds:datastoreItem xmlns:ds="http://schemas.openxmlformats.org/officeDocument/2006/customXml" ds:itemID="{A1694E57-FD8A-422C-AD0F-5DF2C5BD0E7B}">
  <ds:schemaRefs/>
</ds:datastoreItem>
</file>

<file path=customXml/itemProps36.xml><?xml version="1.0" encoding="utf-8"?>
<ds:datastoreItem xmlns:ds="http://schemas.openxmlformats.org/officeDocument/2006/customXml" ds:itemID="{4A83228E-3E4F-4C87-B6CF-EE27B24E7072}">
  <ds:schemaRefs/>
</ds:datastoreItem>
</file>

<file path=customXml/itemProps37.xml><?xml version="1.0" encoding="utf-8"?>
<ds:datastoreItem xmlns:ds="http://schemas.openxmlformats.org/officeDocument/2006/customXml" ds:itemID="{B4C83AB8-C877-4D56-857C-C9F5F8785446}">
  <ds:schemaRefs/>
</ds:datastoreItem>
</file>

<file path=customXml/itemProps38.xml><?xml version="1.0" encoding="utf-8"?>
<ds:datastoreItem xmlns:ds="http://schemas.openxmlformats.org/officeDocument/2006/customXml" ds:itemID="{7588FAE7-4DED-46D1-B565-F08FA1EAF79B}">
  <ds:schemaRefs/>
</ds:datastoreItem>
</file>

<file path=customXml/itemProps39.xml><?xml version="1.0" encoding="utf-8"?>
<ds:datastoreItem xmlns:ds="http://schemas.openxmlformats.org/officeDocument/2006/customXml" ds:itemID="{9DA15FFD-8EF9-4717-BE5F-FF2CD334810B}">
  <ds:schemaRefs/>
</ds:datastoreItem>
</file>

<file path=customXml/itemProps40.xml><?xml version="1.0" encoding="utf-8"?>
<ds:datastoreItem xmlns:ds="http://schemas.openxmlformats.org/officeDocument/2006/customXml" ds:itemID="{57C6C154-B573-4F2F-880D-9CEA46AB9E69}">
  <ds:schemaRefs/>
</ds:datastoreItem>
</file>

<file path=customXml/itemProps41.xml><?xml version="1.0" encoding="utf-8"?>
<ds:datastoreItem xmlns:ds="http://schemas.openxmlformats.org/officeDocument/2006/customXml" ds:itemID="{EC265FD7-B500-488B-A3DD-7A2293BE9A05}">
  <ds:schemaRefs/>
</ds:datastoreItem>
</file>

<file path=customXml/itemProps42.xml><?xml version="1.0" encoding="utf-8"?>
<ds:datastoreItem xmlns:ds="http://schemas.openxmlformats.org/officeDocument/2006/customXml" ds:itemID="{8A6C7B5B-BAB6-47DC-AD58-25F3193055D3}">
  <ds:schemaRefs/>
</ds:datastoreItem>
</file>

<file path=customXml/itemProps43.xml><?xml version="1.0" encoding="utf-8"?>
<ds:datastoreItem xmlns:ds="http://schemas.openxmlformats.org/officeDocument/2006/customXml" ds:itemID="{A5D5E94E-7855-4677-82C4-96D44955D811}">
  <ds:schemaRefs/>
</ds:datastoreItem>
</file>

<file path=customXml/itemProps44.xml><?xml version="1.0" encoding="utf-8"?>
<ds:datastoreItem xmlns:ds="http://schemas.openxmlformats.org/officeDocument/2006/customXml" ds:itemID="{7F6054FF-BCBA-46D9-90B5-A5AD330F0663}">
  <ds:schemaRefs/>
</ds:datastoreItem>
</file>

<file path=customXml/itemProps45.xml><?xml version="1.0" encoding="utf-8"?>
<ds:datastoreItem xmlns:ds="http://schemas.openxmlformats.org/officeDocument/2006/customXml" ds:itemID="{E8AAE387-7C59-4884-8C19-B7327268EA0D}">
  <ds:schemaRefs/>
</ds:datastoreItem>
</file>

<file path=customXml/itemProps46.xml><?xml version="1.0" encoding="utf-8"?>
<ds:datastoreItem xmlns:ds="http://schemas.openxmlformats.org/officeDocument/2006/customXml" ds:itemID="{AC8AECB9-3FCA-4741-812C-3AC9FDF39C06}">
  <ds:schemaRefs/>
</ds:datastoreItem>
</file>

<file path=customXml/itemProps47.xml><?xml version="1.0" encoding="utf-8"?>
<ds:datastoreItem xmlns:ds="http://schemas.openxmlformats.org/officeDocument/2006/customXml" ds:itemID="{2BD9AF68-E768-40CB-9568-57BEB3DE1D5C}">
  <ds:schemaRefs/>
</ds:datastoreItem>
</file>

<file path=customXml/itemProps48.xml><?xml version="1.0" encoding="utf-8"?>
<ds:datastoreItem xmlns:ds="http://schemas.openxmlformats.org/officeDocument/2006/customXml" ds:itemID="{AE147C79-A8DD-4C8A-948B-978B8C8740BA}">
  <ds:schemaRefs/>
</ds:datastoreItem>
</file>

<file path=customXml/itemProps49.xml><?xml version="1.0" encoding="utf-8"?>
<ds:datastoreItem xmlns:ds="http://schemas.openxmlformats.org/officeDocument/2006/customXml" ds:itemID="{6FCF00CB-E935-4917-8FFE-E1599C3D2087}">
  <ds:schemaRefs/>
</ds:datastoreItem>
</file>

<file path=customXml/itemProps50.xml><?xml version="1.0" encoding="utf-8"?>
<ds:datastoreItem xmlns:ds="http://schemas.openxmlformats.org/officeDocument/2006/customXml" ds:itemID="{B6358B73-9353-4848-9254-5E15F8EF6587}">
  <ds:schemaRefs/>
</ds:datastoreItem>
</file>

<file path=customXml/itemProps51.xml><?xml version="1.0" encoding="utf-8"?>
<ds:datastoreItem xmlns:ds="http://schemas.openxmlformats.org/officeDocument/2006/customXml" ds:itemID="{FC4316DB-4F26-4D7B-9511-B5038D4447D3}">
  <ds:schemaRefs/>
</ds:datastoreItem>
</file>

<file path=customXml/itemProps52.xml><?xml version="1.0" encoding="utf-8"?>
<ds:datastoreItem xmlns:ds="http://schemas.openxmlformats.org/officeDocument/2006/customXml" ds:itemID="{093E5F99-91A9-438B-8B39-769592D624E1}">
  <ds:schemaRefs/>
</ds:datastoreItem>
</file>

<file path=customXml/itemProps53.xml><?xml version="1.0" encoding="utf-8"?>
<ds:datastoreItem xmlns:ds="http://schemas.openxmlformats.org/officeDocument/2006/customXml" ds:itemID="{16C968A3-49A3-4C14-A00B-BF3CAA46B972}">
  <ds:schemaRefs/>
</ds:datastoreItem>
</file>

<file path=customXml/itemProps54.xml><?xml version="1.0" encoding="utf-8"?>
<ds:datastoreItem xmlns:ds="http://schemas.openxmlformats.org/officeDocument/2006/customXml" ds:itemID="{EA636410-2140-4EDD-AB35-4A5464987E1A}">
  <ds:schemaRefs/>
</ds:datastoreItem>
</file>

<file path=customXml/itemProps55.xml><?xml version="1.0" encoding="utf-8"?>
<ds:datastoreItem xmlns:ds="http://schemas.openxmlformats.org/officeDocument/2006/customXml" ds:itemID="{5C0C60BE-76D9-457A-94DD-215E6DAEF66E}">
  <ds:schemaRefs/>
</ds:datastoreItem>
</file>

<file path=customXml/itemProps56.xml><?xml version="1.0" encoding="utf-8"?>
<ds:datastoreItem xmlns:ds="http://schemas.openxmlformats.org/officeDocument/2006/customXml" ds:itemID="{BF6BF091-ABE8-4032-A4EA-7C159030F141}">
  <ds:schemaRefs/>
</ds:datastoreItem>
</file>

<file path=customXml/itemProps57.xml><?xml version="1.0" encoding="utf-8"?>
<ds:datastoreItem xmlns:ds="http://schemas.openxmlformats.org/officeDocument/2006/customXml" ds:itemID="{3EEB2C56-86B4-4C01-8721-15C99BB9A60F}">
  <ds:schemaRefs/>
</ds:datastoreItem>
</file>

<file path=customXml/itemProps58.xml><?xml version="1.0" encoding="utf-8"?>
<ds:datastoreItem xmlns:ds="http://schemas.openxmlformats.org/officeDocument/2006/customXml" ds:itemID="{11E0A912-0117-47D4-BFCB-9D8B36E2387E}">
  <ds:schemaRefs/>
</ds:datastoreItem>
</file>

<file path=customXml/itemProps59.xml><?xml version="1.0" encoding="utf-8"?>
<ds:datastoreItem xmlns:ds="http://schemas.openxmlformats.org/officeDocument/2006/customXml" ds:itemID="{CCCD857B-491D-4984-9703-96D0C834FD15}">
  <ds:schemaRefs/>
</ds:datastoreItem>
</file>

<file path=customXml/itemProps60.xml><?xml version="1.0" encoding="utf-8"?>
<ds:datastoreItem xmlns:ds="http://schemas.openxmlformats.org/officeDocument/2006/customXml" ds:itemID="{48BA657C-406C-421B-A0E5-5DB850EC39F2}">
  <ds:schemaRefs/>
</ds:datastoreItem>
</file>

<file path=customXml/itemProps61.xml><?xml version="1.0" encoding="utf-8"?>
<ds:datastoreItem xmlns:ds="http://schemas.openxmlformats.org/officeDocument/2006/customXml" ds:itemID="{2A148F57-395B-460A-9C50-92AF222A0DAC}">
  <ds:schemaRefs/>
</ds:datastoreItem>
</file>

<file path=customXml/itemProps62.xml><?xml version="1.0" encoding="utf-8"?>
<ds:datastoreItem xmlns:ds="http://schemas.openxmlformats.org/officeDocument/2006/customXml" ds:itemID="{61545358-7F8C-4BD7-92C7-092048F7010D}">
  <ds:schemaRefs/>
</ds:datastoreItem>
</file>

<file path=customXml/itemProps63.xml><?xml version="1.0" encoding="utf-8"?>
<ds:datastoreItem xmlns:ds="http://schemas.openxmlformats.org/officeDocument/2006/customXml" ds:itemID="{FC4531D4-4257-4982-9FB0-738A57E48BE9}">
  <ds:schemaRefs/>
</ds:datastoreItem>
</file>

<file path=customXml/itemProps64.xml><?xml version="1.0" encoding="utf-8"?>
<ds:datastoreItem xmlns:ds="http://schemas.openxmlformats.org/officeDocument/2006/customXml" ds:itemID="{AE32A5FA-B8BA-46FC-AD22-53A2849F328F}">
  <ds:schemaRefs/>
</ds:datastoreItem>
</file>

<file path=customXml/itemProps65.xml><?xml version="1.0" encoding="utf-8"?>
<ds:datastoreItem xmlns:ds="http://schemas.openxmlformats.org/officeDocument/2006/customXml" ds:itemID="{D32929F5-3DCC-414A-9010-B0D8468EBF0F}">
  <ds:schemaRefs/>
</ds:datastoreItem>
</file>

<file path=customXml/itemProps66.xml><?xml version="1.0" encoding="utf-8"?>
<ds:datastoreItem xmlns:ds="http://schemas.openxmlformats.org/officeDocument/2006/customXml" ds:itemID="{CB63EFEB-DCF3-48F6-BF8B-18E5F95DD248}">
  <ds:schemaRefs/>
</ds:datastoreItem>
</file>

<file path=customXml/itemProps67.xml><?xml version="1.0" encoding="utf-8"?>
<ds:datastoreItem xmlns:ds="http://schemas.openxmlformats.org/officeDocument/2006/customXml" ds:itemID="{154938F9-36D5-4BDB-A014-572D514EBB23}">
  <ds:schemaRefs/>
</ds:datastoreItem>
</file>

<file path=customXml/itemProps68.xml><?xml version="1.0" encoding="utf-8"?>
<ds:datastoreItem xmlns:ds="http://schemas.openxmlformats.org/officeDocument/2006/customXml" ds:itemID="{0530B8BC-7253-4200-AFF9-9B3B0258F509}">
  <ds:schemaRefs/>
</ds:datastoreItem>
</file>

<file path=customXml/itemProps69.xml><?xml version="1.0" encoding="utf-8"?>
<ds:datastoreItem xmlns:ds="http://schemas.openxmlformats.org/officeDocument/2006/customXml" ds:itemID="{B81D396A-6D2B-4D44-9087-BF82BA8AEB99}">
  <ds:schemaRefs/>
</ds:datastoreItem>
</file>

<file path=customXml/itemProps70.xml><?xml version="1.0" encoding="utf-8"?>
<ds:datastoreItem xmlns:ds="http://schemas.openxmlformats.org/officeDocument/2006/customXml" ds:itemID="{BCA281F2-5F9E-4437-9BD3-7599DCD4A7D9}">
  <ds:schemaRefs/>
</ds:datastoreItem>
</file>

<file path=customXml/itemProps71.xml><?xml version="1.0" encoding="utf-8"?>
<ds:datastoreItem xmlns:ds="http://schemas.openxmlformats.org/officeDocument/2006/customXml" ds:itemID="{163E11CA-7150-4741-AC31-66D392ED0798}">
  <ds:schemaRefs/>
</ds:datastoreItem>
</file>

<file path=customXml/itemProps72.xml><?xml version="1.0" encoding="utf-8"?>
<ds:datastoreItem xmlns:ds="http://schemas.openxmlformats.org/officeDocument/2006/customXml" ds:itemID="{C7240F1A-D009-4230-BC23-C700397663BF}">
  <ds:schemaRefs/>
</ds:datastoreItem>
</file>

<file path=customXml/itemProps73.xml><?xml version="1.0" encoding="utf-8"?>
<ds:datastoreItem xmlns:ds="http://schemas.openxmlformats.org/officeDocument/2006/customXml" ds:itemID="{28C1385A-2B7C-4937-8C04-3FAA8F18FEE5}">
  <ds:schemaRefs/>
</ds:datastoreItem>
</file>

<file path=customXml/itemProps74.xml><?xml version="1.0" encoding="utf-8"?>
<ds:datastoreItem xmlns:ds="http://schemas.openxmlformats.org/officeDocument/2006/customXml" ds:itemID="{1AFA2237-0EEA-4F66-8310-C4608F5B018B}">
  <ds:schemaRefs/>
</ds:datastoreItem>
</file>

<file path=customXml/itemProps75.xml><?xml version="1.0" encoding="utf-8"?>
<ds:datastoreItem xmlns:ds="http://schemas.openxmlformats.org/officeDocument/2006/customXml" ds:itemID="{6295D772-B5D8-47E2-A018-205A353A6EBB}">
  <ds:schemaRefs/>
</ds:datastoreItem>
</file>

<file path=customXml/itemProps76.xml><?xml version="1.0" encoding="utf-8"?>
<ds:datastoreItem xmlns:ds="http://schemas.openxmlformats.org/officeDocument/2006/customXml" ds:itemID="{0CB04559-609C-4DFA-A5DE-9CCD7E438E07}">
  <ds:schemaRefs/>
</ds:datastoreItem>
</file>

<file path=customXml/itemProps77.xml><?xml version="1.0" encoding="utf-8"?>
<ds:datastoreItem xmlns:ds="http://schemas.openxmlformats.org/officeDocument/2006/customXml" ds:itemID="{E86C397E-4CD5-46BD-8376-3DE79EEE153B}">
  <ds:schemaRefs/>
</ds:datastoreItem>
</file>

<file path=customXml/itemProps78.xml><?xml version="1.0" encoding="utf-8"?>
<ds:datastoreItem xmlns:ds="http://schemas.openxmlformats.org/officeDocument/2006/customXml" ds:itemID="{34EE6071-FC4B-4096-96A4-D31A4B4987DA}">
  <ds:schemaRefs/>
</ds:datastoreItem>
</file>

<file path=customXml/itemProps79.xml><?xml version="1.0" encoding="utf-8"?>
<ds:datastoreItem xmlns:ds="http://schemas.openxmlformats.org/officeDocument/2006/customXml" ds:itemID="{31282AE0-CA5A-47D1-BAEA-A437D463B6D2}">
  <ds:schemaRefs/>
</ds:datastoreItem>
</file>

<file path=customXml/itemProps80.xml><?xml version="1.0" encoding="utf-8"?>
<ds:datastoreItem xmlns:ds="http://schemas.openxmlformats.org/officeDocument/2006/customXml" ds:itemID="{5FB455DF-1E9D-4441-AFFC-71F88D654F04}">
  <ds:schemaRefs/>
</ds:datastoreItem>
</file>

<file path=customXml/itemProps81.xml><?xml version="1.0" encoding="utf-8"?>
<ds:datastoreItem xmlns:ds="http://schemas.openxmlformats.org/officeDocument/2006/customXml" ds:itemID="{504B9BED-53FC-42DD-9382-BF7EF689CD6F}">
  <ds:schemaRefs/>
</ds:datastoreItem>
</file>

<file path=customXml/itemProps82.xml><?xml version="1.0" encoding="utf-8"?>
<ds:datastoreItem xmlns:ds="http://schemas.openxmlformats.org/officeDocument/2006/customXml" ds:itemID="{93B7BA04-4D0A-4A1C-9DA7-92B732595E19}">
  <ds:schemaRefs/>
</ds:datastoreItem>
</file>

<file path=customXml/itemProps83.xml><?xml version="1.0" encoding="utf-8"?>
<ds:datastoreItem xmlns:ds="http://schemas.openxmlformats.org/officeDocument/2006/customXml" ds:itemID="{79B7717E-E38C-456C-918B-0F5355160CD1}">
  <ds:schemaRefs/>
</ds:datastoreItem>
</file>

<file path=customXml/itemProps84.xml><?xml version="1.0" encoding="utf-8"?>
<ds:datastoreItem xmlns:ds="http://schemas.openxmlformats.org/officeDocument/2006/customXml" ds:itemID="{A526F426-0C95-4765-B14F-63110CAB649F}">
  <ds:schemaRefs/>
</ds:datastoreItem>
</file>

<file path=customXml/itemProps85.xml><?xml version="1.0" encoding="utf-8"?>
<ds:datastoreItem xmlns:ds="http://schemas.openxmlformats.org/officeDocument/2006/customXml" ds:itemID="{7A8A2C9B-F94F-4451-B0F6-1D5B313006AA}">
  <ds:schemaRefs/>
</ds:datastoreItem>
</file>

<file path=customXml/itemProps86.xml><?xml version="1.0" encoding="utf-8"?>
<ds:datastoreItem xmlns:ds="http://schemas.openxmlformats.org/officeDocument/2006/customXml" ds:itemID="{3A923D5B-ED06-4CF8-8914-D734C1D72E4D}">
  <ds:schemaRefs/>
</ds:datastoreItem>
</file>

<file path=customXml/itemProps87.xml><?xml version="1.0" encoding="utf-8"?>
<ds:datastoreItem xmlns:ds="http://schemas.openxmlformats.org/officeDocument/2006/customXml" ds:itemID="{F79BCB9D-8FDA-4D72-A976-88AA3BD0CD94}">
  <ds:schemaRefs/>
</ds:datastoreItem>
</file>

<file path=customXml/itemProps88.xml><?xml version="1.0" encoding="utf-8"?>
<ds:datastoreItem xmlns:ds="http://schemas.openxmlformats.org/officeDocument/2006/customXml" ds:itemID="{1616D2F1-0D12-47AC-90ED-173985A86667}">
  <ds:schemaRefs/>
</ds:datastoreItem>
</file>

<file path=customXml/itemProps89.xml><?xml version="1.0" encoding="utf-8"?>
<ds:datastoreItem xmlns:ds="http://schemas.openxmlformats.org/officeDocument/2006/customXml" ds:itemID="{97FC11D5-1B32-4558-90E2-955A161C94DE}">
  <ds:schemaRefs/>
</ds:datastoreItem>
</file>

<file path=customXml/itemProps90.xml><?xml version="1.0" encoding="utf-8"?>
<ds:datastoreItem xmlns:ds="http://schemas.openxmlformats.org/officeDocument/2006/customXml" ds:itemID="{DD90CD8F-2B0A-4C45-9817-FAD7464D0E68}">
  <ds:schemaRefs/>
</ds:datastoreItem>
</file>

<file path=customXml/itemProps91.xml><?xml version="1.0" encoding="utf-8"?>
<ds:datastoreItem xmlns:ds="http://schemas.openxmlformats.org/officeDocument/2006/customXml" ds:itemID="{B4D9DB99-CA89-4737-A0BC-C59801C33327}">
  <ds:schemaRefs/>
</ds:datastoreItem>
</file>

<file path=customXml/itemProps92.xml><?xml version="1.0" encoding="utf-8"?>
<ds:datastoreItem xmlns:ds="http://schemas.openxmlformats.org/officeDocument/2006/customXml" ds:itemID="{CF297705-A368-4225-9F1C-268291DCC01F}">
  <ds:schemaRefs/>
</ds:datastoreItem>
</file>

<file path=customXml/itemProps93.xml><?xml version="1.0" encoding="utf-8"?>
<ds:datastoreItem xmlns:ds="http://schemas.openxmlformats.org/officeDocument/2006/customXml" ds:itemID="{A904A0B3-B510-4B5B-A83E-541297CC14BC}">
  <ds:schemaRefs/>
</ds:datastoreItem>
</file>

<file path=customXml/itemProps94.xml><?xml version="1.0" encoding="utf-8"?>
<ds:datastoreItem xmlns:ds="http://schemas.openxmlformats.org/officeDocument/2006/customXml" ds:itemID="{74EBC1F1-4351-4388-99A5-6FC325E027FB}">
  <ds:schemaRefs/>
</ds:datastoreItem>
</file>

<file path=customXml/itemProps95.xml><?xml version="1.0" encoding="utf-8"?>
<ds:datastoreItem xmlns:ds="http://schemas.openxmlformats.org/officeDocument/2006/customXml" ds:itemID="{B623BC4C-C08D-490E-BD0B-A30C24313B9A}">
  <ds:schemaRefs/>
</ds:datastoreItem>
</file>

<file path=customXml/itemProps96.xml><?xml version="1.0" encoding="utf-8"?>
<ds:datastoreItem xmlns:ds="http://schemas.openxmlformats.org/officeDocument/2006/customXml" ds:itemID="{A65FD6E7-28B9-413D-82BF-3BA1EFB33B2F}">
  <ds:schemaRefs/>
</ds:datastoreItem>
</file>

<file path=customXml/itemProps97.xml><?xml version="1.0" encoding="utf-8"?>
<ds:datastoreItem xmlns:ds="http://schemas.openxmlformats.org/officeDocument/2006/customXml" ds:itemID="{A9061F3A-1ECE-4547-BB4B-AB35EB870AF5}">
  <ds:schemaRefs/>
</ds:datastoreItem>
</file>

<file path=customXml/itemProps98.xml><?xml version="1.0" encoding="utf-8"?>
<ds:datastoreItem xmlns:ds="http://schemas.openxmlformats.org/officeDocument/2006/customXml" ds:itemID="{78346D83-9C6C-4499-97B3-17C387E2D0E4}">
  <ds:schemaRefs/>
</ds:datastoreItem>
</file>

<file path=customXml/itemProps99.xml><?xml version="1.0" encoding="utf-8"?>
<ds:datastoreItem xmlns:ds="http://schemas.openxmlformats.org/officeDocument/2006/customXml" ds:itemID="{DA4CD22B-869E-4347-A57B-9C2C39B54B58}">
  <ds:schemaRefs/>
</ds:datastoreItem>
</file>

<file path=customXml/itemProps100.xml><?xml version="1.0" encoding="utf-8"?>
<ds:datastoreItem xmlns:ds="http://schemas.openxmlformats.org/officeDocument/2006/customXml" ds:itemID="{ABBBDFC9-7228-4DD6-BD25-40C6C340A5C5}">
  <ds:schemaRefs/>
</ds:datastoreItem>
</file>

<file path=customXml/itemProps101.xml><?xml version="1.0" encoding="utf-8"?>
<ds:datastoreItem xmlns:ds="http://schemas.openxmlformats.org/officeDocument/2006/customXml" ds:itemID="{DDC88E13-4AB5-42E6-AD73-61BA839F9C5C}">
  <ds:schemaRefs/>
</ds:datastoreItem>
</file>

<file path=customXml/itemProps102.xml><?xml version="1.0" encoding="utf-8"?>
<ds:datastoreItem xmlns:ds="http://schemas.openxmlformats.org/officeDocument/2006/customXml" ds:itemID="{71E4BF87-EA3D-4978-82BE-F67C5DDBF51C}">
  <ds:schemaRefs/>
</ds:datastoreItem>
</file>

<file path=customXml/itemProps103.xml><?xml version="1.0" encoding="utf-8"?>
<ds:datastoreItem xmlns:ds="http://schemas.openxmlformats.org/officeDocument/2006/customXml" ds:itemID="{BA16A974-3E1B-49F3-A0C1-7D6A06540F13}">
  <ds:schemaRefs/>
</ds:datastoreItem>
</file>

<file path=customXml/itemProps104.xml><?xml version="1.0" encoding="utf-8"?>
<ds:datastoreItem xmlns:ds="http://schemas.openxmlformats.org/officeDocument/2006/customXml" ds:itemID="{7C14CFE5-18BD-4A2F-B5D8-CC58C5C75C33}">
  <ds:schemaRefs/>
</ds:datastoreItem>
</file>

<file path=customXml/itemProps105.xml><?xml version="1.0" encoding="utf-8"?>
<ds:datastoreItem xmlns:ds="http://schemas.openxmlformats.org/officeDocument/2006/customXml" ds:itemID="{E8D3E68A-70BF-4B8E-9C90-7BD0BE6AA829}">
  <ds:schemaRefs/>
</ds:datastoreItem>
</file>

<file path=customXml/itemProps106.xml><?xml version="1.0" encoding="utf-8"?>
<ds:datastoreItem xmlns:ds="http://schemas.openxmlformats.org/officeDocument/2006/customXml" ds:itemID="{DC89007A-165A-4B1D-A2B3-25930096D0B8}">
  <ds:schemaRefs/>
</ds:datastoreItem>
</file>

<file path=customXml/itemProps107.xml><?xml version="1.0" encoding="utf-8"?>
<ds:datastoreItem xmlns:ds="http://schemas.openxmlformats.org/officeDocument/2006/customXml" ds:itemID="{702F4DDA-822E-4F77-8688-30432D48C938}">
  <ds:schemaRefs/>
</ds:datastoreItem>
</file>

<file path=customXml/itemProps108.xml><?xml version="1.0" encoding="utf-8"?>
<ds:datastoreItem xmlns:ds="http://schemas.openxmlformats.org/officeDocument/2006/customXml" ds:itemID="{C217FD84-A688-4C63-83E4-6712BD369FF3}">
  <ds:schemaRefs/>
</ds:datastoreItem>
</file>

<file path=customXml/itemProps109.xml><?xml version="1.0" encoding="utf-8"?>
<ds:datastoreItem xmlns:ds="http://schemas.openxmlformats.org/officeDocument/2006/customXml" ds:itemID="{2E37FEA1-856C-4139-B9DB-EA7AEE2AD4E0}">
  <ds:schemaRefs/>
</ds:datastoreItem>
</file>

<file path=customXml/itemProps110.xml><?xml version="1.0" encoding="utf-8"?>
<ds:datastoreItem xmlns:ds="http://schemas.openxmlformats.org/officeDocument/2006/customXml" ds:itemID="{8D0CBA15-5BA9-420F-A45C-16B7415B4321}">
  <ds:schemaRefs/>
</ds:datastoreItem>
</file>

<file path=customXml/itemProps111.xml><?xml version="1.0" encoding="utf-8"?>
<ds:datastoreItem xmlns:ds="http://schemas.openxmlformats.org/officeDocument/2006/customXml" ds:itemID="{5E68D579-B599-4BDE-A05A-D6621B2A2340}">
  <ds:schemaRefs/>
</ds:datastoreItem>
</file>

<file path=customXml/itemProps112.xml><?xml version="1.0" encoding="utf-8"?>
<ds:datastoreItem xmlns:ds="http://schemas.openxmlformats.org/officeDocument/2006/customXml" ds:itemID="{5A757599-2650-4754-B887-03430E2082B3}">
  <ds:schemaRefs/>
</ds:datastoreItem>
</file>

<file path=customXml/itemProps113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14.xml><?xml version="1.0" encoding="utf-8"?>
<ds:datastoreItem xmlns:ds="http://schemas.openxmlformats.org/officeDocument/2006/customXml" ds:itemID="{5B229DF5-4A5E-4453-98B0-81353687F101}">
  <ds:schemaRefs/>
</ds:datastoreItem>
</file>

<file path=customXml/itemProps115.xml><?xml version="1.0" encoding="utf-8"?>
<ds:datastoreItem xmlns:ds="http://schemas.openxmlformats.org/officeDocument/2006/customXml" ds:itemID="{E1323408-3FF7-4E61-B377-473A3CB4585A}">
  <ds:schemaRefs/>
</ds:datastoreItem>
</file>

<file path=customXml/itemProps116.xml><?xml version="1.0" encoding="utf-8"?>
<ds:datastoreItem xmlns:ds="http://schemas.openxmlformats.org/officeDocument/2006/customXml" ds:itemID="{26111D49-1CFF-4B0F-AECA-C01E25D19D27}">
  <ds:schemaRefs/>
</ds:datastoreItem>
</file>

<file path=customXml/itemProps117.xml><?xml version="1.0" encoding="utf-8"?>
<ds:datastoreItem xmlns:ds="http://schemas.openxmlformats.org/officeDocument/2006/customXml" ds:itemID="{E9AB2FA9-B28C-49AB-ABA8-EFC5093747F6}">
  <ds:schemaRefs/>
</ds:datastoreItem>
</file>

<file path=customXml/itemProps118.xml><?xml version="1.0" encoding="utf-8"?>
<ds:datastoreItem xmlns:ds="http://schemas.openxmlformats.org/officeDocument/2006/customXml" ds:itemID="{D7DE779D-AE78-467D-8165-94B18D88652C}">
  <ds:schemaRefs/>
</ds:datastoreItem>
</file>

<file path=customXml/itemProps119.xml><?xml version="1.0" encoding="utf-8"?>
<ds:datastoreItem xmlns:ds="http://schemas.openxmlformats.org/officeDocument/2006/customXml" ds:itemID="{2C3905F1-A4FC-49A5-A627-2E53C5CC7415}">
  <ds:schemaRefs/>
</ds:datastoreItem>
</file>

<file path=customXml/itemProps120.xml><?xml version="1.0" encoding="utf-8"?>
<ds:datastoreItem xmlns:ds="http://schemas.openxmlformats.org/officeDocument/2006/customXml" ds:itemID="{E533207C-BE3A-4114-A06D-22D9A7D5B8CE}">
  <ds:schemaRefs/>
</ds:datastoreItem>
</file>

<file path=customXml/itemProps121.xml><?xml version="1.0" encoding="utf-8"?>
<ds:datastoreItem xmlns:ds="http://schemas.openxmlformats.org/officeDocument/2006/customXml" ds:itemID="{B10C2B4A-3B0F-4068-977E-3E580FFC3F21}">
  <ds:schemaRefs/>
</ds:datastoreItem>
</file>

<file path=customXml/itemProps122.xml><?xml version="1.0" encoding="utf-8"?>
<ds:datastoreItem xmlns:ds="http://schemas.openxmlformats.org/officeDocument/2006/customXml" ds:itemID="{43BA8CE6-591B-4C7E-913D-161BB55C147B}">
  <ds:schemaRefs/>
</ds:datastoreItem>
</file>

<file path=customXml/itemProps123.xml><?xml version="1.0" encoding="utf-8"?>
<ds:datastoreItem xmlns:ds="http://schemas.openxmlformats.org/officeDocument/2006/customXml" ds:itemID="{C8CD1380-A042-42B6-9E96-7EFB183D265D}">
  <ds:schemaRefs/>
</ds:datastoreItem>
</file>

<file path=customXml/itemProps124.xml><?xml version="1.0" encoding="utf-8"?>
<ds:datastoreItem xmlns:ds="http://schemas.openxmlformats.org/officeDocument/2006/customXml" ds:itemID="{C301AD00-C7FD-4BF4-B542-EF7FB7A52E95}">
  <ds:schemaRefs/>
</ds:datastoreItem>
</file>

<file path=customXml/itemProps125.xml><?xml version="1.0" encoding="utf-8"?>
<ds:datastoreItem xmlns:ds="http://schemas.openxmlformats.org/officeDocument/2006/customXml" ds:itemID="{A333CF51-B8EC-40CF-B78D-27AAC9B2DD8B}">
  <ds:schemaRefs/>
</ds:datastoreItem>
</file>

<file path=customXml/itemProps126.xml><?xml version="1.0" encoding="utf-8"?>
<ds:datastoreItem xmlns:ds="http://schemas.openxmlformats.org/officeDocument/2006/customXml" ds:itemID="{A1F4FBFF-D03D-47BA-9AE1-1B947BCC21EA}">
  <ds:schemaRefs/>
</ds:datastoreItem>
</file>

<file path=customXml/itemProps127.xml><?xml version="1.0" encoding="utf-8"?>
<ds:datastoreItem xmlns:ds="http://schemas.openxmlformats.org/officeDocument/2006/customXml" ds:itemID="{88874A4D-6F50-442E-8A36-D9EC99A352BF}">
  <ds:schemaRefs/>
</ds:datastoreItem>
</file>

<file path=customXml/itemProps128.xml><?xml version="1.0" encoding="utf-8"?>
<ds:datastoreItem xmlns:ds="http://schemas.openxmlformats.org/officeDocument/2006/customXml" ds:itemID="{12E1E34F-E531-4F1C-8039-B8C1F9978D20}">
  <ds:schemaRefs/>
</ds:datastoreItem>
</file>

<file path=customXml/itemProps129.xml><?xml version="1.0" encoding="utf-8"?>
<ds:datastoreItem xmlns:ds="http://schemas.openxmlformats.org/officeDocument/2006/customXml" ds:itemID="{1A1F5D54-A5B4-4322-9473-9869A1AB480D}">
  <ds:schemaRefs/>
</ds:datastoreItem>
</file>

<file path=customXml/itemProps130.xml><?xml version="1.0" encoding="utf-8"?>
<ds:datastoreItem xmlns:ds="http://schemas.openxmlformats.org/officeDocument/2006/customXml" ds:itemID="{88E46063-F3C3-41BB-8510-7C45BC99E55D}">
  <ds:schemaRefs/>
</ds:datastoreItem>
</file>

<file path=customXml/itemProps131.xml><?xml version="1.0" encoding="utf-8"?>
<ds:datastoreItem xmlns:ds="http://schemas.openxmlformats.org/officeDocument/2006/customXml" ds:itemID="{99A3E7B3-F26F-4347-8EFD-49596CB47580}">
  <ds:schemaRefs/>
</ds:datastoreItem>
</file>

<file path=customXml/itemProps132.xml><?xml version="1.0" encoding="utf-8"?>
<ds:datastoreItem xmlns:ds="http://schemas.openxmlformats.org/officeDocument/2006/customXml" ds:itemID="{CD44F6A7-D0DC-45E9-9DE4-3F07D4968FBB}">
  <ds:schemaRefs/>
</ds:datastoreItem>
</file>

<file path=customXml/itemProps133.xml><?xml version="1.0" encoding="utf-8"?>
<ds:datastoreItem xmlns:ds="http://schemas.openxmlformats.org/officeDocument/2006/customXml" ds:itemID="{CFFE74EE-1C17-41A5-9130-B2F781C40958}">
  <ds:schemaRefs/>
</ds:datastoreItem>
</file>

<file path=customXml/itemProps134.xml><?xml version="1.0" encoding="utf-8"?>
<ds:datastoreItem xmlns:ds="http://schemas.openxmlformats.org/officeDocument/2006/customXml" ds:itemID="{1E1A07D0-F42E-4A72-8E8C-D8D38082768F}">
  <ds:schemaRefs/>
</ds:datastoreItem>
</file>

<file path=customXml/itemProps135.xml><?xml version="1.0" encoding="utf-8"?>
<ds:datastoreItem xmlns:ds="http://schemas.openxmlformats.org/officeDocument/2006/customXml" ds:itemID="{91CD8DBF-AF07-4EF7-AB03-340152F22CDE}">
  <ds:schemaRefs/>
</ds:datastoreItem>
</file>

<file path=customXml/itemProps136.xml><?xml version="1.0" encoding="utf-8"?>
<ds:datastoreItem xmlns:ds="http://schemas.openxmlformats.org/officeDocument/2006/customXml" ds:itemID="{408792FC-13FE-4646-9437-7D31A977E045}">
  <ds:schemaRefs/>
</ds:datastoreItem>
</file>

<file path=customXml/itemProps137.xml><?xml version="1.0" encoding="utf-8"?>
<ds:datastoreItem xmlns:ds="http://schemas.openxmlformats.org/officeDocument/2006/customXml" ds:itemID="{906C3B80-1CDC-4D7F-9FB1-6FF50BFDA17A}">
  <ds:schemaRefs/>
</ds:datastoreItem>
</file>

<file path=customXml/itemProps138.xml><?xml version="1.0" encoding="utf-8"?>
<ds:datastoreItem xmlns:ds="http://schemas.openxmlformats.org/officeDocument/2006/customXml" ds:itemID="{AB11C3E7-ADA7-421E-ACD7-2F80A4ED1EA0}">
  <ds:schemaRefs/>
</ds:datastoreItem>
</file>

<file path=customXml/itemProps139.xml><?xml version="1.0" encoding="utf-8"?>
<ds:datastoreItem xmlns:ds="http://schemas.openxmlformats.org/officeDocument/2006/customXml" ds:itemID="{C9A2EF45-7B6A-4B47-B95A-3563BAEE6A28}">
  <ds:schemaRefs/>
</ds:datastoreItem>
</file>

<file path=customXml/itemProps140.xml><?xml version="1.0" encoding="utf-8"?>
<ds:datastoreItem xmlns:ds="http://schemas.openxmlformats.org/officeDocument/2006/customXml" ds:itemID="{24113C84-AD7D-4E7B-BB01-6610386F0181}">
  <ds:schemaRefs/>
</ds:datastoreItem>
</file>

<file path=customXml/itemProps141.xml><?xml version="1.0" encoding="utf-8"?>
<ds:datastoreItem xmlns:ds="http://schemas.openxmlformats.org/officeDocument/2006/customXml" ds:itemID="{41BAB267-F051-48C8-AA28-575A5866CF3E}">
  <ds:schemaRefs/>
</ds:datastoreItem>
</file>

<file path=customXml/itemProps142.xml><?xml version="1.0" encoding="utf-8"?>
<ds:datastoreItem xmlns:ds="http://schemas.openxmlformats.org/officeDocument/2006/customXml" ds:itemID="{F5E4F980-EB5D-40AB-8C0F-0F6FCDDFEAF5}">
  <ds:schemaRefs/>
</ds:datastoreItem>
</file>

<file path=customXml/itemProps143.xml><?xml version="1.0" encoding="utf-8"?>
<ds:datastoreItem xmlns:ds="http://schemas.openxmlformats.org/officeDocument/2006/customXml" ds:itemID="{FFADC5FE-351D-467D-8D1E-E8D8BBC0039C}">
  <ds:schemaRefs/>
</ds:datastoreItem>
</file>

<file path=customXml/itemProps144.xml><?xml version="1.0" encoding="utf-8"?>
<ds:datastoreItem xmlns:ds="http://schemas.openxmlformats.org/officeDocument/2006/customXml" ds:itemID="{43777DB2-CDEA-4BE8-8E6C-15F603CE794B}">
  <ds:schemaRefs/>
</ds:datastoreItem>
</file>

<file path=customXml/itemProps145.xml><?xml version="1.0" encoding="utf-8"?>
<ds:datastoreItem xmlns:ds="http://schemas.openxmlformats.org/officeDocument/2006/customXml" ds:itemID="{5B77B3AA-C33B-4E86-84F1-4DDF1E31F814}">
  <ds:schemaRefs/>
</ds:datastoreItem>
</file>

<file path=customXml/itemProps146.xml><?xml version="1.0" encoding="utf-8"?>
<ds:datastoreItem xmlns:ds="http://schemas.openxmlformats.org/officeDocument/2006/customXml" ds:itemID="{2D0BEB05-71CB-4DF7-A38D-D75E5C80E70C}">
  <ds:schemaRefs/>
</ds:datastoreItem>
</file>

<file path=customXml/itemProps147.xml><?xml version="1.0" encoding="utf-8"?>
<ds:datastoreItem xmlns:ds="http://schemas.openxmlformats.org/officeDocument/2006/customXml" ds:itemID="{D9E63EEB-3248-4649-A564-C29CE96A98FD}">
  <ds:schemaRefs/>
</ds:datastoreItem>
</file>

<file path=customXml/itemProps148.xml><?xml version="1.0" encoding="utf-8"?>
<ds:datastoreItem xmlns:ds="http://schemas.openxmlformats.org/officeDocument/2006/customXml" ds:itemID="{136B750B-2261-488F-AAB6-49DB43A2EA65}">
  <ds:schemaRefs/>
</ds:datastoreItem>
</file>

<file path=customXml/itemProps149.xml><?xml version="1.0" encoding="utf-8"?>
<ds:datastoreItem xmlns:ds="http://schemas.openxmlformats.org/officeDocument/2006/customXml" ds:itemID="{1B5D69E0-43F7-43F5-AFF8-2814D595923E}">
  <ds:schemaRefs/>
</ds:datastoreItem>
</file>

<file path=customXml/itemProps150.xml><?xml version="1.0" encoding="utf-8"?>
<ds:datastoreItem xmlns:ds="http://schemas.openxmlformats.org/officeDocument/2006/customXml" ds:itemID="{DFDA8D21-C75D-409D-B3E1-9615D9A1D9EF}">
  <ds:schemaRefs/>
</ds:datastoreItem>
</file>

<file path=customXml/itemProps151.xml><?xml version="1.0" encoding="utf-8"?>
<ds:datastoreItem xmlns:ds="http://schemas.openxmlformats.org/officeDocument/2006/customXml" ds:itemID="{A11E85FC-3828-4BCB-BBE3-647A9C972C97}">
  <ds:schemaRefs/>
</ds:datastoreItem>
</file>

<file path=customXml/itemProps152.xml><?xml version="1.0" encoding="utf-8"?>
<ds:datastoreItem xmlns:ds="http://schemas.openxmlformats.org/officeDocument/2006/customXml" ds:itemID="{1CD5A070-337E-4B4D-A3EB-16FAF44CFB0B}">
  <ds:schemaRefs/>
</ds:datastoreItem>
</file>

<file path=customXml/itemProps153.xml><?xml version="1.0" encoding="utf-8"?>
<ds:datastoreItem xmlns:ds="http://schemas.openxmlformats.org/officeDocument/2006/customXml" ds:itemID="{1586613E-344B-4CF0-81EC-670C0EC45140}">
  <ds:schemaRefs/>
</ds:datastoreItem>
</file>

<file path=customXml/itemProps154.xml><?xml version="1.0" encoding="utf-8"?>
<ds:datastoreItem xmlns:ds="http://schemas.openxmlformats.org/officeDocument/2006/customXml" ds:itemID="{99368D11-6C02-49E2-B00C-169ECE1D3EC2}">
  <ds:schemaRefs/>
</ds:datastoreItem>
</file>

<file path=customXml/itemProps155.xml><?xml version="1.0" encoding="utf-8"?>
<ds:datastoreItem xmlns:ds="http://schemas.openxmlformats.org/officeDocument/2006/customXml" ds:itemID="{469ACAB4-98AA-4EDD-A1BF-15085ADF32F6}">
  <ds:schemaRefs/>
</ds:datastoreItem>
</file>

<file path=customXml/itemProps156.xml><?xml version="1.0" encoding="utf-8"?>
<ds:datastoreItem xmlns:ds="http://schemas.openxmlformats.org/officeDocument/2006/customXml" ds:itemID="{6A0BC688-CB10-4DB6-A84D-47D2CC8141CB}">
  <ds:schemaRefs/>
</ds:datastoreItem>
</file>

<file path=customXml/itemProps157.xml><?xml version="1.0" encoding="utf-8"?>
<ds:datastoreItem xmlns:ds="http://schemas.openxmlformats.org/officeDocument/2006/customXml" ds:itemID="{1D14D93E-1AFB-4BDB-A455-62D3F2B5B326}">
  <ds:schemaRefs/>
</ds:datastoreItem>
</file>

<file path=customXml/itemProps158.xml><?xml version="1.0" encoding="utf-8"?>
<ds:datastoreItem xmlns:ds="http://schemas.openxmlformats.org/officeDocument/2006/customXml" ds:itemID="{E3EC2762-C64A-4F6A-9418-C2D4AA9A5247}">
  <ds:schemaRefs/>
</ds:datastoreItem>
</file>

<file path=customXml/itemProps159.xml><?xml version="1.0" encoding="utf-8"?>
<ds:datastoreItem xmlns:ds="http://schemas.openxmlformats.org/officeDocument/2006/customXml" ds:itemID="{3B6298AB-20DC-411F-9E31-F0B03CC44808}">
  <ds:schemaRefs/>
</ds:datastoreItem>
</file>

<file path=customXml/itemProps160.xml><?xml version="1.0" encoding="utf-8"?>
<ds:datastoreItem xmlns:ds="http://schemas.openxmlformats.org/officeDocument/2006/customXml" ds:itemID="{C3E3E80B-1866-405C-85F0-8B817739810E}">
  <ds:schemaRefs/>
</ds:datastoreItem>
</file>

<file path=customXml/itemProps161.xml><?xml version="1.0" encoding="utf-8"?>
<ds:datastoreItem xmlns:ds="http://schemas.openxmlformats.org/officeDocument/2006/customXml" ds:itemID="{073030D6-C728-4A1F-ABA9-F7CD312C2555}">
  <ds:schemaRefs/>
</ds:datastoreItem>
</file>

<file path=customXml/itemProps162.xml><?xml version="1.0" encoding="utf-8"?>
<ds:datastoreItem xmlns:ds="http://schemas.openxmlformats.org/officeDocument/2006/customXml" ds:itemID="{3AD84EA1-6F66-4A62-9DE9-EF345F00F252}">
  <ds:schemaRefs/>
</ds:datastoreItem>
</file>

<file path=customXml/itemProps163.xml><?xml version="1.0" encoding="utf-8"?>
<ds:datastoreItem xmlns:ds="http://schemas.openxmlformats.org/officeDocument/2006/customXml" ds:itemID="{6D680DCD-964D-4E88-9A2F-C6DCC7A2F95F}">
  <ds:schemaRefs/>
</ds:datastoreItem>
</file>

<file path=customXml/itemProps164.xml><?xml version="1.0" encoding="utf-8"?>
<ds:datastoreItem xmlns:ds="http://schemas.openxmlformats.org/officeDocument/2006/customXml" ds:itemID="{EE8CD2BA-EAF8-4F05-94D5-060A85EA5547}">
  <ds:schemaRefs/>
</ds:datastoreItem>
</file>

<file path=customXml/itemProps165.xml><?xml version="1.0" encoding="utf-8"?>
<ds:datastoreItem xmlns:ds="http://schemas.openxmlformats.org/officeDocument/2006/customXml" ds:itemID="{21515A9D-2BA1-4A0A-8C55-5BE84F67C0B8}">
  <ds:schemaRefs/>
</ds:datastoreItem>
</file>

<file path=customXml/itemProps166.xml><?xml version="1.0" encoding="utf-8"?>
<ds:datastoreItem xmlns:ds="http://schemas.openxmlformats.org/officeDocument/2006/customXml" ds:itemID="{D75EC377-693F-4C06-8CAE-C27DFD5FD4EF}">
  <ds:schemaRefs/>
</ds:datastoreItem>
</file>

<file path=customXml/itemProps167.xml><?xml version="1.0" encoding="utf-8"?>
<ds:datastoreItem xmlns:ds="http://schemas.openxmlformats.org/officeDocument/2006/customXml" ds:itemID="{A77A746A-ECAA-47EE-8E72-F96F4EA5B0D9}">
  <ds:schemaRefs/>
</ds:datastoreItem>
</file>

<file path=customXml/itemProps168.xml><?xml version="1.0" encoding="utf-8"?>
<ds:datastoreItem xmlns:ds="http://schemas.openxmlformats.org/officeDocument/2006/customXml" ds:itemID="{8D59414D-4B8C-425C-BD4B-C649AC0F92A9}">
  <ds:schemaRefs/>
</ds:datastoreItem>
</file>

<file path=customXml/itemProps169.xml><?xml version="1.0" encoding="utf-8"?>
<ds:datastoreItem xmlns:ds="http://schemas.openxmlformats.org/officeDocument/2006/customXml" ds:itemID="{BD7F5E18-D3F7-42C8-9A0D-A2730EAAEE7F}">
  <ds:schemaRefs/>
</ds:datastoreItem>
</file>

<file path=customXml/itemProps170.xml><?xml version="1.0" encoding="utf-8"?>
<ds:datastoreItem xmlns:ds="http://schemas.openxmlformats.org/officeDocument/2006/customXml" ds:itemID="{58C390F0-107B-4A55-85ED-E2FA5EE8B79D}">
  <ds:schemaRefs/>
</ds:datastoreItem>
</file>

<file path=customXml/itemProps171.xml><?xml version="1.0" encoding="utf-8"?>
<ds:datastoreItem xmlns:ds="http://schemas.openxmlformats.org/officeDocument/2006/customXml" ds:itemID="{F998C50A-540C-46E6-BA5B-CF48716710A0}">
  <ds:schemaRefs/>
</ds:datastoreItem>
</file>

<file path=customXml/itemProps172.xml><?xml version="1.0" encoding="utf-8"?>
<ds:datastoreItem xmlns:ds="http://schemas.openxmlformats.org/officeDocument/2006/customXml" ds:itemID="{EBC38995-20D2-4E9D-8885-7F1A649D0DF9}">
  <ds:schemaRefs/>
</ds:datastoreItem>
</file>

<file path=customXml/itemProps173.xml><?xml version="1.0" encoding="utf-8"?>
<ds:datastoreItem xmlns:ds="http://schemas.openxmlformats.org/officeDocument/2006/customXml" ds:itemID="{BB3E082E-9788-4BB7-AB39-76CB73821045}">
  <ds:schemaRefs/>
</ds:datastoreItem>
</file>

<file path=customXml/itemProps174.xml><?xml version="1.0" encoding="utf-8"?>
<ds:datastoreItem xmlns:ds="http://schemas.openxmlformats.org/officeDocument/2006/customXml" ds:itemID="{27820AA3-BA6C-43D6-B299-027C0508F246}">
  <ds:schemaRefs/>
</ds:datastoreItem>
</file>

<file path=customXml/itemProps175.xml><?xml version="1.0" encoding="utf-8"?>
<ds:datastoreItem xmlns:ds="http://schemas.openxmlformats.org/officeDocument/2006/customXml" ds:itemID="{4A7BA7A3-7DB9-4ECA-B031-AC0CF172380A}">
  <ds:schemaRefs/>
</ds:datastoreItem>
</file>

<file path=customXml/itemProps176.xml><?xml version="1.0" encoding="utf-8"?>
<ds:datastoreItem xmlns:ds="http://schemas.openxmlformats.org/officeDocument/2006/customXml" ds:itemID="{8E1C1461-DB45-4A3F-9AFE-A86CCDA3357C}">
  <ds:schemaRefs/>
</ds:datastoreItem>
</file>

<file path=customXml/itemProps177.xml><?xml version="1.0" encoding="utf-8"?>
<ds:datastoreItem xmlns:ds="http://schemas.openxmlformats.org/officeDocument/2006/customXml" ds:itemID="{F8DD60C8-14BE-4B9F-9E1D-1A8EA6FB3311}">
  <ds:schemaRefs/>
</ds:datastoreItem>
</file>

<file path=customXml/itemProps178.xml><?xml version="1.0" encoding="utf-8"?>
<ds:datastoreItem xmlns:ds="http://schemas.openxmlformats.org/officeDocument/2006/customXml" ds:itemID="{716EA437-DE2F-4D85-94EF-DD2636BDBBA2}">
  <ds:schemaRefs/>
</ds:datastoreItem>
</file>

<file path=customXml/itemProps179.xml><?xml version="1.0" encoding="utf-8"?>
<ds:datastoreItem xmlns:ds="http://schemas.openxmlformats.org/officeDocument/2006/customXml" ds:itemID="{40AC1A06-72D3-4159-9885-21EF0DD0EB6C}">
  <ds:schemaRefs/>
</ds:datastoreItem>
</file>

<file path=customXml/itemProps180.xml><?xml version="1.0" encoding="utf-8"?>
<ds:datastoreItem xmlns:ds="http://schemas.openxmlformats.org/officeDocument/2006/customXml" ds:itemID="{E1C65A49-9CFD-4205-8E30-5E9E038C07DE}">
  <ds:schemaRefs/>
</ds:datastoreItem>
</file>

<file path=customXml/itemProps181.xml><?xml version="1.0" encoding="utf-8"?>
<ds:datastoreItem xmlns:ds="http://schemas.openxmlformats.org/officeDocument/2006/customXml" ds:itemID="{99C9F28B-7EAD-4B2A-80AA-64C793D94C9E}">
  <ds:schemaRefs/>
</ds:datastoreItem>
</file>

<file path=customXml/itemProps182.xml><?xml version="1.0" encoding="utf-8"?>
<ds:datastoreItem xmlns:ds="http://schemas.openxmlformats.org/officeDocument/2006/customXml" ds:itemID="{23942C0A-7D08-48ED-B49D-5C29E246AD99}">
  <ds:schemaRefs/>
</ds:datastoreItem>
</file>

<file path=customXml/itemProps183.xml><?xml version="1.0" encoding="utf-8"?>
<ds:datastoreItem xmlns:ds="http://schemas.openxmlformats.org/officeDocument/2006/customXml" ds:itemID="{A68B69A0-13A7-4823-B591-5EADEC3A6732}">
  <ds:schemaRefs/>
</ds:datastoreItem>
</file>

<file path=customXml/itemProps184.xml><?xml version="1.0" encoding="utf-8"?>
<ds:datastoreItem xmlns:ds="http://schemas.openxmlformats.org/officeDocument/2006/customXml" ds:itemID="{11315F1E-CA6F-40CF-9751-E60FC241BB7E}">
  <ds:schemaRefs/>
</ds:datastoreItem>
</file>

<file path=customXml/itemProps185.xml><?xml version="1.0" encoding="utf-8"?>
<ds:datastoreItem xmlns:ds="http://schemas.openxmlformats.org/officeDocument/2006/customXml" ds:itemID="{E5D95D4B-737E-4228-8A9C-9620CA151710}">
  <ds:schemaRefs/>
</ds:datastoreItem>
</file>

<file path=customXml/itemProps186.xml><?xml version="1.0" encoding="utf-8"?>
<ds:datastoreItem xmlns:ds="http://schemas.openxmlformats.org/officeDocument/2006/customXml" ds:itemID="{A588B9CC-AFE6-418C-B4CA-1CB670B608D8}">
  <ds:schemaRefs/>
</ds:datastoreItem>
</file>

<file path=customXml/itemProps187.xml><?xml version="1.0" encoding="utf-8"?>
<ds:datastoreItem xmlns:ds="http://schemas.openxmlformats.org/officeDocument/2006/customXml" ds:itemID="{3E2D87EE-2C96-4D51-860F-8C561E947EE6}">
  <ds:schemaRefs/>
</ds:datastoreItem>
</file>

<file path=customXml/itemProps188.xml><?xml version="1.0" encoding="utf-8"?>
<ds:datastoreItem xmlns:ds="http://schemas.openxmlformats.org/officeDocument/2006/customXml" ds:itemID="{56E37274-5EB4-43A7-B420-835B9005776D}">
  <ds:schemaRefs/>
</ds:datastoreItem>
</file>

<file path=customXml/itemProps189.xml><?xml version="1.0" encoding="utf-8"?>
<ds:datastoreItem xmlns:ds="http://schemas.openxmlformats.org/officeDocument/2006/customXml" ds:itemID="{CD2F3118-08E7-4B95-8DA6-FF065AF732D9}">
  <ds:schemaRefs/>
</ds:datastoreItem>
</file>

<file path=customXml/itemProps190.xml><?xml version="1.0" encoding="utf-8"?>
<ds:datastoreItem xmlns:ds="http://schemas.openxmlformats.org/officeDocument/2006/customXml" ds:itemID="{2AE5F8BA-29BA-4663-8D6A-BE407F5FEB68}">
  <ds:schemaRefs/>
</ds:datastoreItem>
</file>

<file path=customXml/itemProps191.xml><?xml version="1.0" encoding="utf-8"?>
<ds:datastoreItem xmlns:ds="http://schemas.openxmlformats.org/officeDocument/2006/customXml" ds:itemID="{39FDC873-F870-4601-A88C-6A8620C80643}">
  <ds:schemaRefs/>
</ds:datastoreItem>
</file>

<file path=customXml/itemProps192.xml><?xml version="1.0" encoding="utf-8"?>
<ds:datastoreItem xmlns:ds="http://schemas.openxmlformats.org/officeDocument/2006/customXml" ds:itemID="{8E727205-B239-4737-9950-40753AEF832A}">
  <ds:schemaRefs/>
</ds:datastoreItem>
</file>

<file path=customXml/itemProps193.xml><?xml version="1.0" encoding="utf-8"?>
<ds:datastoreItem xmlns:ds="http://schemas.openxmlformats.org/officeDocument/2006/customXml" ds:itemID="{AB27904F-23BE-4F7B-BF3F-13A5E62436BF}">
  <ds:schemaRefs/>
</ds:datastoreItem>
</file>

<file path=customXml/itemProps194.xml><?xml version="1.0" encoding="utf-8"?>
<ds:datastoreItem xmlns:ds="http://schemas.openxmlformats.org/officeDocument/2006/customXml" ds:itemID="{5467F2B8-5899-4590-820A-0558F3BAF991}">
  <ds:schemaRefs/>
</ds:datastoreItem>
</file>

<file path=customXml/itemProps195.xml><?xml version="1.0" encoding="utf-8"?>
<ds:datastoreItem xmlns:ds="http://schemas.openxmlformats.org/officeDocument/2006/customXml" ds:itemID="{E52B3457-DE43-4D69-983E-7B714FB87ADD}">
  <ds:schemaRefs/>
</ds:datastoreItem>
</file>

<file path=customXml/itemProps196.xml><?xml version="1.0" encoding="utf-8"?>
<ds:datastoreItem xmlns:ds="http://schemas.openxmlformats.org/officeDocument/2006/customXml" ds:itemID="{8FF3260C-712C-44D8-A7FA-FB1811F87B1D}">
  <ds:schemaRefs/>
</ds:datastoreItem>
</file>

<file path=customXml/itemProps197.xml><?xml version="1.0" encoding="utf-8"?>
<ds:datastoreItem xmlns:ds="http://schemas.openxmlformats.org/officeDocument/2006/customXml" ds:itemID="{99F96DFE-7363-4EAC-8B72-7259DD3CF8E6}">
  <ds:schemaRefs/>
</ds:datastoreItem>
</file>

<file path=customXml/itemProps198.xml><?xml version="1.0" encoding="utf-8"?>
<ds:datastoreItem xmlns:ds="http://schemas.openxmlformats.org/officeDocument/2006/customXml" ds:itemID="{49DCDECE-BEE3-48BB-B1B6-E6C7BC95BA26}">
  <ds:schemaRefs/>
</ds:datastoreItem>
</file>

<file path=customXml/itemProps199.xml><?xml version="1.0" encoding="utf-8"?>
<ds:datastoreItem xmlns:ds="http://schemas.openxmlformats.org/officeDocument/2006/customXml" ds:itemID="{9787C682-D160-41AC-BD4A-EEEAE87C0B03}">
  <ds:schemaRefs/>
</ds:datastoreItem>
</file>

<file path=customXml/itemProps200.xml><?xml version="1.0" encoding="utf-8"?>
<ds:datastoreItem xmlns:ds="http://schemas.openxmlformats.org/officeDocument/2006/customXml" ds:itemID="{02FF1D45-6358-4072-9855-46C04C97D99D}">
  <ds:schemaRefs/>
</ds:datastoreItem>
</file>

<file path=customXml/itemProps201.xml><?xml version="1.0" encoding="utf-8"?>
<ds:datastoreItem xmlns:ds="http://schemas.openxmlformats.org/officeDocument/2006/customXml" ds:itemID="{3B234B4A-0696-4239-9392-03917456B091}">
  <ds:schemaRefs/>
</ds:datastoreItem>
</file>

<file path=customXml/itemProps202.xml><?xml version="1.0" encoding="utf-8"?>
<ds:datastoreItem xmlns:ds="http://schemas.openxmlformats.org/officeDocument/2006/customXml" ds:itemID="{5AF5176D-12FF-4227-A49A-981EEA3C4506}">
  <ds:schemaRefs/>
</ds:datastoreItem>
</file>

<file path=customXml/itemProps203.xml><?xml version="1.0" encoding="utf-8"?>
<ds:datastoreItem xmlns:ds="http://schemas.openxmlformats.org/officeDocument/2006/customXml" ds:itemID="{8A621209-1A20-4219-B27E-060BCB6D8C01}">
  <ds:schemaRefs/>
</ds:datastoreItem>
</file>

<file path=customXml/itemProps204.xml><?xml version="1.0" encoding="utf-8"?>
<ds:datastoreItem xmlns:ds="http://schemas.openxmlformats.org/officeDocument/2006/customXml" ds:itemID="{5050AAD2-4BB5-4C37-896F-609766ECA826}">
  <ds:schemaRefs/>
</ds:datastoreItem>
</file>

<file path=customXml/itemProps205.xml><?xml version="1.0" encoding="utf-8"?>
<ds:datastoreItem xmlns:ds="http://schemas.openxmlformats.org/officeDocument/2006/customXml" ds:itemID="{6A9E78A0-26F0-4ED4-B188-862E16C53E40}">
  <ds:schemaRefs/>
</ds:datastoreItem>
</file>

<file path=customXml/itemProps206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07.xml><?xml version="1.0" encoding="utf-8"?>
<ds:datastoreItem xmlns:ds="http://schemas.openxmlformats.org/officeDocument/2006/customXml" ds:itemID="{9ED46B92-31CA-4816-A9B2-8C4EF459E484}">
  <ds:schemaRefs/>
</ds:datastoreItem>
</file>

<file path=customXml/itemProps208.xml><?xml version="1.0" encoding="utf-8"?>
<ds:datastoreItem xmlns:ds="http://schemas.openxmlformats.org/officeDocument/2006/customXml" ds:itemID="{5B057A11-A577-44E1-80FE-9C6A6E2FC122}">
  <ds:schemaRefs/>
</ds:datastoreItem>
</file>

<file path=customXml/itemProps209.xml><?xml version="1.0" encoding="utf-8"?>
<ds:datastoreItem xmlns:ds="http://schemas.openxmlformats.org/officeDocument/2006/customXml" ds:itemID="{AECB407D-621A-4366-9E37-DCC99DF7A2B6}">
  <ds:schemaRefs/>
</ds:datastoreItem>
</file>

<file path=customXml/itemProps210.xml><?xml version="1.0" encoding="utf-8"?>
<ds:datastoreItem xmlns:ds="http://schemas.openxmlformats.org/officeDocument/2006/customXml" ds:itemID="{A3DA882B-1B38-456D-9DD6-64E88A80827F}">
  <ds:schemaRefs/>
</ds:datastoreItem>
</file>

<file path=customXml/itemProps211.xml><?xml version="1.0" encoding="utf-8"?>
<ds:datastoreItem xmlns:ds="http://schemas.openxmlformats.org/officeDocument/2006/customXml" ds:itemID="{E0F4A8AB-E4B8-407B-8B7D-4B3F44D4FA02}">
  <ds:schemaRefs/>
</ds:datastoreItem>
</file>

<file path=customXml/itemProps212.xml><?xml version="1.0" encoding="utf-8"?>
<ds:datastoreItem xmlns:ds="http://schemas.openxmlformats.org/officeDocument/2006/customXml" ds:itemID="{6ED8C1CA-103A-4B9B-8A6F-F2DCC1388F48}">
  <ds:schemaRefs/>
</ds:datastoreItem>
</file>

<file path=customXml/itemProps213.xml><?xml version="1.0" encoding="utf-8"?>
<ds:datastoreItem xmlns:ds="http://schemas.openxmlformats.org/officeDocument/2006/customXml" ds:itemID="{47EAEC00-0450-41ED-8B25-B493200EAAE4}">
  <ds:schemaRefs/>
</ds:datastoreItem>
</file>

<file path=customXml/itemProps214.xml><?xml version="1.0" encoding="utf-8"?>
<ds:datastoreItem xmlns:ds="http://schemas.openxmlformats.org/officeDocument/2006/customXml" ds:itemID="{F9C7A17F-F101-4B3E-9F3F-825D5D3A9D7D}">
  <ds:schemaRefs/>
</ds:datastoreItem>
</file>

<file path=customXml/itemProps215.xml><?xml version="1.0" encoding="utf-8"?>
<ds:datastoreItem xmlns:ds="http://schemas.openxmlformats.org/officeDocument/2006/customXml" ds:itemID="{C65415F3-B994-4282-A35B-281A1BE139A9}">
  <ds:schemaRefs/>
</ds:datastoreItem>
</file>

<file path=customXml/itemProps216.xml><?xml version="1.0" encoding="utf-8"?>
<ds:datastoreItem xmlns:ds="http://schemas.openxmlformats.org/officeDocument/2006/customXml" ds:itemID="{E91C5A97-33A4-4BDC-A8BD-A5EF775185AB}">
  <ds:schemaRefs/>
</ds:datastoreItem>
</file>

<file path=customXml/itemProps217.xml><?xml version="1.0" encoding="utf-8"?>
<ds:datastoreItem xmlns:ds="http://schemas.openxmlformats.org/officeDocument/2006/customXml" ds:itemID="{D4E2A501-0341-4D5E-8B77-ED38227CDE10}">
  <ds:schemaRefs/>
</ds:datastoreItem>
</file>

<file path=customXml/itemProps218.xml><?xml version="1.0" encoding="utf-8"?>
<ds:datastoreItem xmlns:ds="http://schemas.openxmlformats.org/officeDocument/2006/customXml" ds:itemID="{27951E21-F099-4F97-9AD3-B2B5CF30B3C4}">
  <ds:schemaRefs/>
</ds:datastoreItem>
</file>

<file path=customXml/itemProps219.xml><?xml version="1.0" encoding="utf-8"?>
<ds:datastoreItem xmlns:ds="http://schemas.openxmlformats.org/officeDocument/2006/customXml" ds:itemID="{722F168C-326D-42BD-BBDE-8FC47B51082D}">
  <ds:schemaRefs/>
</ds:datastoreItem>
</file>

<file path=customXml/itemProps220.xml><?xml version="1.0" encoding="utf-8"?>
<ds:datastoreItem xmlns:ds="http://schemas.openxmlformats.org/officeDocument/2006/customXml" ds:itemID="{F25E6228-8768-4055-B30D-450E6837AE32}">
  <ds:schemaRefs/>
</ds:datastoreItem>
</file>

<file path=customXml/itemProps221.xml><?xml version="1.0" encoding="utf-8"?>
<ds:datastoreItem xmlns:ds="http://schemas.openxmlformats.org/officeDocument/2006/customXml" ds:itemID="{EB67F82A-6DE8-4893-9004-0DBD55434F77}">
  <ds:schemaRefs/>
</ds:datastoreItem>
</file>

<file path=customXml/itemProps222.xml><?xml version="1.0" encoding="utf-8"?>
<ds:datastoreItem xmlns:ds="http://schemas.openxmlformats.org/officeDocument/2006/customXml" ds:itemID="{314FC381-00A4-45EE-A1A8-7B85E88DC685}">
  <ds:schemaRefs/>
</ds:datastoreItem>
</file>

<file path=customXml/itemProps223.xml><?xml version="1.0" encoding="utf-8"?>
<ds:datastoreItem xmlns:ds="http://schemas.openxmlformats.org/officeDocument/2006/customXml" ds:itemID="{48852517-6FF3-462D-B5D9-854FA19340A6}">
  <ds:schemaRefs/>
</ds:datastoreItem>
</file>

<file path=customXml/itemProps224.xml><?xml version="1.0" encoding="utf-8"?>
<ds:datastoreItem xmlns:ds="http://schemas.openxmlformats.org/officeDocument/2006/customXml" ds:itemID="{4B619ED7-AA00-4F46-A5ED-E351F1F5DA2D}">
  <ds:schemaRefs/>
</ds:datastoreItem>
</file>

<file path=customXml/itemProps225.xml><?xml version="1.0" encoding="utf-8"?>
<ds:datastoreItem xmlns:ds="http://schemas.openxmlformats.org/officeDocument/2006/customXml" ds:itemID="{9DA2394D-0263-4321-BC1C-4B1C95877F50}">
  <ds:schemaRefs/>
</ds:datastoreItem>
</file>

<file path=customXml/itemProps226.xml><?xml version="1.0" encoding="utf-8"?>
<ds:datastoreItem xmlns:ds="http://schemas.openxmlformats.org/officeDocument/2006/customXml" ds:itemID="{1B8B00C6-D69A-4956-8628-E3B3A59967A3}">
  <ds:schemaRefs/>
</ds:datastoreItem>
</file>

<file path=customXml/itemProps227.xml><?xml version="1.0" encoding="utf-8"?>
<ds:datastoreItem xmlns:ds="http://schemas.openxmlformats.org/officeDocument/2006/customXml" ds:itemID="{7789BB69-356D-4491-B616-42D10EB47E29}">
  <ds:schemaRefs/>
</ds:datastoreItem>
</file>

<file path=customXml/itemProps228.xml><?xml version="1.0" encoding="utf-8"?>
<ds:datastoreItem xmlns:ds="http://schemas.openxmlformats.org/officeDocument/2006/customXml" ds:itemID="{AD49BE85-4E85-4774-BB95-B709444DD735}">
  <ds:schemaRefs/>
</ds:datastoreItem>
</file>

<file path=customXml/itemProps229.xml><?xml version="1.0" encoding="utf-8"?>
<ds:datastoreItem xmlns:ds="http://schemas.openxmlformats.org/officeDocument/2006/customXml" ds:itemID="{D50757F3-88DA-4FC7-8174-E6797CA12A35}">
  <ds:schemaRefs/>
</ds:datastoreItem>
</file>

<file path=customXml/itemProps230.xml><?xml version="1.0" encoding="utf-8"?>
<ds:datastoreItem xmlns:ds="http://schemas.openxmlformats.org/officeDocument/2006/customXml" ds:itemID="{9B66C0C2-003C-4CBD-8FF8-CC2571C1E3FD}">
  <ds:schemaRefs/>
</ds:datastoreItem>
</file>

<file path=customXml/itemProps231.xml><?xml version="1.0" encoding="utf-8"?>
<ds:datastoreItem xmlns:ds="http://schemas.openxmlformats.org/officeDocument/2006/customXml" ds:itemID="{34CE740D-1CE2-4E21-B83D-ECC8EA5DA081}">
  <ds:schemaRefs/>
</ds:datastoreItem>
</file>

<file path=customXml/itemProps232.xml><?xml version="1.0" encoding="utf-8"?>
<ds:datastoreItem xmlns:ds="http://schemas.openxmlformats.org/officeDocument/2006/customXml" ds:itemID="{41D14260-E329-4EF7-960A-A02974EBAC38}">
  <ds:schemaRefs/>
</ds:datastoreItem>
</file>

<file path=customXml/itemProps233.xml><?xml version="1.0" encoding="utf-8"?>
<ds:datastoreItem xmlns:ds="http://schemas.openxmlformats.org/officeDocument/2006/customXml" ds:itemID="{3EA02D15-7516-4D39-8837-26EB7B5F2908}">
  <ds:schemaRefs/>
</ds:datastoreItem>
</file>

<file path=customXml/itemProps234.xml><?xml version="1.0" encoding="utf-8"?>
<ds:datastoreItem xmlns:ds="http://schemas.openxmlformats.org/officeDocument/2006/customXml" ds:itemID="{30CB4EC7-3CC7-4865-B703-E71F9D9CF7EF}">
  <ds:schemaRefs/>
</ds:datastoreItem>
</file>

<file path=customXml/itemProps235.xml><?xml version="1.0" encoding="utf-8"?>
<ds:datastoreItem xmlns:ds="http://schemas.openxmlformats.org/officeDocument/2006/customXml" ds:itemID="{A16E2F87-0D2C-4BDF-A541-2D1FAFA6DEC9}">
  <ds:schemaRefs/>
</ds:datastoreItem>
</file>

<file path=customXml/itemProps236.xml><?xml version="1.0" encoding="utf-8"?>
<ds:datastoreItem xmlns:ds="http://schemas.openxmlformats.org/officeDocument/2006/customXml" ds:itemID="{68890C7D-3615-4B12-82D5-3143969657B4}">
  <ds:schemaRefs/>
</ds:datastoreItem>
</file>

<file path=customXml/itemProps237.xml><?xml version="1.0" encoding="utf-8"?>
<ds:datastoreItem xmlns:ds="http://schemas.openxmlformats.org/officeDocument/2006/customXml" ds:itemID="{1ED1CBA5-E447-49E3-AB29-CCD7F3140128}">
  <ds:schemaRefs/>
</ds:datastoreItem>
</file>

<file path=customXml/itemProps238.xml><?xml version="1.0" encoding="utf-8"?>
<ds:datastoreItem xmlns:ds="http://schemas.openxmlformats.org/officeDocument/2006/customXml" ds:itemID="{E26F7864-9907-427F-8769-D8C4EA6953CB}">
  <ds:schemaRefs/>
</ds:datastoreItem>
</file>

<file path=customXml/itemProps239.xml><?xml version="1.0" encoding="utf-8"?>
<ds:datastoreItem xmlns:ds="http://schemas.openxmlformats.org/officeDocument/2006/customXml" ds:itemID="{C34E5946-2B9D-4225-80A8-E0C3E56C1D82}">
  <ds:schemaRefs/>
</ds:datastoreItem>
</file>

<file path=customXml/itemProps240.xml><?xml version="1.0" encoding="utf-8"?>
<ds:datastoreItem xmlns:ds="http://schemas.openxmlformats.org/officeDocument/2006/customXml" ds:itemID="{BFD1321D-7FB4-4E36-B199-79DD6D597915}">
  <ds:schemaRefs/>
</ds:datastoreItem>
</file>

<file path=customXml/itemProps241.xml><?xml version="1.0" encoding="utf-8"?>
<ds:datastoreItem xmlns:ds="http://schemas.openxmlformats.org/officeDocument/2006/customXml" ds:itemID="{1B3659C1-5CC5-4802-B40D-FCD38115A49B}">
  <ds:schemaRefs/>
</ds:datastoreItem>
</file>

<file path=customXml/itemProps242.xml><?xml version="1.0" encoding="utf-8"?>
<ds:datastoreItem xmlns:ds="http://schemas.openxmlformats.org/officeDocument/2006/customXml" ds:itemID="{21B48E21-7E87-40ED-BC08-2C830E5BE8D5}">
  <ds:schemaRefs/>
</ds:datastoreItem>
</file>

<file path=customXml/itemProps243.xml><?xml version="1.0" encoding="utf-8"?>
<ds:datastoreItem xmlns:ds="http://schemas.openxmlformats.org/officeDocument/2006/customXml" ds:itemID="{84EF4843-67A8-45E3-9C24-59AFC3E9FA9E}">
  <ds:schemaRefs/>
</ds:datastoreItem>
</file>

<file path=customXml/itemProps244.xml><?xml version="1.0" encoding="utf-8"?>
<ds:datastoreItem xmlns:ds="http://schemas.openxmlformats.org/officeDocument/2006/customXml" ds:itemID="{4DA3FC9E-0EBE-493A-83AF-8FF1F10D317F}">
  <ds:schemaRefs/>
</ds:datastoreItem>
</file>

<file path=customXml/itemProps245.xml><?xml version="1.0" encoding="utf-8"?>
<ds:datastoreItem xmlns:ds="http://schemas.openxmlformats.org/officeDocument/2006/customXml" ds:itemID="{B11ACDBC-BA27-4907-86A6-84DFDCD59D92}">
  <ds:schemaRefs/>
</ds:datastoreItem>
</file>

<file path=customXml/itemProps246.xml><?xml version="1.0" encoding="utf-8"?>
<ds:datastoreItem xmlns:ds="http://schemas.openxmlformats.org/officeDocument/2006/customXml" ds:itemID="{552D760B-EC2F-4DF2-98B2-7D1A9FA35B5F}">
  <ds:schemaRefs/>
</ds:datastoreItem>
</file>

<file path=customXml/itemProps247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48.xml><?xml version="1.0" encoding="utf-8"?>
<ds:datastoreItem xmlns:ds="http://schemas.openxmlformats.org/officeDocument/2006/customXml" ds:itemID="{7663ED02-2891-4046-80DE-63222231F9BE}">
  <ds:schemaRefs/>
</ds:datastoreItem>
</file>

<file path=customXml/itemProps249.xml><?xml version="1.0" encoding="utf-8"?>
<ds:datastoreItem xmlns:ds="http://schemas.openxmlformats.org/officeDocument/2006/customXml" ds:itemID="{994AA89E-1BA0-4DB6-B01A-7F3F23D46198}">
  <ds:schemaRefs/>
</ds:datastoreItem>
</file>

<file path=customXml/itemProps250.xml><?xml version="1.0" encoding="utf-8"?>
<ds:datastoreItem xmlns:ds="http://schemas.openxmlformats.org/officeDocument/2006/customXml" ds:itemID="{92C8815B-30FA-4585-8937-66A8E5794E35}">
  <ds:schemaRefs/>
</ds:datastoreItem>
</file>

<file path=customXml/itemProps251.xml><?xml version="1.0" encoding="utf-8"?>
<ds:datastoreItem xmlns:ds="http://schemas.openxmlformats.org/officeDocument/2006/customXml" ds:itemID="{8CFAE82F-DC07-4151-831A-17FEF5DFE0AC}">
  <ds:schemaRefs/>
</ds:datastoreItem>
</file>

<file path=customXml/itemProps252.xml><?xml version="1.0" encoding="utf-8"?>
<ds:datastoreItem xmlns:ds="http://schemas.openxmlformats.org/officeDocument/2006/customXml" ds:itemID="{E5FBEBE7-83D7-44CA-8E34-6D1B64F6D533}">
  <ds:schemaRefs/>
</ds:datastoreItem>
</file>

<file path=customXml/itemProps253.xml><?xml version="1.0" encoding="utf-8"?>
<ds:datastoreItem xmlns:ds="http://schemas.openxmlformats.org/officeDocument/2006/customXml" ds:itemID="{6E042812-5EF9-44D8-9D89-8071147677D2}">
  <ds:schemaRefs/>
</ds:datastoreItem>
</file>

<file path=customXml/itemProps254.xml><?xml version="1.0" encoding="utf-8"?>
<ds:datastoreItem xmlns:ds="http://schemas.openxmlformats.org/officeDocument/2006/customXml" ds:itemID="{6CB7CEF2-80D1-499C-BE47-1A3AEF9F04C9}">
  <ds:schemaRefs/>
</ds:datastoreItem>
</file>

<file path=customXml/itemProps255.xml><?xml version="1.0" encoding="utf-8"?>
<ds:datastoreItem xmlns:ds="http://schemas.openxmlformats.org/officeDocument/2006/customXml" ds:itemID="{23E981A9-B969-495C-B82B-5E543799C618}">
  <ds:schemaRefs/>
</ds:datastoreItem>
</file>

<file path=customXml/itemProps256.xml><?xml version="1.0" encoding="utf-8"?>
<ds:datastoreItem xmlns:ds="http://schemas.openxmlformats.org/officeDocument/2006/customXml" ds:itemID="{F6E01239-25BE-4AB3-80BF-5F9FF3D8BDD8}">
  <ds:schemaRefs/>
</ds:datastoreItem>
</file>

<file path=customXml/itemProps257.xml><?xml version="1.0" encoding="utf-8"?>
<ds:datastoreItem xmlns:ds="http://schemas.openxmlformats.org/officeDocument/2006/customXml" ds:itemID="{D35D9351-1C1A-4AA8-9C61-EE495B742EB8}">
  <ds:schemaRefs/>
</ds:datastoreItem>
</file>

<file path=customXml/itemProps258.xml><?xml version="1.0" encoding="utf-8"?>
<ds:datastoreItem xmlns:ds="http://schemas.openxmlformats.org/officeDocument/2006/customXml" ds:itemID="{6A89D971-8098-4133-9FE4-91894D11EED8}">
  <ds:schemaRefs/>
</ds:datastoreItem>
</file>

<file path=customXml/itemProps259.xml><?xml version="1.0" encoding="utf-8"?>
<ds:datastoreItem xmlns:ds="http://schemas.openxmlformats.org/officeDocument/2006/customXml" ds:itemID="{9D28C0BA-3851-47AC-8F9A-58791C43F7B5}">
  <ds:schemaRefs/>
</ds:datastoreItem>
</file>

<file path=customXml/itemProps260.xml><?xml version="1.0" encoding="utf-8"?>
<ds:datastoreItem xmlns:ds="http://schemas.openxmlformats.org/officeDocument/2006/customXml" ds:itemID="{77570C05-D6BD-4335-9339-4C6038899074}">
  <ds:schemaRefs/>
</ds:datastoreItem>
</file>

<file path=customXml/itemProps261.xml><?xml version="1.0" encoding="utf-8"?>
<ds:datastoreItem xmlns:ds="http://schemas.openxmlformats.org/officeDocument/2006/customXml" ds:itemID="{DDDC4727-1AE4-4AFA-BC50-693D26F26307}">
  <ds:schemaRefs/>
</ds:datastoreItem>
</file>

<file path=customXml/itemProps262.xml><?xml version="1.0" encoding="utf-8"?>
<ds:datastoreItem xmlns:ds="http://schemas.openxmlformats.org/officeDocument/2006/customXml" ds:itemID="{E377A98D-8FB0-43EC-BD6C-EBCFF792C908}">
  <ds:schemaRefs/>
</ds:datastoreItem>
</file>

<file path=customXml/itemProps263.xml><?xml version="1.0" encoding="utf-8"?>
<ds:datastoreItem xmlns:ds="http://schemas.openxmlformats.org/officeDocument/2006/customXml" ds:itemID="{1B72F6DC-20C0-42D0-A456-75253290A020}">
  <ds:schemaRefs/>
</ds:datastoreItem>
</file>

<file path=customXml/itemProps264.xml><?xml version="1.0" encoding="utf-8"?>
<ds:datastoreItem xmlns:ds="http://schemas.openxmlformats.org/officeDocument/2006/customXml" ds:itemID="{6A6CE567-2E68-43B3-940C-51C9EE525DFB}">
  <ds:schemaRefs/>
</ds:datastoreItem>
</file>

<file path=customXml/itemProps265.xml><?xml version="1.0" encoding="utf-8"?>
<ds:datastoreItem xmlns:ds="http://schemas.openxmlformats.org/officeDocument/2006/customXml" ds:itemID="{73F44D85-1892-483F-BDFC-CC8ABC01FCFA}">
  <ds:schemaRefs/>
</ds:datastoreItem>
</file>

<file path=customXml/itemProps266.xml><?xml version="1.0" encoding="utf-8"?>
<ds:datastoreItem xmlns:ds="http://schemas.openxmlformats.org/officeDocument/2006/customXml" ds:itemID="{8E941967-B6F8-45DA-AEFD-E1C630BB2498}">
  <ds:schemaRefs/>
</ds:datastoreItem>
</file>

<file path=customXml/itemProps267.xml><?xml version="1.0" encoding="utf-8"?>
<ds:datastoreItem xmlns:ds="http://schemas.openxmlformats.org/officeDocument/2006/customXml" ds:itemID="{E1769CEB-9DB5-4F72-92CE-69BD9F84A803}">
  <ds:schemaRefs/>
</ds:datastoreItem>
</file>

<file path=customXml/itemProps268.xml><?xml version="1.0" encoding="utf-8"?>
<ds:datastoreItem xmlns:ds="http://schemas.openxmlformats.org/officeDocument/2006/customXml" ds:itemID="{8F75CB86-84C4-40D4-84CB-8FF8BFC44F19}">
  <ds:schemaRefs/>
</ds:datastoreItem>
</file>

<file path=customXml/itemProps269.xml><?xml version="1.0" encoding="utf-8"?>
<ds:datastoreItem xmlns:ds="http://schemas.openxmlformats.org/officeDocument/2006/customXml" ds:itemID="{C6F48399-67F5-4E85-B58B-4659E6289BA6}">
  <ds:schemaRefs/>
</ds:datastoreItem>
</file>

<file path=customXml/itemProps270.xml><?xml version="1.0" encoding="utf-8"?>
<ds:datastoreItem xmlns:ds="http://schemas.openxmlformats.org/officeDocument/2006/customXml" ds:itemID="{51EC9D0C-69E9-41DF-B384-64A22D3C3890}">
  <ds:schemaRefs/>
</ds:datastoreItem>
</file>

<file path=customXml/itemProps271.xml><?xml version="1.0" encoding="utf-8"?>
<ds:datastoreItem xmlns:ds="http://schemas.openxmlformats.org/officeDocument/2006/customXml" ds:itemID="{866E973E-16E3-412C-A609-6923EE0AE58F}">
  <ds:schemaRefs/>
</ds:datastoreItem>
</file>

<file path=customXml/itemProps272.xml><?xml version="1.0" encoding="utf-8"?>
<ds:datastoreItem xmlns:ds="http://schemas.openxmlformats.org/officeDocument/2006/customXml" ds:itemID="{83770D2B-D9DF-4A07-A802-61FF6D768EF4}">
  <ds:schemaRefs/>
</ds:datastoreItem>
</file>

<file path=customXml/itemProps273.xml><?xml version="1.0" encoding="utf-8"?>
<ds:datastoreItem xmlns:ds="http://schemas.openxmlformats.org/officeDocument/2006/customXml" ds:itemID="{263E7543-1338-43DB-BC61-4505F202AC6C}">
  <ds:schemaRefs/>
</ds:datastoreItem>
</file>

<file path=customXml/itemProps274.xml><?xml version="1.0" encoding="utf-8"?>
<ds:datastoreItem xmlns:ds="http://schemas.openxmlformats.org/officeDocument/2006/customXml" ds:itemID="{649A9709-F54A-4D9E-AE01-6F7E9CB908F3}">
  <ds:schemaRefs/>
</ds:datastoreItem>
</file>

<file path=customXml/itemProps275.xml><?xml version="1.0" encoding="utf-8"?>
<ds:datastoreItem xmlns:ds="http://schemas.openxmlformats.org/officeDocument/2006/customXml" ds:itemID="{E471FF46-D940-4245-AD31-573F167B9D3C}">
  <ds:schemaRefs/>
</ds:datastoreItem>
</file>

<file path=customXml/itemProps276.xml><?xml version="1.0" encoding="utf-8"?>
<ds:datastoreItem xmlns:ds="http://schemas.openxmlformats.org/officeDocument/2006/customXml" ds:itemID="{45FA3E73-ADB9-4BB7-B7B0-5A4A3068017E}">
  <ds:schemaRefs/>
</ds:datastoreItem>
</file>

<file path=customXml/itemProps277.xml><?xml version="1.0" encoding="utf-8"?>
<ds:datastoreItem xmlns:ds="http://schemas.openxmlformats.org/officeDocument/2006/customXml" ds:itemID="{CBD5C666-116E-4D22-9BD6-C8E9665F646A}">
  <ds:schemaRefs/>
</ds:datastoreItem>
</file>

<file path=customXml/itemProps278.xml><?xml version="1.0" encoding="utf-8"?>
<ds:datastoreItem xmlns:ds="http://schemas.openxmlformats.org/officeDocument/2006/customXml" ds:itemID="{68261FA9-3D7C-4D9E-B658-2805E4316A24}">
  <ds:schemaRefs/>
</ds:datastoreItem>
</file>

<file path=customXml/itemProps279.xml><?xml version="1.0" encoding="utf-8"?>
<ds:datastoreItem xmlns:ds="http://schemas.openxmlformats.org/officeDocument/2006/customXml" ds:itemID="{4C82FD12-376E-4F86-B8A8-C589C0956713}">
  <ds:schemaRefs/>
</ds:datastoreItem>
</file>

<file path=customXml/itemProps280.xml><?xml version="1.0" encoding="utf-8"?>
<ds:datastoreItem xmlns:ds="http://schemas.openxmlformats.org/officeDocument/2006/customXml" ds:itemID="{8A194128-B9D1-49EC-ADAF-6193BBAF8459}">
  <ds:schemaRefs/>
</ds:datastoreItem>
</file>

<file path=customXml/itemProps281.xml><?xml version="1.0" encoding="utf-8"?>
<ds:datastoreItem xmlns:ds="http://schemas.openxmlformats.org/officeDocument/2006/customXml" ds:itemID="{B2236E55-4115-40DB-99AE-3BAC220A199A}">
  <ds:schemaRefs/>
</ds:datastoreItem>
</file>

<file path=customXml/itemProps282.xml><?xml version="1.0" encoding="utf-8"?>
<ds:datastoreItem xmlns:ds="http://schemas.openxmlformats.org/officeDocument/2006/customXml" ds:itemID="{5E32A3E0-4CC0-4B86-B4B9-AE83D562D0DB}">
  <ds:schemaRefs/>
</ds:datastoreItem>
</file>

<file path=customXml/itemProps283.xml><?xml version="1.0" encoding="utf-8"?>
<ds:datastoreItem xmlns:ds="http://schemas.openxmlformats.org/officeDocument/2006/customXml" ds:itemID="{7CCA7EE5-388C-4EAC-A5E1-47F43D963126}">
  <ds:schemaRefs/>
</ds:datastoreItem>
</file>

<file path=customXml/itemProps284.xml><?xml version="1.0" encoding="utf-8"?>
<ds:datastoreItem xmlns:ds="http://schemas.openxmlformats.org/officeDocument/2006/customXml" ds:itemID="{E431C938-77E9-41E5-AE14-F98606279E22}">
  <ds:schemaRefs/>
</ds:datastoreItem>
</file>

<file path=customXml/itemProps285.xml><?xml version="1.0" encoding="utf-8"?>
<ds:datastoreItem xmlns:ds="http://schemas.openxmlformats.org/officeDocument/2006/customXml" ds:itemID="{3FD5E3EB-EA21-402D-922A-AAD7496D2E8D}">
  <ds:schemaRefs/>
</ds:datastoreItem>
</file>

<file path=customXml/itemProps286.xml><?xml version="1.0" encoding="utf-8"?>
<ds:datastoreItem xmlns:ds="http://schemas.openxmlformats.org/officeDocument/2006/customXml" ds:itemID="{07870400-24AB-4F1B-9911-3F332E42A483}">
  <ds:schemaRefs/>
</ds:datastoreItem>
</file>

<file path=customXml/itemProps287.xml><?xml version="1.0" encoding="utf-8"?>
<ds:datastoreItem xmlns:ds="http://schemas.openxmlformats.org/officeDocument/2006/customXml" ds:itemID="{908FAE92-1F43-46D6-A099-19A0C323EC85}">
  <ds:schemaRefs/>
</ds:datastoreItem>
</file>

<file path=customXml/itemProps288.xml><?xml version="1.0" encoding="utf-8"?>
<ds:datastoreItem xmlns:ds="http://schemas.openxmlformats.org/officeDocument/2006/customXml" ds:itemID="{3D5E1666-BDE2-4085-A1F1-6DBA864EDF3F}">
  <ds:schemaRefs/>
</ds:datastoreItem>
</file>

<file path=customXml/itemProps289.xml><?xml version="1.0" encoding="utf-8"?>
<ds:datastoreItem xmlns:ds="http://schemas.openxmlformats.org/officeDocument/2006/customXml" ds:itemID="{C183CC85-752F-463A-B5D2-A9FBBDEBA407}">
  <ds:schemaRefs/>
</ds:datastoreItem>
</file>

<file path=customXml/itemProps290.xml><?xml version="1.0" encoding="utf-8"?>
<ds:datastoreItem xmlns:ds="http://schemas.openxmlformats.org/officeDocument/2006/customXml" ds:itemID="{36BEC1E5-E6CB-4F26-AB82-1FCBAE01F2BD}">
  <ds:schemaRefs/>
</ds:datastoreItem>
</file>

<file path=customXml/itemProps291.xml><?xml version="1.0" encoding="utf-8"?>
<ds:datastoreItem xmlns:ds="http://schemas.openxmlformats.org/officeDocument/2006/customXml" ds:itemID="{1A7908EE-8FD5-40F3-B2E7-9AABCCCDA4CC}">
  <ds:schemaRefs/>
</ds:datastoreItem>
</file>

<file path=customXml/itemProps292.xml><?xml version="1.0" encoding="utf-8"?>
<ds:datastoreItem xmlns:ds="http://schemas.openxmlformats.org/officeDocument/2006/customXml" ds:itemID="{4819AFD2-5CDA-4F3C-A3AE-76FF5C778CC3}">
  <ds:schemaRefs/>
</ds:datastoreItem>
</file>

<file path=customXml/itemProps293.xml><?xml version="1.0" encoding="utf-8"?>
<ds:datastoreItem xmlns:ds="http://schemas.openxmlformats.org/officeDocument/2006/customXml" ds:itemID="{D6D961F0-39ED-4224-A63B-F6EE86F2D37F}">
  <ds:schemaRefs/>
</ds:datastoreItem>
</file>

<file path=customXml/itemProps294.xml><?xml version="1.0" encoding="utf-8"?>
<ds:datastoreItem xmlns:ds="http://schemas.openxmlformats.org/officeDocument/2006/customXml" ds:itemID="{534A3967-B137-481C-AEE6-31D098A94046}">
  <ds:schemaRefs/>
</ds:datastoreItem>
</file>

<file path=customXml/itemProps295.xml><?xml version="1.0" encoding="utf-8"?>
<ds:datastoreItem xmlns:ds="http://schemas.openxmlformats.org/officeDocument/2006/customXml" ds:itemID="{BF08B2ED-7F3A-4A34-9084-2B62C1BEF50D}">
  <ds:schemaRefs/>
</ds:datastoreItem>
</file>

<file path=customXml/itemProps296.xml><?xml version="1.0" encoding="utf-8"?>
<ds:datastoreItem xmlns:ds="http://schemas.openxmlformats.org/officeDocument/2006/customXml" ds:itemID="{BFA57357-B849-40B1-89C5-A5861FA22251}">
  <ds:schemaRefs/>
</ds:datastoreItem>
</file>

<file path=customXml/itemProps297.xml><?xml version="1.0" encoding="utf-8"?>
<ds:datastoreItem xmlns:ds="http://schemas.openxmlformats.org/officeDocument/2006/customXml" ds:itemID="{8E7127AD-8765-4026-9F78-FD2E06398EF9}">
  <ds:schemaRefs/>
</ds:datastoreItem>
</file>

<file path=customXml/itemProps298.xml><?xml version="1.0" encoding="utf-8"?>
<ds:datastoreItem xmlns:ds="http://schemas.openxmlformats.org/officeDocument/2006/customXml" ds:itemID="{6705289E-670A-4A46-9687-065B35DFB68B}">
  <ds:schemaRefs/>
</ds:datastoreItem>
</file>

<file path=customXml/itemProps299.xml><?xml version="1.0" encoding="utf-8"?>
<ds:datastoreItem xmlns:ds="http://schemas.openxmlformats.org/officeDocument/2006/customXml" ds:itemID="{CB950BC3-684B-450C-8CCE-213412A4E77C}">
  <ds:schemaRefs/>
</ds:datastoreItem>
</file>

<file path=customXml/itemProps300.xml><?xml version="1.0" encoding="utf-8"?>
<ds:datastoreItem xmlns:ds="http://schemas.openxmlformats.org/officeDocument/2006/customXml" ds:itemID="{822CC4B3-EEA6-4C17-B852-9C907810D87A}">
  <ds:schemaRefs/>
</ds:datastoreItem>
</file>

<file path=customXml/itemProps301.xml><?xml version="1.0" encoding="utf-8"?>
<ds:datastoreItem xmlns:ds="http://schemas.openxmlformats.org/officeDocument/2006/customXml" ds:itemID="{D320102A-527D-4E02-B5CA-2503C6185ED1}">
  <ds:schemaRefs/>
</ds:datastoreItem>
</file>

<file path=customXml/itemProps302.xml><?xml version="1.0" encoding="utf-8"?>
<ds:datastoreItem xmlns:ds="http://schemas.openxmlformats.org/officeDocument/2006/customXml" ds:itemID="{3F11E267-128A-41BC-A204-0A3C46356034}">
  <ds:schemaRefs/>
</ds:datastoreItem>
</file>

<file path=customXml/itemProps303.xml><?xml version="1.0" encoding="utf-8"?>
<ds:datastoreItem xmlns:ds="http://schemas.openxmlformats.org/officeDocument/2006/customXml" ds:itemID="{422B3C81-0505-4A56-886D-F70B4930CBDB}">
  <ds:schemaRefs/>
</ds:datastoreItem>
</file>

<file path=customXml/itemProps304.xml><?xml version="1.0" encoding="utf-8"?>
<ds:datastoreItem xmlns:ds="http://schemas.openxmlformats.org/officeDocument/2006/customXml" ds:itemID="{8D41657F-75F9-4D37-8DD1-57FBDF39F640}">
  <ds:schemaRefs/>
</ds:datastoreItem>
</file>

<file path=customXml/itemProps305.xml><?xml version="1.0" encoding="utf-8"?>
<ds:datastoreItem xmlns:ds="http://schemas.openxmlformats.org/officeDocument/2006/customXml" ds:itemID="{09774F33-58AE-4B14-8F82-366977A680F4}">
  <ds:schemaRefs/>
</ds:datastoreItem>
</file>

<file path=customXml/itemProps306.xml><?xml version="1.0" encoding="utf-8"?>
<ds:datastoreItem xmlns:ds="http://schemas.openxmlformats.org/officeDocument/2006/customXml" ds:itemID="{37669EAB-4C66-43CE-97CD-18B3538F2BFE}">
  <ds:schemaRefs/>
</ds:datastoreItem>
</file>

<file path=customXml/itemProps307.xml><?xml version="1.0" encoding="utf-8"?>
<ds:datastoreItem xmlns:ds="http://schemas.openxmlformats.org/officeDocument/2006/customXml" ds:itemID="{D7083E7B-EDF7-4CCE-9BB0-0836793FBD06}">
  <ds:schemaRefs/>
</ds:datastoreItem>
</file>

<file path=customXml/itemProps308.xml><?xml version="1.0" encoding="utf-8"?>
<ds:datastoreItem xmlns:ds="http://schemas.openxmlformats.org/officeDocument/2006/customXml" ds:itemID="{08979DB1-810F-4249-B837-ADDABADEEEB8}">
  <ds:schemaRefs/>
</ds:datastoreItem>
</file>

<file path=customXml/itemProps309.xml><?xml version="1.0" encoding="utf-8"?>
<ds:datastoreItem xmlns:ds="http://schemas.openxmlformats.org/officeDocument/2006/customXml" ds:itemID="{520F2123-C371-4EE5-BD91-D3621CEA0305}">
  <ds:schemaRefs/>
</ds:datastoreItem>
</file>

<file path=customXml/itemProps310.xml><?xml version="1.0" encoding="utf-8"?>
<ds:datastoreItem xmlns:ds="http://schemas.openxmlformats.org/officeDocument/2006/customXml" ds:itemID="{A66C631A-9AB8-4290-91CD-275131F636BA}">
  <ds:schemaRefs/>
</ds:datastoreItem>
</file>

<file path=customXml/itemProps311.xml><?xml version="1.0" encoding="utf-8"?>
<ds:datastoreItem xmlns:ds="http://schemas.openxmlformats.org/officeDocument/2006/customXml" ds:itemID="{CF7B7BDF-13CE-4130-A887-A5742A4F72DC}">
  <ds:schemaRefs/>
</ds:datastoreItem>
</file>

<file path=customXml/itemProps312.xml><?xml version="1.0" encoding="utf-8"?>
<ds:datastoreItem xmlns:ds="http://schemas.openxmlformats.org/officeDocument/2006/customXml" ds:itemID="{7A64B818-ADF2-4E39-AE85-7F3759002A3B}">
  <ds:schemaRefs/>
</ds:datastoreItem>
</file>

<file path=customXml/itemProps313.xml><?xml version="1.0" encoding="utf-8"?>
<ds:datastoreItem xmlns:ds="http://schemas.openxmlformats.org/officeDocument/2006/customXml" ds:itemID="{4D7F6C51-2DB8-4FDD-91F5-F522A85645FF}">
  <ds:schemaRefs/>
</ds:datastoreItem>
</file>

<file path=customXml/itemProps314.xml><?xml version="1.0" encoding="utf-8"?>
<ds:datastoreItem xmlns:ds="http://schemas.openxmlformats.org/officeDocument/2006/customXml" ds:itemID="{82B84B46-2E77-4D22-8139-2E515D709D88}">
  <ds:schemaRefs/>
</ds:datastoreItem>
</file>

<file path=customXml/itemProps315.xml><?xml version="1.0" encoding="utf-8"?>
<ds:datastoreItem xmlns:ds="http://schemas.openxmlformats.org/officeDocument/2006/customXml" ds:itemID="{685F2D8A-5DBA-412A-AA1A-268BB6E4A12B}">
  <ds:schemaRefs/>
</ds:datastoreItem>
</file>

<file path=customXml/itemProps316.xml><?xml version="1.0" encoding="utf-8"?>
<ds:datastoreItem xmlns:ds="http://schemas.openxmlformats.org/officeDocument/2006/customXml" ds:itemID="{92C1B810-B3D2-492C-A687-AC1DC80D87E5}">
  <ds:schemaRefs/>
</ds:datastoreItem>
</file>

<file path=customXml/itemProps317.xml><?xml version="1.0" encoding="utf-8"?>
<ds:datastoreItem xmlns:ds="http://schemas.openxmlformats.org/officeDocument/2006/customXml" ds:itemID="{AB9DED92-4ACB-4D6F-95E4-DE302B05E71F}">
  <ds:schemaRefs/>
</ds:datastoreItem>
</file>

<file path=customXml/itemProps318.xml><?xml version="1.0" encoding="utf-8"?>
<ds:datastoreItem xmlns:ds="http://schemas.openxmlformats.org/officeDocument/2006/customXml" ds:itemID="{FCF89168-1EC7-4EDB-AE0D-3A6DF179298D}">
  <ds:schemaRefs/>
</ds:datastoreItem>
</file>

<file path=customXml/itemProps319.xml><?xml version="1.0" encoding="utf-8"?>
<ds:datastoreItem xmlns:ds="http://schemas.openxmlformats.org/officeDocument/2006/customXml" ds:itemID="{1478C1A4-7726-4755-AE1A-0F8B3E4401C1}">
  <ds:schemaRefs/>
</ds:datastoreItem>
</file>

<file path=customXml/itemProps320.xml><?xml version="1.0" encoding="utf-8"?>
<ds:datastoreItem xmlns:ds="http://schemas.openxmlformats.org/officeDocument/2006/customXml" ds:itemID="{676CE4C6-17B0-4E7B-84CE-8E424EFC97E9}">
  <ds:schemaRefs/>
</ds:datastoreItem>
</file>

<file path=customXml/itemProps321.xml><?xml version="1.0" encoding="utf-8"?>
<ds:datastoreItem xmlns:ds="http://schemas.openxmlformats.org/officeDocument/2006/customXml" ds:itemID="{56475F32-2FEA-425F-A4E8-3EB168634F9B}">
  <ds:schemaRefs/>
</ds:datastoreItem>
</file>

<file path=customXml/itemProps322.xml><?xml version="1.0" encoding="utf-8"?>
<ds:datastoreItem xmlns:ds="http://schemas.openxmlformats.org/officeDocument/2006/customXml" ds:itemID="{DE69DB11-F1A9-4AA9-9A48-AB98EC202E8D}">
  <ds:schemaRefs/>
</ds:datastoreItem>
</file>

<file path=customXml/itemProps323.xml><?xml version="1.0" encoding="utf-8"?>
<ds:datastoreItem xmlns:ds="http://schemas.openxmlformats.org/officeDocument/2006/customXml" ds:itemID="{9A5D4308-1EBD-4A1A-B7E2-4228AAC630C6}">
  <ds:schemaRefs/>
</ds:datastoreItem>
</file>

<file path=customXml/itemProps324.xml><?xml version="1.0" encoding="utf-8"?>
<ds:datastoreItem xmlns:ds="http://schemas.openxmlformats.org/officeDocument/2006/customXml" ds:itemID="{53135694-7724-499D-A582-32B6D2A0A54C}">
  <ds:schemaRefs/>
</ds:datastoreItem>
</file>

<file path=customXml/itemProps325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326.xml><?xml version="1.0" encoding="utf-8"?>
<ds:datastoreItem xmlns:ds="http://schemas.openxmlformats.org/officeDocument/2006/customXml" ds:itemID="{5CEBF5A4-499C-4CDD-8802-83B1F1B7C6A5}">
  <ds:schemaRefs/>
</ds:datastoreItem>
</file>

<file path=customXml/itemProps327.xml><?xml version="1.0" encoding="utf-8"?>
<ds:datastoreItem xmlns:ds="http://schemas.openxmlformats.org/officeDocument/2006/customXml" ds:itemID="{5E5327EF-225B-4D22-8AB6-F11B46E008DD}">
  <ds:schemaRefs/>
</ds:datastoreItem>
</file>

<file path=customXml/itemProps328.xml><?xml version="1.0" encoding="utf-8"?>
<ds:datastoreItem xmlns:ds="http://schemas.openxmlformats.org/officeDocument/2006/customXml" ds:itemID="{62DFF893-310E-4D85-89B4-83EDECBE7294}">
  <ds:schemaRefs/>
</ds:datastoreItem>
</file>

<file path=customXml/itemProps329.xml><?xml version="1.0" encoding="utf-8"?>
<ds:datastoreItem xmlns:ds="http://schemas.openxmlformats.org/officeDocument/2006/customXml" ds:itemID="{E14D718F-8D00-4DD1-8013-EFAB2D2571AA}">
  <ds:schemaRefs/>
</ds:datastoreItem>
</file>

<file path=customXml/itemProps330.xml><?xml version="1.0" encoding="utf-8"?>
<ds:datastoreItem xmlns:ds="http://schemas.openxmlformats.org/officeDocument/2006/customXml" ds:itemID="{F55BDF08-5ED5-44F2-ABF6-22301B8A394B}">
  <ds:schemaRefs/>
</ds:datastoreItem>
</file>

<file path=customXml/itemProps331.xml><?xml version="1.0" encoding="utf-8"?>
<ds:datastoreItem xmlns:ds="http://schemas.openxmlformats.org/officeDocument/2006/customXml" ds:itemID="{F2D10049-A3CC-446B-BC87-29E3D953FB96}">
  <ds:schemaRefs/>
</ds:datastoreItem>
</file>

<file path=customXml/itemProps332.xml><?xml version="1.0" encoding="utf-8"?>
<ds:datastoreItem xmlns:ds="http://schemas.openxmlformats.org/officeDocument/2006/customXml" ds:itemID="{AEC1C82C-517A-43AA-B7AA-81887EC8E73D}">
  <ds:schemaRefs/>
</ds:datastoreItem>
</file>

<file path=customXml/itemProps333.xml><?xml version="1.0" encoding="utf-8"?>
<ds:datastoreItem xmlns:ds="http://schemas.openxmlformats.org/officeDocument/2006/customXml" ds:itemID="{F7FFCE05-98E3-4C2C-A00A-4735EE9F1388}">
  <ds:schemaRefs/>
</ds:datastoreItem>
</file>

<file path=customXml/itemProps334.xml><?xml version="1.0" encoding="utf-8"?>
<ds:datastoreItem xmlns:ds="http://schemas.openxmlformats.org/officeDocument/2006/customXml" ds:itemID="{32F6AB45-0F59-4335-8DB7-CB8CCC864B83}">
  <ds:schemaRefs/>
</ds:datastoreItem>
</file>

<file path=customXml/itemProps335.xml><?xml version="1.0" encoding="utf-8"?>
<ds:datastoreItem xmlns:ds="http://schemas.openxmlformats.org/officeDocument/2006/customXml" ds:itemID="{634887FB-B138-4D9C-95D5-D519C9629971}">
  <ds:schemaRefs/>
</ds:datastoreItem>
</file>

<file path=customXml/itemProps336.xml><?xml version="1.0" encoding="utf-8"?>
<ds:datastoreItem xmlns:ds="http://schemas.openxmlformats.org/officeDocument/2006/customXml" ds:itemID="{A89EB220-374D-459F-BE90-93423C507221}">
  <ds:schemaRefs/>
</ds:datastoreItem>
</file>

<file path=customXml/itemProps337.xml><?xml version="1.0" encoding="utf-8"?>
<ds:datastoreItem xmlns:ds="http://schemas.openxmlformats.org/officeDocument/2006/customXml" ds:itemID="{231CE77D-C636-4296-BCAD-84F258A3BEC5}">
  <ds:schemaRefs/>
</ds:datastoreItem>
</file>

<file path=customXml/itemProps338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12</vt:i4>
      </vt:variant>
    </vt:vector>
  </HeadingPairs>
  <TitlesOfParts>
    <vt:vector size="17" baseType="lpstr">
      <vt:lpstr>✍️ Input</vt:lpstr>
      <vt:lpstr>💡🏆🎫 Status</vt:lpstr>
      <vt:lpstr>🏓🆚 Puljer</vt:lpstr>
      <vt:lpstr>🗂️ Filtre nøgletal</vt:lpstr>
      <vt:lpstr>🗝️ Nøgletal</vt:lpstr>
      <vt:lpstr>Drive_in</vt:lpstr>
      <vt:lpstr>tbl_Billettype_d1_Billettype</vt:lpstr>
      <vt:lpstr>tbl_Bordtennisklub_d2_Bordtennisklub</vt:lpstr>
      <vt:lpstr>tbl_Deltagere_deltager</vt:lpstr>
      <vt:lpstr>tbl_Køn_d2_Køn</vt:lpstr>
      <vt:lpstr>tbl_Tilmeldingsstatus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2022-11-25T22:57:17Z</cp:lastPrinted>
  <dcterms:created xsi:type="dcterms:W3CDTF">2018-07-22T12:15:40Z</dcterms:created>
  <dcterms:modified xsi:type="dcterms:W3CDTF">2022-11-25T22:57:53Z</dcterms:modified>
</cp:coreProperties>
</file>