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showInkAnnotation="0" autoCompressPictures="0"/>
  <mc:AlternateContent xmlns:mc="http://schemas.openxmlformats.org/markup-compatibility/2006">
    <mc:Choice Requires="x15">
      <x15ac:absPath xmlns:x15ac="http://schemas.microsoft.com/office/spreadsheetml/2010/11/ac" url="/Users/schilder/Desktop/Hippo_Eco/Data/"/>
    </mc:Choice>
  </mc:AlternateContent>
  <xr:revisionPtr revIDLastSave="0" documentId="13_ncr:1_{1369D711-8C34-3C4E-900B-BD5D3E63D7E2}" xr6:coauthVersionLast="43" xr6:coauthVersionMax="43" xr10:uidLastSave="{00000000-0000-0000-0000-000000000000}"/>
  <bookViews>
    <workbookView xWindow="0" yWindow="460" windowWidth="24540" windowHeight="17460" tabRatio="500" xr2:uid="{00000000-000D-0000-FFFF-FFFF00000000}"/>
  </bookViews>
  <sheets>
    <sheet name="Final_Data" sheetId="1" r:id="rId1"/>
    <sheet name="Key" sheetId="2" r:id="rId2"/>
    <sheet name="Stephan_Manoleseu" sheetId="3" r:id="rId3"/>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1" i="3" l="1"/>
  <c r="Q4" i="3"/>
  <c r="AD5" i="3"/>
  <c r="AD4" i="3"/>
  <c r="AD6" i="3"/>
  <c r="W4" i="3"/>
  <c r="Q5" i="3"/>
  <c r="R5" i="3"/>
  <c r="V5" i="3"/>
  <c r="W5" i="3"/>
  <c r="V4" i="3"/>
  <c r="R4" i="3"/>
  <c r="CB2" i="1"/>
  <c r="CE2" i="1" s="1"/>
  <c r="CD3" i="1"/>
  <c r="CF3" i="1" s="1"/>
  <c r="CB3" i="1"/>
  <c r="CE3" i="1"/>
  <c r="BZ4" i="1"/>
  <c r="CD4" i="1" s="1"/>
  <c r="CF4" i="1" s="1"/>
  <c r="CA4" i="1"/>
  <c r="CB4" i="1" s="1"/>
  <c r="CE4" i="1" s="1"/>
  <c r="BZ5" i="1"/>
  <c r="CD5" i="1" s="1"/>
  <c r="CB5" i="1"/>
  <c r="CE5" i="1" s="1"/>
  <c r="CD6" i="1"/>
  <c r="CA6" i="1"/>
  <c r="CB6" i="1" s="1"/>
  <c r="CE6" i="1" s="1"/>
  <c r="CD7" i="1"/>
  <c r="CF7" i="1" s="1"/>
  <c r="CB7" i="1"/>
  <c r="CE7" i="1"/>
  <c r="CD8" i="1"/>
  <c r="CA8" i="1"/>
  <c r="CB8" i="1" s="1"/>
  <c r="CE8" i="1" s="1"/>
  <c r="CF8" i="1" s="1"/>
  <c r="BZ9" i="1"/>
  <c r="CD9" i="1" s="1"/>
  <c r="CF9" i="1" s="1"/>
  <c r="CA9" i="1"/>
  <c r="CB9" i="1"/>
  <c r="CE9" i="1"/>
  <c r="BZ10" i="1"/>
  <c r="CD10" i="1"/>
  <c r="CB10" i="1"/>
  <c r="CE10" i="1" s="1"/>
  <c r="BZ11" i="1"/>
  <c r="CD11" i="1"/>
  <c r="CA11" i="1"/>
  <c r="CB11" i="1" s="1"/>
  <c r="CE11" i="1" s="1"/>
  <c r="CF11" i="1" s="1"/>
  <c r="BZ12" i="1"/>
  <c r="CD12" i="1" s="1"/>
  <c r="CA12" i="1"/>
  <c r="CB12" i="1"/>
  <c r="CE12" i="1" s="1"/>
  <c r="BZ13" i="1"/>
  <c r="CD13" i="1"/>
  <c r="CA13" i="1"/>
  <c r="CB13" i="1" s="1"/>
  <c r="CE13" i="1" s="1"/>
  <c r="CD14" i="1"/>
  <c r="CB14" i="1"/>
  <c r="CE14" i="1"/>
  <c r="CF14" i="1"/>
  <c r="CD15" i="1"/>
  <c r="CA15" i="1"/>
  <c r="CB15" i="1"/>
  <c r="CE15" i="1"/>
  <c r="CF15" i="1" s="1"/>
  <c r="CD16" i="1"/>
  <c r="CA16" i="1"/>
  <c r="CB16" i="1"/>
  <c r="CE16" i="1" s="1"/>
  <c r="CF16" i="1" s="1"/>
  <c r="BZ17" i="1"/>
  <c r="CD17" i="1"/>
  <c r="CF17" i="1" s="1"/>
  <c r="CA17" i="1"/>
  <c r="CB17" i="1" s="1"/>
  <c r="CE17" i="1" s="1"/>
  <c r="BZ18" i="1"/>
  <c r="CD18" i="1" s="1"/>
  <c r="CA18" i="1"/>
  <c r="CB18" i="1"/>
  <c r="CE18" i="1" s="1"/>
  <c r="BZ19" i="1"/>
  <c r="CD19" i="1"/>
  <c r="CB19" i="1"/>
  <c r="CE19" i="1" s="1"/>
  <c r="CD20" i="1"/>
  <c r="CF20" i="1" s="1"/>
  <c r="CA20" i="1"/>
  <c r="CB20" i="1" s="1"/>
  <c r="CE20" i="1" s="1"/>
  <c r="BZ21" i="1"/>
  <c r="CD21" i="1" s="1"/>
  <c r="CA21" i="1"/>
  <c r="CB21" i="1"/>
  <c r="CE21" i="1" s="1"/>
  <c r="CD22" i="1"/>
  <c r="CB22" i="1"/>
  <c r="CE22" i="1" s="1"/>
  <c r="BZ23" i="1"/>
  <c r="CD23" i="1"/>
  <c r="CF23" i="1" s="1"/>
  <c r="CA23" i="1"/>
  <c r="CB23" i="1" s="1"/>
  <c r="CE23" i="1" s="1"/>
  <c r="CD24" i="1"/>
  <c r="CB24" i="1"/>
  <c r="CE24" i="1"/>
  <c r="CF24" i="1"/>
  <c r="BZ25" i="1"/>
  <c r="CD25" i="1" s="1"/>
  <c r="CA25" i="1"/>
  <c r="CB25" i="1"/>
  <c r="CE25" i="1" s="1"/>
  <c r="CD26" i="1"/>
  <c r="CA26" i="1"/>
  <c r="CB26" i="1" s="1"/>
  <c r="CE26" i="1" s="1"/>
  <c r="CF26" i="1" s="1"/>
  <c r="BZ27" i="1"/>
  <c r="CD27" i="1" s="1"/>
  <c r="CF27" i="1" s="1"/>
  <c r="CA27" i="1"/>
  <c r="CB27" i="1"/>
  <c r="CE27" i="1"/>
  <c r="CD28" i="1"/>
  <c r="CA28" i="1"/>
  <c r="CB28" i="1"/>
  <c r="CE28" i="1" s="1"/>
  <c r="CF28" i="1" s="1"/>
  <c r="CD29" i="1"/>
  <c r="CA29" i="1"/>
  <c r="CB29" i="1" s="1"/>
  <c r="CE29" i="1" s="1"/>
  <c r="CF29" i="1" s="1"/>
  <c r="CD30" i="1"/>
  <c r="CF30" i="1" s="1"/>
  <c r="CB30" i="1"/>
  <c r="CE30" i="1" s="1"/>
  <c r="BZ31" i="1"/>
  <c r="CD31" i="1" s="1"/>
  <c r="CF31" i="1" s="1"/>
  <c r="CA31" i="1"/>
  <c r="CB31" i="1"/>
  <c r="CE31" i="1"/>
  <c r="CD32" i="1"/>
  <c r="CA32" i="1"/>
  <c r="CB32" i="1"/>
  <c r="CE32" i="1" s="1"/>
  <c r="CF32" i="1" s="1"/>
  <c r="CD33" i="1"/>
  <c r="CB33" i="1"/>
  <c r="CE33" i="1" s="1"/>
  <c r="BZ34" i="1"/>
  <c r="CD34" i="1"/>
  <c r="CF34" i="1" s="1"/>
  <c r="CA34" i="1"/>
  <c r="CB34" i="1" s="1"/>
  <c r="CE34" i="1" s="1"/>
  <c r="BZ35" i="1"/>
  <c r="CD35" i="1" s="1"/>
  <c r="CA35" i="1"/>
  <c r="CB35" i="1"/>
  <c r="CE35" i="1" s="1"/>
  <c r="CD36" i="1"/>
  <c r="CB36" i="1"/>
  <c r="CE36" i="1" s="1"/>
  <c r="BZ37" i="1"/>
  <c r="CD37" i="1"/>
  <c r="CF37" i="1" s="1"/>
  <c r="CA37" i="1"/>
  <c r="CB37" i="1" s="1"/>
  <c r="CE37" i="1" s="1"/>
  <c r="BZ38" i="1"/>
  <c r="CD38" i="1" s="1"/>
  <c r="CF38" i="1" s="1"/>
  <c r="CB38" i="1"/>
  <c r="CE38" i="1"/>
  <c r="BZ39" i="1"/>
  <c r="CD39" i="1"/>
  <c r="CA39" i="1"/>
  <c r="CB39" i="1" s="1"/>
  <c r="CE39" i="1" s="1"/>
  <c r="CD40" i="1"/>
  <c r="CF40" i="1" s="1"/>
  <c r="CB40" i="1"/>
  <c r="AL40" i="1"/>
  <c r="CE40" i="1"/>
  <c r="BZ41" i="1"/>
  <c r="CD41" i="1" s="1"/>
  <c r="CF41" i="1" s="1"/>
  <c r="CA41" i="1"/>
  <c r="CB41" i="1"/>
  <c r="CE41" i="1" s="1"/>
  <c r="CD42" i="1"/>
  <c r="CB42" i="1"/>
  <c r="CE42" i="1" s="1"/>
  <c r="BZ43" i="1"/>
  <c r="CD43" i="1"/>
  <c r="CA43" i="1"/>
  <c r="CB43" i="1" s="1"/>
  <c r="CE43" i="1" s="1"/>
  <c r="CD44" i="1"/>
  <c r="CA44" i="1"/>
  <c r="CB44" i="1"/>
  <c r="CE44" i="1"/>
  <c r="CF44" i="1" s="1"/>
  <c r="BZ45" i="1"/>
  <c r="CD45" i="1"/>
  <c r="CA45" i="1"/>
  <c r="CB45" i="1" s="1"/>
  <c r="CE45" i="1" s="1"/>
  <c r="CF45" i="1" s="1"/>
  <c r="CD2" i="1"/>
  <c r="CF2" i="1" s="1"/>
  <c r="BX44" i="1"/>
  <c r="BY44" i="1"/>
  <c r="CC2" i="1"/>
  <c r="BY2" i="1"/>
  <c r="CC45" i="1"/>
  <c r="BY45" i="1"/>
  <c r="BX45" i="1"/>
  <c r="BX43" i="1"/>
  <c r="BY39" i="1"/>
  <c r="BX39" i="1"/>
  <c r="CC37" i="1"/>
  <c r="BY37" i="1"/>
  <c r="BX37" i="1"/>
  <c r="CC35" i="1"/>
  <c r="BY35" i="1"/>
  <c r="BX35" i="1"/>
  <c r="CC34" i="1"/>
  <c r="BY34" i="1"/>
  <c r="BX34" i="1"/>
  <c r="BX31" i="1"/>
  <c r="CC27" i="1"/>
  <c r="BY27" i="1"/>
  <c r="BX27" i="1"/>
  <c r="CC25" i="1"/>
  <c r="BY25" i="1"/>
  <c r="BX25" i="1"/>
  <c r="CC23" i="1"/>
  <c r="BY23" i="1"/>
  <c r="BX23" i="1"/>
  <c r="BX22" i="1"/>
  <c r="CC21" i="1"/>
  <c r="BY21" i="1"/>
  <c r="BX21" i="1"/>
  <c r="CC18" i="1"/>
  <c r="BY18" i="1"/>
  <c r="BX18" i="1"/>
  <c r="BX17" i="1"/>
  <c r="BX16" i="1"/>
  <c r="CC13" i="1"/>
  <c r="BY13" i="1"/>
  <c r="BX13" i="1"/>
  <c r="CC12" i="1"/>
  <c r="BY12" i="1"/>
  <c r="BX12" i="1"/>
  <c r="BX10" i="1"/>
  <c r="BX9" i="1"/>
  <c r="CC8" i="1"/>
  <c r="BY8" i="1"/>
  <c r="CC4" i="1"/>
  <c r="BY4" i="1"/>
  <c r="BX4" i="1"/>
  <c r="CF42" i="1" l="1"/>
  <c r="CF5" i="1"/>
  <c r="CF35" i="1"/>
  <c r="CF25" i="1"/>
  <c r="CF21" i="1"/>
  <c r="CF19" i="1"/>
  <c r="CF18" i="1"/>
  <c r="CF13" i="1"/>
  <c r="CF12" i="1"/>
  <c r="CF6" i="1"/>
  <c r="AT6" i="1"/>
  <c r="CF43" i="1"/>
  <c r="CF39" i="1"/>
  <c r="CF36" i="1"/>
  <c r="CF33" i="1"/>
  <c r="CF22" i="1"/>
  <c r="CF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Brian Schilder</author>
  </authors>
  <commentList>
    <comment ref="M3" authorId="0" shapeId="0" xr:uid="{00000000-0006-0000-0200-000001000000}">
      <text>
        <r>
          <rPr>
            <sz val="9"/>
            <color indexed="81"/>
            <rFont val="Calibri"/>
            <family val="2"/>
          </rPr>
          <t>CA0: Transitional region between hippocampus and amygdala.
Located where Sub shoudl be, but structurally looks much more like CA1.</t>
        </r>
      </text>
    </comment>
  </commentList>
</comments>
</file>

<file path=xl/sharedStrings.xml><?xml version="1.0" encoding="utf-8"?>
<sst xmlns="http://schemas.openxmlformats.org/spreadsheetml/2006/main" count="1337" uniqueCount="422">
  <si>
    <t>Subiculum</t>
  </si>
  <si>
    <t>CA1</t>
  </si>
  <si>
    <t>CA2</t>
  </si>
  <si>
    <t>CA3</t>
  </si>
  <si>
    <t>Hilus</t>
  </si>
  <si>
    <t>FasciaDentata</t>
  </si>
  <si>
    <t>Body</t>
  </si>
  <si>
    <t>HippocampusTotal</t>
  </si>
  <si>
    <t>HippocampusRetro</t>
  </si>
  <si>
    <t>Medulla</t>
  </si>
  <si>
    <t>Entorhinal</t>
  </si>
  <si>
    <t>Nocturnality</t>
  </si>
  <si>
    <t>Alouatta_seniculus</t>
  </si>
  <si>
    <t>diurnal</t>
  </si>
  <si>
    <t>Aotus_trivirgatus</t>
  </si>
  <si>
    <t>nocturnal</t>
  </si>
  <si>
    <t>Ateles_geoffroyi</t>
  </si>
  <si>
    <t>Avahi_laniger</t>
  </si>
  <si>
    <t>Avahi_occidentalis</t>
  </si>
  <si>
    <t>Callicebus_moloch</t>
  </si>
  <si>
    <t>Callimico_goeldii</t>
  </si>
  <si>
    <t>Callithrix_jacchus</t>
  </si>
  <si>
    <t>Callithrix_pygmaea</t>
  </si>
  <si>
    <t>Cebus_albifrons</t>
  </si>
  <si>
    <t>Cercopithecus_ascanius</t>
  </si>
  <si>
    <t>Cercopithecus_mitis</t>
  </si>
  <si>
    <t>Cheirogaleus_major</t>
  </si>
  <si>
    <t>Cheirogaleus_medius</t>
  </si>
  <si>
    <t>Daubentonia_madagascariensis</t>
  </si>
  <si>
    <t>Erythrocebus_patas</t>
  </si>
  <si>
    <t>Eulemur_fulvus_fulvus</t>
  </si>
  <si>
    <t>cathemeral</t>
  </si>
  <si>
    <t>Galago_senegalensis</t>
  </si>
  <si>
    <t>Galagoides_demidoff</t>
  </si>
  <si>
    <t>Gorilla_gorilla_gorilla</t>
  </si>
  <si>
    <t>Homo_sapiens</t>
  </si>
  <si>
    <t>Hylobates_lar</t>
  </si>
  <si>
    <t>Indri_indri</t>
  </si>
  <si>
    <t>Lagothrix_lagotricha</t>
  </si>
  <si>
    <t>Lepilemur_ruficaudatus</t>
  </si>
  <si>
    <t>Lophocebus_albigena</t>
  </si>
  <si>
    <t>Loris_tardigradus</t>
  </si>
  <si>
    <t>Microcebus_murinus</t>
  </si>
  <si>
    <t>Miopithecus_talapoin</t>
  </si>
  <si>
    <t>Nasalis_larvatus</t>
  </si>
  <si>
    <t>Nycticebus_coucang</t>
  </si>
  <si>
    <t>Otolemur_crassicaudatus</t>
  </si>
  <si>
    <t>Pan_troglodytes_troglodytes</t>
  </si>
  <si>
    <t>Papio_anubis</t>
  </si>
  <si>
    <t>Perodicticus_potto</t>
  </si>
  <si>
    <t>Piliocolobus_badius</t>
  </si>
  <si>
    <t>Pithecia_monachus</t>
  </si>
  <si>
    <t>Propithecus_verreauxi</t>
  </si>
  <si>
    <t>Pygathrix_nemaeus</t>
  </si>
  <si>
    <t>Saguinus_midas</t>
  </si>
  <si>
    <t>Saguinus_oedipus</t>
  </si>
  <si>
    <t>Saimiri_sciureus</t>
  </si>
  <si>
    <t>Tarsius_bancanus</t>
  </si>
  <si>
    <t>Varecia_variegata_variegata</t>
  </si>
  <si>
    <t>Source</t>
  </si>
  <si>
    <t>Species_10K</t>
  </si>
  <si>
    <t>MSW93_Order</t>
  </si>
  <si>
    <t>MSW93_Family</t>
  </si>
  <si>
    <t>MSW93_Genus</t>
  </si>
  <si>
    <t>MSW93_Species</t>
  </si>
  <si>
    <t>MSW93_Binomial</t>
  </si>
  <si>
    <t>ActivityCycle</t>
  </si>
  <si>
    <t>AdultBodyMass_g</t>
  </si>
  <si>
    <t>AdultForearmLen_mm</t>
  </si>
  <si>
    <t>AdultHeadBodyLen_mm</t>
  </si>
  <si>
    <t>AgeatEyeOpening_d</t>
  </si>
  <si>
    <t>AgeatFirstBirth_d</t>
  </si>
  <si>
    <t>BasalMetRate_mLO2hr</t>
  </si>
  <si>
    <t>BasalMetRateMass_g</t>
  </si>
  <si>
    <t>DietBreadth</t>
  </si>
  <si>
    <t>DispersalAge_d</t>
  </si>
  <si>
    <t>GestationLen_d</t>
  </si>
  <si>
    <t>HabitatBreadth</t>
  </si>
  <si>
    <t>HomeRange_km2</t>
  </si>
  <si>
    <t>HomeRange_Indiv_km2</t>
  </si>
  <si>
    <t>InterBirthInterval_d</t>
  </si>
  <si>
    <t>LitterSize</t>
  </si>
  <si>
    <t>LittersPerYear</t>
  </si>
  <si>
    <t>MaxLongevity_m</t>
  </si>
  <si>
    <t>NeonateBodyMass_g</t>
  </si>
  <si>
    <t>NeonateHeadBodyLen_mm</t>
  </si>
  <si>
    <t>PopulationGrpSize</t>
  </si>
  <si>
    <t>SexualMaturityAge_d</t>
  </si>
  <si>
    <t>SocialGrpSize</t>
  </si>
  <si>
    <t>TeatNumber</t>
  </si>
  <si>
    <t>Terrestriality</t>
  </si>
  <si>
    <t>TrophicLevel</t>
  </si>
  <si>
    <t>WeaningAge_d</t>
  </si>
  <si>
    <t>WeaningBodyMass_g</t>
  </si>
  <si>
    <t>WeaningHeadBodyLen_mm</t>
  </si>
  <si>
    <t>References</t>
  </si>
  <si>
    <t>AdultBodyMass_g_EXT</t>
  </si>
  <si>
    <t>LittersPerYear_EXT</t>
  </si>
  <si>
    <t>NeonateBodyMass_g_EXT</t>
  </si>
  <si>
    <t>WeaningBodyMass_g_EXT</t>
  </si>
  <si>
    <t>GR_Area_km2</t>
  </si>
  <si>
    <t>GR_MaxLat_dd</t>
  </si>
  <si>
    <t>GR_MinLat_dd</t>
  </si>
  <si>
    <t>GR_MRLat_dd</t>
  </si>
  <si>
    <t>GR_MaxLong_dd</t>
  </si>
  <si>
    <t>GR_MinLong_dd</t>
  </si>
  <si>
    <t>GR_MRLong_dd</t>
  </si>
  <si>
    <t>HuPopDen_Min_n/km2</t>
  </si>
  <si>
    <t>HuPopDen_Mean_n/km2</t>
  </si>
  <si>
    <t>HuPopDen_5p_n/km2</t>
  </si>
  <si>
    <t>HuPopDen_Change</t>
  </si>
  <si>
    <t>Precip_Mean_mm</t>
  </si>
  <si>
    <t>Temp_Mean_01degC</t>
  </si>
  <si>
    <t>AET_Mean_mm</t>
  </si>
  <si>
    <t>PET_Mean_mm</t>
  </si>
  <si>
    <t>ATWP_DR</t>
  </si>
  <si>
    <t>ATWP_perForaging</t>
  </si>
  <si>
    <t>ATWP_GroupSize</t>
  </si>
  <si>
    <t>ATWP_HR</t>
  </si>
  <si>
    <t>ATWP_perTravel</t>
  </si>
  <si>
    <t>GroupSize_filled</t>
  </si>
  <si>
    <t>HR_filled</t>
  </si>
  <si>
    <t>Primates</t>
  </si>
  <si>
    <t>Alouatta_caraya</t>
  </si>
  <si>
    <t>NA</t>
  </si>
  <si>
    <t>Cebidae</t>
  </si>
  <si>
    <t>Aotus</t>
  </si>
  <si>
    <t>trivirgatus</t>
  </si>
  <si>
    <t>Aotus trivirgatus</t>
  </si>
  <si>
    <t>139;208;543;730;1297;1547;1577;1611;1763;1767;1768;1822;1848;2151;2344;2464;2489;2493;2511;2520;2655;2660;2986;3088</t>
  </si>
  <si>
    <t>Ateles</t>
  </si>
  <si>
    <t>geoffroyi</t>
  </si>
  <si>
    <t>Ateles geoffroyi</t>
  </si>
  <si>
    <t>208;730;1297;1544;1547;1763;1767;1848;2145;2151;2344;2463;2488;2489;2493;2655;2660;2912;2986</t>
  </si>
  <si>
    <t>Indridae</t>
  </si>
  <si>
    <t>Avahi</t>
  </si>
  <si>
    <t>laniger</t>
  </si>
  <si>
    <t>Avahi laniger</t>
  </si>
  <si>
    <t>208;511;730;1046;1048;1261;1262;1297;1544;1547;1848;2151;2344;2488;2493;2655;2972;2973;2986</t>
  </si>
  <si>
    <t>Callicebus</t>
  </si>
  <si>
    <t>moloch</t>
  </si>
  <si>
    <t>Callicebus moloch</t>
  </si>
  <si>
    <t>208;543;730;890;1297;1512;1547;1605;1768;1848;2151;2344;2464;2489;2493;2520;2655;2660;2986</t>
  </si>
  <si>
    <t>Callitrichidae</t>
  </si>
  <si>
    <t>Callimico</t>
  </si>
  <si>
    <t>goeldii</t>
  </si>
  <si>
    <t>Callimico goeldii</t>
  </si>
  <si>
    <t>543;890;905;1125;1297;1320;1544;1547;1611;1767;1848;2151;2251;2344;2489;2493;2655;2660</t>
  </si>
  <si>
    <t>Callithrix</t>
  </si>
  <si>
    <t>jacchus</t>
  </si>
  <si>
    <t>Callithrix jacchus</t>
  </si>
  <si>
    <t>208;543;579;730;890;905;1297;1299;1544;1547;1577;1594;1611;1822;2151;2344;2489;2493;2511;2520;2552;2655;2660;2725;2986</t>
  </si>
  <si>
    <t>pygmaea</t>
  </si>
  <si>
    <t>Callithrix pygmaea</t>
  </si>
  <si>
    <t>208;543;730;890;905;1125;1297;1544;1547;1611;1822;1848;2151;2251;2344;2489;2493;2511;2520;2655;2660;2668;2864;2986</t>
  </si>
  <si>
    <t xml:space="preserve"> Cebus sp.</t>
  </si>
  <si>
    <t xml:space="preserve"> Cercocebus albigena</t>
  </si>
  <si>
    <t>Cercopithecidae</t>
  </si>
  <si>
    <t>Lophocebus</t>
  </si>
  <si>
    <t>albigena</t>
  </si>
  <si>
    <t>Lophocebus albigena</t>
  </si>
  <si>
    <t>208;543;730;904;1297;1347;1544;1547;1611;1763;1767;1848;1979;2151;2344;2463;2489;2493;2655;2660;2878;2986</t>
  </si>
  <si>
    <t xml:space="preserve"> Cercopithecus ascanius</t>
  </si>
  <si>
    <t>Cercopithecus</t>
  </si>
  <si>
    <t>ascanius</t>
  </si>
  <si>
    <t>Cercopithecus ascanius</t>
  </si>
  <si>
    <t>208;543;681;730;930;1297;1347;1544;1547;1848;2344;2463;2493;2655;2660;2986</t>
  </si>
  <si>
    <t xml:space="preserve"> Cercopithecus mitis</t>
  </si>
  <si>
    <t>mitis</t>
  </si>
  <si>
    <t>Cercopithecus mitis</t>
  </si>
  <si>
    <t>208;543;681;730;1297;1544;1547;1748;1822;1848;2344;2489;2493;2655;2660;2986</t>
  </si>
  <si>
    <t xml:space="preserve"> Cercopithecus talapoin</t>
  </si>
  <si>
    <t>Miopithecus</t>
  </si>
  <si>
    <t>talapoin</t>
  </si>
  <si>
    <t>Miopithecus talapoin</t>
  </si>
  <si>
    <t>208;543;730;904;1297;1347;1544;1547;1611;1763;1767;1848;2344;2463;2489;2493;2655;2660;2986</t>
  </si>
  <si>
    <t xml:space="preserve"> Cheirogaleus major</t>
  </si>
  <si>
    <t>Cheirogaleidae</t>
  </si>
  <si>
    <t>Cheirogaleus</t>
  </si>
  <si>
    <t>major</t>
  </si>
  <si>
    <t>Cheirogaleus major</t>
  </si>
  <si>
    <t>208;543;1046;1048;1261;1297;1544;1545;1547;1848;2151;2344;2511;2655;2660;2986</t>
  </si>
  <si>
    <t xml:space="preserve"> Cheirogaleus medius</t>
  </si>
  <si>
    <t>medius</t>
  </si>
  <si>
    <t>Cheirogaleus medius</t>
  </si>
  <si>
    <t>208;543;730;732;1046;1048;1261;1297;1544;1545;1547;1611;1822;1848;2041;2151;2344;2428;2493;2511;2655;2986</t>
  </si>
  <si>
    <t xml:space="preserve"> Colobus badius</t>
  </si>
  <si>
    <t>Procolobus</t>
  </si>
  <si>
    <t>badius</t>
  </si>
  <si>
    <t>Procolobus badius</t>
  </si>
  <si>
    <t>208;730;741;1015;1297;1347;1544;1547;1848;2151;2344;2463;2493;2655;2660</t>
  </si>
  <si>
    <t xml:space="preserve"> Daubentonia madagascarie</t>
  </si>
  <si>
    <t>Daubentoniidae</t>
  </si>
  <si>
    <t>Daubentonia</t>
  </si>
  <si>
    <t>madagascariensis</t>
  </si>
  <si>
    <t>Daubentonia madagascariensis</t>
  </si>
  <si>
    <t>208;511;543;899;1048;1261;1297;1544;1545;1547;1848;2145;2151;2344;2489;2493;2511;2655;2986</t>
  </si>
  <si>
    <t xml:space="preserve"> Erythrocebus patas</t>
  </si>
  <si>
    <t>Erythrocebus</t>
  </si>
  <si>
    <t>patas</t>
  </si>
  <si>
    <t>Erythrocebus patas</t>
  </si>
  <si>
    <t>208;543;681;730;1297;1347;1544;1547;1611;1763;1767;1848;2344;2489;2493;2655;2660;2986</t>
  </si>
  <si>
    <t xml:space="preserve"> Galago crassicaudatus</t>
  </si>
  <si>
    <t>Galagonidae</t>
  </si>
  <si>
    <t>Otolemur</t>
  </si>
  <si>
    <t>crassicaudatus</t>
  </si>
  <si>
    <t>Otolemur crassicaudatus</t>
  </si>
  <si>
    <t>208;223;543;730;732;868;1297;1544;1547;1822;1848;2344;2493;2655;2660;2986</t>
  </si>
  <si>
    <t xml:space="preserve"> Galago demidovii</t>
  </si>
  <si>
    <t>Galagoides</t>
  </si>
  <si>
    <t>demidoff</t>
  </si>
  <si>
    <t>Galagoides demidoff</t>
  </si>
  <si>
    <t>208;223;543;730;732;1297;1544;1547;1768;1822;1848;2344;2489;2493;2655;2660;2986</t>
  </si>
  <si>
    <t xml:space="preserve"> Galago senegalensis</t>
  </si>
  <si>
    <t>Galago</t>
  </si>
  <si>
    <t>senegalensis</t>
  </si>
  <si>
    <t>Galago senegalensis</t>
  </si>
  <si>
    <t>208;223;543;730;1167;1297;1544;1547;1611;1822;1848;2344;2489;2493;2655;2660;2986</t>
  </si>
  <si>
    <t xml:space="preserve"> Gorilla gorilla</t>
  </si>
  <si>
    <t>Hominidae</t>
  </si>
  <si>
    <t>Gorilla</t>
  </si>
  <si>
    <t>gorilla</t>
  </si>
  <si>
    <t>Gorilla gorilla</t>
  </si>
  <si>
    <t>208;543;557;730;899;904;931;1167;1259;1297;1529;1544;1547;1577;1611;1763;1767;1848;2344;2489;2493;2655;2660;2878;2986;3086</t>
  </si>
  <si>
    <t xml:space="preserve"> Homo sapiens</t>
  </si>
  <si>
    <t>Homo</t>
  </si>
  <si>
    <t>sapiens</t>
  </si>
  <si>
    <t>Homo sapiens</t>
  </si>
  <si>
    <t>543;1297;1544;1547;1577;1594;1611;1763;1767;2344;2493</t>
  </si>
  <si>
    <t xml:space="preserve"> Hylobates lar</t>
  </si>
  <si>
    <t>Hylobatidae</t>
  </si>
  <si>
    <t>Hylobates</t>
  </si>
  <si>
    <t>lar</t>
  </si>
  <si>
    <t>Hylobates lar</t>
  </si>
  <si>
    <t>208;526;543;610;730;954;1167;1297;1544;1547;1577;1763;1767;1848;2344;2453;2489;2493;2655;2660;2700;2986</t>
  </si>
  <si>
    <t xml:space="preserve"> Indri indri</t>
  </si>
  <si>
    <t>Indri</t>
  </si>
  <si>
    <t>indri</t>
  </si>
  <si>
    <t>Indri indri</t>
  </si>
  <si>
    <t>208;511;730;899;1046;1048;1167;1261;1297;1544;1547;1848;2151;2344;2428;2493;2655;2660;2973;2986</t>
  </si>
  <si>
    <t xml:space="preserve"> Lagothrix lagotricha</t>
  </si>
  <si>
    <t>Lagothrix</t>
  </si>
  <si>
    <t>lagotricha</t>
  </si>
  <si>
    <t>Lagothrix lagotricha</t>
  </si>
  <si>
    <t>208;543;730;890;905;1297;1544;1547;1577;1848;2145;2151;2251;2344;2371;2463;2488;2489;2493;2655;2660;2986</t>
  </si>
  <si>
    <t xml:space="preserve"> Lemur fulvus</t>
  </si>
  <si>
    <t>Lemuridae</t>
  </si>
  <si>
    <t>Eulemur</t>
  </si>
  <si>
    <t>fulvus</t>
  </si>
  <si>
    <t>Eulemur fulvus</t>
  </si>
  <si>
    <t>208;543;730;732;1046;1048;1261;1297;1544;1546;1547;1822;1848;2041;2151;2344;2428;2489;2493;2655;2660;2986;3086</t>
  </si>
  <si>
    <t xml:space="preserve"> Lemur variegatus</t>
  </si>
  <si>
    <t>Varecia</t>
  </si>
  <si>
    <t>variegata</t>
  </si>
  <si>
    <t>Varecia variegata</t>
  </si>
  <si>
    <t>208;511;543;899;1046;1048;1261;1297;1544;1545;1546;1547;1848;2151;2344;2428;2489;2493;2655;2660;2986;3089</t>
  </si>
  <si>
    <t xml:space="preserve"> Lepilemur ruficaudatus</t>
  </si>
  <si>
    <t>Megaladapidae</t>
  </si>
  <si>
    <t>Lepilemur</t>
  </si>
  <si>
    <t>ruficaudatus</t>
  </si>
  <si>
    <t>Lepilemur ruficaudatus</t>
  </si>
  <si>
    <t>511;1048;1261;1544;1547;2151;2344;2655;2986</t>
  </si>
  <si>
    <t xml:space="preserve"> Loris tardigradus</t>
  </si>
  <si>
    <t>Loridae</t>
  </si>
  <si>
    <t>Loris</t>
  </si>
  <si>
    <t>tardigradus</t>
  </si>
  <si>
    <t>Loris tardigradus</t>
  </si>
  <si>
    <t>208;223;511;543;730;1015;1297;1544;1547;1577;1848;2151;2344;2489;2493;2511;2655;2660;2986</t>
  </si>
  <si>
    <t xml:space="preserve"> Microcebus murinus</t>
  </si>
  <si>
    <t>Microcebus</t>
  </si>
  <si>
    <t>murinus</t>
  </si>
  <si>
    <t>Microcebus murinus</t>
  </si>
  <si>
    <t>208;511;543;730;1015;1046;1048;1167;1261;1297;1544;1545;1547;1611;1848;2041;2151;2256;2344;2428;2489;2493;2511;2560;2655;2660;2986</t>
  </si>
  <si>
    <t xml:space="preserve"> Nasalis larvatus</t>
  </si>
  <si>
    <t>Nasalis</t>
  </si>
  <si>
    <t>larvatus</t>
  </si>
  <si>
    <t>Nasalis larvatus</t>
  </si>
  <si>
    <t>208;543;730;741;899;1297;1347;1544;1547;1577;1767;1768;1848;2151;2344;2493;2655;2660;2986;3101</t>
  </si>
  <si>
    <t xml:space="preserve"> Nycticebus coucang</t>
  </si>
  <si>
    <t>Nycticebus</t>
  </si>
  <si>
    <t>coucang</t>
  </si>
  <si>
    <t>Nycticebus coucang</t>
  </si>
  <si>
    <t>208;223;511;543;732;1297;1544;1547;1822;1848;2344;2493;2511;2655;2660;2986</t>
  </si>
  <si>
    <t>Pan_troglodytes_verus</t>
  </si>
  <si>
    <t xml:space="preserve"> Pan troglodytes</t>
  </si>
  <si>
    <t>Pan</t>
  </si>
  <si>
    <t>troglodytes</t>
  </si>
  <si>
    <t>Pan troglodytes</t>
  </si>
  <si>
    <t>208;543;730;899;904;1297;1527;1529;1544;1547;1577;1594;1611;1763;1767;1848;2344;2463;2489;2493;2620;2655;2660;2878;2986</t>
  </si>
  <si>
    <t xml:space="preserve"> Papio anubis</t>
  </si>
  <si>
    <t>Papio</t>
  </si>
  <si>
    <t>hamadryas</t>
  </si>
  <si>
    <t>Papio hamadryas</t>
  </si>
  <si>
    <t>208;543;730;850;930;1297;1347;1544;1547;1577;1594;1763;1767;1768;1848;1979;2151;2344;2493;2655;2660;2986;3086</t>
  </si>
  <si>
    <t xml:space="preserve"> Perodicticus potto</t>
  </si>
  <si>
    <t>Perodicticus</t>
  </si>
  <si>
    <t>potto</t>
  </si>
  <si>
    <t>Perodicticus potto</t>
  </si>
  <si>
    <t>208;223;543;730;732;904;1297;1544;1547;1822;1848;2151;2344;2489;2493;2511;2655;2660;2986</t>
  </si>
  <si>
    <t>Pithecia_pithecia</t>
  </si>
  <si>
    <t xml:space="preserve"> Pithecia monachal</t>
  </si>
  <si>
    <t>Pithecia</t>
  </si>
  <si>
    <t>monachus</t>
  </si>
  <si>
    <t>Pithecia monachus</t>
  </si>
  <si>
    <t>208;497;543;730;905;1544;1547;1611;1848;2151;2251;2344;2464;2655;2986</t>
  </si>
  <si>
    <t xml:space="preserve"> Propithecus verreauxi</t>
  </si>
  <si>
    <t>Propithecus</t>
  </si>
  <si>
    <t>verreauxi</t>
  </si>
  <si>
    <t>Propithecus verreauxi</t>
  </si>
  <si>
    <t>208;511;543;730;899;1046;1048;1167;1261;1297;1544;1545;1546;1547;1848;2151;2344;2428;2429;2489;2493;2655;2986;3086</t>
  </si>
  <si>
    <t xml:space="preserve"> Pygathrix nemaeus</t>
  </si>
  <si>
    <t>Pygathrix</t>
  </si>
  <si>
    <t>nemaeus</t>
  </si>
  <si>
    <t>Pygathrix nemaeus</t>
  </si>
  <si>
    <t>208;543;741;899;1297;1347;1544;1547;1848;2344;2493;2655;2660</t>
  </si>
  <si>
    <t xml:space="preserve"> Saguinus oedipus</t>
  </si>
  <si>
    <t>Saguinus</t>
  </si>
  <si>
    <t>oedipus</t>
  </si>
  <si>
    <t>Saguinus oedipus</t>
  </si>
  <si>
    <t>208;543;730;899;905;1125;1167;1297;1544;1547;1577;1611;1768;2151;2344;2489;2493;2520;2655;2660;2663;2986</t>
  </si>
  <si>
    <t xml:space="preserve"> Saguinus tamarin</t>
  </si>
  <si>
    <t xml:space="preserve"> Saimiri sciureus</t>
  </si>
  <si>
    <t>Saimiri</t>
  </si>
  <si>
    <t>sciureus</t>
  </si>
  <si>
    <t>Saimiri sciureus</t>
  </si>
  <si>
    <t>169;208;543;730;890;905;1167;1297;1544;1547;1577;1594;1611;1763;1767;1822;1848;2151;2251;2308;2344;2463;2489;2493;2511;2655;2660;2986;3086</t>
  </si>
  <si>
    <t xml:space="preserve"> Tarsius sp.</t>
  </si>
  <si>
    <t>Tarsiidae</t>
  </si>
  <si>
    <t>Tarsius</t>
  </si>
  <si>
    <t>Cebus albifrons</t>
  </si>
  <si>
    <t>208;543;730;890;1017;1297;1544;1547;1611;1763;1768;1848;2151;2251;2344;2463;2489;2493;2511;2655;2660;2986</t>
  </si>
  <si>
    <t>Cebuella pygmaea</t>
  </si>
  <si>
    <t>Avahi occidentalis</t>
  </si>
  <si>
    <t>Alouatta sp.</t>
  </si>
  <si>
    <t>midas</t>
  </si>
  <si>
    <t>Saguinus midas</t>
  </si>
  <si>
    <t>208;543;730;890;905;1201;1297;1544;1547;2151;2344;2431;2489;2493;2511;2655;2660;2663;2986</t>
  </si>
  <si>
    <t>bancanus</t>
  </si>
  <si>
    <t>Tarsius bancanus</t>
  </si>
  <si>
    <t>223;511;543;1297;1544;1547;1767;1768;1848;2137;2151;2344;2493;2655;2973;2986</t>
  </si>
  <si>
    <t>Cebus</t>
  </si>
  <si>
    <t>albifrons</t>
  </si>
  <si>
    <t>Alouatta</t>
  </si>
  <si>
    <t>seniculus</t>
  </si>
  <si>
    <t>Alouatta seniculus</t>
  </si>
  <si>
    <t>208;451;543;702;730;890;905;1201;1297;1544;1547;1848;2128;2151;2308;2344;2431;2489;2493;2655;2660;2986</t>
  </si>
  <si>
    <t>Kept original 1982 species name</t>
  </si>
  <si>
    <t>Changed 1982 species name</t>
  </si>
  <si>
    <t>Switched species to that which David selected</t>
  </si>
  <si>
    <t>Barger, Nicole, et al. "Evidence for evolutionary specialization in human limbic structures." Frontiers in human neuroscience 8 (2014): 277.</t>
  </si>
  <si>
    <t>PANTHERIA: https://ecologicaldata.org/wiki/pantheria</t>
  </si>
  <si>
    <t>All The World's Primates (ATWP): http://www.alltheworldsprimates.org</t>
  </si>
  <si>
    <t>Filled' means 'Use Pantheria is ATWP data is not available', in order to get these variables for as many species as possible.</t>
  </si>
  <si>
    <t>10K Trees: http://10ktrees.fas.harvard.edu</t>
  </si>
  <si>
    <t>Species_1981</t>
  </si>
  <si>
    <t>BrainMass</t>
  </si>
  <si>
    <t>BrainVol</t>
  </si>
  <si>
    <t>HPvol</t>
  </si>
  <si>
    <t>HP_HS_fibers</t>
  </si>
  <si>
    <t>Variables:</t>
  </si>
  <si>
    <t>Schizocortex: "Included are entorhinal, perirhinal, presubicular and parasubicular cortices and the underlying white matter. These cortices are characterized by the presence of one or several, almost cell-free layers of sublayers." -Stephan, H. et al. (1981) New and revised data on volume of brain structures in insectivores and primates. Folia primatol. 35, 1–29</t>
  </si>
  <si>
    <t>Stephan, H. et al. (1981) New and revised data on volume of brain structures in insectivores and primates. Folia primatol. 35, 1–29</t>
  </si>
  <si>
    <r>
      <t xml:space="preserve">Frahm, H.D. and Zilles, K. (1994) Volumetric comparison of hippocampal regions in 44 primate species. </t>
    </r>
    <r>
      <rPr>
        <i/>
        <sz val="12"/>
        <color theme="1"/>
        <rFont val="Calibri"/>
        <family val="2"/>
        <scheme val="minor"/>
      </rPr>
      <t>J. Brain Res.</t>
    </r>
    <r>
      <rPr>
        <sz val="12"/>
        <color theme="1"/>
        <rFont val="Calibri"/>
        <family val="2"/>
        <scheme val="minor"/>
      </rPr>
      <t xml:space="preserve"> 35, 343–354</t>
    </r>
  </si>
  <si>
    <t>Name</t>
  </si>
  <si>
    <t>Description</t>
  </si>
  <si>
    <t>HippocampusRetro + HP_HS_fibers</t>
  </si>
  <si>
    <t>Molecular layer, granule cell layer, and subgranular zone of the dentate gyrus</t>
  </si>
  <si>
    <t>CA4 + deep stratum multiforme of the dentate gyrus (i.e. polymorphic layer)</t>
  </si>
  <si>
    <t>mm3</t>
  </si>
  <si>
    <t>Subiculum proper only; does not include pre- or para-subiculum</t>
  </si>
  <si>
    <t>CA1 volume</t>
  </si>
  <si>
    <t>CA2 volume</t>
  </si>
  <si>
    <t>CA3 volume</t>
  </si>
  <si>
    <t>Whole body weight</t>
  </si>
  <si>
    <t>g</t>
  </si>
  <si>
    <t>Units</t>
  </si>
  <si>
    <t>Datasets (column colors):</t>
  </si>
  <si>
    <t>Notes (cell colors):</t>
  </si>
  <si>
    <t>Medulla volume</t>
  </si>
  <si>
    <t>Schizocortex</t>
  </si>
  <si>
    <t>PopulationDensity_n_km2</t>
  </si>
  <si>
    <t>From Animal Diversity Web: http://animaldiversity.org/accounts/Avahi_occidentalis/</t>
  </si>
  <si>
    <t>ATWP_HR_km2</t>
  </si>
  <si>
    <t>From Primate Info Net: http://pin.primate.wisc.edu/factsheets/entry/douc_langur/taxon</t>
  </si>
  <si>
    <t>Population_Density</t>
  </si>
  <si>
    <t>Tupaia_glis</t>
  </si>
  <si>
    <t>Stephan, H. &amp; Manoleseu, J. (1980) Comparative investigations on hippocampus in insectivores and primates.</t>
  </si>
  <si>
    <t>retrocommissural hippocampus: all subfields excluding white matter fibers (i.e. CA1, CA2, CA 3, hilus and the fascia dentata)</t>
  </si>
  <si>
    <t>Species</t>
  </si>
  <si>
    <t>Total hippocampus in % total brain</t>
  </si>
  <si>
    <t>supra-commissural hippocampus</t>
  </si>
  <si>
    <t>retro-commissural hippocampus</t>
  </si>
  <si>
    <t>prae-commissural hippocampus</t>
  </si>
  <si>
    <t>subiculum</t>
  </si>
  <si>
    <t>CA2/3</t>
  </si>
  <si>
    <t>fascia dentata</t>
  </si>
  <si>
    <t>body weight (g)</t>
  </si>
  <si>
    <t>Absolute Measures</t>
  </si>
  <si>
    <t>% of total brain vol</t>
  </si>
  <si>
    <t>% of Total hippocampus vol</t>
  </si>
  <si>
    <t>total hippocampus (mm3)</t>
  </si>
  <si>
    <t>total brain  (mm3)</t>
  </si>
  <si>
    <t>prae-commissural hippocampus  (mm3)</t>
  </si>
  <si>
    <t>supra-commissural hippocampus  (mm3)</t>
  </si>
  <si>
    <t>retro-commissural hippocampus (mm3)</t>
  </si>
  <si>
    <t>CA0</t>
  </si>
  <si>
    <t>Tenrec ecaudatus (reported)</t>
  </si>
  <si>
    <t>Tenrec ecaudatus (calculated)</t>
  </si>
  <si>
    <t>Stephan H, Frahm H, Baron G: New and revised data on volume of brain structures in insectivores and primates. Folia primatol 1981;35:1–29.</t>
  </si>
  <si>
    <t>Stephan H, Manoleseu J: Comparative investigations on hippocampus in insectivores and primates. Zeitschrift für mikroskopischanatomisch Forsch 1980;94:1025–1050.</t>
  </si>
  <si>
    <t>Calculated</t>
  </si>
  <si>
    <t>Hippocampus</t>
  </si>
  <si>
    <t xml:space="preserve">The difference between Stephan &amp; Manoleseu measure of retroHP, and the Frahm measure of retroHP is that Frahm re-measured retroHP without including white matter. Structures like the alveus would account for this difference (~13%). </t>
  </si>
  <si>
    <t xml:space="preserve"> </t>
  </si>
  <si>
    <t>But the fact that they subfields are given in percentages allows you to still get volume. But perhaps their measures of subfield volume INCLUDED white matter near each subfield. In which case, there's not much we can do to correct this.</t>
  </si>
  <si>
    <t>We could conceivably do a separate analysis (or even a separate publication) with all of the Stephan &amp; Manoleseu data (and nothing else). This pub also has valuable info on layer thicknesses</t>
  </si>
  <si>
    <t>Simply applying a universal correction factor to remove white matter would be inaccurate, since each subfield contains different proportions of WM (which may be different across species). A clear example of this is in Tenrec ecaudatus, in which our calculated measure for Sub vol is almost double the actual value, whereas the CA1 calculation is almost right on (although somehow slightly less than the supposedly more inclusive esimate?).</t>
  </si>
  <si>
    <t>CONFIRM WM issue by re-reading THESE PUBLICATIONS!</t>
  </si>
  <si>
    <t>ALTERNATIVELY (or in addition) could use the West paper measurements (check to see if comparable)</t>
  </si>
  <si>
    <t>HP_HS_fiber = Hippocampus Precommsuralis (HP) + Hippocampus Supracommissuralis (HS) + fimbria/fornix complex fibers. 
"The volume of the total retrocommissural hippocampus is calculated as the sum of the volumes of these regions and given in the last column of Table 1. This part does not include the fibers of the fimbria/fornix complex, which extends far more rostral than the fields of the retrocommissural hippocampus proper. The volumes were not measured directly, but represent the differences between the sums of the retrocommissural hippocampal fields measured in the present study and the total hippocampus, as measured by STEPHAN et al. (1981, 1988), who used the same serial sections."
i.e. total hippocampus (Stephan, 1981/1988) - retroHP (Frahm, 1994) = fibers</t>
  </si>
  <si>
    <t>% of retro-commissural hippocampus area</t>
  </si>
  <si>
    <t>ALSO, have my collected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</si>
</sst>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2"/>
      <color theme="1"/>
      <name val="Calibri"/>
      <family val="2"/>
      <scheme val="minor"/>
    </font>
    <font>
      <b/>
      <sz val="12"/>
      <color theme="1"/>
      <name val="Calibri"/>
      <family val="2"/>
      <scheme val="minor"/>
    </font>
    <font>
      <sz val="12"/>
      <color rgb="FF000000"/>
      <name val="Calibri"/>
      <scheme val="minor"/>
    </font>
    <font>
      <u/>
      <sz val="12"/>
      <color theme="10"/>
      <name val="Calibri"/>
      <family val="2"/>
      <scheme val="minor"/>
    </font>
    <font>
      <u/>
      <sz val="12"/>
      <color theme="11"/>
      <name val="Calibri"/>
      <family val="2"/>
      <scheme val="minor"/>
    </font>
    <font>
      <b/>
      <sz val="16"/>
      <color theme="1"/>
      <name val="Calibri"/>
      <scheme val="minor"/>
    </font>
    <font>
      <i/>
      <sz val="12"/>
      <color theme="1"/>
      <name val="Calibri"/>
      <family val="2"/>
      <scheme val="minor"/>
    </font>
    <font>
      <sz val="9"/>
      <color indexed="81"/>
      <name val="Calibri"/>
      <family val="2"/>
    </font>
    <font>
      <b/>
      <i/>
      <sz val="12"/>
      <color theme="1"/>
      <name val="Calibri"/>
      <scheme val="minor"/>
    </font>
  </fonts>
  <fills count="2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D90DC"/>
        <bgColor indexed="64"/>
      </patternFill>
    </fill>
    <fill>
      <patternFill patternType="solid">
        <fgColor theme="6" tint="0.59999389629810485"/>
        <bgColor indexed="64"/>
      </patternFill>
    </fill>
    <fill>
      <patternFill patternType="solid">
        <fgColor rgb="FFCCFFCC"/>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66FFCC"/>
        <bgColor indexed="64"/>
      </patternFill>
    </fill>
    <fill>
      <patternFill patternType="solid">
        <fgColor rgb="FFD9D9D9"/>
        <bgColor rgb="FF000000"/>
      </patternFill>
    </fill>
    <fill>
      <patternFill patternType="solid">
        <fgColor rgb="FFDAEEF3"/>
        <bgColor rgb="FF000000"/>
      </patternFill>
    </fill>
    <fill>
      <patternFill patternType="solid">
        <fgColor rgb="FFFD90DC"/>
        <bgColor rgb="FF000000"/>
      </patternFill>
    </fill>
    <fill>
      <patternFill patternType="solid">
        <fgColor rgb="FFD8E4BC"/>
        <bgColor rgb="FF000000"/>
      </patternFill>
    </fill>
    <fill>
      <patternFill patternType="solid">
        <fgColor rgb="FFCCFFCC"/>
        <bgColor rgb="FF000000"/>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theme="0" tint="-0.249977111117893"/>
        <bgColor indexed="64"/>
      </patternFill>
    </fill>
  </fills>
  <borders count="5">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28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8">
    <xf numFmtId="0" fontId="0" fillId="0" borderId="0" xfId="0"/>
    <xf numFmtId="0" fontId="0" fillId="0" borderId="0" xfId="0" applyAlignment="1">
      <alignment horizontal="left"/>
    </xf>
    <xf numFmtId="0" fontId="0" fillId="3" borderId="0" xfId="0" applyFont="1" applyFill="1" applyAlignment="1">
      <alignment horizontal="left"/>
    </xf>
    <xf numFmtId="0" fontId="0" fillId="2" borderId="0" xfId="0" applyFont="1" applyFill="1" applyAlignment="1">
      <alignment horizontal="left"/>
    </xf>
    <xf numFmtId="0" fontId="0" fillId="0" borderId="0" xfId="0" applyFont="1" applyAlignment="1">
      <alignment horizontal="left"/>
    </xf>
    <xf numFmtId="0" fontId="2" fillId="3" borderId="0" xfId="0" applyFont="1" applyFill="1" applyAlignment="1">
      <alignment horizontal="left"/>
    </xf>
    <xf numFmtId="0" fontId="0" fillId="4" borderId="0" xfId="0" applyFont="1" applyFill="1" applyAlignment="1">
      <alignment horizontal="left"/>
    </xf>
    <xf numFmtId="11" fontId="0" fillId="0" borderId="0" xfId="0" applyNumberFormat="1" applyFont="1" applyAlignment="1">
      <alignment horizontal="left"/>
    </xf>
    <xf numFmtId="0" fontId="0" fillId="5" borderId="0" xfId="0" applyFont="1" applyFill="1" applyAlignment="1">
      <alignment horizontal="left"/>
    </xf>
    <xf numFmtId="0" fontId="0" fillId="0" borderId="0" xfId="0" applyFont="1" applyFill="1" applyAlignment="1">
      <alignment horizontal="left"/>
    </xf>
    <xf numFmtId="0" fontId="0" fillId="6" borderId="1" xfId="0" applyFont="1" applyFill="1" applyBorder="1" applyAlignment="1">
      <alignment horizontal="left" wrapText="1"/>
    </xf>
    <xf numFmtId="0" fontId="0" fillId="7" borderId="1" xfId="0" applyFont="1" applyFill="1" applyBorder="1" applyAlignment="1">
      <alignment horizontal="left" wrapText="1"/>
    </xf>
    <xf numFmtId="0" fontId="0" fillId="8" borderId="1" xfId="0" applyFont="1" applyFill="1" applyBorder="1" applyAlignment="1">
      <alignment horizontal="left" wrapText="1"/>
    </xf>
    <xf numFmtId="0" fontId="1" fillId="8" borderId="1" xfId="0" applyFont="1" applyFill="1" applyBorder="1" applyAlignment="1">
      <alignment horizontal="left" wrapText="1"/>
    </xf>
    <xf numFmtId="0" fontId="0" fillId="12" borderId="0" xfId="0" applyFont="1" applyFill="1" applyAlignment="1">
      <alignment horizontal="left"/>
    </xf>
    <xf numFmtId="0" fontId="0" fillId="13" borderId="1" xfId="0" applyFont="1" applyFill="1" applyBorder="1" applyAlignment="1">
      <alignment horizontal="left" wrapText="1"/>
    </xf>
    <xf numFmtId="0" fontId="5" fillId="0" borderId="0" xfId="0" applyFont="1" applyAlignment="1">
      <alignment vertical="top"/>
    </xf>
    <xf numFmtId="0" fontId="5" fillId="0" borderId="0" xfId="0" applyFont="1" applyFill="1" applyAlignment="1">
      <alignment vertical="top"/>
    </xf>
    <xf numFmtId="0" fontId="0" fillId="0" borderId="0" xfId="0"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Fill="1" applyAlignment="1">
      <alignment vertical="top"/>
    </xf>
    <xf numFmtId="0" fontId="0" fillId="6" borderId="0" xfId="0" applyFill="1" applyAlignment="1">
      <alignment vertical="top" wrapText="1"/>
    </xf>
    <xf numFmtId="0" fontId="0" fillId="0" borderId="0" xfId="0" applyFill="1" applyAlignment="1">
      <alignment vertical="top" wrapText="1"/>
    </xf>
    <xf numFmtId="0" fontId="1" fillId="0" borderId="0" xfId="0" applyFont="1" applyAlignment="1">
      <alignment vertical="top"/>
    </xf>
    <xf numFmtId="0" fontId="0" fillId="2" borderId="0" xfId="0" applyFill="1" applyAlignment="1">
      <alignment vertical="top"/>
    </xf>
    <xf numFmtId="0" fontId="0" fillId="11" borderId="0" xfId="0" applyFont="1" applyFill="1" applyAlignment="1">
      <alignment horizontal="left" vertical="top" wrapText="1"/>
    </xf>
    <xf numFmtId="0" fontId="0" fillId="0" borderId="0" xfId="0" applyFont="1" applyFill="1" applyAlignment="1">
      <alignment horizontal="left" vertical="top" wrapText="1"/>
    </xf>
    <xf numFmtId="0" fontId="0" fillId="5" borderId="0" xfId="0" applyFill="1" applyAlignment="1">
      <alignment vertical="top"/>
    </xf>
    <xf numFmtId="0" fontId="0" fillId="0" borderId="0" xfId="0" applyFont="1" applyFill="1" applyAlignment="1">
      <alignment horizontal="left" vertical="top"/>
    </xf>
    <xf numFmtId="0" fontId="0" fillId="0" borderId="0" xfId="0" quotePrefix="1" applyFont="1" applyFill="1" applyBorder="1" applyAlignment="1">
      <alignment horizontal="left" vertical="top" wrapText="1"/>
    </xf>
    <xf numFmtId="0" fontId="0" fillId="0" borderId="0" xfId="0" applyBorder="1" applyAlignment="1">
      <alignment vertical="top"/>
    </xf>
    <xf numFmtId="0" fontId="0" fillId="0" borderId="0" xfId="0" applyFill="1" applyBorder="1" applyAlignment="1">
      <alignment vertical="top"/>
    </xf>
    <xf numFmtId="0" fontId="0" fillId="0" borderId="0" xfId="0" applyBorder="1" applyAlignment="1">
      <alignment vertical="top" wrapText="1"/>
    </xf>
    <xf numFmtId="0" fontId="0" fillId="0" borderId="0" xfId="0" applyFill="1" applyBorder="1" applyAlignment="1">
      <alignment vertical="top" wrapText="1"/>
    </xf>
    <xf numFmtId="0" fontId="0" fillId="0" borderId="2" xfId="0" applyBorder="1" applyAlignment="1">
      <alignment vertical="top" wrapText="1"/>
    </xf>
    <xf numFmtId="0" fontId="1" fillId="6" borderId="3" xfId="0" applyFont="1" applyFill="1" applyBorder="1" applyAlignment="1">
      <alignment horizontal="left"/>
    </xf>
    <xf numFmtId="0" fontId="1" fillId="6" borderId="3" xfId="0" applyFont="1" applyFill="1" applyBorder="1" applyAlignment="1">
      <alignment horizontal="left" vertical="top"/>
    </xf>
    <xf numFmtId="0" fontId="1" fillId="11" borderId="3" xfId="0" applyFont="1" applyFill="1" applyBorder="1" applyAlignment="1">
      <alignment horizontal="left" vertical="top"/>
    </xf>
    <xf numFmtId="0" fontId="1" fillId="0" borderId="2" xfId="0" applyFont="1" applyBorder="1" applyAlignment="1">
      <alignment vertical="top" wrapText="1"/>
    </xf>
    <xf numFmtId="0" fontId="1" fillId="0" borderId="2" xfId="0" applyFont="1" applyBorder="1" applyAlignment="1">
      <alignment vertical="top"/>
    </xf>
    <xf numFmtId="0" fontId="0" fillId="0" borderId="2" xfId="0" applyBorder="1" applyAlignment="1">
      <alignment vertical="top"/>
    </xf>
    <xf numFmtId="0" fontId="1" fillId="9" borderId="1" xfId="0" applyFont="1" applyFill="1" applyBorder="1" applyAlignment="1">
      <alignment horizontal="left" wrapText="1"/>
    </xf>
    <xf numFmtId="0" fontId="1" fillId="10" borderId="1" xfId="0" applyFont="1" applyFill="1" applyBorder="1" applyAlignment="1">
      <alignment horizontal="left" wrapText="1"/>
    </xf>
    <xf numFmtId="0" fontId="0" fillId="14" borderId="0" xfId="0" applyFont="1" applyFill="1" applyAlignment="1">
      <alignment horizontal="left"/>
    </xf>
    <xf numFmtId="0" fontId="0" fillId="14" borderId="0" xfId="0" applyFont="1" applyFill="1" applyAlignment="1">
      <alignment horizontal="left" wrapText="1"/>
    </xf>
    <xf numFmtId="0" fontId="0" fillId="12" borderId="0" xfId="0" applyFill="1" applyAlignment="1">
      <alignment vertical="top" wrapText="1"/>
    </xf>
    <xf numFmtId="164" fontId="0" fillId="0" borderId="0" xfId="0" applyNumberFormat="1"/>
    <xf numFmtId="0" fontId="0" fillId="0" borderId="1" xfId="0" applyFont="1" applyBorder="1" applyAlignment="1">
      <alignment horizontal="left" wrapText="1"/>
    </xf>
    <xf numFmtId="0" fontId="0" fillId="11" borderId="1" xfId="0" applyFont="1" applyFill="1" applyBorder="1" applyAlignment="1">
      <alignment horizontal="left" wrapText="1"/>
    </xf>
    <xf numFmtId="0" fontId="0" fillId="0" borderId="1" xfId="0" applyFont="1" applyFill="1" applyBorder="1" applyAlignment="1">
      <alignment horizontal="left" wrapText="1"/>
    </xf>
    <xf numFmtId="0" fontId="1" fillId="10" borderId="1" xfId="0" applyFont="1" applyFill="1" applyBorder="1" applyAlignment="1">
      <alignment wrapText="1"/>
    </xf>
    <xf numFmtId="0" fontId="0" fillId="0" borderId="1" xfId="0" applyBorder="1" applyAlignment="1">
      <alignment wrapText="1"/>
    </xf>
    <xf numFmtId="0" fontId="2" fillId="15" borderId="0" xfId="0" applyFont="1" applyFill="1" applyAlignment="1">
      <alignment horizontal="left" vertical="top"/>
    </xf>
    <xf numFmtId="0" fontId="2" fillId="16" borderId="0" xfId="0" applyFont="1" applyFill="1" applyAlignment="1">
      <alignment horizontal="left" vertical="top" wrapText="1"/>
    </xf>
    <xf numFmtId="0" fontId="2" fillId="17" borderId="0" xfId="0" applyFont="1" applyFill="1" applyAlignment="1">
      <alignment horizontal="left" vertical="top" wrapText="1"/>
    </xf>
    <xf numFmtId="0" fontId="2" fillId="18" borderId="0" xfId="0" applyFont="1" applyFill="1" applyAlignment="1">
      <alignment vertical="top" wrapText="1"/>
    </xf>
    <xf numFmtId="0" fontId="2" fillId="19" borderId="0" xfId="0" applyFont="1" applyFill="1" applyAlignment="1">
      <alignment horizontal="left" vertical="top" wrapText="1"/>
    </xf>
    <xf numFmtId="0" fontId="0" fillId="20" borderId="0" xfId="0" applyFill="1" applyAlignment="1">
      <alignment vertical="top"/>
    </xf>
    <xf numFmtId="0" fontId="1" fillId="0" borderId="0" xfId="0" applyFont="1" applyAlignment="1">
      <alignment wrapText="1"/>
    </xf>
    <xf numFmtId="0" fontId="1" fillId="7" borderId="0" xfId="0" applyFont="1" applyFill="1" applyAlignment="1">
      <alignment wrapText="1"/>
    </xf>
    <xf numFmtId="0" fontId="1" fillId="21" borderId="0" xfId="0" applyFont="1" applyFill="1" applyAlignment="1">
      <alignment wrapText="1"/>
    </xf>
    <xf numFmtId="0" fontId="1" fillId="22" borderId="0" xfId="0" applyFont="1" applyFill="1" applyAlignment="1">
      <alignment wrapText="1"/>
    </xf>
    <xf numFmtId="0" fontId="1" fillId="23" borderId="0" xfId="0" applyFont="1" applyFill="1" applyAlignment="1">
      <alignment wrapText="1"/>
    </xf>
    <xf numFmtId="0" fontId="1" fillId="0" borderId="4" xfId="0" applyFont="1" applyBorder="1"/>
    <xf numFmtId="0" fontId="1" fillId="7" borderId="4" xfId="0" applyFont="1" applyFill="1" applyBorder="1"/>
    <xf numFmtId="0" fontId="1" fillId="21" borderId="4" xfId="0" applyFont="1" applyFill="1" applyBorder="1"/>
    <xf numFmtId="0" fontId="1" fillId="22" borderId="4" xfId="0" applyFont="1" applyFill="1" applyBorder="1"/>
    <xf numFmtId="0" fontId="1" fillId="23" borderId="4" xfId="0" applyFont="1" applyFill="1" applyBorder="1"/>
    <xf numFmtId="0" fontId="1" fillId="6" borderId="4" xfId="0" applyFont="1" applyFill="1" applyBorder="1"/>
    <xf numFmtId="0" fontId="1" fillId="11" borderId="4" xfId="0" applyFont="1" applyFill="1" applyBorder="1"/>
    <xf numFmtId="3" fontId="0" fillId="0" borderId="0" xfId="0" applyNumberFormat="1"/>
    <xf numFmtId="0" fontId="0" fillId="24" borderId="0" xfId="0" applyFill="1"/>
    <xf numFmtId="0" fontId="0" fillId="13" borderId="0" xfId="0" applyFill="1"/>
    <xf numFmtId="0" fontId="8" fillId="25" borderId="0" xfId="0" applyFont="1" applyFill="1"/>
    <xf numFmtId="0" fontId="0" fillId="11" borderId="0" xfId="0" applyFont="1" applyFill="1" applyBorder="1" applyAlignment="1">
      <alignment horizontal="left" wrapText="1"/>
    </xf>
    <xf numFmtId="0" fontId="2" fillId="0" borderId="0" xfId="0" applyFont="1"/>
    <xf numFmtId="0" fontId="1" fillId="13" borderId="4" xfId="0" applyFont="1" applyFill="1" applyBorder="1"/>
  </cellXfs>
  <cellStyles count="2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45"/>
  <sheetViews>
    <sheetView tabSelected="1" zoomScale="125" zoomScaleNormal="125" zoomScalePageLayoutView="125" workbookViewId="0">
      <pane ySplit="1" topLeftCell="A2" activePane="bottomLeft" state="frozen"/>
      <selection pane="bottomLeft" activeCell="A31" sqref="A31"/>
    </sheetView>
  </sheetViews>
  <sheetFormatPr baseColWidth="10" defaultRowHeight="16" x14ac:dyDescent="0.2"/>
  <cols>
    <col min="1" max="1" width="27" bestFit="1" customWidth="1"/>
    <col min="13" max="13" width="11.5" customWidth="1"/>
    <col min="15" max="15" width="27" bestFit="1" customWidth="1"/>
    <col min="16" max="16" width="27.6640625" bestFit="1" customWidth="1"/>
    <col min="82" max="82" width="15" customWidth="1"/>
    <col min="84" max="84" width="18.6640625" customWidth="1"/>
  </cols>
  <sheetData>
    <row r="1" spans="1:84" s="52" customFormat="1" ht="30" customHeight="1" thickBot="1" x14ac:dyDescent="0.25">
      <c r="A1" s="48" t="s">
        <v>388</v>
      </c>
      <c r="B1" s="10" t="s">
        <v>0</v>
      </c>
      <c r="C1" s="10" t="s">
        <v>1</v>
      </c>
      <c r="D1" s="10" t="s">
        <v>2</v>
      </c>
      <c r="E1" s="10" t="s">
        <v>3</v>
      </c>
      <c r="F1" s="10" t="s">
        <v>4</v>
      </c>
      <c r="G1" s="10" t="s">
        <v>5</v>
      </c>
      <c r="H1" s="10" t="s">
        <v>6</v>
      </c>
      <c r="I1" s="10" t="s">
        <v>7</v>
      </c>
      <c r="J1" s="10" t="s">
        <v>358</v>
      </c>
      <c r="K1" s="10" t="s">
        <v>8</v>
      </c>
      <c r="L1" s="10" t="s">
        <v>9</v>
      </c>
      <c r="M1" s="49" t="s">
        <v>379</v>
      </c>
      <c r="N1" s="50" t="s">
        <v>11</v>
      </c>
      <c r="O1" s="15" t="s">
        <v>60</v>
      </c>
      <c r="P1" s="10" t="s">
        <v>354</v>
      </c>
      <c r="Q1" s="11" t="s">
        <v>355</v>
      </c>
      <c r="R1" s="11" t="s">
        <v>356</v>
      </c>
      <c r="S1" s="11" t="s">
        <v>357</v>
      </c>
      <c r="T1" s="11" t="s">
        <v>59</v>
      </c>
      <c r="U1" s="12" t="s">
        <v>61</v>
      </c>
      <c r="V1" s="12" t="s">
        <v>62</v>
      </c>
      <c r="W1" s="12" t="s">
        <v>63</v>
      </c>
      <c r="X1" s="12" t="s">
        <v>64</v>
      </c>
      <c r="Y1" s="12" t="s">
        <v>65</v>
      </c>
      <c r="Z1" s="12" t="s">
        <v>66</v>
      </c>
      <c r="AA1" s="13" t="s">
        <v>67</v>
      </c>
      <c r="AB1" s="12" t="s">
        <v>68</v>
      </c>
      <c r="AC1" s="12" t="s">
        <v>69</v>
      </c>
      <c r="AD1" s="12" t="s">
        <v>70</v>
      </c>
      <c r="AE1" s="12" t="s">
        <v>71</v>
      </c>
      <c r="AF1" s="12" t="s">
        <v>72</v>
      </c>
      <c r="AG1" s="12" t="s">
        <v>73</v>
      </c>
      <c r="AH1" s="13" t="s">
        <v>74</v>
      </c>
      <c r="AI1" s="12" t="s">
        <v>75</v>
      </c>
      <c r="AJ1" s="12" t="s">
        <v>76</v>
      </c>
      <c r="AK1" s="13" t="s">
        <v>77</v>
      </c>
      <c r="AL1" s="13" t="s">
        <v>78</v>
      </c>
      <c r="AM1" s="13" t="s">
        <v>79</v>
      </c>
      <c r="AN1" s="12" t="s">
        <v>80</v>
      </c>
      <c r="AO1" s="12" t="s">
        <v>81</v>
      </c>
      <c r="AP1" s="12" t="s">
        <v>82</v>
      </c>
      <c r="AQ1" s="12" t="s">
        <v>83</v>
      </c>
      <c r="AR1" s="12" t="s">
        <v>84</v>
      </c>
      <c r="AS1" s="12" t="s">
        <v>85</v>
      </c>
      <c r="AT1" s="13" t="s">
        <v>380</v>
      </c>
      <c r="AU1" s="12" t="s">
        <v>86</v>
      </c>
      <c r="AV1" s="12" t="s">
        <v>87</v>
      </c>
      <c r="AW1" s="13" t="s">
        <v>88</v>
      </c>
      <c r="AX1" s="12" t="s">
        <v>89</v>
      </c>
      <c r="AY1" s="12" t="s">
        <v>90</v>
      </c>
      <c r="AZ1" s="12" t="s">
        <v>91</v>
      </c>
      <c r="BA1" s="12" t="s">
        <v>92</v>
      </c>
      <c r="BB1" s="12" t="s">
        <v>93</v>
      </c>
      <c r="BC1" s="12" t="s">
        <v>94</v>
      </c>
      <c r="BD1" s="12" t="s">
        <v>95</v>
      </c>
      <c r="BE1" s="12" t="s">
        <v>96</v>
      </c>
      <c r="BF1" s="12" t="s">
        <v>97</v>
      </c>
      <c r="BG1" s="12" t="s">
        <v>98</v>
      </c>
      <c r="BH1" s="12" t="s">
        <v>99</v>
      </c>
      <c r="BI1" s="12" t="s">
        <v>100</v>
      </c>
      <c r="BJ1" s="12" t="s">
        <v>101</v>
      </c>
      <c r="BK1" s="12" t="s">
        <v>102</v>
      </c>
      <c r="BL1" s="12" t="s">
        <v>103</v>
      </c>
      <c r="BM1" s="12" t="s">
        <v>104</v>
      </c>
      <c r="BN1" s="12" t="s">
        <v>105</v>
      </c>
      <c r="BO1" s="12" t="s">
        <v>106</v>
      </c>
      <c r="BP1" s="12" t="s">
        <v>107</v>
      </c>
      <c r="BQ1" s="12" t="s">
        <v>108</v>
      </c>
      <c r="BR1" s="12" t="s">
        <v>109</v>
      </c>
      <c r="BS1" s="12" t="s">
        <v>110</v>
      </c>
      <c r="BT1" s="12" t="s">
        <v>111</v>
      </c>
      <c r="BU1" s="12" t="s">
        <v>112</v>
      </c>
      <c r="BV1" s="12" t="s">
        <v>113</v>
      </c>
      <c r="BW1" s="12" t="s">
        <v>114</v>
      </c>
      <c r="BX1" s="42" t="s">
        <v>115</v>
      </c>
      <c r="BY1" s="42" t="s">
        <v>116</v>
      </c>
      <c r="BZ1" s="42" t="s">
        <v>117</v>
      </c>
      <c r="CA1" s="42" t="s">
        <v>118</v>
      </c>
      <c r="CB1" s="42" t="s">
        <v>382</v>
      </c>
      <c r="CC1" s="42" t="s">
        <v>119</v>
      </c>
      <c r="CD1" s="43" t="s">
        <v>120</v>
      </c>
      <c r="CE1" s="43" t="s">
        <v>121</v>
      </c>
      <c r="CF1" s="51" t="s">
        <v>384</v>
      </c>
    </row>
    <row r="2" spans="1:84" x14ac:dyDescent="0.2">
      <c r="A2" s="8" t="s">
        <v>12</v>
      </c>
      <c r="B2" s="4">
        <v>117.67</v>
      </c>
      <c r="C2" s="4">
        <v>362.93</v>
      </c>
      <c r="D2" s="4">
        <v>56.59</v>
      </c>
      <c r="E2" s="4">
        <v>236.05</v>
      </c>
      <c r="F2" s="4">
        <v>67.88</v>
      </c>
      <c r="G2" s="4">
        <v>163.63999999999999</v>
      </c>
      <c r="H2" s="4">
        <v>6400</v>
      </c>
      <c r="I2" s="4">
        <v>1319.79</v>
      </c>
      <c r="J2" s="4">
        <v>315.02999999999997</v>
      </c>
      <c r="K2" s="4">
        <v>1004.76</v>
      </c>
      <c r="L2" s="4">
        <v>1593</v>
      </c>
      <c r="M2" s="4">
        <v>510</v>
      </c>
      <c r="N2" s="4" t="s">
        <v>13</v>
      </c>
      <c r="O2" s="2" t="s">
        <v>123</v>
      </c>
      <c r="P2" s="3" t="s">
        <v>333</v>
      </c>
      <c r="Q2" s="4">
        <v>52</v>
      </c>
      <c r="R2" s="4">
        <v>50.19</v>
      </c>
      <c r="S2" s="4">
        <v>1.32</v>
      </c>
      <c r="T2" s="4">
        <v>2</v>
      </c>
      <c r="U2" s="4" t="s">
        <v>122</v>
      </c>
      <c r="V2" s="4" t="s">
        <v>125</v>
      </c>
      <c r="W2" s="4" t="s">
        <v>342</v>
      </c>
      <c r="X2" s="4" t="s">
        <v>343</v>
      </c>
      <c r="Y2" s="4" t="s">
        <v>344</v>
      </c>
      <c r="Z2" s="4">
        <v>3</v>
      </c>
      <c r="AA2" s="4">
        <v>6420</v>
      </c>
      <c r="AB2" s="4" t="s">
        <v>124</v>
      </c>
      <c r="AC2" s="4">
        <v>561.25</v>
      </c>
      <c r="AD2" s="4" t="s">
        <v>124</v>
      </c>
      <c r="AE2" s="4">
        <v>1671.7</v>
      </c>
      <c r="AF2" s="4" t="s">
        <v>124</v>
      </c>
      <c r="AG2" s="4" t="s">
        <v>124</v>
      </c>
      <c r="AH2" s="4">
        <v>6</v>
      </c>
      <c r="AI2" s="4" t="s">
        <v>124</v>
      </c>
      <c r="AJ2" s="4">
        <v>189.96</v>
      </c>
      <c r="AK2" s="4">
        <v>1</v>
      </c>
      <c r="AL2" s="4">
        <v>0.1</v>
      </c>
      <c r="AM2" s="4">
        <v>0.11</v>
      </c>
      <c r="AN2" s="4">
        <v>507.35</v>
      </c>
      <c r="AO2" s="4">
        <v>1.01</v>
      </c>
      <c r="AP2" s="4" t="s">
        <v>124</v>
      </c>
      <c r="AQ2" s="4">
        <v>300</v>
      </c>
      <c r="AR2" s="4">
        <v>294</v>
      </c>
      <c r="AS2" s="4" t="s">
        <v>124</v>
      </c>
      <c r="AT2" s="4">
        <v>44.5</v>
      </c>
      <c r="AU2" s="4" t="s">
        <v>124</v>
      </c>
      <c r="AV2" s="4">
        <v>1475.2</v>
      </c>
      <c r="AW2" s="4">
        <v>7.9</v>
      </c>
      <c r="AX2" s="4" t="s">
        <v>124</v>
      </c>
      <c r="AY2" s="4">
        <v>2</v>
      </c>
      <c r="AZ2" s="4">
        <v>2</v>
      </c>
      <c r="BA2" s="4">
        <v>367.63</v>
      </c>
      <c r="BB2" s="4" t="s">
        <v>124</v>
      </c>
      <c r="BC2" s="4" t="s">
        <v>124</v>
      </c>
      <c r="BD2" s="4" t="s">
        <v>345</v>
      </c>
      <c r="BE2" s="4" t="s">
        <v>124</v>
      </c>
      <c r="BF2" s="4">
        <v>0.94</v>
      </c>
      <c r="BG2" s="4" t="s">
        <v>124</v>
      </c>
      <c r="BH2" s="4" t="s">
        <v>124</v>
      </c>
      <c r="BI2" s="4">
        <v>4180384</v>
      </c>
      <c r="BJ2" s="4">
        <v>12.2</v>
      </c>
      <c r="BK2" s="4">
        <v>-10.84</v>
      </c>
      <c r="BL2" s="4">
        <v>0.68</v>
      </c>
      <c r="BM2" s="4">
        <v>-49.88</v>
      </c>
      <c r="BN2" s="4">
        <v>-77.13</v>
      </c>
      <c r="BO2" s="4">
        <v>-63.5</v>
      </c>
      <c r="BP2" s="4">
        <v>0</v>
      </c>
      <c r="BQ2" s="4">
        <v>15.42</v>
      </c>
      <c r="BR2" s="4">
        <v>0</v>
      </c>
      <c r="BS2" s="4">
        <v>0.11</v>
      </c>
      <c r="BT2" s="4">
        <v>174.51</v>
      </c>
      <c r="BU2" s="4">
        <v>250.34</v>
      </c>
      <c r="BV2" s="4">
        <v>1470.06</v>
      </c>
      <c r="BW2" s="4">
        <v>1620.88</v>
      </c>
      <c r="BX2" s="4" t="s">
        <v>124</v>
      </c>
      <c r="BY2" s="4">
        <f>AVERAGE(12.7, 22, 23)</f>
        <v>19.233333333333334</v>
      </c>
      <c r="BZ2" s="4" t="s">
        <v>124</v>
      </c>
      <c r="CA2" s="4" t="s">
        <v>124</v>
      </c>
      <c r="CB2" s="4" t="str">
        <f>IF(ISNUMBER(SEARCH("NA",CA2)),"NA",CA2/100)</f>
        <v>NA</v>
      </c>
      <c r="CC2" s="4">
        <f>AVERAGE(6.2, 11,15)</f>
        <v>10.733333333333334</v>
      </c>
      <c r="CD2" s="4">
        <f>IF(ISNUMBER(SEARCH(BZ2,"NA")), AW2, BZ2)</f>
        <v>7.9</v>
      </c>
      <c r="CE2" s="4">
        <f>IF(ISNUMBER(SEARCH(CB2,"NA")), AL2, CB2)</f>
        <v>0.1</v>
      </c>
      <c r="CF2" s="47">
        <f>CD2/CE2</f>
        <v>79</v>
      </c>
    </row>
    <row r="3" spans="1:84" x14ac:dyDescent="0.2">
      <c r="A3" s="4" t="s">
        <v>14</v>
      </c>
      <c r="B3" s="4">
        <v>27.43</v>
      </c>
      <c r="C3" s="4">
        <v>150.16</v>
      </c>
      <c r="D3" s="4">
        <v>20.83</v>
      </c>
      <c r="E3" s="4">
        <v>97.14</v>
      </c>
      <c r="F3" s="4">
        <v>33.520000000000003</v>
      </c>
      <c r="G3" s="4">
        <v>76.23</v>
      </c>
      <c r="H3" s="4">
        <v>830</v>
      </c>
      <c r="I3" s="4">
        <v>538.79999999999995</v>
      </c>
      <c r="J3" s="4">
        <v>133.49</v>
      </c>
      <c r="K3" s="4">
        <v>405.31</v>
      </c>
      <c r="L3" s="4">
        <v>686</v>
      </c>
      <c r="M3" s="4">
        <v>243</v>
      </c>
      <c r="N3" s="4" t="s">
        <v>15</v>
      </c>
      <c r="O3" s="5" t="s">
        <v>14</v>
      </c>
      <c r="P3" s="6" t="s">
        <v>128</v>
      </c>
      <c r="Q3" s="4">
        <v>17.100000000000001</v>
      </c>
      <c r="R3" s="4">
        <v>16.510000000000002</v>
      </c>
      <c r="S3" s="4">
        <v>0.54</v>
      </c>
      <c r="T3" s="4">
        <v>2</v>
      </c>
      <c r="U3" s="4" t="s">
        <v>122</v>
      </c>
      <c r="V3" s="4" t="s">
        <v>125</v>
      </c>
      <c r="W3" s="4" t="s">
        <v>126</v>
      </c>
      <c r="X3" s="4" t="s">
        <v>127</v>
      </c>
      <c r="Y3" s="4" t="s">
        <v>128</v>
      </c>
      <c r="Z3" s="4">
        <v>1</v>
      </c>
      <c r="AA3" s="4">
        <v>912</v>
      </c>
      <c r="AB3" s="4" t="s">
        <v>124</v>
      </c>
      <c r="AC3" s="4">
        <v>358</v>
      </c>
      <c r="AD3" s="4" t="s">
        <v>124</v>
      </c>
      <c r="AE3" s="4">
        <v>883.3</v>
      </c>
      <c r="AF3" s="4">
        <v>459.45</v>
      </c>
      <c r="AG3" s="4">
        <v>972.5</v>
      </c>
      <c r="AH3" s="4">
        <v>3</v>
      </c>
      <c r="AI3" s="4" t="s">
        <v>124</v>
      </c>
      <c r="AJ3" s="4">
        <v>133.51</v>
      </c>
      <c r="AK3" s="4">
        <v>1</v>
      </c>
      <c r="AL3" s="4">
        <v>0.02</v>
      </c>
      <c r="AM3" s="4">
        <v>0.03</v>
      </c>
      <c r="AN3" s="4">
        <v>271</v>
      </c>
      <c r="AO3" s="4">
        <v>1</v>
      </c>
      <c r="AP3" s="4" t="s">
        <v>124</v>
      </c>
      <c r="AQ3" s="4">
        <v>303.60000000000002</v>
      </c>
      <c r="AR3" s="4">
        <v>96.5</v>
      </c>
      <c r="AS3" s="4" t="s">
        <v>124</v>
      </c>
      <c r="AT3" s="4">
        <v>24.5</v>
      </c>
      <c r="AU3" s="4" t="s">
        <v>124</v>
      </c>
      <c r="AV3" s="4">
        <v>638.74</v>
      </c>
      <c r="AW3" s="4">
        <v>3.15</v>
      </c>
      <c r="AX3" s="4" t="s">
        <v>124</v>
      </c>
      <c r="AY3" s="4">
        <v>2</v>
      </c>
      <c r="AZ3" s="4">
        <v>2</v>
      </c>
      <c r="BA3" s="4">
        <v>83</v>
      </c>
      <c r="BB3" s="4">
        <v>256</v>
      </c>
      <c r="BC3" s="4" t="s">
        <v>124</v>
      </c>
      <c r="BD3" s="4" t="s">
        <v>129</v>
      </c>
      <c r="BE3" s="4" t="s">
        <v>124</v>
      </c>
      <c r="BF3" s="4">
        <v>1.3</v>
      </c>
      <c r="BG3" s="4" t="s">
        <v>124</v>
      </c>
      <c r="BH3" s="4" t="s">
        <v>124</v>
      </c>
      <c r="BI3" s="4">
        <v>590942</v>
      </c>
      <c r="BJ3" s="4">
        <v>9.06</v>
      </c>
      <c r="BK3" s="4">
        <v>-0.76</v>
      </c>
      <c r="BL3" s="4">
        <v>4.1500000000000004</v>
      </c>
      <c r="BM3" s="4">
        <v>-60.35</v>
      </c>
      <c r="BN3" s="4">
        <v>-70.900000000000006</v>
      </c>
      <c r="BO3" s="4">
        <v>-65.62</v>
      </c>
      <c r="BP3" s="4">
        <v>0</v>
      </c>
      <c r="BQ3" s="4">
        <v>1.85</v>
      </c>
      <c r="BR3" s="4">
        <v>0</v>
      </c>
      <c r="BS3" s="4">
        <v>0.2</v>
      </c>
      <c r="BT3" s="4">
        <v>178.6</v>
      </c>
      <c r="BU3" s="4">
        <v>247.71</v>
      </c>
      <c r="BV3" s="4">
        <v>1488.11</v>
      </c>
      <c r="BW3" s="4">
        <v>1676.33</v>
      </c>
      <c r="BX3" s="4" t="s">
        <v>124</v>
      </c>
      <c r="BY3" s="4" t="s">
        <v>124</v>
      </c>
      <c r="BZ3" s="4" t="s">
        <v>124</v>
      </c>
      <c r="CA3" s="4" t="s">
        <v>124</v>
      </c>
      <c r="CB3" s="4" t="str">
        <f t="shared" ref="CB3:CB45" si="0">IF(ISNUMBER(SEARCH("NA",CA3)),"NA",CA3/100)</f>
        <v>NA</v>
      </c>
      <c r="CC3" s="4" t="s">
        <v>124</v>
      </c>
      <c r="CD3" s="4">
        <f t="shared" ref="CD3:CD10" si="1">IF(ISNUMBER(SEARCH(BZ3,"NA")), AW3, BZ3)</f>
        <v>3.15</v>
      </c>
      <c r="CE3" s="4">
        <f t="shared" ref="CE3:CE45" si="2">IF(ISNUMBER(SEARCH(CB3,"NA")), AL3, CB3)</f>
        <v>0.02</v>
      </c>
      <c r="CF3" s="47">
        <f t="shared" ref="CF3:CF45" si="3">CD3/CE3</f>
        <v>157.5</v>
      </c>
    </row>
    <row r="4" spans="1:84" x14ac:dyDescent="0.2">
      <c r="A4" s="4" t="s">
        <v>16</v>
      </c>
      <c r="B4" s="4">
        <v>72.63</v>
      </c>
      <c r="C4" s="4">
        <v>388.3</v>
      </c>
      <c r="D4" s="4">
        <v>51.79</v>
      </c>
      <c r="E4" s="4">
        <v>263.35000000000002</v>
      </c>
      <c r="F4" s="4">
        <v>69.290000000000006</v>
      </c>
      <c r="G4" s="4">
        <v>150.28</v>
      </c>
      <c r="H4" s="4">
        <v>8000</v>
      </c>
      <c r="I4" s="4">
        <v>1366.01</v>
      </c>
      <c r="J4" s="4">
        <v>370.37</v>
      </c>
      <c r="K4" s="4">
        <v>995.64</v>
      </c>
      <c r="L4" s="4">
        <v>1834</v>
      </c>
      <c r="M4" s="4">
        <v>732</v>
      </c>
      <c r="N4" s="4" t="s">
        <v>13</v>
      </c>
      <c r="O4" s="5" t="s">
        <v>16</v>
      </c>
      <c r="P4" s="6" t="s">
        <v>132</v>
      </c>
      <c r="Q4" s="4">
        <v>108</v>
      </c>
      <c r="R4" s="4">
        <v>104.25</v>
      </c>
      <c r="S4" s="4">
        <v>1.37</v>
      </c>
      <c r="T4" s="4">
        <v>2</v>
      </c>
      <c r="U4" s="4" t="s">
        <v>122</v>
      </c>
      <c r="V4" s="4" t="s">
        <v>125</v>
      </c>
      <c r="W4" s="4" t="s">
        <v>130</v>
      </c>
      <c r="X4" s="4" t="s">
        <v>131</v>
      </c>
      <c r="Y4" s="4" t="s">
        <v>132</v>
      </c>
      <c r="Z4" s="4">
        <v>3</v>
      </c>
      <c r="AA4" s="4">
        <v>7610</v>
      </c>
      <c r="AB4" s="4" t="s">
        <v>124</v>
      </c>
      <c r="AC4" s="4">
        <v>433.73</v>
      </c>
      <c r="AD4" s="4" t="s">
        <v>124</v>
      </c>
      <c r="AE4" s="4">
        <v>2080.5</v>
      </c>
      <c r="AF4" s="4" t="s">
        <v>124</v>
      </c>
      <c r="AG4" s="4" t="s">
        <v>124</v>
      </c>
      <c r="AH4" s="4">
        <v>2</v>
      </c>
      <c r="AI4" s="4" t="s">
        <v>124</v>
      </c>
      <c r="AJ4" s="4">
        <v>226.52</v>
      </c>
      <c r="AK4" s="4">
        <v>1</v>
      </c>
      <c r="AL4" s="4">
        <v>0.74</v>
      </c>
      <c r="AM4" s="4">
        <v>0.75</v>
      </c>
      <c r="AN4" s="4">
        <v>1048.1500000000001</v>
      </c>
      <c r="AO4" s="4">
        <v>1</v>
      </c>
      <c r="AP4" s="4" t="s">
        <v>124</v>
      </c>
      <c r="AQ4" s="4">
        <v>327.60000000000002</v>
      </c>
      <c r="AR4" s="4">
        <v>425</v>
      </c>
      <c r="AS4" s="4" t="s">
        <v>124</v>
      </c>
      <c r="AT4" s="4">
        <v>19.2</v>
      </c>
      <c r="AU4" s="4" t="s">
        <v>124</v>
      </c>
      <c r="AV4" s="4">
        <v>1824.99</v>
      </c>
      <c r="AW4" s="4">
        <v>42</v>
      </c>
      <c r="AX4" s="4" t="s">
        <v>124</v>
      </c>
      <c r="AY4" s="4">
        <v>2</v>
      </c>
      <c r="AZ4" s="4">
        <v>1</v>
      </c>
      <c r="BA4" s="4">
        <v>811.04</v>
      </c>
      <c r="BB4" s="4">
        <v>3490</v>
      </c>
      <c r="BC4" s="4" t="s">
        <v>124</v>
      </c>
      <c r="BD4" s="4" t="s">
        <v>133</v>
      </c>
      <c r="BE4" s="4" t="s">
        <v>124</v>
      </c>
      <c r="BF4" s="4">
        <v>0.65</v>
      </c>
      <c r="BG4" s="4" t="s">
        <v>124</v>
      </c>
      <c r="BH4" s="4" t="s">
        <v>124</v>
      </c>
      <c r="BI4" s="4">
        <v>806609</v>
      </c>
      <c r="BJ4" s="4">
        <v>24.09</v>
      </c>
      <c r="BK4" s="4">
        <v>0.67</v>
      </c>
      <c r="BL4" s="4">
        <v>12.38</v>
      </c>
      <c r="BM4" s="4">
        <v>-70.23</v>
      </c>
      <c r="BN4" s="4">
        <v>-98.85</v>
      </c>
      <c r="BO4" s="4">
        <v>-84.54</v>
      </c>
      <c r="BP4" s="4">
        <v>2</v>
      </c>
      <c r="BQ4" s="4">
        <v>55.14</v>
      </c>
      <c r="BR4" s="4">
        <v>4</v>
      </c>
      <c r="BS4" s="4">
        <v>0.14000000000000001</v>
      </c>
      <c r="BT4" s="4">
        <v>153.93</v>
      </c>
      <c r="BU4" s="4">
        <v>243.16</v>
      </c>
      <c r="BV4" s="4">
        <v>1344.08</v>
      </c>
      <c r="BW4" s="4">
        <v>1624.94</v>
      </c>
      <c r="BX4" s="4">
        <f>AVERAGE(2054.69, 1297, 3327, 2573, 2226, 1900)</f>
        <v>2229.6150000000002</v>
      </c>
      <c r="BY4" s="4">
        <f>AVERAGE(25, 33.5, 33.9, 13.8)</f>
        <v>26.55</v>
      </c>
      <c r="BZ4" s="4">
        <f>AVERAGE(25, 34, 22, 42, 80, 28.5)</f>
        <v>38.583333333333336</v>
      </c>
      <c r="CA4" s="4">
        <f>AVERAGE(300, 962.5, 250, 44, 84)</f>
        <v>328.1</v>
      </c>
      <c r="CB4" s="4">
        <f t="shared" si="0"/>
        <v>3.2810000000000001</v>
      </c>
      <c r="CC4" s="4">
        <f>AVERAGE(21.1, 32.6, 31.5, 73.3)</f>
        <v>39.625</v>
      </c>
      <c r="CD4" s="4">
        <f t="shared" si="1"/>
        <v>38.583333333333336</v>
      </c>
      <c r="CE4" s="4">
        <f t="shared" si="2"/>
        <v>3.2810000000000001</v>
      </c>
      <c r="CF4" s="47">
        <f t="shared" si="3"/>
        <v>11.759626130244845</v>
      </c>
    </row>
    <row r="5" spans="1:84" x14ac:dyDescent="0.2">
      <c r="A5" s="4" t="s">
        <v>17</v>
      </c>
      <c r="B5" s="4">
        <v>48.13</v>
      </c>
      <c r="C5" s="4">
        <v>178.89</v>
      </c>
      <c r="D5" s="4">
        <v>15.29</v>
      </c>
      <c r="E5" s="4">
        <v>112.49</v>
      </c>
      <c r="F5" s="4">
        <v>24.93</v>
      </c>
      <c r="G5" s="4">
        <v>78.819999999999993</v>
      </c>
      <c r="H5" s="4">
        <v>1285</v>
      </c>
      <c r="I5" s="4">
        <v>526.25</v>
      </c>
      <c r="J5" s="4">
        <v>67.7</v>
      </c>
      <c r="K5" s="4">
        <v>458.55</v>
      </c>
      <c r="L5" s="4">
        <v>553</v>
      </c>
      <c r="M5" s="4">
        <v>241</v>
      </c>
      <c r="N5" s="4" t="s">
        <v>15</v>
      </c>
      <c r="O5" s="2" t="s">
        <v>17</v>
      </c>
      <c r="P5" s="6" t="s">
        <v>137</v>
      </c>
      <c r="Q5" s="4">
        <v>10.49</v>
      </c>
      <c r="R5" s="4">
        <v>10.130000000000001</v>
      </c>
      <c r="S5" s="4">
        <v>0.53</v>
      </c>
      <c r="T5" s="4">
        <v>2</v>
      </c>
      <c r="U5" s="4" t="s">
        <v>122</v>
      </c>
      <c r="V5" s="4" t="s">
        <v>134</v>
      </c>
      <c r="W5" s="4" t="s">
        <v>135</v>
      </c>
      <c r="X5" s="4" t="s">
        <v>136</v>
      </c>
      <c r="Y5" s="4" t="s">
        <v>137</v>
      </c>
      <c r="Z5" s="4">
        <v>2</v>
      </c>
      <c r="AA5" s="4">
        <v>1020</v>
      </c>
      <c r="AB5" s="4" t="s">
        <v>124</v>
      </c>
      <c r="AC5" s="4">
        <v>274.99</v>
      </c>
      <c r="AD5" s="4" t="s">
        <v>124</v>
      </c>
      <c r="AE5" s="4">
        <v>941.7</v>
      </c>
      <c r="AF5" s="4" t="s">
        <v>124</v>
      </c>
      <c r="AG5" s="4" t="s">
        <v>124</v>
      </c>
      <c r="AH5" s="4">
        <v>3</v>
      </c>
      <c r="AI5" s="4" t="s">
        <v>124</v>
      </c>
      <c r="AJ5" s="4">
        <v>136.19</v>
      </c>
      <c r="AK5" s="4">
        <v>2</v>
      </c>
      <c r="AL5" s="4">
        <v>0.01</v>
      </c>
      <c r="AM5" s="4">
        <v>0.01</v>
      </c>
      <c r="AN5" s="4">
        <v>365</v>
      </c>
      <c r="AO5" s="4">
        <v>1.01</v>
      </c>
      <c r="AP5" s="4">
        <v>1</v>
      </c>
      <c r="AQ5" s="4" t="s">
        <v>124</v>
      </c>
      <c r="AR5" s="4" t="s">
        <v>124</v>
      </c>
      <c r="AS5" s="4">
        <v>90</v>
      </c>
      <c r="AT5" s="4">
        <v>72</v>
      </c>
      <c r="AU5" s="4" t="s">
        <v>124</v>
      </c>
      <c r="AV5" s="4" t="s">
        <v>124</v>
      </c>
      <c r="AW5" s="4">
        <v>2.25</v>
      </c>
      <c r="AX5" s="4">
        <v>2</v>
      </c>
      <c r="AY5" s="4">
        <v>2</v>
      </c>
      <c r="AZ5" s="4">
        <v>1</v>
      </c>
      <c r="BA5" s="4">
        <v>148.18</v>
      </c>
      <c r="BB5" s="4" t="s">
        <v>124</v>
      </c>
      <c r="BC5" s="4" t="s">
        <v>124</v>
      </c>
      <c r="BD5" s="4" t="s">
        <v>138</v>
      </c>
      <c r="BE5" s="4" t="s">
        <v>124</v>
      </c>
      <c r="BF5" s="4" t="s">
        <v>124</v>
      </c>
      <c r="BG5" s="4">
        <v>33.6</v>
      </c>
      <c r="BH5" s="4" t="s">
        <v>124</v>
      </c>
      <c r="BI5" s="4">
        <v>95148</v>
      </c>
      <c r="BJ5" s="4">
        <v>-13.77</v>
      </c>
      <c r="BK5" s="4">
        <v>-25.17</v>
      </c>
      <c r="BL5" s="4">
        <v>-19.47</v>
      </c>
      <c r="BM5" s="4">
        <v>50.45</v>
      </c>
      <c r="BN5" s="4">
        <v>44.63</v>
      </c>
      <c r="BO5" s="4">
        <v>47.54</v>
      </c>
      <c r="BP5" s="4">
        <v>2</v>
      </c>
      <c r="BQ5" s="4">
        <v>34.340000000000003</v>
      </c>
      <c r="BR5" s="4">
        <v>4</v>
      </c>
      <c r="BS5" s="4">
        <v>0.18</v>
      </c>
      <c r="BT5" s="4">
        <v>165.9</v>
      </c>
      <c r="BU5" s="4">
        <v>206.05</v>
      </c>
      <c r="BV5" s="4">
        <v>1272.8800000000001</v>
      </c>
      <c r="BW5" s="4">
        <v>1597.82</v>
      </c>
      <c r="BX5" s="4">
        <v>400</v>
      </c>
      <c r="BY5" s="4" t="s">
        <v>124</v>
      </c>
      <c r="BZ5" s="4">
        <f>AVERAGE(1,4,2,5)</f>
        <v>3</v>
      </c>
      <c r="CA5" s="4">
        <v>1.5</v>
      </c>
      <c r="CB5" s="4">
        <f t="shared" si="0"/>
        <v>1.4999999999999999E-2</v>
      </c>
      <c r="CC5" s="4" t="s">
        <v>124</v>
      </c>
      <c r="CD5" s="4">
        <f t="shared" si="1"/>
        <v>3</v>
      </c>
      <c r="CE5" s="4">
        <f t="shared" si="2"/>
        <v>1.4999999999999999E-2</v>
      </c>
      <c r="CF5" s="47">
        <f t="shared" si="3"/>
        <v>200</v>
      </c>
    </row>
    <row r="6" spans="1:84" x14ac:dyDescent="0.2">
      <c r="A6" s="4" t="s">
        <v>18</v>
      </c>
      <c r="B6" s="4">
        <v>41.61</v>
      </c>
      <c r="C6" s="4">
        <v>175.41</v>
      </c>
      <c r="D6" s="4">
        <v>9.1300000000000008</v>
      </c>
      <c r="E6" s="4">
        <v>90.39</v>
      </c>
      <c r="F6" s="4">
        <v>30.86</v>
      </c>
      <c r="G6" s="4">
        <v>72.03</v>
      </c>
      <c r="H6" s="4">
        <v>860</v>
      </c>
      <c r="I6" s="4">
        <v>475.58</v>
      </c>
      <c r="J6" s="4">
        <v>56.15</v>
      </c>
      <c r="K6" s="4">
        <v>419.43</v>
      </c>
      <c r="L6" s="4">
        <v>508</v>
      </c>
      <c r="M6" s="4">
        <v>222</v>
      </c>
      <c r="N6" s="4" t="s">
        <v>15</v>
      </c>
      <c r="O6" s="2" t="s">
        <v>18</v>
      </c>
      <c r="P6" s="6" t="s">
        <v>332</v>
      </c>
      <c r="Q6" s="4">
        <v>9.67</v>
      </c>
      <c r="R6" s="4">
        <v>9.33</v>
      </c>
      <c r="S6" s="4">
        <v>0.48</v>
      </c>
      <c r="T6" s="4">
        <v>2</v>
      </c>
      <c r="U6" s="4" t="s">
        <v>122</v>
      </c>
      <c r="V6" s="4" t="s">
        <v>134</v>
      </c>
      <c r="W6" s="4" t="s">
        <v>135</v>
      </c>
      <c r="X6" s="4" t="s">
        <v>124</v>
      </c>
      <c r="Y6" s="4" t="s">
        <v>124</v>
      </c>
      <c r="Z6" s="4" t="s">
        <v>124</v>
      </c>
      <c r="AA6" s="44">
        <v>800</v>
      </c>
      <c r="AB6" s="4" t="s">
        <v>124</v>
      </c>
      <c r="AC6" s="4" t="s">
        <v>124</v>
      </c>
      <c r="AD6" s="4" t="s">
        <v>124</v>
      </c>
      <c r="AE6" s="4" t="s">
        <v>124</v>
      </c>
      <c r="AF6" s="4" t="s">
        <v>124</v>
      </c>
      <c r="AG6" s="4" t="s">
        <v>124</v>
      </c>
      <c r="AH6" s="3" t="s">
        <v>124</v>
      </c>
      <c r="AI6" s="4" t="s">
        <v>124</v>
      </c>
      <c r="AJ6" s="4" t="s">
        <v>124</v>
      </c>
      <c r="AK6" s="4" t="s">
        <v>124</v>
      </c>
      <c r="AL6" s="4" t="s">
        <v>124</v>
      </c>
      <c r="AM6" s="4" t="s">
        <v>124</v>
      </c>
      <c r="AN6" s="4" t="s">
        <v>124</v>
      </c>
      <c r="AO6" s="4" t="s">
        <v>124</v>
      </c>
      <c r="AP6" s="4" t="s">
        <v>124</v>
      </c>
      <c r="AQ6" s="4" t="s">
        <v>124</v>
      </c>
      <c r="AR6" s="4" t="s">
        <v>124</v>
      </c>
      <c r="AS6" s="4" t="s">
        <v>124</v>
      </c>
      <c r="AT6" s="3">
        <f>CD6/CE6</f>
        <v>291.97080291970804</v>
      </c>
      <c r="AU6" s="4" t="s">
        <v>124</v>
      </c>
      <c r="AV6" s="4" t="s">
        <v>124</v>
      </c>
      <c r="AW6" s="4" t="s">
        <v>124</v>
      </c>
      <c r="AX6" s="4" t="s">
        <v>124</v>
      </c>
      <c r="AY6" s="4" t="s">
        <v>124</v>
      </c>
      <c r="AZ6" s="4" t="s">
        <v>124</v>
      </c>
      <c r="BA6" s="4" t="s">
        <v>124</v>
      </c>
      <c r="BB6" s="4" t="s">
        <v>124</v>
      </c>
      <c r="BC6" s="4" t="s">
        <v>124</v>
      </c>
      <c r="BD6" s="4" t="s">
        <v>124</v>
      </c>
      <c r="BE6" s="4" t="s">
        <v>124</v>
      </c>
      <c r="BF6" s="4" t="s">
        <v>124</v>
      </c>
      <c r="BG6" s="4" t="s">
        <v>124</v>
      </c>
      <c r="BH6" s="4" t="s">
        <v>124</v>
      </c>
      <c r="BI6" s="4" t="s">
        <v>124</v>
      </c>
      <c r="BJ6" s="4" t="s">
        <v>124</v>
      </c>
      <c r="BK6" s="4" t="s">
        <v>124</v>
      </c>
      <c r="BL6" s="4" t="s">
        <v>124</v>
      </c>
      <c r="BM6" s="4" t="s">
        <v>124</v>
      </c>
      <c r="BN6" s="4" t="s">
        <v>124</v>
      </c>
      <c r="BO6" s="4" t="s">
        <v>124</v>
      </c>
      <c r="BP6" s="4" t="s">
        <v>124</v>
      </c>
      <c r="BQ6" s="4" t="s">
        <v>124</v>
      </c>
      <c r="BR6" s="4" t="s">
        <v>124</v>
      </c>
      <c r="BS6" s="4" t="s">
        <v>124</v>
      </c>
      <c r="BT6" s="4" t="s">
        <v>124</v>
      </c>
      <c r="BU6" s="4" t="s">
        <v>124</v>
      </c>
      <c r="BV6" s="4" t="s">
        <v>124</v>
      </c>
      <c r="BW6" s="4" t="s">
        <v>124</v>
      </c>
      <c r="BX6" s="4">
        <v>740</v>
      </c>
      <c r="BY6" s="4" t="s">
        <v>124</v>
      </c>
      <c r="BZ6" s="4">
        <v>2</v>
      </c>
      <c r="CA6" s="4">
        <f>AVERAGE(0.95, 0.42)</f>
        <v>0.68499999999999994</v>
      </c>
      <c r="CB6" s="4">
        <f t="shared" si="0"/>
        <v>6.8499999999999993E-3</v>
      </c>
      <c r="CC6" s="4" t="s">
        <v>124</v>
      </c>
      <c r="CD6" s="4">
        <f t="shared" si="1"/>
        <v>2</v>
      </c>
      <c r="CE6" s="4">
        <f t="shared" si="2"/>
        <v>6.8499999999999993E-3</v>
      </c>
      <c r="CF6" s="47">
        <f t="shared" si="3"/>
        <v>291.97080291970804</v>
      </c>
    </row>
    <row r="7" spans="1:84" x14ac:dyDescent="0.2">
      <c r="A7" s="4" t="s">
        <v>19</v>
      </c>
      <c r="B7" s="4">
        <v>42.71</v>
      </c>
      <c r="C7" s="4">
        <v>174.88</v>
      </c>
      <c r="D7" s="4">
        <v>22.9</v>
      </c>
      <c r="E7" s="4">
        <v>129.11000000000001</v>
      </c>
      <c r="F7" s="4">
        <v>37.33</v>
      </c>
      <c r="G7" s="4">
        <v>79.44</v>
      </c>
      <c r="H7" s="4">
        <v>900</v>
      </c>
      <c r="I7" s="4">
        <v>588.29</v>
      </c>
      <c r="J7" s="4">
        <v>101.92</v>
      </c>
      <c r="K7" s="4">
        <v>486.37</v>
      </c>
      <c r="L7" s="4">
        <v>787</v>
      </c>
      <c r="M7" s="4">
        <v>234</v>
      </c>
      <c r="N7" s="4" t="s">
        <v>13</v>
      </c>
      <c r="O7" s="2" t="s">
        <v>19</v>
      </c>
      <c r="P7" s="6" t="s">
        <v>141</v>
      </c>
      <c r="Q7" s="4">
        <v>19</v>
      </c>
      <c r="R7" s="4">
        <v>18.34</v>
      </c>
      <c r="S7" s="4">
        <v>0.59</v>
      </c>
      <c r="T7" s="4">
        <v>2</v>
      </c>
      <c r="U7" s="4" t="s">
        <v>122</v>
      </c>
      <c r="V7" s="4" t="s">
        <v>125</v>
      </c>
      <c r="W7" s="4" t="s">
        <v>139</v>
      </c>
      <c r="X7" s="4" t="s">
        <v>140</v>
      </c>
      <c r="Y7" s="4" t="s">
        <v>141</v>
      </c>
      <c r="Z7" s="4">
        <v>3</v>
      </c>
      <c r="AA7" s="4">
        <v>965</v>
      </c>
      <c r="AB7" s="4" t="s">
        <v>124</v>
      </c>
      <c r="AC7" s="4">
        <v>358.65</v>
      </c>
      <c r="AD7" s="4" t="s">
        <v>124</v>
      </c>
      <c r="AE7" s="4">
        <v>1095</v>
      </c>
      <c r="AF7" s="4" t="s">
        <v>124</v>
      </c>
      <c r="AG7" s="4" t="s">
        <v>124</v>
      </c>
      <c r="AH7" s="4">
        <v>3</v>
      </c>
      <c r="AI7" s="4" t="s">
        <v>124</v>
      </c>
      <c r="AJ7" s="4">
        <v>163.99</v>
      </c>
      <c r="AK7" s="4">
        <v>1</v>
      </c>
      <c r="AL7" s="4">
        <v>0.02</v>
      </c>
      <c r="AM7" s="4">
        <v>0.02</v>
      </c>
      <c r="AN7" s="4">
        <v>365</v>
      </c>
      <c r="AO7" s="4">
        <v>1.02</v>
      </c>
      <c r="AP7" s="4" t="s">
        <v>124</v>
      </c>
      <c r="AQ7" s="4">
        <v>303.60000000000002</v>
      </c>
      <c r="AR7" s="4">
        <v>74.400000000000006</v>
      </c>
      <c r="AS7" s="4">
        <v>125</v>
      </c>
      <c r="AT7" s="4">
        <v>18.399999999999999</v>
      </c>
      <c r="AU7" s="4" t="s">
        <v>124</v>
      </c>
      <c r="AV7" s="4">
        <v>1095</v>
      </c>
      <c r="AW7" s="4">
        <v>2.95</v>
      </c>
      <c r="AX7" s="4" t="s">
        <v>124</v>
      </c>
      <c r="AY7" s="4">
        <v>2</v>
      </c>
      <c r="AZ7" s="4">
        <v>2</v>
      </c>
      <c r="BA7" s="4">
        <v>58.47</v>
      </c>
      <c r="BB7" s="4" t="s">
        <v>124</v>
      </c>
      <c r="BC7" s="4" t="s">
        <v>124</v>
      </c>
      <c r="BD7" s="4" t="s">
        <v>142</v>
      </c>
      <c r="BE7" s="4" t="s">
        <v>124</v>
      </c>
      <c r="BF7" s="4">
        <v>1.1100000000000001</v>
      </c>
      <c r="BG7" s="4" t="s">
        <v>124</v>
      </c>
      <c r="BH7" s="4" t="s">
        <v>124</v>
      </c>
      <c r="BI7" s="4">
        <v>911443</v>
      </c>
      <c r="BJ7" s="4">
        <v>-1.3</v>
      </c>
      <c r="BK7" s="4">
        <v>-14.1</v>
      </c>
      <c r="BL7" s="4">
        <v>-7.7</v>
      </c>
      <c r="BM7" s="4">
        <v>-48.19</v>
      </c>
      <c r="BN7" s="4">
        <v>-58.29</v>
      </c>
      <c r="BO7" s="4">
        <v>-53.24</v>
      </c>
      <c r="BP7" s="4">
        <v>0</v>
      </c>
      <c r="BQ7" s="4">
        <v>2.4</v>
      </c>
      <c r="BR7" s="4">
        <v>0</v>
      </c>
      <c r="BS7" s="4">
        <v>0.13</v>
      </c>
      <c r="BT7" s="4">
        <v>174.03</v>
      </c>
      <c r="BU7" s="4">
        <v>246.08</v>
      </c>
      <c r="BV7" s="4">
        <v>1330.45</v>
      </c>
      <c r="BW7" s="4">
        <v>1530.29</v>
      </c>
      <c r="BX7" s="4" t="s">
        <v>124</v>
      </c>
      <c r="BY7" s="4" t="s">
        <v>124</v>
      </c>
      <c r="BZ7" s="4" t="s">
        <v>124</v>
      </c>
      <c r="CA7" s="4" t="s">
        <v>124</v>
      </c>
      <c r="CB7" s="4" t="str">
        <f t="shared" si="0"/>
        <v>NA</v>
      </c>
      <c r="CC7" s="4" t="s">
        <v>124</v>
      </c>
      <c r="CD7" s="4">
        <f t="shared" si="1"/>
        <v>2.95</v>
      </c>
      <c r="CE7" s="4">
        <f t="shared" si="2"/>
        <v>0.02</v>
      </c>
      <c r="CF7" s="47">
        <f t="shared" si="3"/>
        <v>147.5</v>
      </c>
    </row>
    <row r="8" spans="1:84" x14ac:dyDescent="0.2">
      <c r="A8" s="4" t="s">
        <v>20</v>
      </c>
      <c r="B8" s="4">
        <v>17.57</v>
      </c>
      <c r="C8" s="4">
        <v>83.53</v>
      </c>
      <c r="D8" s="4">
        <v>7.84</v>
      </c>
      <c r="E8" s="4">
        <v>60.81</v>
      </c>
      <c r="F8" s="4">
        <v>12.08</v>
      </c>
      <c r="G8" s="4">
        <v>49.73</v>
      </c>
      <c r="H8" s="4">
        <v>480</v>
      </c>
      <c r="I8" s="4">
        <v>280.89999999999998</v>
      </c>
      <c r="J8" s="4">
        <v>49.34</v>
      </c>
      <c r="K8" s="4">
        <v>231.56</v>
      </c>
      <c r="L8" s="4">
        <v>460</v>
      </c>
      <c r="M8" s="4">
        <v>138</v>
      </c>
      <c r="N8" s="4" t="s">
        <v>13</v>
      </c>
      <c r="O8" s="5" t="s">
        <v>20</v>
      </c>
      <c r="P8" s="6" t="s">
        <v>146</v>
      </c>
      <c r="Q8" s="4">
        <v>11</v>
      </c>
      <c r="R8" s="4">
        <v>10.61</v>
      </c>
      <c r="S8" s="4">
        <v>0.28000000000000003</v>
      </c>
      <c r="T8" s="4">
        <v>2</v>
      </c>
      <c r="U8" s="4" t="s">
        <v>122</v>
      </c>
      <c r="V8" s="4" t="s">
        <v>143</v>
      </c>
      <c r="W8" s="4" t="s">
        <v>144</v>
      </c>
      <c r="X8" s="4" t="s">
        <v>145</v>
      </c>
      <c r="Y8" s="4" t="s">
        <v>146</v>
      </c>
      <c r="Z8" s="4">
        <v>3</v>
      </c>
      <c r="AA8" s="4">
        <v>558</v>
      </c>
      <c r="AB8" s="4" t="s">
        <v>124</v>
      </c>
      <c r="AC8" s="4">
        <v>280</v>
      </c>
      <c r="AD8" s="4" t="s">
        <v>124</v>
      </c>
      <c r="AE8" s="4">
        <v>491.83</v>
      </c>
      <c r="AF8" s="4" t="s">
        <v>124</v>
      </c>
      <c r="AG8" s="4" t="s">
        <v>124</v>
      </c>
      <c r="AH8" s="4">
        <v>2</v>
      </c>
      <c r="AI8" s="4" t="s">
        <v>124</v>
      </c>
      <c r="AJ8" s="4">
        <v>154</v>
      </c>
      <c r="AK8" s="4">
        <v>1</v>
      </c>
      <c r="AL8" s="4">
        <v>0.32</v>
      </c>
      <c r="AM8" s="4">
        <v>0.31</v>
      </c>
      <c r="AN8" s="4">
        <v>182.5</v>
      </c>
      <c r="AO8" s="4">
        <v>1</v>
      </c>
      <c r="AP8" s="4" t="s">
        <v>124</v>
      </c>
      <c r="AQ8" s="4">
        <v>214.8</v>
      </c>
      <c r="AR8" s="4">
        <v>50.5</v>
      </c>
      <c r="AS8" s="4" t="s">
        <v>124</v>
      </c>
      <c r="AT8" s="4">
        <v>2.09</v>
      </c>
      <c r="AU8" s="4" t="s">
        <v>124</v>
      </c>
      <c r="AV8" s="4">
        <v>350.17</v>
      </c>
      <c r="AW8" s="4">
        <v>6.85</v>
      </c>
      <c r="AX8" s="4" t="s">
        <v>124</v>
      </c>
      <c r="AY8" s="4">
        <v>2</v>
      </c>
      <c r="AZ8" s="4">
        <v>2</v>
      </c>
      <c r="BA8" s="4">
        <v>66.099999999999994</v>
      </c>
      <c r="BB8" s="4">
        <v>120</v>
      </c>
      <c r="BC8" s="4" t="s">
        <v>124</v>
      </c>
      <c r="BD8" s="4" t="s">
        <v>147</v>
      </c>
      <c r="BE8" s="4" t="s">
        <v>124</v>
      </c>
      <c r="BF8" s="4">
        <v>1.59</v>
      </c>
      <c r="BG8" s="4" t="s">
        <v>124</v>
      </c>
      <c r="BH8" s="4" t="s">
        <v>124</v>
      </c>
      <c r="BI8" s="4">
        <v>462922</v>
      </c>
      <c r="BJ8" s="4">
        <v>0.97</v>
      </c>
      <c r="BK8" s="4">
        <v>-11.64</v>
      </c>
      <c r="BL8" s="4">
        <v>-5.33</v>
      </c>
      <c r="BM8" s="4">
        <v>-67.040000000000006</v>
      </c>
      <c r="BN8" s="4">
        <v>-77.150000000000006</v>
      </c>
      <c r="BO8" s="4">
        <v>-72.099999999999994</v>
      </c>
      <c r="BP8" s="4">
        <v>0</v>
      </c>
      <c r="BQ8" s="4">
        <v>3</v>
      </c>
      <c r="BR8" s="4">
        <v>0</v>
      </c>
      <c r="BS8" s="4">
        <v>0.11</v>
      </c>
      <c r="BT8" s="4">
        <v>209.19</v>
      </c>
      <c r="BU8" s="4">
        <v>259.77999999999997</v>
      </c>
      <c r="BV8" s="4">
        <v>1476.2</v>
      </c>
      <c r="BW8" s="4">
        <v>1518.11</v>
      </c>
      <c r="BX8" s="4">
        <v>925</v>
      </c>
      <c r="BY8" s="4">
        <f>AVERAGE(15, 34)</f>
        <v>24.5</v>
      </c>
      <c r="BZ8" s="4">
        <v>6.31</v>
      </c>
      <c r="CA8" s="4">
        <f>AVERAGE(150, 114, 59)</f>
        <v>107.66666666666667</v>
      </c>
      <c r="CB8" s="4">
        <f t="shared" si="0"/>
        <v>1.0766666666666667</v>
      </c>
      <c r="CC8" s="4">
        <f>AVERAGE(17, 28)</f>
        <v>22.5</v>
      </c>
      <c r="CD8" s="4">
        <f t="shared" si="1"/>
        <v>6.31</v>
      </c>
      <c r="CE8" s="4">
        <f t="shared" si="2"/>
        <v>1.0766666666666667</v>
      </c>
      <c r="CF8" s="47">
        <f t="shared" si="3"/>
        <v>5.8606811145510829</v>
      </c>
    </row>
    <row r="9" spans="1:84" x14ac:dyDescent="0.2">
      <c r="A9" s="4" t="s">
        <v>21</v>
      </c>
      <c r="B9" s="4">
        <v>11.48</v>
      </c>
      <c r="C9" s="4">
        <v>73.069999999999993</v>
      </c>
      <c r="D9" s="4">
        <v>7.49</v>
      </c>
      <c r="E9" s="4">
        <v>42.82</v>
      </c>
      <c r="F9" s="4">
        <v>12.29</v>
      </c>
      <c r="G9" s="4">
        <v>33.340000000000003</v>
      </c>
      <c r="H9" s="4">
        <v>280</v>
      </c>
      <c r="I9" s="4">
        <v>221.12</v>
      </c>
      <c r="J9" s="4">
        <v>40.630000000000003</v>
      </c>
      <c r="K9" s="4">
        <v>180.49</v>
      </c>
      <c r="L9" s="4">
        <v>318</v>
      </c>
      <c r="M9" s="4">
        <v>90</v>
      </c>
      <c r="N9" s="4" t="s">
        <v>13</v>
      </c>
      <c r="O9" s="2" t="s">
        <v>21</v>
      </c>
      <c r="P9" s="6" t="s">
        <v>150</v>
      </c>
      <c r="Q9" s="4">
        <v>7.6</v>
      </c>
      <c r="R9" s="4">
        <v>7.34</v>
      </c>
      <c r="S9" s="4">
        <v>0.22</v>
      </c>
      <c r="T9" s="4">
        <v>2</v>
      </c>
      <c r="U9" s="4" t="s">
        <v>122</v>
      </c>
      <c r="V9" s="4" t="s">
        <v>143</v>
      </c>
      <c r="W9" s="4" t="s">
        <v>148</v>
      </c>
      <c r="X9" s="4" t="s">
        <v>149</v>
      </c>
      <c r="Y9" s="4" t="s">
        <v>150</v>
      </c>
      <c r="Z9" s="4">
        <v>3</v>
      </c>
      <c r="AA9" s="4">
        <v>291</v>
      </c>
      <c r="AB9" s="4" t="s">
        <v>124</v>
      </c>
      <c r="AC9" s="4" t="s">
        <v>124</v>
      </c>
      <c r="AD9" s="4" t="s">
        <v>124</v>
      </c>
      <c r="AE9" s="4">
        <v>555.1</v>
      </c>
      <c r="AF9" s="4">
        <v>152</v>
      </c>
      <c r="AG9" s="4">
        <v>190</v>
      </c>
      <c r="AH9" s="4">
        <v>5</v>
      </c>
      <c r="AI9" s="4" t="s">
        <v>124</v>
      </c>
      <c r="AJ9" s="4">
        <v>143.99</v>
      </c>
      <c r="AK9" s="4">
        <v>1</v>
      </c>
      <c r="AL9" s="4">
        <v>0.02</v>
      </c>
      <c r="AM9" s="4" t="s">
        <v>124</v>
      </c>
      <c r="AN9" s="4">
        <v>159.80000000000001</v>
      </c>
      <c r="AO9" s="4">
        <v>2.14</v>
      </c>
      <c r="AP9" s="4" t="s">
        <v>124</v>
      </c>
      <c r="AQ9" s="4">
        <v>201.6</v>
      </c>
      <c r="AR9" s="4">
        <v>27.7</v>
      </c>
      <c r="AS9" s="4" t="s">
        <v>124</v>
      </c>
      <c r="AT9" s="4">
        <v>512</v>
      </c>
      <c r="AU9" s="4" t="s">
        <v>124</v>
      </c>
      <c r="AV9" s="4">
        <v>408.53</v>
      </c>
      <c r="AW9" s="4">
        <v>8.5500000000000007</v>
      </c>
      <c r="AX9" s="4" t="s">
        <v>124</v>
      </c>
      <c r="AY9" s="4">
        <v>2</v>
      </c>
      <c r="AZ9" s="4">
        <v>2</v>
      </c>
      <c r="BA9" s="4">
        <v>60.04</v>
      </c>
      <c r="BB9" s="4">
        <v>96.8</v>
      </c>
      <c r="BC9" s="4" t="s">
        <v>124</v>
      </c>
      <c r="BD9" s="4" t="s">
        <v>151</v>
      </c>
      <c r="BE9" s="4" t="s">
        <v>124</v>
      </c>
      <c r="BF9" s="4">
        <v>1.7</v>
      </c>
      <c r="BG9" s="4" t="s">
        <v>124</v>
      </c>
      <c r="BH9" s="4" t="s">
        <v>124</v>
      </c>
      <c r="BI9" s="4">
        <v>604264</v>
      </c>
      <c r="BJ9" s="4">
        <v>-2.78</v>
      </c>
      <c r="BK9" s="4">
        <v>-10.38</v>
      </c>
      <c r="BL9" s="4">
        <v>-6.58</v>
      </c>
      <c r="BM9" s="4">
        <v>-34.79</v>
      </c>
      <c r="BN9" s="4">
        <v>-45.78</v>
      </c>
      <c r="BO9" s="4">
        <v>-40.28</v>
      </c>
      <c r="BP9" s="4">
        <v>1</v>
      </c>
      <c r="BQ9" s="4">
        <v>61.47</v>
      </c>
      <c r="BR9" s="4">
        <v>2</v>
      </c>
      <c r="BS9" s="4">
        <v>0.06</v>
      </c>
      <c r="BT9" s="4">
        <v>99.39</v>
      </c>
      <c r="BU9" s="4">
        <v>249.92</v>
      </c>
      <c r="BV9" s="4">
        <v>912.68</v>
      </c>
      <c r="BW9" s="4">
        <v>1488.61</v>
      </c>
      <c r="BX9" s="4">
        <f>AVERAGE(1300, 1112)</f>
        <v>1206</v>
      </c>
      <c r="BY9" s="4">
        <v>43</v>
      </c>
      <c r="BZ9" s="4">
        <f>AVERAGE(10.6, 6.4, 8.7, 8.5)</f>
        <v>8.5500000000000007</v>
      </c>
      <c r="CA9" s="4">
        <f>AVERAGE(5, 2.2, 4.6)</f>
        <v>3.9333333333333336</v>
      </c>
      <c r="CB9" s="4">
        <f t="shared" si="0"/>
        <v>3.9333333333333338E-2</v>
      </c>
      <c r="CC9" s="4" t="s">
        <v>124</v>
      </c>
      <c r="CD9" s="4">
        <f t="shared" si="1"/>
        <v>8.5500000000000007</v>
      </c>
      <c r="CE9" s="4">
        <f t="shared" si="2"/>
        <v>3.9333333333333338E-2</v>
      </c>
      <c r="CF9" s="47">
        <f t="shared" si="3"/>
        <v>217.37288135593221</v>
      </c>
    </row>
    <row r="10" spans="1:84" x14ac:dyDescent="0.2">
      <c r="A10" s="4" t="s">
        <v>22</v>
      </c>
      <c r="B10" s="4">
        <v>7.45</v>
      </c>
      <c r="C10" s="4">
        <v>38.83</v>
      </c>
      <c r="D10" s="4">
        <v>4.1100000000000003</v>
      </c>
      <c r="E10" s="4">
        <v>26.95</v>
      </c>
      <c r="F10" s="4">
        <v>4.49</v>
      </c>
      <c r="G10" s="4">
        <v>17.670000000000002</v>
      </c>
      <c r="H10" s="4">
        <v>120</v>
      </c>
      <c r="I10" s="4">
        <v>122.34</v>
      </c>
      <c r="J10" s="4">
        <v>22.84</v>
      </c>
      <c r="K10" s="4">
        <v>99.5</v>
      </c>
      <c r="L10" s="4">
        <v>201</v>
      </c>
      <c r="M10" s="4">
        <v>81.8</v>
      </c>
      <c r="N10" s="4" t="s">
        <v>13</v>
      </c>
      <c r="O10" s="2" t="s">
        <v>22</v>
      </c>
      <c r="P10" s="6" t="s">
        <v>331</v>
      </c>
      <c r="Q10" s="4">
        <v>4.5</v>
      </c>
      <c r="R10" s="4">
        <v>4.34</v>
      </c>
      <c r="S10" s="4">
        <v>0.13</v>
      </c>
      <c r="T10" s="4">
        <v>2</v>
      </c>
      <c r="U10" s="4" t="s">
        <v>122</v>
      </c>
      <c r="V10" s="4" t="s">
        <v>143</v>
      </c>
      <c r="W10" s="4" t="s">
        <v>148</v>
      </c>
      <c r="X10" s="4" t="s">
        <v>152</v>
      </c>
      <c r="Y10" s="4" t="s">
        <v>153</v>
      </c>
      <c r="Z10" s="4">
        <v>3</v>
      </c>
      <c r="AA10" s="4">
        <v>125</v>
      </c>
      <c r="AB10" s="4" t="s">
        <v>124</v>
      </c>
      <c r="AC10" s="4">
        <v>155.05000000000001</v>
      </c>
      <c r="AD10" s="4">
        <v>0</v>
      </c>
      <c r="AE10" s="4">
        <v>840.41</v>
      </c>
      <c r="AF10" s="4">
        <v>113.99</v>
      </c>
      <c r="AG10" s="4">
        <v>116.9</v>
      </c>
      <c r="AH10" s="4">
        <v>3</v>
      </c>
      <c r="AI10" s="4" t="s">
        <v>124</v>
      </c>
      <c r="AJ10" s="4">
        <v>134.53</v>
      </c>
      <c r="AK10" s="4">
        <v>1</v>
      </c>
      <c r="AL10" s="7">
        <v>2.14E-3</v>
      </c>
      <c r="AM10" s="7">
        <v>2.48E-3</v>
      </c>
      <c r="AN10" s="4">
        <v>182.5</v>
      </c>
      <c r="AO10" s="4">
        <v>2</v>
      </c>
      <c r="AP10" s="4" t="s">
        <v>124</v>
      </c>
      <c r="AQ10" s="4">
        <v>181.2</v>
      </c>
      <c r="AR10" s="4">
        <v>14.5</v>
      </c>
      <c r="AS10" s="4" t="s">
        <v>124</v>
      </c>
      <c r="AT10" s="4">
        <v>15.9</v>
      </c>
      <c r="AU10" s="4" t="s">
        <v>124</v>
      </c>
      <c r="AV10" s="4">
        <v>623.54</v>
      </c>
      <c r="AW10" s="4">
        <v>6</v>
      </c>
      <c r="AX10" s="4" t="s">
        <v>124</v>
      </c>
      <c r="AY10" s="4">
        <v>2</v>
      </c>
      <c r="AZ10" s="4">
        <v>2</v>
      </c>
      <c r="BA10" s="4">
        <v>90.14</v>
      </c>
      <c r="BB10" s="4">
        <v>70</v>
      </c>
      <c r="BC10" s="4" t="s">
        <v>124</v>
      </c>
      <c r="BD10" s="4" t="s">
        <v>154</v>
      </c>
      <c r="BE10" s="4" t="s">
        <v>124</v>
      </c>
      <c r="BF10" s="4">
        <v>1.59</v>
      </c>
      <c r="BG10" s="4" t="s">
        <v>124</v>
      </c>
      <c r="BH10" s="4" t="s">
        <v>124</v>
      </c>
      <c r="BI10" s="4">
        <v>1508926</v>
      </c>
      <c r="BJ10" s="4">
        <v>0.59</v>
      </c>
      <c r="BK10" s="4">
        <v>-12.52</v>
      </c>
      <c r="BL10" s="4">
        <v>-5.96</v>
      </c>
      <c r="BM10" s="4">
        <v>-61.36</v>
      </c>
      <c r="BN10" s="4">
        <v>-78.52</v>
      </c>
      <c r="BO10" s="4">
        <v>-69.94</v>
      </c>
      <c r="BP10" s="4">
        <v>0</v>
      </c>
      <c r="BQ10" s="4">
        <v>2.19</v>
      </c>
      <c r="BR10" s="4">
        <v>0</v>
      </c>
      <c r="BS10" s="4">
        <v>0.1</v>
      </c>
      <c r="BT10" s="4">
        <v>208.53</v>
      </c>
      <c r="BU10" s="4">
        <v>256.47000000000003</v>
      </c>
      <c r="BV10" s="4">
        <v>1483.18</v>
      </c>
      <c r="BW10" s="4">
        <v>1526.07</v>
      </c>
      <c r="BX10" s="4">
        <f>AVERAGE(30, 100)</f>
        <v>65</v>
      </c>
      <c r="BY10" s="4">
        <v>36</v>
      </c>
      <c r="BZ10" s="4">
        <f>AVERAGE(5.36, 5.1)</f>
        <v>5.23</v>
      </c>
      <c r="CA10" s="4">
        <v>0.34</v>
      </c>
      <c r="CB10" s="4">
        <f t="shared" si="0"/>
        <v>3.4000000000000002E-3</v>
      </c>
      <c r="CC10" s="4">
        <v>18</v>
      </c>
      <c r="CD10" s="4">
        <f t="shared" si="1"/>
        <v>5.23</v>
      </c>
      <c r="CE10" s="4">
        <f t="shared" si="2"/>
        <v>3.4000000000000002E-3</v>
      </c>
      <c r="CF10" s="47">
        <f t="shared" si="3"/>
        <v>1538.2352941176471</v>
      </c>
    </row>
    <row r="11" spans="1:84" s="1" customFormat="1" x14ac:dyDescent="0.2">
      <c r="A11" s="8" t="s">
        <v>23</v>
      </c>
      <c r="B11" s="4">
        <v>43.85</v>
      </c>
      <c r="C11" s="4">
        <v>210.19</v>
      </c>
      <c r="D11" s="4">
        <v>30.29</v>
      </c>
      <c r="E11" s="4">
        <v>146.01</v>
      </c>
      <c r="F11" s="4">
        <v>35.869999999999997</v>
      </c>
      <c r="G11" s="4">
        <v>110.34</v>
      </c>
      <c r="H11" s="4">
        <v>3100</v>
      </c>
      <c r="I11" s="4">
        <v>890.4</v>
      </c>
      <c r="J11" s="4">
        <v>313.85000000000002</v>
      </c>
      <c r="K11" s="4">
        <v>576.54999999999995</v>
      </c>
      <c r="L11" s="4">
        <v>1738</v>
      </c>
      <c r="M11" s="4">
        <v>390</v>
      </c>
      <c r="N11" s="4" t="s">
        <v>13</v>
      </c>
      <c r="O11" s="9" t="s">
        <v>23</v>
      </c>
      <c r="P11" s="3" t="s">
        <v>155</v>
      </c>
      <c r="Q11" s="4">
        <v>71</v>
      </c>
      <c r="R11" s="4">
        <v>68.53</v>
      </c>
      <c r="S11" s="4">
        <v>0.89</v>
      </c>
      <c r="T11" s="4">
        <v>2</v>
      </c>
      <c r="U11" s="4" t="s">
        <v>122</v>
      </c>
      <c r="V11" s="4" t="s">
        <v>125</v>
      </c>
      <c r="W11" s="4" t="s">
        <v>340</v>
      </c>
      <c r="X11" s="4" t="s">
        <v>341</v>
      </c>
      <c r="Y11" s="4" t="s">
        <v>329</v>
      </c>
      <c r="Z11" s="4">
        <v>3</v>
      </c>
      <c r="AA11" s="4">
        <v>2520</v>
      </c>
      <c r="AB11" s="4" t="s">
        <v>124</v>
      </c>
      <c r="AC11" s="4">
        <v>384.87</v>
      </c>
      <c r="AD11" s="4" t="s">
        <v>124</v>
      </c>
      <c r="AE11" s="4">
        <v>1467.3</v>
      </c>
      <c r="AF11" s="4" t="s">
        <v>124</v>
      </c>
      <c r="AG11" s="4" t="s">
        <v>124</v>
      </c>
      <c r="AH11" s="4">
        <v>5</v>
      </c>
      <c r="AI11" s="4" t="s">
        <v>124</v>
      </c>
      <c r="AJ11" s="4">
        <v>158.49</v>
      </c>
      <c r="AK11" s="4">
        <v>2</v>
      </c>
      <c r="AL11" s="4">
        <v>0.54</v>
      </c>
      <c r="AM11" s="4">
        <v>0.1</v>
      </c>
      <c r="AN11" s="4">
        <v>547.5</v>
      </c>
      <c r="AO11" s="4">
        <v>1</v>
      </c>
      <c r="AP11" s="4" t="s">
        <v>124</v>
      </c>
      <c r="AQ11" s="4">
        <v>528</v>
      </c>
      <c r="AR11" s="4">
        <v>232</v>
      </c>
      <c r="AS11" s="4" t="s">
        <v>124</v>
      </c>
      <c r="AT11" s="4">
        <v>16.8</v>
      </c>
      <c r="AU11" s="4" t="s">
        <v>124</v>
      </c>
      <c r="AV11" s="4">
        <v>1313.76</v>
      </c>
      <c r="AW11" s="4">
        <v>25</v>
      </c>
      <c r="AX11" s="4" t="s">
        <v>124</v>
      </c>
      <c r="AY11" s="4">
        <v>2</v>
      </c>
      <c r="AZ11" s="4">
        <v>2</v>
      </c>
      <c r="BA11" s="4">
        <v>268.57</v>
      </c>
      <c r="BB11" s="4">
        <v>920</v>
      </c>
      <c r="BC11" s="4" t="s">
        <v>124</v>
      </c>
      <c r="BD11" s="4" t="s">
        <v>330</v>
      </c>
      <c r="BE11" s="4" t="s">
        <v>124</v>
      </c>
      <c r="BF11" s="4">
        <v>0.9</v>
      </c>
      <c r="BG11" s="4" t="s">
        <v>124</v>
      </c>
      <c r="BH11" s="4" t="s">
        <v>124</v>
      </c>
      <c r="BI11" s="4">
        <v>3105886</v>
      </c>
      <c r="BJ11" s="4">
        <v>11.56</v>
      </c>
      <c r="BK11" s="4">
        <v>-13.21</v>
      </c>
      <c r="BL11" s="4">
        <v>-0.82</v>
      </c>
      <c r="BM11" s="4">
        <v>-55.24</v>
      </c>
      <c r="BN11" s="4">
        <v>-81</v>
      </c>
      <c r="BO11" s="4">
        <v>-68.12</v>
      </c>
      <c r="BP11" s="4">
        <v>0</v>
      </c>
      <c r="BQ11" s="4">
        <v>8.75</v>
      </c>
      <c r="BR11" s="4">
        <v>0</v>
      </c>
      <c r="BS11" s="4">
        <v>0.11</v>
      </c>
      <c r="BT11" s="4">
        <v>192.99</v>
      </c>
      <c r="BU11" s="4">
        <v>252.69</v>
      </c>
      <c r="BV11" s="4">
        <v>1466.66</v>
      </c>
      <c r="BW11" s="4">
        <v>1559.7</v>
      </c>
      <c r="BX11" s="9">
        <v>1820</v>
      </c>
      <c r="BY11" s="9">
        <v>61</v>
      </c>
      <c r="BZ11" s="9">
        <f>AVERAGE(35, 35, 8, 8)</f>
        <v>21.5</v>
      </c>
      <c r="CA11" s="9">
        <f>AVERAGE(120,150)</f>
        <v>135</v>
      </c>
      <c r="CB11" s="4">
        <f t="shared" si="0"/>
        <v>1.35</v>
      </c>
      <c r="CC11" s="9">
        <v>21</v>
      </c>
      <c r="CD11" s="4">
        <f>IF(ISNUMBER(SEARCH(BZ11,"NA")), AW11, BZ11)</f>
        <v>21.5</v>
      </c>
      <c r="CE11" s="4">
        <f t="shared" si="2"/>
        <v>1.35</v>
      </c>
      <c r="CF11" s="47">
        <f t="shared" si="3"/>
        <v>15.925925925925926</v>
      </c>
    </row>
    <row r="12" spans="1:84" x14ac:dyDescent="0.2">
      <c r="A12" s="9" t="s">
        <v>24</v>
      </c>
      <c r="B12" s="4">
        <v>77.569999999999993</v>
      </c>
      <c r="C12" s="4">
        <v>362.05</v>
      </c>
      <c r="D12" s="4">
        <v>23.02</v>
      </c>
      <c r="E12" s="4">
        <v>240.6</v>
      </c>
      <c r="F12" s="4">
        <v>85.7</v>
      </c>
      <c r="G12" s="4">
        <v>150.46</v>
      </c>
      <c r="H12" s="4">
        <v>3400</v>
      </c>
      <c r="I12" s="4">
        <v>1189</v>
      </c>
      <c r="J12" s="4">
        <v>249.6</v>
      </c>
      <c r="K12" s="4">
        <v>939.4</v>
      </c>
      <c r="L12" s="4">
        <v>1632</v>
      </c>
      <c r="M12" s="4">
        <v>694</v>
      </c>
      <c r="N12" s="4" t="s">
        <v>13</v>
      </c>
      <c r="O12" s="2" t="s">
        <v>24</v>
      </c>
      <c r="P12" s="6" t="s">
        <v>162</v>
      </c>
      <c r="Q12" s="4">
        <v>67</v>
      </c>
      <c r="R12" s="4">
        <v>64.67</v>
      </c>
      <c r="S12" s="4">
        <v>1.19</v>
      </c>
      <c r="T12" s="4">
        <v>2</v>
      </c>
      <c r="U12" s="4" t="s">
        <v>122</v>
      </c>
      <c r="V12" s="4" t="s">
        <v>157</v>
      </c>
      <c r="W12" s="4" t="s">
        <v>163</v>
      </c>
      <c r="X12" s="4" t="s">
        <v>164</v>
      </c>
      <c r="Y12" s="4" t="s">
        <v>165</v>
      </c>
      <c r="Z12" s="4">
        <v>3</v>
      </c>
      <c r="AA12" s="4">
        <v>3540</v>
      </c>
      <c r="AB12" s="4" t="s">
        <v>124</v>
      </c>
      <c r="AC12" s="4">
        <v>444.99</v>
      </c>
      <c r="AD12" s="4" t="s">
        <v>124</v>
      </c>
      <c r="AE12" s="4">
        <v>1825</v>
      </c>
      <c r="AF12" s="4" t="s">
        <v>124</v>
      </c>
      <c r="AG12" s="4" t="s">
        <v>124</v>
      </c>
      <c r="AH12" s="4">
        <v>4</v>
      </c>
      <c r="AI12" s="4" t="s">
        <v>124</v>
      </c>
      <c r="AJ12" s="4">
        <v>148.5</v>
      </c>
      <c r="AK12" s="4" t="s">
        <v>124</v>
      </c>
      <c r="AL12" s="4">
        <v>0.17</v>
      </c>
      <c r="AM12" s="4">
        <v>0.18</v>
      </c>
      <c r="AN12" s="4">
        <v>1580.45</v>
      </c>
      <c r="AO12" s="4">
        <v>1</v>
      </c>
      <c r="AP12" s="4" t="s">
        <v>124</v>
      </c>
      <c r="AQ12" s="4">
        <v>339.6</v>
      </c>
      <c r="AR12" s="4">
        <v>371</v>
      </c>
      <c r="AS12" s="4" t="s">
        <v>124</v>
      </c>
      <c r="AT12" s="4">
        <v>107</v>
      </c>
      <c r="AU12" s="4">
        <v>34</v>
      </c>
      <c r="AV12" s="4">
        <v>1490.41</v>
      </c>
      <c r="AW12" s="4">
        <v>26.3</v>
      </c>
      <c r="AX12" s="4" t="s">
        <v>124</v>
      </c>
      <c r="AY12" s="4" t="s">
        <v>124</v>
      </c>
      <c r="AZ12" s="4">
        <v>2</v>
      </c>
      <c r="BA12" s="4">
        <v>141.24</v>
      </c>
      <c r="BB12" s="4" t="s">
        <v>124</v>
      </c>
      <c r="BC12" s="4" t="s">
        <v>124</v>
      </c>
      <c r="BD12" s="4" t="s">
        <v>166</v>
      </c>
      <c r="BE12" s="4" t="s">
        <v>124</v>
      </c>
      <c r="BF12" s="4">
        <v>0.52</v>
      </c>
      <c r="BG12" s="4" t="s">
        <v>124</v>
      </c>
      <c r="BH12" s="4" t="s">
        <v>124</v>
      </c>
      <c r="BI12" s="4">
        <v>3012180</v>
      </c>
      <c r="BJ12" s="4">
        <v>6.79</v>
      </c>
      <c r="BK12" s="4">
        <v>-12.21</v>
      </c>
      <c r="BL12" s="4">
        <v>-2.71</v>
      </c>
      <c r="BM12" s="4">
        <v>35.340000000000003</v>
      </c>
      <c r="BN12" s="4">
        <v>12.27</v>
      </c>
      <c r="BO12" s="4">
        <v>23.8</v>
      </c>
      <c r="BP12" s="4">
        <v>0</v>
      </c>
      <c r="BQ12" s="4">
        <v>30.04</v>
      </c>
      <c r="BR12" s="4">
        <v>1</v>
      </c>
      <c r="BS12" s="4">
        <v>0.15</v>
      </c>
      <c r="BT12" s="4">
        <v>131.01</v>
      </c>
      <c r="BU12" s="4">
        <v>236.61</v>
      </c>
      <c r="BV12" s="4">
        <v>1302.52</v>
      </c>
      <c r="BW12" s="4">
        <v>1551.84</v>
      </c>
      <c r="BX12" s="4">
        <f>AVERAGE(1543, 1916, 1766, 1447)</f>
        <v>1668</v>
      </c>
      <c r="BY12" s="4">
        <f>AVERAGE(38.9, 25.7, 34.1, 25.9 )</f>
        <v>31.15</v>
      </c>
      <c r="BZ12" s="4">
        <f>AVERAGE(26.3, 14.7, 35, 50, 30, 35)</f>
        <v>31.833333333333332</v>
      </c>
      <c r="CA12" s="4">
        <f>AVERAGE(59.8, 22.5, 67.5)</f>
        <v>49.933333333333337</v>
      </c>
      <c r="CB12" s="4">
        <f t="shared" si="0"/>
        <v>0.49933333333333335</v>
      </c>
      <c r="CC12" s="4">
        <f>AVERAGE(37, 5.2, 17.4, 15.5)</f>
        <v>18.774999999999999</v>
      </c>
      <c r="CD12" s="4">
        <f t="shared" ref="CD12:CD18" si="4">IF(ISNUMBER(SEARCH(BZ12,"NA")), AW12, BZ12)</f>
        <v>31.833333333333332</v>
      </c>
      <c r="CE12" s="4">
        <f t="shared" si="2"/>
        <v>0.49933333333333335</v>
      </c>
      <c r="CF12" s="47">
        <f t="shared" si="3"/>
        <v>63.7516688918558</v>
      </c>
    </row>
    <row r="13" spans="1:84" x14ac:dyDescent="0.2">
      <c r="A13" s="9" t="s">
        <v>25</v>
      </c>
      <c r="B13" s="4">
        <v>77.48</v>
      </c>
      <c r="C13" s="4">
        <v>378.84</v>
      </c>
      <c r="D13" s="4">
        <v>30.44</v>
      </c>
      <c r="E13" s="4">
        <v>288.47000000000003</v>
      </c>
      <c r="F13" s="4">
        <v>86.05</v>
      </c>
      <c r="G13" s="4">
        <v>125.58</v>
      </c>
      <c r="H13" s="4">
        <v>6300</v>
      </c>
      <c r="I13" s="4">
        <v>1366.39</v>
      </c>
      <c r="J13" s="4">
        <v>379.53</v>
      </c>
      <c r="K13" s="4">
        <v>986.86</v>
      </c>
      <c r="L13" s="4">
        <v>1999</v>
      </c>
      <c r="M13" s="4">
        <v>617</v>
      </c>
      <c r="N13" s="4" t="s">
        <v>13</v>
      </c>
      <c r="O13" s="2" t="s">
        <v>25</v>
      </c>
      <c r="P13" s="6" t="s">
        <v>167</v>
      </c>
      <c r="Q13" s="4">
        <v>75</v>
      </c>
      <c r="R13" s="4">
        <v>72.39</v>
      </c>
      <c r="S13" s="4">
        <v>1.37</v>
      </c>
      <c r="T13" s="4">
        <v>2</v>
      </c>
      <c r="U13" s="4" t="s">
        <v>122</v>
      </c>
      <c r="V13" s="4" t="s">
        <v>157</v>
      </c>
      <c r="W13" s="4" t="s">
        <v>163</v>
      </c>
      <c r="X13" s="4" t="s">
        <v>168</v>
      </c>
      <c r="Y13" s="4" t="s">
        <v>169</v>
      </c>
      <c r="Z13" s="4">
        <v>3</v>
      </c>
      <c r="AA13" s="4">
        <v>5040</v>
      </c>
      <c r="AB13" s="4" t="s">
        <v>124</v>
      </c>
      <c r="AC13" s="4">
        <v>574.99</v>
      </c>
      <c r="AD13" s="4" t="s">
        <v>124</v>
      </c>
      <c r="AE13" s="4">
        <v>2087.8000000000002</v>
      </c>
      <c r="AF13" s="4">
        <v>3455.75</v>
      </c>
      <c r="AG13" s="4">
        <v>8650</v>
      </c>
      <c r="AH13" s="4">
        <v>4</v>
      </c>
      <c r="AI13" s="4" t="s">
        <v>124</v>
      </c>
      <c r="AJ13" s="4">
        <v>138.47999999999999</v>
      </c>
      <c r="AK13" s="4" t="s">
        <v>124</v>
      </c>
      <c r="AL13" s="4">
        <v>0.11</v>
      </c>
      <c r="AM13" s="4">
        <v>0.11</v>
      </c>
      <c r="AN13" s="4">
        <v>565.75</v>
      </c>
      <c r="AO13" s="4">
        <v>1</v>
      </c>
      <c r="AP13" s="4" t="s">
        <v>124</v>
      </c>
      <c r="AQ13" s="4">
        <v>325.2</v>
      </c>
      <c r="AR13" s="4">
        <v>402</v>
      </c>
      <c r="AS13" s="4" t="s">
        <v>124</v>
      </c>
      <c r="AT13" s="4">
        <v>70.400000000000006</v>
      </c>
      <c r="AU13" s="4" t="s">
        <v>124</v>
      </c>
      <c r="AV13" s="4">
        <v>1779.37</v>
      </c>
      <c r="AW13" s="4">
        <v>16</v>
      </c>
      <c r="AX13" s="4" t="s">
        <v>124</v>
      </c>
      <c r="AY13" s="4" t="s">
        <v>124</v>
      </c>
      <c r="AZ13" s="4">
        <v>2</v>
      </c>
      <c r="BA13" s="4">
        <v>683.61</v>
      </c>
      <c r="BB13" s="4" t="s">
        <v>124</v>
      </c>
      <c r="BC13" s="4" t="s">
        <v>124</v>
      </c>
      <c r="BD13" s="4" t="s">
        <v>170</v>
      </c>
      <c r="BE13" s="4" t="s">
        <v>124</v>
      </c>
      <c r="BF13" s="4">
        <v>0.89</v>
      </c>
      <c r="BG13" s="4" t="s">
        <v>124</v>
      </c>
      <c r="BH13" s="4" t="s">
        <v>124</v>
      </c>
      <c r="BI13" s="4">
        <v>3406986</v>
      </c>
      <c r="BJ13" s="4">
        <v>12</v>
      </c>
      <c r="BK13" s="4">
        <v>-33</v>
      </c>
      <c r="BL13" s="4">
        <v>-10.49</v>
      </c>
      <c r="BM13" s="4">
        <v>46.05</v>
      </c>
      <c r="BN13" s="4">
        <v>12.99</v>
      </c>
      <c r="BO13" s="4">
        <v>29.52</v>
      </c>
      <c r="BP13" s="4">
        <v>0</v>
      </c>
      <c r="BQ13" s="4">
        <v>41.5</v>
      </c>
      <c r="BR13" s="4">
        <v>3</v>
      </c>
      <c r="BS13" s="4">
        <v>0.15</v>
      </c>
      <c r="BT13" s="4">
        <v>95.88</v>
      </c>
      <c r="BU13" s="4">
        <v>223.51</v>
      </c>
      <c r="BV13" s="4">
        <v>1034.6099999999999</v>
      </c>
      <c r="BW13" s="4">
        <v>1531.37</v>
      </c>
      <c r="BX13" s="4">
        <f>AVERAGE(1298, 16.3, 307.3, 372, 263.3, 898)</f>
        <v>525.81666666666672</v>
      </c>
      <c r="BY13" s="4">
        <f>AVERAGE(50, 36.1, 46.5, 41.7, 36.4, 36.2, 31.7, 53.76)</f>
        <v>41.545000000000002</v>
      </c>
      <c r="BZ13" s="4">
        <f>AVERAGE(10, 25, 18, 15, 18, 28, 10, 6, 16, 17, 16, 14, 6, 12, 33, 18, 18, 20, 31, 20.8, 25, 30)</f>
        <v>18.490909090909092</v>
      </c>
      <c r="CA13" s="4">
        <f>AVERAGE(250, 28.4, 15, 13.5, 20, 175, 72.5, 48.5, 25.7, 60.5, 15.5, 74, 60, 67.5)</f>
        <v>66.150000000000006</v>
      </c>
      <c r="CB13" s="4">
        <f t="shared" si="0"/>
        <v>0.66150000000000009</v>
      </c>
      <c r="CC13" s="4">
        <f>AVERAGE(20, 22.7, 14.4, 16.5, 22.4, 19.7, 24.7, 15.8, 20.08)</f>
        <v>19.58666666666667</v>
      </c>
      <c r="CD13" s="4">
        <f t="shared" si="4"/>
        <v>18.490909090909092</v>
      </c>
      <c r="CE13" s="4">
        <f t="shared" si="2"/>
        <v>0.66150000000000009</v>
      </c>
      <c r="CF13" s="47">
        <f t="shared" si="3"/>
        <v>27.952999381570809</v>
      </c>
    </row>
    <row r="14" spans="1:84" x14ac:dyDescent="0.2">
      <c r="A14" s="9" t="s">
        <v>26</v>
      </c>
      <c r="B14" s="4">
        <v>18.899999999999999</v>
      </c>
      <c r="C14" s="4">
        <v>107.42</v>
      </c>
      <c r="D14" s="4">
        <v>8.32</v>
      </c>
      <c r="E14" s="4">
        <v>92.66</v>
      </c>
      <c r="F14" s="4">
        <v>13.22</v>
      </c>
      <c r="G14" s="4">
        <v>61.26</v>
      </c>
      <c r="H14" s="4">
        <v>450</v>
      </c>
      <c r="I14" s="4">
        <v>347.35</v>
      </c>
      <c r="J14" s="4">
        <v>45.57</v>
      </c>
      <c r="K14" s="4">
        <v>301.77999999999997</v>
      </c>
      <c r="L14" s="4">
        <v>382</v>
      </c>
      <c r="M14" s="4">
        <v>149</v>
      </c>
      <c r="N14" s="4" t="s">
        <v>15</v>
      </c>
      <c r="O14" s="2" t="s">
        <v>26</v>
      </c>
      <c r="P14" s="6" t="s">
        <v>176</v>
      </c>
      <c r="Q14" s="4">
        <v>6.8</v>
      </c>
      <c r="R14" s="4">
        <v>6.56</v>
      </c>
      <c r="S14" s="4">
        <v>0.35</v>
      </c>
      <c r="T14" s="4">
        <v>2</v>
      </c>
      <c r="U14" s="4" t="s">
        <v>122</v>
      </c>
      <c r="V14" s="4" t="s">
        <v>177</v>
      </c>
      <c r="W14" s="4" t="s">
        <v>178</v>
      </c>
      <c r="X14" s="4" t="s">
        <v>179</v>
      </c>
      <c r="Y14" s="4" t="s">
        <v>180</v>
      </c>
      <c r="Z14" s="4">
        <v>1</v>
      </c>
      <c r="AA14" s="4">
        <v>448</v>
      </c>
      <c r="AB14" s="4" t="s">
        <v>124</v>
      </c>
      <c r="AC14" s="4">
        <v>224.99</v>
      </c>
      <c r="AD14" s="4" t="s">
        <v>124</v>
      </c>
      <c r="AE14" s="4" t="s">
        <v>124</v>
      </c>
      <c r="AF14" s="4" t="s">
        <v>124</v>
      </c>
      <c r="AG14" s="4" t="s">
        <v>124</v>
      </c>
      <c r="AH14" s="4">
        <v>5</v>
      </c>
      <c r="AI14" s="4" t="s">
        <v>124</v>
      </c>
      <c r="AJ14" s="4">
        <v>69.989999999999995</v>
      </c>
      <c r="AK14" s="4">
        <v>1</v>
      </c>
      <c r="AL14" s="4">
        <v>0.02</v>
      </c>
      <c r="AM14" s="4">
        <v>0.02</v>
      </c>
      <c r="AN14" s="4" t="s">
        <v>124</v>
      </c>
      <c r="AO14" s="4">
        <v>2.04</v>
      </c>
      <c r="AP14" s="4" t="s">
        <v>124</v>
      </c>
      <c r="AQ14" s="4">
        <v>180</v>
      </c>
      <c r="AR14" s="4">
        <v>18.100000000000001</v>
      </c>
      <c r="AS14" s="4">
        <v>76.7</v>
      </c>
      <c r="AT14" s="4">
        <v>68</v>
      </c>
      <c r="AU14" s="4">
        <v>1</v>
      </c>
      <c r="AV14" s="4">
        <v>364.99</v>
      </c>
      <c r="AW14" s="4">
        <v>1</v>
      </c>
      <c r="AX14" s="4">
        <v>4</v>
      </c>
      <c r="AY14" s="4">
        <v>2</v>
      </c>
      <c r="AZ14" s="4">
        <v>2</v>
      </c>
      <c r="BA14" s="4">
        <v>45.71</v>
      </c>
      <c r="BB14" s="4" t="s">
        <v>124</v>
      </c>
      <c r="BC14" s="4" t="s">
        <v>124</v>
      </c>
      <c r="BD14" s="4" t="s">
        <v>181</v>
      </c>
      <c r="BE14" s="4" t="s">
        <v>124</v>
      </c>
      <c r="BF14" s="4" t="s">
        <v>124</v>
      </c>
      <c r="BG14" s="4" t="s">
        <v>124</v>
      </c>
      <c r="BH14" s="4" t="s">
        <v>124</v>
      </c>
      <c r="BI14" s="4">
        <v>180663</v>
      </c>
      <c r="BJ14" s="4">
        <v>-12.36</v>
      </c>
      <c r="BK14" s="4">
        <v>-25.16</v>
      </c>
      <c r="BL14" s="4">
        <v>-18.760000000000002</v>
      </c>
      <c r="BM14" s="4">
        <v>50.45</v>
      </c>
      <c r="BN14" s="4">
        <v>44.07</v>
      </c>
      <c r="BO14" s="4">
        <v>47.26</v>
      </c>
      <c r="BP14" s="4">
        <v>4</v>
      </c>
      <c r="BQ14" s="4">
        <v>34.35</v>
      </c>
      <c r="BR14" s="4">
        <v>5</v>
      </c>
      <c r="BS14" s="4">
        <v>0.19</v>
      </c>
      <c r="BT14" s="4">
        <v>143.99</v>
      </c>
      <c r="BU14" s="4">
        <v>206.62</v>
      </c>
      <c r="BV14" s="4">
        <v>1207.33</v>
      </c>
      <c r="BW14" s="4">
        <v>1567.78</v>
      </c>
      <c r="BX14" s="4" t="s">
        <v>124</v>
      </c>
      <c r="BY14" s="4">
        <v>21</v>
      </c>
      <c r="BZ14" s="4" t="s">
        <v>124</v>
      </c>
      <c r="CA14" s="4">
        <v>4</v>
      </c>
      <c r="CB14" s="4">
        <f t="shared" si="0"/>
        <v>0.04</v>
      </c>
      <c r="CC14" s="4">
        <v>25</v>
      </c>
      <c r="CD14" s="4">
        <f t="shared" si="4"/>
        <v>1</v>
      </c>
      <c r="CE14" s="4">
        <f t="shared" si="2"/>
        <v>0.04</v>
      </c>
      <c r="CF14" s="47">
        <f t="shared" si="3"/>
        <v>25</v>
      </c>
    </row>
    <row r="15" spans="1:84" x14ac:dyDescent="0.2">
      <c r="A15" s="4" t="s">
        <v>27</v>
      </c>
      <c r="B15" s="4">
        <v>9.9700000000000006</v>
      </c>
      <c r="C15" s="4">
        <v>54.4</v>
      </c>
      <c r="D15" s="4">
        <v>4.72</v>
      </c>
      <c r="E15" s="4">
        <v>44.89</v>
      </c>
      <c r="F15" s="4">
        <v>6.19</v>
      </c>
      <c r="G15" s="4">
        <v>30.44</v>
      </c>
      <c r="H15" s="4">
        <v>177</v>
      </c>
      <c r="I15" s="4">
        <v>174.36</v>
      </c>
      <c r="J15" s="4">
        <v>23.75</v>
      </c>
      <c r="K15" s="4">
        <v>150.61000000000001</v>
      </c>
      <c r="L15" s="4">
        <v>202</v>
      </c>
      <c r="M15" s="4">
        <v>65.3</v>
      </c>
      <c r="N15" s="4" t="s">
        <v>15</v>
      </c>
      <c r="O15" s="2" t="s">
        <v>27</v>
      </c>
      <c r="P15" s="6" t="s">
        <v>182</v>
      </c>
      <c r="Q15" s="4">
        <v>3.14</v>
      </c>
      <c r="R15" s="4">
        <v>3.03</v>
      </c>
      <c r="S15" s="4">
        <v>0.17</v>
      </c>
      <c r="T15" s="4">
        <v>2</v>
      </c>
      <c r="U15" s="4" t="s">
        <v>122</v>
      </c>
      <c r="V15" s="4" t="s">
        <v>177</v>
      </c>
      <c r="W15" s="4" t="s">
        <v>178</v>
      </c>
      <c r="X15" s="4" t="s">
        <v>183</v>
      </c>
      <c r="Y15" s="4" t="s">
        <v>184</v>
      </c>
      <c r="Z15" s="4">
        <v>1</v>
      </c>
      <c r="AA15" s="4">
        <v>197</v>
      </c>
      <c r="AB15" s="4" t="s">
        <v>124</v>
      </c>
      <c r="AC15" s="4">
        <v>224.99</v>
      </c>
      <c r="AD15" s="4" t="s">
        <v>124</v>
      </c>
      <c r="AE15" s="4">
        <v>472.67</v>
      </c>
      <c r="AF15" s="4">
        <v>195</v>
      </c>
      <c r="AG15" s="4">
        <v>300</v>
      </c>
      <c r="AH15" s="4">
        <v>5</v>
      </c>
      <c r="AI15" s="4" t="s">
        <v>124</v>
      </c>
      <c r="AJ15" s="4">
        <v>61.79</v>
      </c>
      <c r="AK15" s="4">
        <v>1</v>
      </c>
      <c r="AL15" s="4">
        <v>0.02</v>
      </c>
      <c r="AM15" s="7">
        <v>3.8300000000000001E-3</v>
      </c>
      <c r="AN15" s="4">
        <v>365</v>
      </c>
      <c r="AO15" s="4">
        <v>2.04</v>
      </c>
      <c r="AP15" s="4" t="s">
        <v>124</v>
      </c>
      <c r="AQ15" s="4">
        <v>231.6</v>
      </c>
      <c r="AR15" s="4">
        <v>14.7</v>
      </c>
      <c r="AS15" s="4" t="s">
        <v>124</v>
      </c>
      <c r="AT15" s="4">
        <v>225</v>
      </c>
      <c r="AU15" s="4">
        <v>1</v>
      </c>
      <c r="AV15" s="4">
        <v>370.21</v>
      </c>
      <c r="AW15" s="4">
        <v>1</v>
      </c>
      <c r="AX15" s="4">
        <v>4</v>
      </c>
      <c r="AY15" s="4">
        <v>2</v>
      </c>
      <c r="AZ15" s="4">
        <v>2</v>
      </c>
      <c r="BA15" s="4">
        <v>60.26</v>
      </c>
      <c r="BB15" s="4" t="s">
        <v>124</v>
      </c>
      <c r="BC15" s="4" t="s">
        <v>124</v>
      </c>
      <c r="BD15" s="4" t="s">
        <v>185</v>
      </c>
      <c r="BE15" s="4" t="s">
        <v>124</v>
      </c>
      <c r="BF15" s="4">
        <v>1.1100000000000001</v>
      </c>
      <c r="BG15" s="4" t="s">
        <v>124</v>
      </c>
      <c r="BH15" s="4" t="s">
        <v>124</v>
      </c>
      <c r="BI15" s="4">
        <v>122849</v>
      </c>
      <c r="BJ15" s="4">
        <v>-12.49</v>
      </c>
      <c r="BK15" s="4">
        <v>-25.58</v>
      </c>
      <c r="BL15" s="4">
        <v>-19.03</v>
      </c>
      <c r="BM15" s="4">
        <v>49.82</v>
      </c>
      <c r="BN15" s="4">
        <v>43.22</v>
      </c>
      <c r="BO15" s="4">
        <v>46.52</v>
      </c>
      <c r="BP15" s="4">
        <v>2</v>
      </c>
      <c r="BQ15" s="4">
        <v>11.99</v>
      </c>
      <c r="BR15" s="4">
        <v>3</v>
      </c>
      <c r="BS15" s="4">
        <v>0.19</v>
      </c>
      <c r="BT15" s="4">
        <v>85.08</v>
      </c>
      <c r="BU15" s="4">
        <v>240.48</v>
      </c>
      <c r="BV15" s="4">
        <v>899.72</v>
      </c>
      <c r="BW15" s="4">
        <v>1625.76</v>
      </c>
      <c r="BX15" s="4">
        <v>465</v>
      </c>
      <c r="BY15" s="4" t="s">
        <v>124</v>
      </c>
      <c r="BZ15" s="4">
        <v>3</v>
      </c>
      <c r="CA15" s="4">
        <f>AVERAGE(1.56, 2.22)</f>
        <v>1.8900000000000001</v>
      </c>
      <c r="CB15" s="4">
        <f t="shared" si="0"/>
        <v>1.89E-2</v>
      </c>
      <c r="CC15" s="4" t="s">
        <v>124</v>
      </c>
      <c r="CD15" s="4">
        <f t="shared" si="4"/>
        <v>3</v>
      </c>
      <c r="CE15" s="4">
        <f t="shared" si="2"/>
        <v>1.89E-2</v>
      </c>
      <c r="CF15" s="47">
        <f t="shared" si="3"/>
        <v>158.73015873015873</v>
      </c>
    </row>
    <row r="16" spans="1:84" x14ac:dyDescent="0.2">
      <c r="A16" s="4" t="s">
        <v>28</v>
      </c>
      <c r="B16" s="4">
        <v>100.01</v>
      </c>
      <c r="C16" s="4">
        <v>577.11</v>
      </c>
      <c r="D16" s="4">
        <v>35.54</v>
      </c>
      <c r="E16" s="4">
        <v>316.55</v>
      </c>
      <c r="F16" s="4">
        <v>94.14</v>
      </c>
      <c r="G16" s="4">
        <v>324.55</v>
      </c>
      <c r="H16" s="4">
        <v>2800</v>
      </c>
      <c r="I16" s="4">
        <v>1776.1</v>
      </c>
      <c r="J16" s="4">
        <v>328.2</v>
      </c>
      <c r="K16" s="4">
        <v>1447.9</v>
      </c>
      <c r="L16" s="4">
        <v>1517</v>
      </c>
      <c r="M16" s="4">
        <v>1044</v>
      </c>
      <c r="N16" s="4" t="s">
        <v>15</v>
      </c>
      <c r="O16" s="2" t="s">
        <v>28</v>
      </c>
      <c r="P16" s="6" t="s">
        <v>191</v>
      </c>
      <c r="Q16" s="4">
        <v>45.15</v>
      </c>
      <c r="R16" s="4">
        <v>43.58</v>
      </c>
      <c r="S16" s="4">
        <v>1.78</v>
      </c>
      <c r="T16" s="4">
        <v>2</v>
      </c>
      <c r="U16" s="4" t="s">
        <v>122</v>
      </c>
      <c r="V16" s="4" t="s">
        <v>192</v>
      </c>
      <c r="W16" s="4" t="s">
        <v>193</v>
      </c>
      <c r="X16" s="4" t="s">
        <v>194</v>
      </c>
      <c r="Y16" s="4" t="s">
        <v>195</v>
      </c>
      <c r="Z16" s="4">
        <v>1</v>
      </c>
      <c r="AA16" s="4">
        <v>2750</v>
      </c>
      <c r="AB16" s="4" t="s">
        <v>124</v>
      </c>
      <c r="AC16" s="4">
        <v>400</v>
      </c>
      <c r="AD16" s="4" t="s">
        <v>124</v>
      </c>
      <c r="AE16" s="4">
        <v>1277.5</v>
      </c>
      <c r="AF16" s="4" t="s">
        <v>124</v>
      </c>
      <c r="AG16" s="4" t="s">
        <v>124</v>
      </c>
      <c r="AH16" s="4">
        <v>6</v>
      </c>
      <c r="AI16" s="4" t="s">
        <v>124</v>
      </c>
      <c r="AJ16" s="4">
        <v>166.48</v>
      </c>
      <c r="AK16" s="4">
        <v>2</v>
      </c>
      <c r="AL16" s="4">
        <v>0.06</v>
      </c>
      <c r="AM16" s="4">
        <v>7.0000000000000007E-2</v>
      </c>
      <c r="AN16" s="4">
        <v>760.41</v>
      </c>
      <c r="AO16" s="4">
        <v>1</v>
      </c>
      <c r="AP16" s="4">
        <v>0.42</v>
      </c>
      <c r="AQ16" s="4">
        <v>291.60000000000002</v>
      </c>
      <c r="AR16" s="4">
        <v>122</v>
      </c>
      <c r="AS16" s="4" t="s">
        <v>124</v>
      </c>
      <c r="AT16" s="4">
        <v>39.799999999999997</v>
      </c>
      <c r="AU16" s="4">
        <v>1</v>
      </c>
      <c r="AV16" s="4">
        <v>775.73</v>
      </c>
      <c r="AW16" s="4">
        <v>1</v>
      </c>
      <c r="AX16" s="4">
        <v>2</v>
      </c>
      <c r="AY16" s="4">
        <v>2</v>
      </c>
      <c r="AZ16" s="4">
        <v>2</v>
      </c>
      <c r="BA16" s="4">
        <v>197.7</v>
      </c>
      <c r="BB16" s="4">
        <v>1540</v>
      </c>
      <c r="BC16" s="4" t="s">
        <v>124</v>
      </c>
      <c r="BD16" s="4" t="s">
        <v>196</v>
      </c>
      <c r="BE16" s="4" t="s">
        <v>124</v>
      </c>
      <c r="BF16" s="4" t="s">
        <v>124</v>
      </c>
      <c r="BG16" s="4" t="s">
        <v>124</v>
      </c>
      <c r="BH16" s="4" t="s">
        <v>124</v>
      </c>
      <c r="BI16" s="4">
        <v>141980</v>
      </c>
      <c r="BJ16" s="4">
        <v>-12.38</v>
      </c>
      <c r="BK16" s="4">
        <v>-25.2</v>
      </c>
      <c r="BL16" s="4">
        <v>-18.79</v>
      </c>
      <c r="BM16" s="4">
        <v>50.48</v>
      </c>
      <c r="BN16" s="4">
        <v>43.92</v>
      </c>
      <c r="BO16" s="4">
        <v>47.2</v>
      </c>
      <c r="BP16" s="4">
        <v>2</v>
      </c>
      <c r="BQ16" s="4">
        <v>25</v>
      </c>
      <c r="BR16" s="4">
        <v>3</v>
      </c>
      <c r="BS16" s="4">
        <v>0.18</v>
      </c>
      <c r="BT16" s="4">
        <v>149.13</v>
      </c>
      <c r="BU16" s="4">
        <v>217</v>
      </c>
      <c r="BV16" s="4">
        <v>1216.27</v>
      </c>
      <c r="BW16" s="4">
        <v>1601.27</v>
      </c>
      <c r="BX16" s="4">
        <f>AVERAGE(1227.2, 1528, 1551.8, 2256)</f>
        <v>1640.75</v>
      </c>
      <c r="BY16" s="4">
        <v>11.6</v>
      </c>
      <c r="BZ16" s="4" t="s">
        <v>124</v>
      </c>
      <c r="CA16" s="4">
        <f>AVERAGE(35, 170.3)</f>
        <v>102.65</v>
      </c>
      <c r="CB16" s="4">
        <f t="shared" si="0"/>
        <v>1.0265</v>
      </c>
      <c r="CC16" s="4">
        <v>55.2</v>
      </c>
      <c r="CD16" s="4">
        <f t="shared" si="4"/>
        <v>1</v>
      </c>
      <c r="CE16" s="4">
        <f t="shared" si="2"/>
        <v>1.0265</v>
      </c>
      <c r="CF16" s="47">
        <f t="shared" si="3"/>
        <v>0.97418412079883099</v>
      </c>
    </row>
    <row r="17" spans="1:84" x14ac:dyDescent="0.2">
      <c r="A17" s="4" t="s">
        <v>29</v>
      </c>
      <c r="B17" s="4">
        <v>76.650000000000006</v>
      </c>
      <c r="C17" s="4">
        <v>345.54</v>
      </c>
      <c r="D17" s="4">
        <v>39.46</v>
      </c>
      <c r="E17" s="4">
        <v>327.74</v>
      </c>
      <c r="F17" s="4">
        <v>101.09</v>
      </c>
      <c r="G17" s="4">
        <v>195.13</v>
      </c>
      <c r="H17" s="4">
        <v>7800</v>
      </c>
      <c r="I17" s="4">
        <v>1590.53</v>
      </c>
      <c r="J17" s="4">
        <v>504.92</v>
      </c>
      <c r="K17" s="4">
        <v>1085.6099999999999</v>
      </c>
      <c r="L17" s="4">
        <v>2616</v>
      </c>
      <c r="M17" s="4">
        <v>693</v>
      </c>
      <c r="N17" s="4" t="s">
        <v>13</v>
      </c>
      <c r="O17" s="2" t="s">
        <v>29</v>
      </c>
      <c r="P17" s="6" t="s">
        <v>197</v>
      </c>
      <c r="Q17" s="4">
        <v>108</v>
      </c>
      <c r="R17" s="4">
        <v>104.25</v>
      </c>
      <c r="S17" s="4">
        <v>1.59</v>
      </c>
      <c r="T17" s="4">
        <v>2</v>
      </c>
      <c r="U17" s="4" t="s">
        <v>122</v>
      </c>
      <c r="V17" s="4" t="s">
        <v>157</v>
      </c>
      <c r="W17" s="4" t="s">
        <v>198</v>
      </c>
      <c r="X17" s="4" t="s">
        <v>199</v>
      </c>
      <c r="Y17" s="4" t="s">
        <v>200</v>
      </c>
      <c r="Z17" s="4">
        <v>3</v>
      </c>
      <c r="AA17" s="4">
        <v>8010</v>
      </c>
      <c r="AB17" s="4" t="s">
        <v>124</v>
      </c>
      <c r="AC17" s="4">
        <v>664.99</v>
      </c>
      <c r="AD17" s="4" t="s">
        <v>124</v>
      </c>
      <c r="AE17" s="4">
        <v>1079.79</v>
      </c>
      <c r="AF17" s="4" t="s">
        <v>124</v>
      </c>
      <c r="AG17" s="4" t="s">
        <v>124</v>
      </c>
      <c r="AH17" s="4">
        <v>4</v>
      </c>
      <c r="AI17" s="4" t="s">
        <v>124</v>
      </c>
      <c r="AJ17" s="4">
        <v>167.2</v>
      </c>
      <c r="AK17" s="4" t="s">
        <v>124</v>
      </c>
      <c r="AL17" s="4">
        <v>28.8</v>
      </c>
      <c r="AM17" s="4">
        <v>28.5</v>
      </c>
      <c r="AN17" s="4">
        <v>365</v>
      </c>
      <c r="AO17" s="4">
        <v>1</v>
      </c>
      <c r="AP17" s="4" t="s">
        <v>124</v>
      </c>
      <c r="AQ17" s="4">
        <v>286.8</v>
      </c>
      <c r="AR17" s="4">
        <v>624</v>
      </c>
      <c r="AS17" s="4" t="s">
        <v>124</v>
      </c>
      <c r="AT17" s="4">
        <v>0.26</v>
      </c>
      <c r="AU17" s="4">
        <v>20.5</v>
      </c>
      <c r="AV17" s="4">
        <v>1054.3599999999999</v>
      </c>
      <c r="AW17" s="4">
        <v>28</v>
      </c>
      <c r="AX17" s="4" t="s">
        <v>124</v>
      </c>
      <c r="AY17" s="4" t="s">
        <v>124</v>
      </c>
      <c r="AZ17" s="4">
        <v>2</v>
      </c>
      <c r="BA17" s="4">
        <v>210.41</v>
      </c>
      <c r="BB17" s="4">
        <v>2210</v>
      </c>
      <c r="BC17" s="4" t="s">
        <v>124</v>
      </c>
      <c r="BD17" s="4" t="s">
        <v>201</v>
      </c>
      <c r="BE17" s="4" t="s">
        <v>124</v>
      </c>
      <c r="BF17" s="4">
        <v>1.1100000000000001</v>
      </c>
      <c r="BG17" s="4" t="s">
        <v>124</v>
      </c>
      <c r="BH17" s="4" t="s">
        <v>124</v>
      </c>
      <c r="BI17" s="4">
        <v>6948334</v>
      </c>
      <c r="BJ17" s="4">
        <v>19.93</v>
      </c>
      <c r="BK17" s="4">
        <v>-3.98</v>
      </c>
      <c r="BL17" s="4">
        <v>7.97</v>
      </c>
      <c r="BM17" s="4">
        <v>37.99</v>
      </c>
      <c r="BN17" s="4">
        <v>-17.53</v>
      </c>
      <c r="BO17" s="4">
        <v>10.220000000000001</v>
      </c>
      <c r="BP17" s="4">
        <v>0</v>
      </c>
      <c r="BQ17" s="4">
        <v>32.770000000000003</v>
      </c>
      <c r="BR17" s="4">
        <v>1</v>
      </c>
      <c r="BS17" s="4">
        <v>0.1</v>
      </c>
      <c r="BT17" s="4">
        <v>73.39</v>
      </c>
      <c r="BU17" s="4">
        <v>263.60000000000002</v>
      </c>
      <c r="BV17" s="4">
        <v>760.42</v>
      </c>
      <c r="BW17" s="4">
        <v>1596.49</v>
      </c>
      <c r="BX17" s="4">
        <f>AVERAGE(3830, 4220, 3188)</f>
        <v>3746</v>
      </c>
      <c r="BY17" s="4">
        <v>36.9</v>
      </c>
      <c r="BZ17" s="4">
        <f>AVERAGE(13, 74, 11, 31, 7, 51, 16, 45)</f>
        <v>31</v>
      </c>
      <c r="CA17" s="4">
        <f>AVERAGE(3200, 2850, 4000)</f>
        <v>3350</v>
      </c>
      <c r="CB17" s="4">
        <f t="shared" si="0"/>
        <v>33.5</v>
      </c>
      <c r="CC17" s="4">
        <v>10.1</v>
      </c>
      <c r="CD17" s="4">
        <f t="shared" si="4"/>
        <v>31</v>
      </c>
      <c r="CE17" s="4">
        <f t="shared" si="2"/>
        <v>33.5</v>
      </c>
      <c r="CF17" s="47">
        <f t="shared" si="3"/>
        <v>0.92537313432835822</v>
      </c>
    </row>
    <row r="18" spans="1:84" x14ac:dyDescent="0.2">
      <c r="A18" s="4" t="s">
        <v>30</v>
      </c>
      <c r="B18" s="4">
        <v>62.23</v>
      </c>
      <c r="C18" s="4">
        <v>258.64999999999998</v>
      </c>
      <c r="D18" s="4">
        <v>19.52</v>
      </c>
      <c r="E18" s="4">
        <v>171.72</v>
      </c>
      <c r="F18" s="4">
        <v>37.46</v>
      </c>
      <c r="G18" s="4">
        <v>106.06</v>
      </c>
      <c r="H18" s="4">
        <v>1400</v>
      </c>
      <c r="I18" s="4">
        <v>752.1</v>
      </c>
      <c r="J18" s="4">
        <v>96.46</v>
      </c>
      <c r="K18" s="4">
        <v>655.64</v>
      </c>
      <c r="L18" s="4">
        <v>909</v>
      </c>
      <c r="M18" s="4">
        <v>422</v>
      </c>
      <c r="N18" s="4" t="s">
        <v>31</v>
      </c>
      <c r="O18" s="2" t="s">
        <v>30</v>
      </c>
      <c r="P18" s="6" t="s">
        <v>245</v>
      </c>
      <c r="Q18" s="4">
        <v>23.3</v>
      </c>
      <c r="R18" s="4">
        <v>22.49</v>
      </c>
      <c r="S18" s="4">
        <v>0.75</v>
      </c>
      <c r="T18" s="4">
        <v>2</v>
      </c>
      <c r="U18" s="4" t="s">
        <v>122</v>
      </c>
      <c r="V18" s="4" t="s">
        <v>246</v>
      </c>
      <c r="W18" s="4" t="s">
        <v>247</v>
      </c>
      <c r="X18" s="4" t="s">
        <v>248</v>
      </c>
      <c r="Y18" s="4" t="s">
        <v>249</v>
      </c>
      <c r="Z18" s="4">
        <v>2</v>
      </c>
      <c r="AA18" s="4">
        <v>2390</v>
      </c>
      <c r="AB18" s="4" t="s">
        <v>124</v>
      </c>
      <c r="AC18" s="4">
        <v>457.86</v>
      </c>
      <c r="AD18" s="4" t="s">
        <v>124</v>
      </c>
      <c r="AE18" s="4">
        <v>970.9</v>
      </c>
      <c r="AF18" s="4">
        <v>746</v>
      </c>
      <c r="AG18" s="4">
        <v>2374.5</v>
      </c>
      <c r="AH18" s="4">
        <v>3</v>
      </c>
      <c r="AI18" s="4" t="s">
        <v>124</v>
      </c>
      <c r="AJ18" s="4">
        <v>120.83</v>
      </c>
      <c r="AK18" s="4">
        <v>1</v>
      </c>
      <c r="AL18" s="4">
        <v>0.05</v>
      </c>
      <c r="AM18" s="7">
        <v>6.1000000000000004E-3</v>
      </c>
      <c r="AN18" s="4">
        <v>547.5</v>
      </c>
      <c r="AO18" s="4">
        <v>1.01</v>
      </c>
      <c r="AP18" s="4" t="s">
        <v>124</v>
      </c>
      <c r="AQ18" s="4">
        <v>444</v>
      </c>
      <c r="AR18" s="4">
        <v>75.099999999999994</v>
      </c>
      <c r="AS18" s="4" t="s">
        <v>124</v>
      </c>
      <c r="AT18" s="4">
        <v>221</v>
      </c>
      <c r="AU18" s="4">
        <v>9.25</v>
      </c>
      <c r="AV18" s="4">
        <v>686.8</v>
      </c>
      <c r="AW18" s="4">
        <v>9.1999999999999993</v>
      </c>
      <c r="AX18" s="4">
        <v>3</v>
      </c>
      <c r="AY18" s="4">
        <v>2</v>
      </c>
      <c r="AZ18" s="4">
        <v>1</v>
      </c>
      <c r="BA18" s="4">
        <v>134.19999999999999</v>
      </c>
      <c r="BB18" s="4" t="s">
        <v>124</v>
      </c>
      <c r="BC18" s="4" t="s">
        <v>124</v>
      </c>
      <c r="BD18" s="4" t="s">
        <v>250</v>
      </c>
      <c r="BE18" s="4" t="s">
        <v>124</v>
      </c>
      <c r="BF18" s="4">
        <v>0.9</v>
      </c>
      <c r="BG18" s="4" t="s">
        <v>124</v>
      </c>
      <c r="BH18" s="4" t="s">
        <v>124</v>
      </c>
      <c r="BI18" s="4">
        <v>151793</v>
      </c>
      <c r="BJ18" s="4">
        <v>-12.25</v>
      </c>
      <c r="BK18" s="4">
        <v>-25.17</v>
      </c>
      <c r="BL18" s="4">
        <v>-18.71</v>
      </c>
      <c r="BM18" s="4">
        <v>50.46</v>
      </c>
      <c r="BN18" s="4">
        <v>43.61</v>
      </c>
      <c r="BO18" s="4">
        <v>47.04</v>
      </c>
      <c r="BP18" s="4">
        <v>2</v>
      </c>
      <c r="BQ18" s="4">
        <v>23.18</v>
      </c>
      <c r="BR18" s="4">
        <v>3</v>
      </c>
      <c r="BS18" s="4">
        <v>0.19</v>
      </c>
      <c r="BT18" s="4">
        <v>133.05000000000001</v>
      </c>
      <c r="BU18" s="4">
        <v>220.67</v>
      </c>
      <c r="BV18" s="4">
        <v>1139.1500000000001</v>
      </c>
      <c r="BW18" s="4">
        <v>1586.18</v>
      </c>
      <c r="BX18" s="4">
        <f>AVERAGE(434.7, 125)</f>
        <v>279.85000000000002</v>
      </c>
      <c r="BY18" s="4">
        <f>AVERAGE(15.6, 8.2, 16.59, 26.22)</f>
        <v>16.6525</v>
      </c>
      <c r="BZ18" s="4">
        <f>AVERAGE(11.5, 9.17)</f>
        <v>10.335000000000001</v>
      </c>
      <c r="CA18" s="4">
        <f>AVERAGE(16.2, 0.75)</f>
        <v>8.4749999999999996</v>
      </c>
      <c r="CB18" s="4">
        <f t="shared" si="0"/>
        <v>8.4749999999999992E-2</v>
      </c>
      <c r="CC18" s="4">
        <f>AVERAGE(7, 1, 12.21, 2.47)</f>
        <v>5.67</v>
      </c>
      <c r="CD18" s="4">
        <f t="shared" si="4"/>
        <v>10.335000000000001</v>
      </c>
      <c r="CE18" s="4">
        <f t="shared" si="2"/>
        <v>8.4749999999999992E-2</v>
      </c>
      <c r="CF18" s="47">
        <f t="shared" si="3"/>
        <v>121.94690265486727</v>
      </c>
    </row>
    <row r="19" spans="1:84" x14ac:dyDescent="0.2">
      <c r="A19" s="4" t="s">
        <v>32</v>
      </c>
      <c r="B19" s="4">
        <v>23.14</v>
      </c>
      <c r="C19" s="4">
        <v>99.58</v>
      </c>
      <c r="D19" s="4">
        <v>5.96</v>
      </c>
      <c r="E19" s="4">
        <v>52.43</v>
      </c>
      <c r="F19" s="4">
        <v>13.48</v>
      </c>
      <c r="G19" s="4">
        <v>50.72</v>
      </c>
      <c r="H19" s="4">
        <v>186</v>
      </c>
      <c r="I19" s="4">
        <v>260.77999999999997</v>
      </c>
      <c r="J19" s="4">
        <v>15.47</v>
      </c>
      <c r="K19" s="4">
        <v>245.31</v>
      </c>
      <c r="L19" s="4">
        <v>254</v>
      </c>
      <c r="M19" s="4">
        <v>107</v>
      </c>
      <c r="N19" s="4" t="s">
        <v>15</v>
      </c>
      <c r="O19" s="2" t="s">
        <v>32</v>
      </c>
      <c r="P19" s="6" t="s">
        <v>213</v>
      </c>
      <c r="Q19" s="4">
        <v>4.8</v>
      </c>
      <c r="R19" s="4">
        <v>4.63</v>
      </c>
      <c r="S19" s="4">
        <v>0.26</v>
      </c>
      <c r="T19" s="4">
        <v>2</v>
      </c>
      <c r="U19" s="4" t="s">
        <v>122</v>
      </c>
      <c r="V19" s="4" t="s">
        <v>203</v>
      </c>
      <c r="W19" s="4" t="s">
        <v>214</v>
      </c>
      <c r="X19" s="4" t="s">
        <v>215</v>
      </c>
      <c r="Y19" s="4" t="s">
        <v>216</v>
      </c>
      <c r="Z19" s="4">
        <v>1</v>
      </c>
      <c r="AA19" s="4">
        <v>216</v>
      </c>
      <c r="AB19" s="4" t="s">
        <v>124</v>
      </c>
      <c r="AC19" s="4">
        <v>160</v>
      </c>
      <c r="AD19" s="4" t="s">
        <v>124</v>
      </c>
      <c r="AE19" s="4">
        <v>511</v>
      </c>
      <c r="AF19" s="4">
        <v>167.6</v>
      </c>
      <c r="AG19" s="4">
        <v>223.25</v>
      </c>
      <c r="AH19" s="4">
        <v>3</v>
      </c>
      <c r="AI19" s="4" t="s">
        <v>124</v>
      </c>
      <c r="AJ19" s="4">
        <v>127.15</v>
      </c>
      <c r="AK19" s="4" t="s">
        <v>124</v>
      </c>
      <c r="AL19" s="4">
        <v>0.08</v>
      </c>
      <c r="AM19" s="4">
        <v>0.08</v>
      </c>
      <c r="AN19" s="4">
        <v>219</v>
      </c>
      <c r="AO19" s="4">
        <v>1.52</v>
      </c>
      <c r="AP19" s="4">
        <v>2</v>
      </c>
      <c r="AQ19" s="4">
        <v>204</v>
      </c>
      <c r="AR19" s="4">
        <v>11.5</v>
      </c>
      <c r="AS19" s="4" t="s">
        <v>124</v>
      </c>
      <c r="AT19" s="4">
        <v>90.4</v>
      </c>
      <c r="AU19" s="4" t="s">
        <v>124</v>
      </c>
      <c r="AV19" s="4">
        <v>287.86</v>
      </c>
      <c r="AW19" s="4">
        <v>3.5</v>
      </c>
      <c r="AX19" s="4" t="s">
        <v>124</v>
      </c>
      <c r="AY19" s="4" t="s">
        <v>124</v>
      </c>
      <c r="AZ19" s="4">
        <v>2</v>
      </c>
      <c r="BA19" s="4">
        <v>96.46</v>
      </c>
      <c r="BB19" s="4">
        <v>122</v>
      </c>
      <c r="BC19" s="4" t="s">
        <v>124</v>
      </c>
      <c r="BD19" s="4" t="s">
        <v>217</v>
      </c>
      <c r="BE19" s="4" t="s">
        <v>124</v>
      </c>
      <c r="BF19" s="4" t="s">
        <v>124</v>
      </c>
      <c r="BG19" s="4" t="s">
        <v>124</v>
      </c>
      <c r="BH19" s="4" t="s">
        <v>124</v>
      </c>
      <c r="BI19" s="4">
        <v>8867497</v>
      </c>
      <c r="BJ19" s="4">
        <v>17.84</v>
      </c>
      <c r="BK19" s="4">
        <v>-13.94</v>
      </c>
      <c r="BL19" s="4">
        <v>1.95</v>
      </c>
      <c r="BM19" s="4">
        <v>46.5</v>
      </c>
      <c r="BN19" s="4">
        <v>-17.53</v>
      </c>
      <c r="BO19" s="4">
        <v>14.48</v>
      </c>
      <c r="BP19" s="4">
        <v>0</v>
      </c>
      <c r="BQ19" s="4">
        <v>42.66</v>
      </c>
      <c r="BR19" s="4">
        <v>1</v>
      </c>
      <c r="BS19" s="4">
        <v>0.12</v>
      </c>
      <c r="BT19" s="4">
        <v>80.08</v>
      </c>
      <c r="BU19" s="4">
        <v>249.92</v>
      </c>
      <c r="BV19" s="4">
        <v>836.61</v>
      </c>
      <c r="BW19" s="4">
        <v>1594.8</v>
      </c>
      <c r="BX19" s="4" t="s">
        <v>124</v>
      </c>
      <c r="BY19" s="4" t="s">
        <v>124</v>
      </c>
      <c r="BZ19" s="4">
        <f>AVERAGE(1, 6, 1, 3)</f>
        <v>2.75</v>
      </c>
      <c r="CA19" s="4" t="s">
        <v>124</v>
      </c>
      <c r="CB19" s="4" t="str">
        <f t="shared" si="0"/>
        <v>NA</v>
      </c>
      <c r="CC19" s="4" t="s">
        <v>124</v>
      </c>
      <c r="CD19" s="4">
        <f t="shared" ref="CD19:CD45" si="5">IF(ISNUMBER(SEARCH(BZ19,"NA")), AW19, BZ19)</f>
        <v>2.75</v>
      </c>
      <c r="CE19" s="4">
        <f t="shared" si="2"/>
        <v>0.08</v>
      </c>
      <c r="CF19" s="47">
        <f t="shared" si="3"/>
        <v>34.375</v>
      </c>
    </row>
    <row r="20" spans="1:84" x14ac:dyDescent="0.2">
      <c r="A20" s="4" t="s">
        <v>33</v>
      </c>
      <c r="B20" s="4">
        <v>13.4</v>
      </c>
      <c r="C20" s="4">
        <v>53.7</v>
      </c>
      <c r="D20" s="4">
        <v>3.08</v>
      </c>
      <c r="E20" s="4">
        <v>28.64</v>
      </c>
      <c r="F20" s="4">
        <v>7</v>
      </c>
      <c r="G20" s="4">
        <v>24.66</v>
      </c>
      <c r="H20" s="4">
        <v>81</v>
      </c>
      <c r="I20" s="4">
        <v>152.24</v>
      </c>
      <c r="J20" s="4">
        <v>21.76</v>
      </c>
      <c r="K20" s="4">
        <v>130.47999999999999</v>
      </c>
      <c r="L20" s="4">
        <v>169</v>
      </c>
      <c r="M20" s="4">
        <v>59.9</v>
      </c>
      <c r="N20" s="4" t="s">
        <v>15</v>
      </c>
      <c r="O20" s="5" t="s">
        <v>33</v>
      </c>
      <c r="P20" s="3" t="s">
        <v>208</v>
      </c>
      <c r="Q20" s="4">
        <v>3.38</v>
      </c>
      <c r="R20" s="4">
        <v>3.26</v>
      </c>
      <c r="S20" s="4">
        <v>0.15</v>
      </c>
      <c r="T20" s="4">
        <v>2</v>
      </c>
      <c r="U20" s="4" t="s">
        <v>122</v>
      </c>
      <c r="V20" s="4" t="s">
        <v>203</v>
      </c>
      <c r="W20" s="4" t="s">
        <v>209</v>
      </c>
      <c r="X20" s="4" t="s">
        <v>210</v>
      </c>
      <c r="Y20" s="4" t="s">
        <v>211</v>
      </c>
      <c r="Z20" s="4">
        <v>1</v>
      </c>
      <c r="AA20" s="4">
        <v>67.099999999999994</v>
      </c>
      <c r="AB20" s="4" t="s">
        <v>124</v>
      </c>
      <c r="AC20" s="4">
        <v>120</v>
      </c>
      <c r="AD20" s="4" t="s">
        <v>124</v>
      </c>
      <c r="AE20" s="4">
        <v>359.52</v>
      </c>
      <c r="AF20" s="4">
        <v>63.2</v>
      </c>
      <c r="AG20" s="4">
        <v>63.8</v>
      </c>
      <c r="AH20" s="4">
        <v>4</v>
      </c>
      <c r="AI20" s="4" t="s">
        <v>124</v>
      </c>
      <c r="AJ20" s="4">
        <v>110.99</v>
      </c>
      <c r="AK20" s="4" t="s">
        <v>124</v>
      </c>
      <c r="AL20" s="4">
        <v>0.01</v>
      </c>
      <c r="AM20" s="7">
        <v>9.5999999999999992E-3</v>
      </c>
      <c r="AN20" s="4">
        <v>365</v>
      </c>
      <c r="AO20" s="4">
        <v>1.5</v>
      </c>
      <c r="AP20" s="4">
        <v>1.5</v>
      </c>
      <c r="AQ20" s="4">
        <v>168</v>
      </c>
      <c r="AR20" s="4">
        <v>9.9</v>
      </c>
      <c r="AS20" s="4" t="s">
        <v>124</v>
      </c>
      <c r="AT20" s="4">
        <v>58.4</v>
      </c>
      <c r="AU20" s="4" t="s">
        <v>124</v>
      </c>
      <c r="AV20" s="4">
        <v>305.87</v>
      </c>
      <c r="AW20" s="4">
        <v>1</v>
      </c>
      <c r="AX20" s="4" t="s">
        <v>124</v>
      </c>
      <c r="AY20" s="4" t="s">
        <v>124</v>
      </c>
      <c r="AZ20" s="4">
        <v>2</v>
      </c>
      <c r="BA20" s="4">
        <v>43.47</v>
      </c>
      <c r="BB20" s="4" t="s">
        <v>124</v>
      </c>
      <c r="BC20" s="4" t="s">
        <v>124</v>
      </c>
      <c r="BD20" s="4" t="s">
        <v>212</v>
      </c>
      <c r="BE20" s="4" t="s">
        <v>124</v>
      </c>
      <c r="BF20" s="4" t="s">
        <v>124</v>
      </c>
      <c r="BG20" s="4" t="s">
        <v>124</v>
      </c>
      <c r="BH20" s="4" t="s">
        <v>124</v>
      </c>
      <c r="BI20" s="4">
        <v>5029007</v>
      </c>
      <c r="BJ20" s="4">
        <v>9.93</v>
      </c>
      <c r="BK20" s="4">
        <v>-12.14</v>
      </c>
      <c r="BL20" s="4">
        <v>-1.1000000000000001</v>
      </c>
      <c r="BM20" s="4">
        <v>39.86</v>
      </c>
      <c r="BN20" s="4">
        <v>-13.5</v>
      </c>
      <c r="BO20" s="4">
        <v>13.17</v>
      </c>
      <c r="BP20" s="4">
        <v>0</v>
      </c>
      <c r="BQ20" s="4">
        <v>41.04</v>
      </c>
      <c r="BR20" s="4">
        <v>1</v>
      </c>
      <c r="BS20" s="4">
        <v>0.13</v>
      </c>
      <c r="BT20" s="4">
        <v>136.05000000000001</v>
      </c>
      <c r="BU20" s="4">
        <v>241.39</v>
      </c>
      <c r="BV20" s="4">
        <v>1253.98</v>
      </c>
      <c r="BW20" s="4">
        <v>1539.76</v>
      </c>
      <c r="BX20" s="4" t="s">
        <v>124</v>
      </c>
      <c r="BY20" s="4" t="s">
        <v>124</v>
      </c>
      <c r="BZ20" s="4">
        <v>2</v>
      </c>
      <c r="CA20" s="4">
        <f>AVERAGE(0.8, 0.5)</f>
        <v>0.65</v>
      </c>
      <c r="CB20" s="4">
        <f t="shared" si="0"/>
        <v>6.5000000000000006E-3</v>
      </c>
      <c r="CC20" s="4" t="s">
        <v>124</v>
      </c>
      <c r="CD20" s="4">
        <f t="shared" si="5"/>
        <v>2</v>
      </c>
      <c r="CE20" s="4">
        <f t="shared" si="2"/>
        <v>6.5000000000000006E-3</v>
      </c>
      <c r="CF20" s="47">
        <f t="shared" si="3"/>
        <v>307.69230769230768</v>
      </c>
    </row>
    <row r="21" spans="1:84" x14ac:dyDescent="0.2">
      <c r="A21" s="4" t="s">
        <v>34</v>
      </c>
      <c r="B21" s="4">
        <v>191.7</v>
      </c>
      <c r="C21" s="4">
        <v>1405.57</v>
      </c>
      <c r="D21" s="4">
        <v>130.65</v>
      </c>
      <c r="E21" s="4">
        <v>951.51</v>
      </c>
      <c r="F21" s="4">
        <v>210.02</v>
      </c>
      <c r="G21" s="4">
        <v>415.98</v>
      </c>
      <c r="H21" s="4">
        <v>105000</v>
      </c>
      <c r="I21" s="4">
        <v>4780.4799999999996</v>
      </c>
      <c r="J21" s="4">
        <v>1475.05</v>
      </c>
      <c r="K21" s="4">
        <v>3305.43</v>
      </c>
      <c r="L21" s="4">
        <v>7509</v>
      </c>
      <c r="M21" s="4">
        <v>2729</v>
      </c>
      <c r="N21" s="4" t="s">
        <v>13</v>
      </c>
      <c r="O21" s="2" t="s">
        <v>34</v>
      </c>
      <c r="P21" s="6" t="s">
        <v>218</v>
      </c>
      <c r="Q21" s="4">
        <v>500</v>
      </c>
      <c r="R21" s="4">
        <v>482.63</v>
      </c>
      <c r="S21" s="4">
        <v>4.78</v>
      </c>
      <c r="T21" s="4">
        <v>2</v>
      </c>
      <c r="U21" s="4" t="s">
        <v>122</v>
      </c>
      <c r="V21" s="4" t="s">
        <v>219</v>
      </c>
      <c r="W21" s="4" t="s">
        <v>220</v>
      </c>
      <c r="X21" s="4" t="s">
        <v>221</v>
      </c>
      <c r="Y21" s="4" t="s">
        <v>222</v>
      </c>
      <c r="Z21" s="4">
        <v>3</v>
      </c>
      <c r="AA21" s="4">
        <v>114000</v>
      </c>
      <c r="AB21" s="4" t="s">
        <v>124</v>
      </c>
      <c r="AC21" s="4">
        <v>1596.87</v>
      </c>
      <c r="AD21" s="4" t="s">
        <v>124</v>
      </c>
      <c r="AE21" s="4">
        <v>3650</v>
      </c>
      <c r="AF21" s="4" t="s">
        <v>124</v>
      </c>
      <c r="AG21" s="4" t="s">
        <v>124</v>
      </c>
      <c r="AH21" s="4">
        <v>3</v>
      </c>
      <c r="AI21" s="4">
        <v>5140.2</v>
      </c>
      <c r="AJ21" s="4">
        <v>256.99</v>
      </c>
      <c r="AK21" s="4">
        <v>1</v>
      </c>
      <c r="AL21" s="4">
        <v>4.1100000000000003</v>
      </c>
      <c r="AM21" s="4" t="s">
        <v>124</v>
      </c>
      <c r="AN21" s="4">
        <v>1430.8</v>
      </c>
      <c r="AO21" s="4">
        <v>1</v>
      </c>
      <c r="AP21" s="4" t="s">
        <v>124</v>
      </c>
      <c r="AQ21" s="4">
        <v>648</v>
      </c>
      <c r="AR21" s="4">
        <v>2100</v>
      </c>
      <c r="AS21" s="4" t="s">
        <v>124</v>
      </c>
      <c r="AT21" s="4">
        <v>0.59</v>
      </c>
      <c r="AU21" s="4">
        <v>10</v>
      </c>
      <c r="AV21" s="4">
        <v>2828.74</v>
      </c>
      <c r="AW21" s="4">
        <v>6</v>
      </c>
      <c r="AX21" s="4" t="s">
        <v>124</v>
      </c>
      <c r="AY21" s="4">
        <v>1</v>
      </c>
      <c r="AZ21" s="4">
        <v>2</v>
      </c>
      <c r="BA21" s="4">
        <v>929.63</v>
      </c>
      <c r="BB21" s="4">
        <v>19000</v>
      </c>
      <c r="BC21" s="4" t="s">
        <v>124</v>
      </c>
      <c r="BD21" s="4" t="s">
        <v>223</v>
      </c>
      <c r="BE21" s="4" t="s">
        <v>124</v>
      </c>
      <c r="BF21" s="4">
        <v>0.55000000000000004</v>
      </c>
      <c r="BG21" s="4" t="s">
        <v>124</v>
      </c>
      <c r="BH21" s="4" t="s">
        <v>124</v>
      </c>
      <c r="BI21" s="4">
        <v>733663</v>
      </c>
      <c r="BJ21" s="4">
        <v>7.82</v>
      </c>
      <c r="BK21" s="4">
        <v>-6.05</v>
      </c>
      <c r="BL21" s="4">
        <v>0.88</v>
      </c>
      <c r="BM21" s="4">
        <v>30.29</v>
      </c>
      <c r="BN21" s="4">
        <v>8.69</v>
      </c>
      <c r="BO21" s="4">
        <v>19.489999999999998</v>
      </c>
      <c r="BP21" s="4">
        <v>0</v>
      </c>
      <c r="BQ21" s="4">
        <v>27.92</v>
      </c>
      <c r="BR21" s="4">
        <v>1</v>
      </c>
      <c r="BS21" s="4">
        <v>0.08</v>
      </c>
      <c r="BT21" s="4">
        <v>147.33000000000001</v>
      </c>
      <c r="BU21" s="4">
        <v>235.86</v>
      </c>
      <c r="BV21" s="4">
        <v>1316.69</v>
      </c>
      <c r="BW21" s="4">
        <v>1507.45</v>
      </c>
      <c r="BX21" s="4">
        <f>AVERAGE(1527, 2014, 1100)</f>
        <v>1547</v>
      </c>
      <c r="BY21" s="4">
        <f>AVERAGE(67.1, 54.5)</f>
        <v>60.8</v>
      </c>
      <c r="BZ21" s="4">
        <f>AVERAGE(17.4, 8.2, 8.4, 10)</f>
        <v>11</v>
      </c>
      <c r="CA21" s="4">
        <f>AVERAGE(11, 10.6, 15.4, 21.7)</f>
        <v>14.675000000000001</v>
      </c>
      <c r="CB21" s="4">
        <f t="shared" si="0"/>
        <v>0.14675000000000002</v>
      </c>
      <c r="CC21" s="4">
        <f>AVERAGE(11.7, 13)</f>
        <v>12.35</v>
      </c>
      <c r="CD21" s="4">
        <f t="shared" si="5"/>
        <v>11</v>
      </c>
      <c r="CE21" s="4">
        <f t="shared" si="2"/>
        <v>0.14675000000000002</v>
      </c>
      <c r="CF21" s="47">
        <f t="shared" si="3"/>
        <v>74.95741056218057</v>
      </c>
    </row>
    <row r="22" spans="1:84" x14ac:dyDescent="0.2">
      <c r="A22" s="4" t="s">
        <v>35</v>
      </c>
      <c r="B22" s="4">
        <v>821.76</v>
      </c>
      <c r="C22" s="4">
        <v>2793.05</v>
      </c>
      <c r="D22" s="4">
        <v>229.52</v>
      </c>
      <c r="E22" s="4">
        <v>2357.63</v>
      </c>
      <c r="F22" s="4">
        <v>397.17</v>
      </c>
      <c r="G22" s="4">
        <v>834.47</v>
      </c>
      <c r="H22" s="4">
        <v>65000</v>
      </c>
      <c r="I22" s="4">
        <v>10287.379999999999</v>
      </c>
      <c r="J22" s="4">
        <v>2853.78</v>
      </c>
      <c r="K22" s="4">
        <v>7433.6</v>
      </c>
      <c r="L22" s="4">
        <v>9622</v>
      </c>
      <c r="M22" s="4">
        <v>6142</v>
      </c>
      <c r="N22" s="4" t="s">
        <v>13</v>
      </c>
      <c r="O22" s="2" t="s">
        <v>35</v>
      </c>
      <c r="P22" s="6" t="s">
        <v>224</v>
      </c>
      <c r="Q22" s="4">
        <v>1330</v>
      </c>
      <c r="R22" s="4">
        <v>1283.78</v>
      </c>
      <c r="S22" s="4">
        <v>10.29</v>
      </c>
      <c r="T22" s="4">
        <v>2</v>
      </c>
      <c r="U22" s="4" t="s">
        <v>122</v>
      </c>
      <c r="V22" s="4" t="s">
        <v>219</v>
      </c>
      <c r="W22" s="4" t="s">
        <v>225</v>
      </c>
      <c r="X22" s="4" t="s">
        <v>226</v>
      </c>
      <c r="Y22" s="4" t="s">
        <v>227</v>
      </c>
      <c r="Z22" s="4">
        <v>3</v>
      </c>
      <c r="AA22" s="4">
        <v>58700</v>
      </c>
      <c r="AB22" s="4" t="s">
        <v>124</v>
      </c>
      <c r="AC22" s="4" t="s">
        <v>124</v>
      </c>
      <c r="AD22" s="4" t="s">
        <v>124</v>
      </c>
      <c r="AE22" s="4">
        <v>5292.5</v>
      </c>
      <c r="AF22" s="4" t="s">
        <v>124</v>
      </c>
      <c r="AG22" s="4" t="s">
        <v>124</v>
      </c>
      <c r="AH22" s="3" t="s">
        <v>124</v>
      </c>
      <c r="AI22" s="4" t="s">
        <v>124</v>
      </c>
      <c r="AJ22" s="4">
        <v>274.77999999999997</v>
      </c>
      <c r="AK22" s="4" t="s">
        <v>124</v>
      </c>
      <c r="AL22" s="4" t="s">
        <v>124</v>
      </c>
      <c r="AM22" s="4" t="s">
        <v>124</v>
      </c>
      <c r="AN22" s="4">
        <v>958.12</v>
      </c>
      <c r="AO22" s="4">
        <v>1</v>
      </c>
      <c r="AP22" s="4" t="s">
        <v>124</v>
      </c>
      <c r="AQ22" s="4">
        <v>1470</v>
      </c>
      <c r="AR22" s="4">
        <v>3190</v>
      </c>
      <c r="AS22" s="4" t="s">
        <v>124</v>
      </c>
      <c r="AT22" s="4" t="s">
        <v>124</v>
      </c>
      <c r="AU22" s="4" t="s">
        <v>124</v>
      </c>
      <c r="AV22" s="4">
        <v>4842.2700000000004</v>
      </c>
      <c r="AW22" s="4" t="s">
        <v>124</v>
      </c>
      <c r="AX22" s="4" t="s">
        <v>124</v>
      </c>
      <c r="AY22" s="4" t="s">
        <v>124</v>
      </c>
      <c r="AZ22" s="4" t="s">
        <v>124</v>
      </c>
      <c r="BA22" s="4">
        <v>721.15</v>
      </c>
      <c r="BB22" s="4">
        <v>9000</v>
      </c>
      <c r="BC22" s="4" t="s">
        <v>124</v>
      </c>
      <c r="BD22" s="4" t="s">
        <v>228</v>
      </c>
      <c r="BE22" s="4" t="s">
        <v>124</v>
      </c>
      <c r="BF22" s="4">
        <v>0.68</v>
      </c>
      <c r="BG22" s="4" t="s">
        <v>124</v>
      </c>
      <c r="BH22" s="4" t="s">
        <v>124</v>
      </c>
      <c r="BI22" s="4" t="s">
        <v>124</v>
      </c>
      <c r="BJ22" s="4" t="s">
        <v>124</v>
      </c>
      <c r="BK22" s="4" t="s">
        <v>124</v>
      </c>
      <c r="BL22" s="4" t="s">
        <v>124</v>
      </c>
      <c r="BM22" s="4" t="s">
        <v>124</v>
      </c>
      <c r="BN22" s="4" t="s">
        <v>124</v>
      </c>
      <c r="BO22" s="4" t="s">
        <v>124</v>
      </c>
      <c r="BP22" s="4" t="s">
        <v>124</v>
      </c>
      <c r="BQ22" s="4" t="s">
        <v>124</v>
      </c>
      <c r="BR22" s="4" t="s">
        <v>124</v>
      </c>
      <c r="BS22" s="4" t="s">
        <v>124</v>
      </c>
      <c r="BT22" s="4" t="s">
        <v>124</v>
      </c>
      <c r="BU22" s="4" t="s">
        <v>124</v>
      </c>
      <c r="BV22" s="4" t="s">
        <v>124</v>
      </c>
      <c r="BW22" s="4" t="s">
        <v>124</v>
      </c>
      <c r="BX22" s="4">
        <f>AVERAGE(9.5, 14.1)</f>
        <v>11.8</v>
      </c>
      <c r="BY22" s="4" t="s">
        <v>124</v>
      </c>
      <c r="BZ22" s="4">
        <v>26</v>
      </c>
      <c r="CA22" s="4">
        <v>175</v>
      </c>
      <c r="CB22" s="4">
        <f t="shared" si="0"/>
        <v>1.75</v>
      </c>
      <c r="CC22" s="4" t="s">
        <v>124</v>
      </c>
      <c r="CD22" s="4">
        <f t="shared" si="5"/>
        <v>26</v>
      </c>
      <c r="CE22" s="4">
        <f t="shared" si="2"/>
        <v>1.75</v>
      </c>
      <c r="CF22" s="47">
        <f t="shared" si="3"/>
        <v>14.857142857142858</v>
      </c>
    </row>
    <row r="23" spans="1:84" x14ac:dyDescent="0.2">
      <c r="A23" s="4" t="s">
        <v>36</v>
      </c>
      <c r="B23" s="4">
        <v>139.38999999999999</v>
      </c>
      <c r="C23" s="4">
        <v>866.51</v>
      </c>
      <c r="D23" s="4">
        <v>76.73</v>
      </c>
      <c r="E23" s="4">
        <v>547</v>
      </c>
      <c r="F23" s="4">
        <v>226.25</v>
      </c>
      <c r="G23" s="4">
        <v>372.03</v>
      </c>
      <c r="H23" s="4">
        <v>5700</v>
      </c>
      <c r="I23" s="4">
        <v>2672.56</v>
      </c>
      <c r="J23" s="4">
        <v>444.65</v>
      </c>
      <c r="K23" s="4">
        <v>2227.91</v>
      </c>
      <c r="L23" s="4">
        <v>2251</v>
      </c>
      <c r="M23" s="4">
        <v>1136</v>
      </c>
      <c r="N23" s="4" t="s">
        <v>13</v>
      </c>
      <c r="O23" s="2" t="s">
        <v>36</v>
      </c>
      <c r="P23" s="6" t="s">
        <v>229</v>
      </c>
      <c r="Q23" s="4">
        <v>102</v>
      </c>
      <c r="R23" s="4">
        <v>98.46</v>
      </c>
      <c r="S23" s="4">
        <v>2.67</v>
      </c>
      <c r="T23" s="4">
        <v>2</v>
      </c>
      <c r="U23" s="4" t="s">
        <v>122</v>
      </c>
      <c r="V23" s="4" t="s">
        <v>230</v>
      </c>
      <c r="W23" s="4" t="s">
        <v>231</v>
      </c>
      <c r="X23" s="4" t="s">
        <v>232</v>
      </c>
      <c r="Y23" s="4" t="s">
        <v>233</v>
      </c>
      <c r="Z23" s="4">
        <v>3</v>
      </c>
      <c r="AA23" s="4">
        <v>5630</v>
      </c>
      <c r="AB23" s="4" t="s">
        <v>124</v>
      </c>
      <c r="AC23" s="4">
        <v>545</v>
      </c>
      <c r="AD23" s="4" t="s">
        <v>124</v>
      </c>
      <c r="AE23" s="4">
        <v>3398.15</v>
      </c>
      <c r="AF23" s="4" t="s">
        <v>124</v>
      </c>
      <c r="AG23" s="4" t="s">
        <v>124</v>
      </c>
      <c r="AH23" s="4">
        <v>4</v>
      </c>
      <c r="AI23" s="4" t="s">
        <v>124</v>
      </c>
      <c r="AJ23" s="4">
        <v>212.91</v>
      </c>
      <c r="AK23" s="4" t="s">
        <v>124</v>
      </c>
      <c r="AL23" s="4">
        <v>0.33</v>
      </c>
      <c r="AM23" s="4">
        <v>0.32</v>
      </c>
      <c r="AN23" s="4">
        <v>983.67</v>
      </c>
      <c r="AO23" s="4">
        <v>1</v>
      </c>
      <c r="AP23" s="4" t="s">
        <v>124</v>
      </c>
      <c r="AQ23" s="4">
        <v>480</v>
      </c>
      <c r="AR23" s="4">
        <v>399</v>
      </c>
      <c r="AS23" s="4" t="s">
        <v>124</v>
      </c>
      <c r="AT23" s="4">
        <v>6.6</v>
      </c>
      <c r="AU23" s="4" t="s">
        <v>124</v>
      </c>
      <c r="AV23" s="4">
        <v>3341.27</v>
      </c>
      <c r="AW23" s="4">
        <v>3.2</v>
      </c>
      <c r="AX23" s="4" t="s">
        <v>124</v>
      </c>
      <c r="AY23" s="4" t="s">
        <v>124</v>
      </c>
      <c r="AZ23" s="4">
        <v>2</v>
      </c>
      <c r="BA23" s="4">
        <v>721.15</v>
      </c>
      <c r="BB23" s="4">
        <v>1030</v>
      </c>
      <c r="BC23" s="4" t="s">
        <v>124</v>
      </c>
      <c r="BD23" s="4" t="s">
        <v>234</v>
      </c>
      <c r="BE23" s="4" t="s">
        <v>124</v>
      </c>
      <c r="BF23" s="4">
        <v>0.67</v>
      </c>
      <c r="BG23" s="4" t="s">
        <v>124</v>
      </c>
      <c r="BH23" s="4" t="s">
        <v>124</v>
      </c>
      <c r="BI23" s="4">
        <v>425652</v>
      </c>
      <c r="BJ23" s="4">
        <v>25.5</v>
      </c>
      <c r="BK23" s="4">
        <v>1.87</v>
      </c>
      <c r="BL23" s="4">
        <v>13.68</v>
      </c>
      <c r="BM23" s="4">
        <v>103.77</v>
      </c>
      <c r="BN23" s="4">
        <v>95.49</v>
      </c>
      <c r="BO23" s="4">
        <v>99.63</v>
      </c>
      <c r="BP23" s="4">
        <v>3</v>
      </c>
      <c r="BQ23" s="4">
        <v>90.44</v>
      </c>
      <c r="BR23" s="4">
        <v>10</v>
      </c>
      <c r="BS23" s="4">
        <v>0.08</v>
      </c>
      <c r="BT23" s="4">
        <v>172.74</v>
      </c>
      <c r="BU23" s="4">
        <v>229.63</v>
      </c>
      <c r="BV23" s="4">
        <v>1278.0999999999999</v>
      </c>
      <c r="BW23" s="4">
        <v>1612.26</v>
      </c>
      <c r="BX23" s="4">
        <f>AVERAGE(1670, 1430)</f>
        <v>1550</v>
      </c>
      <c r="BY23" s="4">
        <f>AVERAGE(42, 29, 42)</f>
        <v>37.666666666666664</v>
      </c>
      <c r="BZ23" s="4">
        <f>AVERAGE(3.84, 4.4, 4.9)</f>
        <v>4.38</v>
      </c>
      <c r="CA23" s="4">
        <f>AVERAGE(20, 40, 41)</f>
        <v>33.666666666666664</v>
      </c>
      <c r="CB23" s="4">
        <f t="shared" si="0"/>
        <v>0.33666666666666667</v>
      </c>
      <c r="CC23" s="4">
        <f>AVERAGE(32, 47)</f>
        <v>39.5</v>
      </c>
      <c r="CD23" s="4">
        <f t="shared" si="5"/>
        <v>4.38</v>
      </c>
      <c r="CE23" s="4">
        <f t="shared" si="2"/>
        <v>0.33666666666666667</v>
      </c>
      <c r="CF23" s="47">
        <f t="shared" si="3"/>
        <v>13.009900990099009</v>
      </c>
    </row>
    <row r="24" spans="1:84" x14ac:dyDescent="0.2">
      <c r="A24" s="4" t="s">
        <v>37</v>
      </c>
      <c r="B24" s="4">
        <v>98.11</v>
      </c>
      <c r="C24" s="4">
        <v>477.66</v>
      </c>
      <c r="D24" s="4">
        <v>35.770000000000003</v>
      </c>
      <c r="E24" s="4">
        <v>336.04</v>
      </c>
      <c r="F24" s="4">
        <v>57.87</v>
      </c>
      <c r="G24" s="4">
        <v>165.35</v>
      </c>
      <c r="H24" s="4">
        <v>6250</v>
      </c>
      <c r="I24" s="4">
        <v>1529.38</v>
      </c>
      <c r="J24" s="4">
        <v>358.58</v>
      </c>
      <c r="K24" s="4">
        <v>1170.8</v>
      </c>
      <c r="L24" s="4">
        <v>1342</v>
      </c>
      <c r="M24" s="4">
        <v>848</v>
      </c>
      <c r="N24" s="4" t="s">
        <v>13</v>
      </c>
      <c r="O24" s="2" t="s">
        <v>37</v>
      </c>
      <c r="P24" s="6" t="s">
        <v>235</v>
      </c>
      <c r="Q24" s="4">
        <v>38.299999999999997</v>
      </c>
      <c r="R24" s="4">
        <v>36.97</v>
      </c>
      <c r="S24" s="4">
        <v>1.52</v>
      </c>
      <c r="T24" s="4">
        <v>2</v>
      </c>
      <c r="U24" s="4" t="s">
        <v>122</v>
      </c>
      <c r="V24" s="4" t="s">
        <v>134</v>
      </c>
      <c r="W24" s="4" t="s">
        <v>236</v>
      </c>
      <c r="X24" s="4" t="s">
        <v>237</v>
      </c>
      <c r="Y24" s="4" t="s">
        <v>238</v>
      </c>
      <c r="Z24" s="4">
        <v>3</v>
      </c>
      <c r="AA24" s="4">
        <v>8650</v>
      </c>
      <c r="AB24" s="4" t="s">
        <v>124</v>
      </c>
      <c r="AC24" s="4">
        <v>734.99</v>
      </c>
      <c r="AD24" s="4" t="s">
        <v>124</v>
      </c>
      <c r="AE24" s="4" t="s">
        <v>124</v>
      </c>
      <c r="AF24" s="4" t="s">
        <v>124</v>
      </c>
      <c r="AG24" s="4" t="s">
        <v>124</v>
      </c>
      <c r="AH24" s="4">
        <v>4</v>
      </c>
      <c r="AI24" s="4" t="s">
        <v>124</v>
      </c>
      <c r="AJ24" s="4">
        <v>136.5</v>
      </c>
      <c r="AK24" s="4">
        <v>1</v>
      </c>
      <c r="AL24" s="4">
        <v>0.12</v>
      </c>
      <c r="AM24" s="4">
        <v>0.12</v>
      </c>
      <c r="AN24" s="4">
        <v>912.5</v>
      </c>
      <c r="AO24" s="4">
        <v>1</v>
      </c>
      <c r="AP24" s="4">
        <v>0.42</v>
      </c>
      <c r="AQ24" s="4" t="s">
        <v>124</v>
      </c>
      <c r="AR24" s="4" t="s">
        <v>124</v>
      </c>
      <c r="AS24" s="4" t="s">
        <v>124</v>
      </c>
      <c r="AT24" s="4">
        <v>10.8</v>
      </c>
      <c r="AU24" s="4">
        <v>3.5</v>
      </c>
      <c r="AV24" s="4">
        <v>1559.07</v>
      </c>
      <c r="AW24" s="4">
        <v>3.1</v>
      </c>
      <c r="AX24" s="4">
        <v>2</v>
      </c>
      <c r="AY24" s="4">
        <v>2</v>
      </c>
      <c r="AZ24" s="4">
        <v>1</v>
      </c>
      <c r="BA24" s="4">
        <v>330.26</v>
      </c>
      <c r="BB24" s="4" t="s">
        <v>124</v>
      </c>
      <c r="BC24" s="4" t="s">
        <v>124</v>
      </c>
      <c r="BD24" s="4" t="s">
        <v>239</v>
      </c>
      <c r="BE24" s="4" t="s">
        <v>124</v>
      </c>
      <c r="BF24" s="4" t="s">
        <v>124</v>
      </c>
      <c r="BG24" s="4" t="s">
        <v>124</v>
      </c>
      <c r="BH24" s="4" t="s">
        <v>124</v>
      </c>
      <c r="BI24" s="4">
        <v>39656</v>
      </c>
      <c r="BJ24" s="4">
        <v>-14.65</v>
      </c>
      <c r="BK24" s="4">
        <v>-19.809999999999999</v>
      </c>
      <c r="BL24" s="4">
        <v>-17.23</v>
      </c>
      <c r="BM24" s="4">
        <v>49.93</v>
      </c>
      <c r="BN24" s="4">
        <v>47.78</v>
      </c>
      <c r="BO24" s="4">
        <v>48.86</v>
      </c>
      <c r="BP24" s="4">
        <v>8</v>
      </c>
      <c r="BQ24" s="4">
        <v>44.05</v>
      </c>
      <c r="BR24" s="4">
        <v>11</v>
      </c>
      <c r="BS24" s="4">
        <v>0.18</v>
      </c>
      <c r="BT24" s="4">
        <v>187.11</v>
      </c>
      <c r="BU24" s="4">
        <v>199.75</v>
      </c>
      <c r="BV24" s="4">
        <v>1342.61</v>
      </c>
      <c r="BW24" s="4">
        <v>1594.77</v>
      </c>
      <c r="BX24" s="4">
        <v>300</v>
      </c>
      <c r="BY24" s="4" t="s">
        <v>124</v>
      </c>
      <c r="BZ24" s="4">
        <v>2</v>
      </c>
      <c r="CA24" s="4">
        <v>18</v>
      </c>
      <c r="CB24" s="4">
        <f t="shared" si="0"/>
        <v>0.18</v>
      </c>
      <c r="CC24" s="4" t="s">
        <v>124</v>
      </c>
      <c r="CD24" s="4">
        <f t="shared" si="5"/>
        <v>2</v>
      </c>
      <c r="CE24" s="4">
        <f t="shared" si="2"/>
        <v>0.18</v>
      </c>
      <c r="CF24" s="47">
        <f t="shared" si="3"/>
        <v>11.111111111111111</v>
      </c>
    </row>
    <row r="25" spans="1:84" x14ac:dyDescent="0.2">
      <c r="A25" s="4" t="s">
        <v>38</v>
      </c>
      <c r="B25" s="4">
        <v>78.34</v>
      </c>
      <c r="C25" s="4">
        <v>400.11</v>
      </c>
      <c r="D25" s="4">
        <v>49.57</v>
      </c>
      <c r="E25" s="4">
        <v>332.56</v>
      </c>
      <c r="F25" s="4">
        <v>73.930000000000007</v>
      </c>
      <c r="G25" s="4">
        <v>192.28</v>
      </c>
      <c r="H25" s="4">
        <v>5200</v>
      </c>
      <c r="I25" s="4">
        <v>1585.69</v>
      </c>
      <c r="J25" s="4">
        <v>458.9</v>
      </c>
      <c r="K25" s="4">
        <v>1126.79</v>
      </c>
      <c r="L25" s="4">
        <v>2110</v>
      </c>
      <c r="M25" s="4">
        <v>680</v>
      </c>
      <c r="N25" s="4" t="s">
        <v>13</v>
      </c>
      <c r="O25" s="2" t="s">
        <v>38</v>
      </c>
      <c r="P25" s="6" t="s">
        <v>240</v>
      </c>
      <c r="Q25" s="4">
        <v>101</v>
      </c>
      <c r="R25" s="4">
        <v>97.49</v>
      </c>
      <c r="S25" s="4">
        <v>1.59</v>
      </c>
      <c r="T25" s="4">
        <v>2</v>
      </c>
      <c r="U25" s="4" t="s">
        <v>122</v>
      </c>
      <c r="V25" s="4" t="s">
        <v>125</v>
      </c>
      <c r="W25" s="4" t="s">
        <v>241</v>
      </c>
      <c r="X25" s="4" t="s">
        <v>242</v>
      </c>
      <c r="Y25" s="4" t="s">
        <v>243</v>
      </c>
      <c r="Z25" s="4">
        <v>3</v>
      </c>
      <c r="AA25" s="4">
        <v>6270</v>
      </c>
      <c r="AB25" s="4" t="s">
        <v>124</v>
      </c>
      <c r="AC25" s="4">
        <v>537.21</v>
      </c>
      <c r="AD25" s="4" t="s">
        <v>124</v>
      </c>
      <c r="AE25" s="4">
        <v>2766.7</v>
      </c>
      <c r="AF25" s="4" t="s">
        <v>124</v>
      </c>
      <c r="AG25" s="4" t="s">
        <v>124</v>
      </c>
      <c r="AH25" s="4">
        <v>4</v>
      </c>
      <c r="AI25" s="4" t="s">
        <v>124</v>
      </c>
      <c r="AJ25" s="4">
        <v>223.99</v>
      </c>
      <c r="AK25" s="4">
        <v>1</v>
      </c>
      <c r="AL25" s="4">
        <v>2.85</v>
      </c>
      <c r="AM25" s="4">
        <v>2.79</v>
      </c>
      <c r="AN25" s="4">
        <v>638.75</v>
      </c>
      <c r="AO25" s="4">
        <v>1</v>
      </c>
      <c r="AP25" s="4" t="s">
        <v>124</v>
      </c>
      <c r="AQ25" s="4">
        <v>360</v>
      </c>
      <c r="AR25" s="4">
        <v>439</v>
      </c>
      <c r="AS25" s="4" t="s">
        <v>124</v>
      </c>
      <c r="AT25" s="4">
        <v>10.7</v>
      </c>
      <c r="AU25" s="4" t="s">
        <v>124</v>
      </c>
      <c r="AV25" s="4">
        <v>1607.91</v>
      </c>
      <c r="AW25" s="4">
        <v>33</v>
      </c>
      <c r="AX25" s="4" t="s">
        <v>124</v>
      </c>
      <c r="AY25" s="4">
        <v>2</v>
      </c>
      <c r="AZ25" s="4">
        <v>2</v>
      </c>
      <c r="BA25" s="4">
        <v>310.63</v>
      </c>
      <c r="BB25" s="4" t="s">
        <v>124</v>
      </c>
      <c r="BC25" s="4" t="s">
        <v>124</v>
      </c>
      <c r="BD25" s="4" t="s">
        <v>244</v>
      </c>
      <c r="BE25" s="4" t="s">
        <v>124</v>
      </c>
      <c r="BF25" s="4">
        <v>0.84</v>
      </c>
      <c r="BG25" s="4" t="s">
        <v>124</v>
      </c>
      <c r="BH25" s="4" t="s">
        <v>124</v>
      </c>
      <c r="BI25" s="4">
        <v>3280591</v>
      </c>
      <c r="BJ25" s="4">
        <v>7.25</v>
      </c>
      <c r="BK25" s="4">
        <v>-14.39</v>
      </c>
      <c r="BL25" s="4">
        <v>-3.56</v>
      </c>
      <c r="BM25" s="4">
        <v>-55.15</v>
      </c>
      <c r="BN25" s="4">
        <v>-78.72</v>
      </c>
      <c r="BO25" s="4">
        <v>-66.94</v>
      </c>
      <c r="BP25" s="4">
        <v>0</v>
      </c>
      <c r="BQ25" s="4">
        <v>5.95</v>
      </c>
      <c r="BR25" s="4">
        <v>0</v>
      </c>
      <c r="BS25" s="4">
        <v>0.14000000000000001</v>
      </c>
      <c r="BT25" s="4">
        <v>192.15</v>
      </c>
      <c r="BU25" s="4">
        <v>245.71</v>
      </c>
      <c r="BV25" s="4">
        <v>1431.46</v>
      </c>
      <c r="BW25" s="4">
        <v>1539.12</v>
      </c>
      <c r="BX25" s="4">
        <f>AVERAGE(2880, 2460, 2339)</f>
        <v>2559.6666666666665</v>
      </c>
      <c r="BY25" s="4">
        <f>AVERAGE(25.8, 18, 28, 31)</f>
        <v>25.7</v>
      </c>
      <c r="BZ25" s="4">
        <f>AVERAGE(21, 28.5, 42, 45, 23)</f>
        <v>31.9</v>
      </c>
      <c r="CA25" s="4">
        <f>AVERAGE(760, 440, 700, 72)</f>
        <v>493</v>
      </c>
      <c r="CB25" s="4">
        <f t="shared" si="0"/>
        <v>4.93</v>
      </c>
      <c r="CC25" s="4">
        <f>AVERAGE(38.8, 30, 33.5, 33)</f>
        <v>33.825000000000003</v>
      </c>
      <c r="CD25" s="4">
        <f t="shared" si="5"/>
        <v>31.9</v>
      </c>
      <c r="CE25" s="4">
        <f t="shared" si="2"/>
        <v>4.93</v>
      </c>
      <c r="CF25" s="47">
        <f t="shared" si="3"/>
        <v>6.4705882352941178</v>
      </c>
    </row>
    <row r="26" spans="1:84" x14ac:dyDescent="0.2">
      <c r="A26" s="4" t="s">
        <v>39</v>
      </c>
      <c r="B26" s="4">
        <v>31.58</v>
      </c>
      <c r="C26" s="4">
        <v>128.47999999999999</v>
      </c>
      <c r="D26" s="4">
        <v>7.28</v>
      </c>
      <c r="E26" s="4">
        <v>78.290000000000006</v>
      </c>
      <c r="F26" s="4">
        <v>12.62</v>
      </c>
      <c r="G26" s="4">
        <v>61.3</v>
      </c>
      <c r="H26" s="4">
        <v>915</v>
      </c>
      <c r="I26" s="4">
        <v>392.28</v>
      </c>
      <c r="J26" s="4">
        <v>72.73</v>
      </c>
      <c r="K26" s="4">
        <v>319.55</v>
      </c>
      <c r="L26" s="4">
        <v>449</v>
      </c>
      <c r="M26" s="4">
        <v>194</v>
      </c>
      <c r="N26" s="4" t="s">
        <v>15</v>
      </c>
      <c r="O26" s="2" t="s">
        <v>39</v>
      </c>
      <c r="P26" s="6" t="s">
        <v>256</v>
      </c>
      <c r="Q26" s="4">
        <v>7.6</v>
      </c>
      <c r="R26" s="4">
        <v>7.34</v>
      </c>
      <c r="S26" s="4">
        <v>0.39</v>
      </c>
      <c r="T26" s="4">
        <v>2</v>
      </c>
      <c r="U26" s="4" t="s">
        <v>122</v>
      </c>
      <c r="V26" s="4" t="s">
        <v>257</v>
      </c>
      <c r="W26" s="4" t="s">
        <v>258</v>
      </c>
      <c r="X26" s="4" t="s">
        <v>259</v>
      </c>
      <c r="Y26" s="4" t="s">
        <v>260</v>
      </c>
      <c r="Z26" s="4">
        <v>1</v>
      </c>
      <c r="AA26" s="4">
        <v>763</v>
      </c>
      <c r="AB26" s="4" t="s">
        <v>124</v>
      </c>
      <c r="AC26" s="4" t="s">
        <v>124</v>
      </c>
      <c r="AD26" s="4" t="s">
        <v>124</v>
      </c>
      <c r="AE26" s="4">
        <v>594.95000000000005</v>
      </c>
      <c r="AF26" s="4" t="s">
        <v>124</v>
      </c>
      <c r="AG26" s="4" t="s">
        <v>124</v>
      </c>
      <c r="AH26" s="4">
        <v>2</v>
      </c>
      <c r="AI26" s="4" t="s">
        <v>124</v>
      </c>
      <c r="AJ26" s="4">
        <v>136.01</v>
      </c>
      <c r="AK26" s="4">
        <v>1</v>
      </c>
      <c r="AL26" s="4" t="s">
        <v>124</v>
      </c>
      <c r="AM26" s="4" t="s">
        <v>124</v>
      </c>
      <c r="AN26" s="4" t="s">
        <v>124</v>
      </c>
      <c r="AO26" s="4">
        <v>1.02</v>
      </c>
      <c r="AP26" s="4" t="s">
        <v>124</v>
      </c>
      <c r="AQ26" s="4" t="s">
        <v>124</v>
      </c>
      <c r="AR26" s="4" t="s">
        <v>124</v>
      </c>
      <c r="AS26" s="4" t="s">
        <v>124</v>
      </c>
      <c r="AT26" s="4">
        <v>260</v>
      </c>
      <c r="AU26" s="4" t="s">
        <v>124</v>
      </c>
      <c r="AV26" s="4" t="s">
        <v>124</v>
      </c>
      <c r="AW26" s="4">
        <v>1</v>
      </c>
      <c r="AX26" s="4">
        <v>2</v>
      </c>
      <c r="AY26" s="4">
        <v>2</v>
      </c>
      <c r="AZ26" s="4">
        <v>1</v>
      </c>
      <c r="BA26" s="4">
        <v>118.54</v>
      </c>
      <c r="BB26" s="4" t="s">
        <v>124</v>
      </c>
      <c r="BC26" s="4" t="s">
        <v>124</v>
      </c>
      <c r="BD26" s="4" t="s">
        <v>261</v>
      </c>
      <c r="BE26" s="4" t="s">
        <v>124</v>
      </c>
      <c r="BF26" s="4" t="s">
        <v>124</v>
      </c>
      <c r="BG26" s="4" t="s">
        <v>124</v>
      </c>
      <c r="BH26" s="4" t="s">
        <v>124</v>
      </c>
      <c r="BI26" s="4">
        <v>35030</v>
      </c>
      <c r="BJ26" s="4">
        <v>-19.600000000000001</v>
      </c>
      <c r="BK26" s="4">
        <v>-23.56</v>
      </c>
      <c r="BL26" s="4">
        <v>-21.58</v>
      </c>
      <c r="BM26" s="4">
        <v>45.22</v>
      </c>
      <c r="BN26" s="4">
        <v>43.22</v>
      </c>
      <c r="BO26" s="4">
        <v>44.22</v>
      </c>
      <c r="BP26" s="4">
        <v>2</v>
      </c>
      <c r="BQ26" s="4">
        <v>11.4</v>
      </c>
      <c r="BR26" s="4">
        <v>3</v>
      </c>
      <c r="BS26" s="4">
        <v>0.21</v>
      </c>
      <c r="BT26" s="4">
        <v>57.89</v>
      </c>
      <c r="BU26" s="4">
        <v>238.61</v>
      </c>
      <c r="BV26" s="4">
        <v>789.13</v>
      </c>
      <c r="BW26" s="4">
        <v>1602.55</v>
      </c>
      <c r="BX26" s="4">
        <v>909</v>
      </c>
      <c r="BY26" s="4">
        <v>27</v>
      </c>
      <c r="BZ26" s="4"/>
      <c r="CA26" s="4">
        <f>AVERAGE(0.99, 0.66, 0.79)</f>
        <v>0.81333333333333335</v>
      </c>
      <c r="CB26" s="4">
        <f t="shared" si="0"/>
        <v>8.1333333333333327E-3</v>
      </c>
      <c r="CC26" s="4">
        <v>9</v>
      </c>
      <c r="CD26" s="4">
        <f t="shared" si="5"/>
        <v>1</v>
      </c>
      <c r="CE26" s="4">
        <f t="shared" si="2"/>
        <v>8.1333333333333327E-3</v>
      </c>
      <c r="CF26" s="47">
        <f t="shared" si="3"/>
        <v>122.95081967213116</v>
      </c>
    </row>
    <row r="27" spans="1:84" x14ac:dyDescent="0.2">
      <c r="A27" s="4" t="s">
        <v>40</v>
      </c>
      <c r="B27" s="4">
        <v>73.47</v>
      </c>
      <c r="C27" s="4">
        <v>395.87</v>
      </c>
      <c r="D27" s="4">
        <v>38.15</v>
      </c>
      <c r="E27" s="4">
        <v>304.2</v>
      </c>
      <c r="F27" s="4">
        <v>69.900000000000006</v>
      </c>
      <c r="G27" s="4">
        <v>156.25</v>
      </c>
      <c r="H27" s="4">
        <v>7900</v>
      </c>
      <c r="I27" s="4">
        <v>1464.21</v>
      </c>
      <c r="J27" s="4">
        <v>426.37</v>
      </c>
      <c r="K27" s="4">
        <v>1037.8399999999999</v>
      </c>
      <c r="L27" s="4">
        <v>2708</v>
      </c>
      <c r="M27" s="4">
        <v>630</v>
      </c>
      <c r="N27" s="4" t="s">
        <v>13</v>
      </c>
      <c r="O27" s="2" t="s">
        <v>40</v>
      </c>
      <c r="P27" s="3" t="s">
        <v>156</v>
      </c>
      <c r="Q27" s="4">
        <v>104</v>
      </c>
      <c r="R27" s="4">
        <v>100.39</v>
      </c>
      <c r="S27" s="4">
        <v>1.49</v>
      </c>
      <c r="T27" s="4">
        <v>2</v>
      </c>
      <c r="U27" s="4" t="s">
        <v>122</v>
      </c>
      <c r="V27" s="4" t="s">
        <v>157</v>
      </c>
      <c r="W27" s="4" t="s">
        <v>158</v>
      </c>
      <c r="X27" s="4" t="s">
        <v>159</v>
      </c>
      <c r="Y27" s="4" t="s">
        <v>160</v>
      </c>
      <c r="Z27" s="4">
        <v>3</v>
      </c>
      <c r="AA27" s="4">
        <v>7360</v>
      </c>
      <c r="AB27" s="4" t="s">
        <v>124</v>
      </c>
      <c r="AC27" s="4">
        <v>517.94000000000005</v>
      </c>
      <c r="AD27" s="4" t="s">
        <v>124</v>
      </c>
      <c r="AE27" s="4">
        <v>1474.6</v>
      </c>
      <c r="AF27" s="4" t="s">
        <v>124</v>
      </c>
      <c r="AG27" s="4" t="s">
        <v>124</v>
      </c>
      <c r="AH27" s="4">
        <v>3</v>
      </c>
      <c r="AI27" s="4" t="s">
        <v>124</v>
      </c>
      <c r="AJ27" s="4">
        <v>182.93</v>
      </c>
      <c r="AK27" s="4">
        <v>1</v>
      </c>
      <c r="AL27" s="4">
        <v>0.81</v>
      </c>
      <c r="AM27" s="4">
        <v>0.4</v>
      </c>
      <c r="AN27" s="4">
        <v>770.15</v>
      </c>
      <c r="AO27" s="4">
        <v>1</v>
      </c>
      <c r="AP27" s="4" t="s">
        <v>124</v>
      </c>
      <c r="AQ27" s="4">
        <v>392.4</v>
      </c>
      <c r="AR27" s="4">
        <v>499</v>
      </c>
      <c r="AS27" s="4" t="s">
        <v>124</v>
      </c>
      <c r="AT27" s="4">
        <v>14.9</v>
      </c>
      <c r="AU27" s="4">
        <v>17.2</v>
      </c>
      <c r="AV27" s="4">
        <v>2190</v>
      </c>
      <c r="AW27" s="4">
        <v>16</v>
      </c>
      <c r="AX27" s="4" t="s">
        <v>124</v>
      </c>
      <c r="AY27" s="4">
        <v>2</v>
      </c>
      <c r="AZ27" s="4">
        <v>2</v>
      </c>
      <c r="BA27" s="4">
        <v>210.33</v>
      </c>
      <c r="BB27" s="4">
        <v>2170</v>
      </c>
      <c r="BC27" s="4" t="s">
        <v>124</v>
      </c>
      <c r="BD27" s="4" t="s">
        <v>161</v>
      </c>
      <c r="BE27" s="4" t="s">
        <v>124</v>
      </c>
      <c r="BF27" s="4">
        <v>0.76</v>
      </c>
      <c r="BG27" s="4" t="s">
        <v>124</v>
      </c>
      <c r="BH27" s="4" t="s">
        <v>124</v>
      </c>
      <c r="BI27" s="4">
        <v>2651747</v>
      </c>
      <c r="BJ27" s="4">
        <v>6.46</v>
      </c>
      <c r="BK27" s="4">
        <v>-6.26</v>
      </c>
      <c r="BL27" s="4">
        <v>0.09</v>
      </c>
      <c r="BM27" s="4">
        <v>33.29</v>
      </c>
      <c r="BN27" s="4">
        <v>7.92</v>
      </c>
      <c r="BO27" s="4">
        <v>20.61</v>
      </c>
      <c r="BP27" s="4">
        <v>0</v>
      </c>
      <c r="BQ27" s="4">
        <v>24.54</v>
      </c>
      <c r="BR27" s="4">
        <v>1</v>
      </c>
      <c r="BS27" s="4">
        <v>0.11</v>
      </c>
      <c r="BT27" s="4">
        <v>144.63</v>
      </c>
      <c r="BU27" s="4">
        <v>240.89</v>
      </c>
      <c r="BV27" s="4">
        <v>1383.31</v>
      </c>
      <c r="BW27" s="4">
        <v>1571.17</v>
      </c>
      <c r="BX27" s="4">
        <f>AVERAGE(1299, 1008, 1000, 1000, 1137, 1127)</f>
        <v>1095.1666666666667</v>
      </c>
      <c r="BY27" s="4">
        <f>AVERAGE(46, 54, 49, 44, 42.3)</f>
        <v>47.06</v>
      </c>
      <c r="BZ27" s="4">
        <f>AVERAGE(16, 20.5, 18, 16, 6, 15, 14, 18.9, )</f>
        <v>13.822222222222223</v>
      </c>
      <c r="CA27" s="4">
        <f>AVERAGE(13, 253, 225, 250, 109, 167, 400)</f>
        <v>202.42857142857142</v>
      </c>
      <c r="CB27" s="4">
        <f>IF(ISNUMBER(SEARCH("NA",CA27)),"NA",CA27/100)</f>
        <v>2.024285714285714</v>
      </c>
      <c r="CC27" s="4">
        <f>AVERAGE(20, 27, 28, 22.2, 21.4)</f>
        <v>23.72</v>
      </c>
      <c r="CD27" s="4">
        <f t="shared" si="5"/>
        <v>13.822222222222223</v>
      </c>
      <c r="CE27" s="4">
        <f t="shared" si="2"/>
        <v>2.024285714285714</v>
      </c>
      <c r="CF27" s="47">
        <f t="shared" si="3"/>
        <v>6.8281972869128849</v>
      </c>
    </row>
    <row r="28" spans="1:84" x14ac:dyDescent="0.2">
      <c r="A28" s="4" t="s">
        <v>41</v>
      </c>
      <c r="B28" s="4">
        <v>12.96</v>
      </c>
      <c r="C28" s="4">
        <v>57.6</v>
      </c>
      <c r="D28" s="4">
        <v>4.87</v>
      </c>
      <c r="E28" s="4">
        <v>49.81</v>
      </c>
      <c r="F28" s="4">
        <v>8</v>
      </c>
      <c r="G28" s="4">
        <v>33.340000000000003</v>
      </c>
      <c r="H28" s="4">
        <v>322</v>
      </c>
      <c r="I28" s="4">
        <v>191.14</v>
      </c>
      <c r="J28" s="4">
        <v>24.56</v>
      </c>
      <c r="K28" s="4">
        <v>166.58</v>
      </c>
      <c r="L28" s="4">
        <v>233</v>
      </c>
      <c r="M28" s="4">
        <v>99.7</v>
      </c>
      <c r="N28" s="4" t="s">
        <v>15</v>
      </c>
      <c r="O28" s="2" t="s">
        <v>41</v>
      </c>
      <c r="P28" s="6" t="s">
        <v>262</v>
      </c>
      <c r="Q28" s="4">
        <v>6.6</v>
      </c>
      <c r="R28" s="4">
        <v>6.37</v>
      </c>
      <c r="S28" s="4">
        <v>0.19</v>
      </c>
      <c r="T28" s="4">
        <v>2</v>
      </c>
      <c r="U28" s="4" t="s">
        <v>122</v>
      </c>
      <c r="V28" s="4" t="s">
        <v>263</v>
      </c>
      <c r="W28" s="4" t="s">
        <v>264</v>
      </c>
      <c r="X28" s="4" t="s">
        <v>265</v>
      </c>
      <c r="Y28" s="4" t="s">
        <v>266</v>
      </c>
      <c r="Z28" s="4">
        <v>1</v>
      </c>
      <c r="AA28" s="4">
        <v>249</v>
      </c>
      <c r="AB28" s="4" t="s">
        <v>124</v>
      </c>
      <c r="AC28" s="4">
        <v>224.49</v>
      </c>
      <c r="AD28" s="4" t="s">
        <v>124</v>
      </c>
      <c r="AE28" s="4">
        <v>547.5</v>
      </c>
      <c r="AF28" s="4">
        <v>284</v>
      </c>
      <c r="AG28" s="4">
        <v>128</v>
      </c>
      <c r="AH28" s="4">
        <v>4</v>
      </c>
      <c r="AI28" s="4" t="s">
        <v>124</v>
      </c>
      <c r="AJ28" s="4">
        <v>166</v>
      </c>
      <c r="AK28" s="4">
        <v>1</v>
      </c>
      <c r="AL28" s="7">
        <v>7.1300000000000001E-3</v>
      </c>
      <c r="AM28" s="7">
        <v>6.9800000000000001E-3</v>
      </c>
      <c r="AN28" s="4">
        <v>182.5</v>
      </c>
      <c r="AO28" s="4">
        <v>1</v>
      </c>
      <c r="AP28" s="4" t="s">
        <v>124</v>
      </c>
      <c r="AQ28" s="4">
        <v>196.8</v>
      </c>
      <c r="AR28" s="4">
        <v>11</v>
      </c>
      <c r="AS28" s="4" t="s">
        <v>124</v>
      </c>
      <c r="AT28" s="4">
        <v>72.8</v>
      </c>
      <c r="AU28" s="4" t="s">
        <v>124</v>
      </c>
      <c r="AV28" s="4">
        <v>305.2</v>
      </c>
      <c r="AW28" s="4">
        <v>1</v>
      </c>
      <c r="AX28" s="4" t="s">
        <v>124</v>
      </c>
      <c r="AY28" s="4">
        <v>2</v>
      </c>
      <c r="AZ28" s="4">
        <v>2</v>
      </c>
      <c r="BA28" s="4">
        <v>166.4</v>
      </c>
      <c r="BB28" s="4">
        <v>139</v>
      </c>
      <c r="BC28" s="4" t="s">
        <v>124</v>
      </c>
      <c r="BD28" s="4" t="s">
        <v>267</v>
      </c>
      <c r="BE28" s="4" t="s">
        <v>124</v>
      </c>
      <c r="BF28" s="4">
        <v>1.59</v>
      </c>
      <c r="BG28" s="4" t="s">
        <v>124</v>
      </c>
      <c r="BH28" s="4" t="s">
        <v>124</v>
      </c>
      <c r="BI28" s="4">
        <v>490103</v>
      </c>
      <c r="BJ28" s="4">
        <v>21.22</v>
      </c>
      <c r="BK28" s="4">
        <v>5.91</v>
      </c>
      <c r="BL28" s="4">
        <v>13.57</v>
      </c>
      <c r="BM28" s="4">
        <v>82.27</v>
      </c>
      <c r="BN28" s="4">
        <v>72.650000000000006</v>
      </c>
      <c r="BO28" s="4">
        <v>77.459999999999994</v>
      </c>
      <c r="BP28" s="4">
        <v>59</v>
      </c>
      <c r="BQ28" s="4">
        <v>469.09</v>
      </c>
      <c r="BR28" s="4">
        <v>108</v>
      </c>
      <c r="BS28" s="4">
        <v>7.0000000000000007E-2</v>
      </c>
      <c r="BT28" s="4">
        <v>112.17</v>
      </c>
      <c r="BU28" s="4">
        <v>263.95</v>
      </c>
      <c r="BV28" s="4">
        <v>943.85</v>
      </c>
      <c r="BW28" s="4">
        <v>1626.65</v>
      </c>
      <c r="BX28" s="4" t="s">
        <v>124</v>
      </c>
      <c r="BY28" s="4" t="s">
        <v>124</v>
      </c>
      <c r="BZ28" s="4">
        <v>3</v>
      </c>
      <c r="CA28" s="4">
        <f>AVERAGE(1.5, 5)</f>
        <v>3.25</v>
      </c>
      <c r="CB28" s="4">
        <f t="shared" si="0"/>
        <v>3.2500000000000001E-2</v>
      </c>
      <c r="CC28" s="4" t="s">
        <v>124</v>
      </c>
      <c r="CD28" s="4">
        <f t="shared" si="5"/>
        <v>3</v>
      </c>
      <c r="CE28" s="4">
        <f t="shared" si="2"/>
        <v>3.2500000000000001E-2</v>
      </c>
      <c r="CF28" s="47">
        <f t="shared" si="3"/>
        <v>92.307692307692307</v>
      </c>
    </row>
    <row r="29" spans="1:84" x14ac:dyDescent="0.2">
      <c r="A29" s="4" t="s">
        <v>42</v>
      </c>
      <c r="B29" s="4">
        <v>5.99</v>
      </c>
      <c r="C29" s="4">
        <v>30.45</v>
      </c>
      <c r="D29" s="4">
        <v>2.33</v>
      </c>
      <c r="E29" s="4">
        <v>23.82</v>
      </c>
      <c r="F29" s="4">
        <v>4.4800000000000004</v>
      </c>
      <c r="G29" s="4">
        <v>20.9</v>
      </c>
      <c r="H29" s="4">
        <v>54</v>
      </c>
      <c r="I29" s="4">
        <v>100.35</v>
      </c>
      <c r="J29" s="4">
        <v>12.38</v>
      </c>
      <c r="K29" s="4">
        <v>87.97</v>
      </c>
      <c r="L29" s="4">
        <v>99.1</v>
      </c>
      <c r="M29" s="4">
        <v>40.1</v>
      </c>
      <c r="N29" s="4" t="s">
        <v>15</v>
      </c>
      <c r="O29" s="2" t="s">
        <v>42</v>
      </c>
      <c r="P29" s="6" t="s">
        <v>268</v>
      </c>
      <c r="Q29" s="4">
        <v>1.78</v>
      </c>
      <c r="R29" s="4">
        <v>1.72</v>
      </c>
      <c r="S29" s="4">
        <v>0.1</v>
      </c>
      <c r="T29" s="4">
        <v>2</v>
      </c>
      <c r="U29" s="4" t="s">
        <v>122</v>
      </c>
      <c r="V29" s="4" t="s">
        <v>177</v>
      </c>
      <c r="W29" s="4" t="s">
        <v>269</v>
      </c>
      <c r="X29" s="4" t="s">
        <v>270</v>
      </c>
      <c r="Y29" s="4" t="s">
        <v>271</v>
      </c>
      <c r="Z29" s="4">
        <v>1</v>
      </c>
      <c r="AA29" s="4">
        <v>66.599999999999994</v>
      </c>
      <c r="AB29" s="4" t="s">
        <v>124</v>
      </c>
      <c r="AC29" s="4">
        <v>137.5</v>
      </c>
      <c r="AD29" s="4" t="s">
        <v>124</v>
      </c>
      <c r="AE29" s="4">
        <v>380.2</v>
      </c>
      <c r="AF29" s="4">
        <v>125.84</v>
      </c>
      <c r="AG29" s="4">
        <v>101.05</v>
      </c>
      <c r="AH29" s="4">
        <v>5</v>
      </c>
      <c r="AI29" s="4" t="s">
        <v>124</v>
      </c>
      <c r="AJ29" s="4">
        <v>60.34</v>
      </c>
      <c r="AK29" s="4">
        <v>1</v>
      </c>
      <c r="AL29" s="4">
        <v>0.01</v>
      </c>
      <c r="AM29" s="4">
        <v>0.01</v>
      </c>
      <c r="AN29" s="4">
        <v>365</v>
      </c>
      <c r="AO29" s="4">
        <v>2</v>
      </c>
      <c r="AP29" s="4" t="s">
        <v>124</v>
      </c>
      <c r="AQ29" s="4">
        <v>186</v>
      </c>
      <c r="AR29" s="4">
        <v>4.79</v>
      </c>
      <c r="AS29" s="4">
        <v>43.08</v>
      </c>
      <c r="AT29" s="4">
        <v>461</v>
      </c>
      <c r="AU29" s="4">
        <v>3.5</v>
      </c>
      <c r="AV29" s="4">
        <v>348.41</v>
      </c>
      <c r="AW29" s="4">
        <v>1</v>
      </c>
      <c r="AX29" s="4" t="s">
        <v>124</v>
      </c>
      <c r="AY29" s="4">
        <v>2</v>
      </c>
      <c r="AZ29" s="4">
        <v>2</v>
      </c>
      <c r="BA29" s="4">
        <v>39.83</v>
      </c>
      <c r="BB29" s="4" t="s">
        <v>124</v>
      </c>
      <c r="BC29" s="4" t="s">
        <v>124</v>
      </c>
      <c r="BD29" s="4" t="s">
        <v>272</v>
      </c>
      <c r="BE29" s="4" t="s">
        <v>124</v>
      </c>
      <c r="BF29" s="4">
        <v>1.1100000000000001</v>
      </c>
      <c r="BG29" s="4" t="s">
        <v>124</v>
      </c>
      <c r="BH29" s="4" t="s">
        <v>124</v>
      </c>
      <c r="BI29" s="4">
        <v>128599</v>
      </c>
      <c r="BJ29" s="4">
        <v>-12.33</v>
      </c>
      <c r="BK29" s="4">
        <v>-25.58</v>
      </c>
      <c r="BL29" s="4">
        <v>-18.95</v>
      </c>
      <c r="BM29" s="4">
        <v>49.6</v>
      </c>
      <c r="BN29" s="4">
        <v>43.22</v>
      </c>
      <c r="BO29" s="4">
        <v>46.41</v>
      </c>
      <c r="BP29" s="4">
        <v>2</v>
      </c>
      <c r="BQ29" s="4">
        <v>12.01</v>
      </c>
      <c r="BR29" s="4">
        <v>3</v>
      </c>
      <c r="BS29" s="4">
        <v>0.19</v>
      </c>
      <c r="BT29" s="4">
        <v>85.12</v>
      </c>
      <c r="BU29" s="4">
        <v>240.86</v>
      </c>
      <c r="BV29" s="4">
        <v>897.1</v>
      </c>
      <c r="BW29" s="4">
        <v>1624.72</v>
      </c>
      <c r="BX29" s="4" t="s">
        <v>124</v>
      </c>
      <c r="BY29" s="4" t="s">
        <v>124</v>
      </c>
      <c r="BZ29" s="4">
        <v>6.5</v>
      </c>
      <c r="CA29" s="4">
        <f>AVERAGE(3.2, 1.8)</f>
        <v>2.5</v>
      </c>
      <c r="CB29" s="4">
        <f t="shared" si="0"/>
        <v>2.5000000000000001E-2</v>
      </c>
      <c r="CC29" s="4" t="s">
        <v>124</v>
      </c>
      <c r="CD29" s="4">
        <f t="shared" si="5"/>
        <v>6.5</v>
      </c>
      <c r="CE29" s="4">
        <f t="shared" si="2"/>
        <v>2.5000000000000001E-2</v>
      </c>
      <c r="CF29" s="47">
        <f t="shared" si="3"/>
        <v>260</v>
      </c>
    </row>
    <row r="30" spans="1:84" x14ac:dyDescent="0.2">
      <c r="A30" s="4" t="s">
        <v>43</v>
      </c>
      <c r="B30" s="4">
        <v>41.31</v>
      </c>
      <c r="C30" s="4">
        <v>183.4</v>
      </c>
      <c r="D30" s="4">
        <v>15.31</v>
      </c>
      <c r="E30" s="4">
        <v>134.6</v>
      </c>
      <c r="F30" s="4">
        <v>51.91</v>
      </c>
      <c r="G30" s="4">
        <v>87.59</v>
      </c>
      <c r="H30" s="4">
        <v>1200</v>
      </c>
      <c r="I30" s="4">
        <v>704.87</v>
      </c>
      <c r="J30" s="4">
        <v>190.75</v>
      </c>
      <c r="K30" s="4">
        <v>514.12</v>
      </c>
      <c r="L30" s="4">
        <v>1035</v>
      </c>
      <c r="M30" s="4">
        <v>259</v>
      </c>
      <c r="N30" s="4" t="s">
        <v>13</v>
      </c>
      <c r="O30" s="2" t="s">
        <v>43</v>
      </c>
      <c r="P30" s="3" t="s">
        <v>171</v>
      </c>
      <c r="Q30" s="4">
        <v>40</v>
      </c>
      <c r="R30" s="4">
        <v>38.61</v>
      </c>
      <c r="S30" s="4">
        <v>0.71</v>
      </c>
      <c r="T30" s="4">
        <v>2</v>
      </c>
      <c r="U30" s="4" t="s">
        <v>122</v>
      </c>
      <c r="V30" s="4" t="s">
        <v>157</v>
      </c>
      <c r="W30" s="4" t="s">
        <v>172</v>
      </c>
      <c r="X30" s="4" t="s">
        <v>173</v>
      </c>
      <c r="Y30" s="4" t="s">
        <v>174</v>
      </c>
      <c r="Z30" s="4">
        <v>3</v>
      </c>
      <c r="AA30" s="4">
        <v>1250</v>
      </c>
      <c r="AB30" s="4" t="s">
        <v>124</v>
      </c>
      <c r="AC30" s="4">
        <v>355</v>
      </c>
      <c r="AD30" s="4" t="s">
        <v>124</v>
      </c>
      <c r="AE30" s="4">
        <v>1598.7</v>
      </c>
      <c r="AF30" s="4" t="s">
        <v>124</v>
      </c>
      <c r="AG30" s="4" t="s">
        <v>124</v>
      </c>
      <c r="AH30" s="4">
        <v>3</v>
      </c>
      <c r="AI30" s="4" t="s">
        <v>124</v>
      </c>
      <c r="AJ30" s="4">
        <v>164.49</v>
      </c>
      <c r="AK30" s="4">
        <v>1</v>
      </c>
      <c r="AL30" s="4">
        <v>0.81</v>
      </c>
      <c r="AM30" s="4">
        <v>0.83</v>
      </c>
      <c r="AN30" s="4">
        <v>365</v>
      </c>
      <c r="AO30" s="4">
        <v>1</v>
      </c>
      <c r="AP30" s="4" t="s">
        <v>124</v>
      </c>
      <c r="AQ30" s="4">
        <v>370.8</v>
      </c>
      <c r="AR30" s="4">
        <v>180</v>
      </c>
      <c r="AS30" s="4" t="s">
        <v>124</v>
      </c>
      <c r="AT30" s="4">
        <v>42.1</v>
      </c>
      <c r="AU30" s="4">
        <v>66.5</v>
      </c>
      <c r="AV30" s="4">
        <v>1484.15</v>
      </c>
      <c r="AW30" s="4">
        <v>91.2</v>
      </c>
      <c r="AX30" s="4" t="s">
        <v>124</v>
      </c>
      <c r="AY30" s="4">
        <v>2</v>
      </c>
      <c r="AZ30" s="4">
        <v>2</v>
      </c>
      <c r="BA30" s="4">
        <v>177.81</v>
      </c>
      <c r="BB30" s="4">
        <v>417</v>
      </c>
      <c r="BC30" s="4" t="s">
        <v>124</v>
      </c>
      <c r="BD30" s="4" t="s">
        <v>175</v>
      </c>
      <c r="BE30" s="4" t="s">
        <v>124</v>
      </c>
      <c r="BF30" s="4">
        <v>1.1100000000000001</v>
      </c>
      <c r="BG30" s="4" t="s">
        <v>124</v>
      </c>
      <c r="BH30" s="4" t="s">
        <v>124</v>
      </c>
      <c r="BI30" s="4">
        <v>258766</v>
      </c>
      <c r="BJ30" s="4">
        <v>-3</v>
      </c>
      <c r="BK30" s="4">
        <v>-12.37</v>
      </c>
      <c r="BL30" s="4">
        <v>-7.68</v>
      </c>
      <c r="BM30" s="4">
        <v>17.75</v>
      </c>
      <c r="BN30" s="4">
        <v>12.27</v>
      </c>
      <c r="BO30" s="4">
        <v>15.01</v>
      </c>
      <c r="BP30" s="4">
        <v>5</v>
      </c>
      <c r="BQ30" s="4">
        <v>46.31</v>
      </c>
      <c r="BR30" s="4">
        <v>5</v>
      </c>
      <c r="BS30" s="4">
        <v>0.21</v>
      </c>
      <c r="BT30" s="4">
        <v>104.31</v>
      </c>
      <c r="BU30" s="4">
        <v>231.71</v>
      </c>
      <c r="BV30" s="4">
        <v>1091.55</v>
      </c>
      <c r="BW30" s="4">
        <v>1516.99</v>
      </c>
      <c r="BX30" s="4" t="s">
        <v>124</v>
      </c>
      <c r="BY30" s="4" t="s">
        <v>124</v>
      </c>
      <c r="BZ30" s="4" t="s">
        <v>124</v>
      </c>
      <c r="CA30" s="4" t="s">
        <v>124</v>
      </c>
      <c r="CB30" s="4" t="str">
        <f t="shared" si="0"/>
        <v>NA</v>
      </c>
      <c r="CC30" s="4" t="s">
        <v>124</v>
      </c>
      <c r="CD30" s="4">
        <f t="shared" si="5"/>
        <v>91.2</v>
      </c>
      <c r="CE30" s="4">
        <f t="shared" si="2"/>
        <v>0.81</v>
      </c>
      <c r="CF30" s="47">
        <f t="shared" si="3"/>
        <v>112.5925925925926</v>
      </c>
    </row>
    <row r="31" spans="1:84" x14ac:dyDescent="0.2">
      <c r="A31" s="4" t="s">
        <v>44</v>
      </c>
      <c r="B31" s="4">
        <v>113.27</v>
      </c>
      <c r="C31" s="4">
        <v>546.36</v>
      </c>
      <c r="D31" s="4">
        <v>69.39</v>
      </c>
      <c r="E31" s="4">
        <v>370.1</v>
      </c>
      <c r="F31" s="4">
        <v>142.29</v>
      </c>
      <c r="G31" s="4">
        <v>205.69</v>
      </c>
      <c r="H31" s="4">
        <v>14000</v>
      </c>
      <c r="I31" s="4">
        <v>1965.93</v>
      </c>
      <c r="J31" s="4">
        <v>518.83000000000004</v>
      </c>
      <c r="K31" s="4">
        <v>1447.1</v>
      </c>
      <c r="L31" s="4">
        <v>2945</v>
      </c>
      <c r="M31" s="4">
        <v>855</v>
      </c>
      <c r="N31" s="4" t="s">
        <v>13</v>
      </c>
      <c r="O31" s="2" t="s">
        <v>44</v>
      </c>
      <c r="P31" s="6" t="s">
        <v>273</v>
      </c>
      <c r="Q31" s="4">
        <v>97</v>
      </c>
      <c r="R31" s="4">
        <v>93.63</v>
      </c>
      <c r="S31" s="4">
        <v>1.97</v>
      </c>
      <c r="T31" s="4">
        <v>2</v>
      </c>
      <c r="U31" s="4" t="s">
        <v>122</v>
      </c>
      <c r="V31" s="4" t="s">
        <v>157</v>
      </c>
      <c r="W31" s="4" t="s">
        <v>274</v>
      </c>
      <c r="X31" s="4" t="s">
        <v>275</v>
      </c>
      <c r="Y31" s="4" t="s">
        <v>276</v>
      </c>
      <c r="Z31" s="4">
        <v>3</v>
      </c>
      <c r="AA31" s="4">
        <v>12300</v>
      </c>
      <c r="AB31" s="4" t="s">
        <v>124</v>
      </c>
      <c r="AC31" s="4">
        <v>647.49</v>
      </c>
      <c r="AD31" s="4" t="s">
        <v>124</v>
      </c>
      <c r="AE31" s="4">
        <v>1642.5</v>
      </c>
      <c r="AF31" s="4" t="s">
        <v>124</v>
      </c>
      <c r="AG31" s="4" t="s">
        <v>124</v>
      </c>
      <c r="AH31" s="4">
        <v>4</v>
      </c>
      <c r="AI31" s="4" t="s">
        <v>124</v>
      </c>
      <c r="AJ31" s="4">
        <v>165.1</v>
      </c>
      <c r="AK31" s="4">
        <v>2</v>
      </c>
      <c r="AL31" s="4">
        <v>1.42</v>
      </c>
      <c r="AM31" s="4" t="s">
        <v>124</v>
      </c>
      <c r="AN31" s="4">
        <v>547.5</v>
      </c>
      <c r="AO31" s="4">
        <v>1</v>
      </c>
      <c r="AP31" s="4" t="s">
        <v>124</v>
      </c>
      <c r="AQ31" s="4">
        <v>252</v>
      </c>
      <c r="AR31" s="4">
        <v>450</v>
      </c>
      <c r="AS31" s="4" t="s">
        <v>124</v>
      </c>
      <c r="AT31" s="4">
        <v>9</v>
      </c>
      <c r="AU31" s="4">
        <v>14.5</v>
      </c>
      <c r="AV31" s="4">
        <v>1642.5</v>
      </c>
      <c r="AW31" s="4">
        <v>11.25</v>
      </c>
      <c r="AX31" s="4" t="s">
        <v>124</v>
      </c>
      <c r="AY31" s="4">
        <v>2</v>
      </c>
      <c r="AZ31" s="4">
        <v>1</v>
      </c>
      <c r="BA31" s="4">
        <v>210.37</v>
      </c>
      <c r="BB31" s="4">
        <v>2000</v>
      </c>
      <c r="BC31" s="4" t="s">
        <v>124</v>
      </c>
      <c r="BD31" s="4" t="s">
        <v>277</v>
      </c>
      <c r="BE31" s="4" t="s">
        <v>124</v>
      </c>
      <c r="BF31" s="4">
        <v>0.9</v>
      </c>
      <c r="BG31" s="4" t="s">
        <v>124</v>
      </c>
      <c r="BH31" s="4" t="s">
        <v>124</v>
      </c>
      <c r="BI31" s="4">
        <v>574820</v>
      </c>
      <c r="BJ31" s="4">
        <v>7.03</v>
      </c>
      <c r="BK31" s="4">
        <v>-4.18</v>
      </c>
      <c r="BL31" s="4">
        <v>1.42</v>
      </c>
      <c r="BM31" s="4">
        <v>119.26</v>
      </c>
      <c r="BN31" s="4">
        <v>108.83</v>
      </c>
      <c r="BO31" s="4">
        <v>114.05</v>
      </c>
      <c r="BP31" s="4">
        <v>2</v>
      </c>
      <c r="BQ31" s="4">
        <v>29.73</v>
      </c>
      <c r="BR31" s="4">
        <v>4</v>
      </c>
      <c r="BS31" s="4">
        <v>0.18</v>
      </c>
      <c r="BT31" s="4">
        <v>257.08</v>
      </c>
      <c r="BU31" s="4">
        <v>250.21</v>
      </c>
      <c r="BV31" s="4">
        <v>1684.01</v>
      </c>
      <c r="BW31" s="4">
        <v>1720.98</v>
      </c>
      <c r="BX31" s="4">
        <f>AVERAGE(483, 910, 800)</f>
        <v>731</v>
      </c>
      <c r="BY31" s="4" t="s">
        <v>124</v>
      </c>
      <c r="BZ31" s="4">
        <f>AVERAGE(9, 17, 9, 14.6, 17, 9, 18, 6.4, 28, 12.1, 11, 12.6)</f>
        <v>13.641666666666666</v>
      </c>
      <c r="CA31" s="4">
        <f>AVERAGE(900, 220.5, 315, 130.3)</f>
        <v>391.45</v>
      </c>
      <c r="CB31" s="4">
        <f t="shared" si="0"/>
        <v>3.9144999999999999</v>
      </c>
      <c r="CC31" s="4" t="s">
        <v>124</v>
      </c>
      <c r="CD31" s="4">
        <f t="shared" si="5"/>
        <v>13.641666666666666</v>
      </c>
      <c r="CE31" s="4">
        <f t="shared" si="2"/>
        <v>3.9144999999999999</v>
      </c>
      <c r="CF31" s="47">
        <f t="shared" si="3"/>
        <v>3.4849065440456419</v>
      </c>
    </row>
    <row r="32" spans="1:84" x14ac:dyDescent="0.2">
      <c r="A32" s="4" t="s">
        <v>45</v>
      </c>
      <c r="B32" s="4">
        <v>52.63</v>
      </c>
      <c r="C32" s="4">
        <v>178.14</v>
      </c>
      <c r="D32" s="4">
        <v>17.34</v>
      </c>
      <c r="E32" s="4">
        <v>135.76</v>
      </c>
      <c r="F32" s="4">
        <v>23.62</v>
      </c>
      <c r="G32" s="4">
        <v>91.22</v>
      </c>
      <c r="H32" s="4">
        <v>800</v>
      </c>
      <c r="I32" s="4">
        <v>565.77</v>
      </c>
      <c r="J32" s="4">
        <v>67.06</v>
      </c>
      <c r="K32" s="4">
        <v>498.71</v>
      </c>
      <c r="L32" s="4">
        <v>528</v>
      </c>
      <c r="M32" s="4">
        <v>212</v>
      </c>
      <c r="N32" s="4" t="s">
        <v>15</v>
      </c>
      <c r="O32" s="2" t="s">
        <v>45</v>
      </c>
      <c r="P32" s="6" t="s">
        <v>278</v>
      </c>
      <c r="Q32" s="4">
        <v>12.5</v>
      </c>
      <c r="R32" s="4">
        <v>12.07</v>
      </c>
      <c r="S32" s="4">
        <v>0.56999999999999995</v>
      </c>
      <c r="T32" s="4">
        <v>2</v>
      </c>
      <c r="U32" s="4" t="s">
        <v>122</v>
      </c>
      <c r="V32" s="4" t="s">
        <v>263</v>
      </c>
      <c r="W32" s="4" t="s">
        <v>279</v>
      </c>
      <c r="X32" s="4" t="s">
        <v>280</v>
      </c>
      <c r="Y32" s="4" t="s">
        <v>281</v>
      </c>
      <c r="Z32" s="4">
        <v>1</v>
      </c>
      <c r="AA32" s="4">
        <v>971</v>
      </c>
      <c r="AB32" s="4" t="s">
        <v>124</v>
      </c>
      <c r="AC32" s="4">
        <v>299.99</v>
      </c>
      <c r="AD32" s="4" t="s">
        <v>124</v>
      </c>
      <c r="AE32" s="4">
        <v>932.57</v>
      </c>
      <c r="AF32" s="4">
        <v>240</v>
      </c>
      <c r="AG32" s="4">
        <v>960</v>
      </c>
      <c r="AH32" s="4">
        <v>6</v>
      </c>
      <c r="AI32" s="4" t="s">
        <v>124</v>
      </c>
      <c r="AJ32" s="4">
        <v>191.15</v>
      </c>
      <c r="AK32" s="4">
        <v>1</v>
      </c>
      <c r="AL32" s="4" t="s">
        <v>124</v>
      </c>
      <c r="AM32" s="4" t="s">
        <v>124</v>
      </c>
      <c r="AN32" s="4">
        <v>365</v>
      </c>
      <c r="AO32" s="4">
        <v>1</v>
      </c>
      <c r="AP32" s="4" t="s">
        <v>124</v>
      </c>
      <c r="AQ32" s="4">
        <v>318</v>
      </c>
      <c r="AR32" s="4">
        <v>50.7</v>
      </c>
      <c r="AS32" s="4" t="s">
        <v>124</v>
      </c>
      <c r="AT32" s="4">
        <v>20</v>
      </c>
      <c r="AU32" s="4" t="s">
        <v>124</v>
      </c>
      <c r="AV32" s="4">
        <v>578.9</v>
      </c>
      <c r="AW32" s="4">
        <v>1</v>
      </c>
      <c r="AX32" s="4" t="s">
        <v>124</v>
      </c>
      <c r="AY32" s="4">
        <v>2</v>
      </c>
      <c r="AZ32" s="4">
        <v>2</v>
      </c>
      <c r="BA32" s="4">
        <v>180.04</v>
      </c>
      <c r="BB32" s="4">
        <v>520</v>
      </c>
      <c r="BC32" s="4" t="s">
        <v>124</v>
      </c>
      <c r="BD32" s="4" t="s">
        <v>282</v>
      </c>
      <c r="BE32" s="4" t="s">
        <v>124</v>
      </c>
      <c r="BF32" s="4">
        <v>1.1100000000000001</v>
      </c>
      <c r="BG32" s="4" t="s">
        <v>124</v>
      </c>
      <c r="BH32" s="4" t="s">
        <v>124</v>
      </c>
      <c r="BI32" s="4">
        <v>3446181</v>
      </c>
      <c r="BJ32" s="4">
        <v>27.17</v>
      </c>
      <c r="BK32" s="4">
        <v>-8.7799999999999994</v>
      </c>
      <c r="BL32" s="4">
        <v>9.19</v>
      </c>
      <c r="BM32" s="4">
        <v>120.25</v>
      </c>
      <c r="BN32" s="4">
        <v>88.33</v>
      </c>
      <c r="BO32" s="4">
        <v>104.29</v>
      </c>
      <c r="BP32" s="4">
        <v>1</v>
      </c>
      <c r="BQ32" s="4">
        <v>153.08000000000001</v>
      </c>
      <c r="BR32" s="4">
        <v>5</v>
      </c>
      <c r="BS32" s="4">
        <v>0.11</v>
      </c>
      <c r="BT32" s="4">
        <v>195.93</v>
      </c>
      <c r="BU32" s="4">
        <v>239.67</v>
      </c>
      <c r="BV32" s="4">
        <v>1328.15</v>
      </c>
      <c r="BW32" s="4">
        <v>1582.13</v>
      </c>
      <c r="BX32" s="4" t="s">
        <v>124</v>
      </c>
      <c r="BY32" s="4">
        <v>20.5</v>
      </c>
      <c r="BZ32" s="4" t="s">
        <v>124</v>
      </c>
      <c r="CA32" s="4">
        <f>AVERAGE(3.4, 14.8)</f>
        <v>9.1</v>
      </c>
      <c r="CB32" s="4">
        <f t="shared" si="0"/>
        <v>9.0999999999999998E-2</v>
      </c>
      <c r="CC32" s="4">
        <v>70.599999999999994</v>
      </c>
      <c r="CD32" s="4">
        <f t="shared" si="5"/>
        <v>1</v>
      </c>
      <c r="CE32" s="4">
        <f t="shared" si="2"/>
        <v>9.0999999999999998E-2</v>
      </c>
      <c r="CF32" s="47">
        <f t="shared" si="3"/>
        <v>10.989010989010989</v>
      </c>
    </row>
    <row r="33" spans="1:84" x14ac:dyDescent="0.2">
      <c r="A33" s="4" t="s">
        <v>46</v>
      </c>
      <c r="B33" s="4">
        <v>42.22</v>
      </c>
      <c r="C33" s="4">
        <v>164.58</v>
      </c>
      <c r="D33" s="4">
        <v>9.6</v>
      </c>
      <c r="E33" s="4">
        <v>78.22</v>
      </c>
      <c r="F33" s="4">
        <v>28.14</v>
      </c>
      <c r="G33" s="4">
        <v>64.69</v>
      </c>
      <c r="H33" s="4">
        <v>850</v>
      </c>
      <c r="I33" s="4">
        <v>460.88</v>
      </c>
      <c r="J33" s="4">
        <v>73.430000000000007</v>
      </c>
      <c r="K33" s="4">
        <v>387.45</v>
      </c>
      <c r="L33" s="4">
        <v>540</v>
      </c>
      <c r="M33" s="4">
        <v>181</v>
      </c>
      <c r="N33" s="4" t="s">
        <v>15</v>
      </c>
      <c r="O33" s="2" t="s">
        <v>46</v>
      </c>
      <c r="P33" s="3" t="s">
        <v>202</v>
      </c>
      <c r="Q33" s="4">
        <v>10.3</v>
      </c>
      <c r="R33" s="4">
        <v>9.94</v>
      </c>
      <c r="S33" s="4">
        <v>0.46</v>
      </c>
      <c r="T33" s="4">
        <v>2</v>
      </c>
      <c r="U33" s="4" t="s">
        <v>122</v>
      </c>
      <c r="V33" s="4" t="s">
        <v>203</v>
      </c>
      <c r="W33" s="4" t="s">
        <v>204</v>
      </c>
      <c r="X33" s="4" t="s">
        <v>205</v>
      </c>
      <c r="Y33" s="4" t="s">
        <v>206</v>
      </c>
      <c r="Z33" s="4">
        <v>1</v>
      </c>
      <c r="AA33" s="4">
        <v>1250</v>
      </c>
      <c r="AB33" s="4" t="s">
        <v>124</v>
      </c>
      <c r="AC33" s="4">
        <v>307</v>
      </c>
      <c r="AD33" s="4" t="s">
        <v>124</v>
      </c>
      <c r="AE33" s="4">
        <v>799.35</v>
      </c>
      <c r="AF33" s="4">
        <v>457.15</v>
      </c>
      <c r="AG33" s="4">
        <v>977</v>
      </c>
      <c r="AH33" s="4">
        <v>5</v>
      </c>
      <c r="AI33" s="4" t="s">
        <v>124</v>
      </c>
      <c r="AJ33" s="4">
        <v>131.04</v>
      </c>
      <c r="AK33" s="4" t="s">
        <v>124</v>
      </c>
      <c r="AL33" s="4">
        <v>0.06</v>
      </c>
      <c r="AM33" s="4">
        <v>0.06</v>
      </c>
      <c r="AN33" s="4">
        <v>365</v>
      </c>
      <c r="AO33" s="4">
        <v>1.42</v>
      </c>
      <c r="AP33" s="4" t="s">
        <v>124</v>
      </c>
      <c r="AQ33" s="4">
        <v>225.6</v>
      </c>
      <c r="AR33" s="4">
        <v>46.7</v>
      </c>
      <c r="AS33" s="4" t="s">
        <v>124</v>
      </c>
      <c r="AT33" s="4">
        <v>88.5</v>
      </c>
      <c r="AU33" s="4" t="s">
        <v>124</v>
      </c>
      <c r="AV33" s="4">
        <v>512.92999999999995</v>
      </c>
      <c r="AW33" s="4">
        <v>3.5</v>
      </c>
      <c r="AX33" s="4" t="s">
        <v>124</v>
      </c>
      <c r="AY33" s="4" t="s">
        <v>124</v>
      </c>
      <c r="AZ33" s="4">
        <v>2</v>
      </c>
      <c r="BA33" s="4">
        <v>130.27000000000001</v>
      </c>
      <c r="BB33" s="4">
        <v>500</v>
      </c>
      <c r="BC33" s="4" t="s">
        <v>124</v>
      </c>
      <c r="BD33" s="4" t="s">
        <v>207</v>
      </c>
      <c r="BE33" s="4" t="s">
        <v>124</v>
      </c>
      <c r="BF33" s="4">
        <v>1.1100000000000001</v>
      </c>
      <c r="BG33" s="4" t="s">
        <v>124</v>
      </c>
      <c r="BH33" s="4" t="s">
        <v>124</v>
      </c>
      <c r="BI33" s="4">
        <v>4857986</v>
      </c>
      <c r="BJ33" s="4">
        <v>1.05</v>
      </c>
      <c r="BK33" s="4">
        <v>-30.48</v>
      </c>
      <c r="BL33" s="4">
        <v>-14.71</v>
      </c>
      <c r="BM33" s="4">
        <v>40.840000000000003</v>
      </c>
      <c r="BN33" s="4">
        <v>12.18</v>
      </c>
      <c r="BO33" s="4">
        <v>26.51</v>
      </c>
      <c r="BP33" s="4">
        <v>0</v>
      </c>
      <c r="BQ33" s="4">
        <v>31.23</v>
      </c>
      <c r="BR33" s="4">
        <v>2</v>
      </c>
      <c r="BS33" s="4">
        <v>0.18</v>
      </c>
      <c r="BT33" s="4">
        <v>87.85</v>
      </c>
      <c r="BU33" s="4">
        <v>218.93</v>
      </c>
      <c r="BV33" s="4">
        <v>916.18</v>
      </c>
      <c r="BW33" s="4">
        <v>1470.84</v>
      </c>
      <c r="BX33" s="4" t="s">
        <v>124</v>
      </c>
      <c r="BY33" s="4">
        <v>26</v>
      </c>
      <c r="BZ33" s="4" t="s">
        <v>124</v>
      </c>
      <c r="CA33" s="4" t="s">
        <v>124</v>
      </c>
      <c r="CB33" s="4" t="str">
        <f t="shared" si="0"/>
        <v>NA</v>
      </c>
      <c r="CC33" s="4">
        <v>49</v>
      </c>
      <c r="CD33" s="4">
        <f t="shared" si="5"/>
        <v>3.5</v>
      </c>
      <c r="CE33" s="4">
        <f t="shared" si="2"/>
        <v>0.06</v>
      </c>
      <c r="CF33" s="47">
        <f t="shared" si="3"/>
        <v>58.333333333333336</v>
      </c>
    </row>
    <row r="34" spans="1:84" x14ac:dyDescent="0.2">
      <c r="A34" s="4" t="s">
        <v>47</v>
      </c>
      <c r="B34" s="4">
        <v>266.58</v>
      </c>
      <c r="C34" s="4">
        <v>1166.33</v>
      </c>
      <c r="D34" s="4">
        <v>85.7</v>
      </c>
      <c r="E34" s="4">
        <v>622.88</v>
      </c>
      <c r="F34" s="4">
        <v>235.43</v>
      </c>
      <c r="G34" s="4">
        <v>386.54</v>
      </c>
      <c r="H34" s="4">
        <v>46000</v>
      </c>
      <c r="I34" s="4">
        <v>3778.69</v>
      </c>
      <c r="J34" s="4">
        <v>1015.23</v>
      </c>
      <c r="K34" s="4">
        <v>2763.46</v>
      </c>
      <c r="L34" s="4">
        <v>5817</v>
      </c>
      <c r="M34" s="4">
        <v>2018</v>
      </c>
      <c r="N34" s="4" t="s">
        <v>13</v>
      </c>
      <c r="O34" s="2" t="s">
        <v>283</v>
      </c>
      <c r="P34" s="6" t="s">
        <v>284</v>
      </c>
      <c r="Q34" s="4">
        <v>405</v>
      </c>
      <c r="R34" s="4">
        <v>390.93</v>
      </c>
      <c r="S34" s="4">
        <v>3.78</v>
      </c>
      <c r="T34" s="4">
        <v>2</v>
      </c>
      <c r="U34" s="4" t="s">
        <v>122</v>
      </c>
      <c r="V34" s="4" t="s">
        <v>219</v>
      </c>
      <c r="W34" s="4" t="s">
        <v>285</v>
      </c>
      <c r="X34" s="4" t="s">
        <v>286</v>
      </c>
      <c r="Y34" s="4" t="s">
        <v>287</v>
      </c>
      <c r="Z34" s="4">
        <v>3</v>
      </c>
      <c r="AA34" s="4">
        <v>45100</v>
      </c>
      <c r="AB34" s="4" t="s">
        <v>124</v>
      </c>
      <c r="AC34" s="4">
        <v>797.56</v>
      </c>
      <c r="AD34" s="4">
        <v>0</v>
      </c>
      <c r="AE34" s="4">
        <v>5073.5</v>
      </c>
      <c r="AF34" s="4">
        <v>9000</v>
      </c>
      <c r="AG34" s="4">
        <v>34150</v>
      </c>
      <c r="AH34" s="4">
        <v>6</v>
      </c>
      <c r="AI34" s="4" t="s">
        <v>124</v>
      </c>
      <c r="AJ34" s="4">
        <v>231.49</v>
      </c>
      <c r="AK34" s="4">
        <v>2</v>
      </c>
      <c r="AL34" s="4">
        <v>11</v>
      </c>
      <c r="AM34" s="4">
        <v>8.7200000000000006</v>
      </c>
      <c r="AN34" s="4">
        <v>1825</v>
      </c>
      <c r="AO34" s="4">
        <v>1.02</v>
      </c>
      <c r="AP34" s="4" t="s">
        <v>124</v>
      </c>
      <c r="AQ34" s="4">
        <v>720</v>
      </c>
      <c r="AR34" s="4">
        <v>1750</v>
      </c>
      <c r="AS34" s="4" t="s">
        <v>124</v>
      </c>
      <c r="AT34" s="4">
        <v>1.64</v>
      </c>
      <c r="AU34" s="4">
        <v>45</v>
      </c>
      <c r="AV34" s="4">
        <v>3309.15</v>
      </c>
      <c r="AW34" s="4">
        <v>50</v>
      </c>
      <c r="AX34" s="4">
        <v>2</v>
      </c>
      <c r="AY34" s="4">
        <v>2</v>
      </c>
      <c r="AZ34" s="4">
        <v>2</v>
      </c>
      <c r="BA34" s="4">
        <v>1670.46</v>
      </c>
      <c r="BB34" s="4">
        <v>8500</v>
      </c>
      <c r="BC34" s="4" t="s">
        <v>124</v>
      </c>
      <c r="BD34" s="4" t="s">
        <v>288</v>
      </c>
      <c r="BE34" s="4" t="s">
        <v>124</v>
      </c>
      <c r="BF34" s="4">
        <v>0.49</v>
      </c>
      <c r="BG34" s="4" t="s">
        <v>124</v>
      </c>
      <c r="BH34" s="4" t="s">
        <v>124</v>
      </c>
      <c r="BI34" s="4">
        <v>1898948</v>
      </c>
      <c r="BJ34" s="4">
        <v>13.13</v>
      </c>
      <c r="BK34" s="4">
        <v>-8.7200000000000006</v>
      </c>
      <c r="BL34" s="4">
        <v>2.2000000000000002</v>
      </c>
      <c r="BM34" s="4">
        <v>31.18</v>
      </c>
      <c r="BN34" s="4">
        <v>-15.55</v>
      </c>
      <c r="BO34" s="4">
        <v>7.81</v>
      </c>
      <c r="BP34" s="4">
        <v>0</v>
      </c>
      <c r="BQ34" s="4">
        <v>34.36</v>
      </c>
      <c r="BR34" s="4">
        <v>1</v>
      </c>
      <c r="BS34" s="4">
        <v>0.11</v>
      </c>
      <c r="BT34" s="4">
        <v>149.72</v>
      </c>
      <c r="BU34" s="4">
        <v>241.68</v>
      </c>
      <c r="BV34" s="4">
        <v>1297.08</v>
      </c>
      <c r="BW34" s="4">
        <v>1558.05</v>
      </c>
      <c r="BX34" s="4">
        <f>AVERAGE(2400, 3000, 1000, 2500)</f>
        <v>2225</v>
      </c>
      <c r="BY34" s="4">
        <f>AVERAGE(45, 43, 36.3, 22, 55.7)</f>
        <v>40.4</v>
      </c>
      <c r="BZ34" s="4">
        <f>AVERAGE(50, 29, 26, 28, 66.33, 86, 48, 35, 16, 140)</f>
        <v>52.432999999999993</v>
      </c>
      <c r="CA34" s="4">
        <f>AVERAGE(5, 12.8, 13, 19.4, 50, 25,, 6.8, 26, 15)</f>
        <v>17.3</v>
      </c>
      <c r="CB34" s="4">
        <f t="shared" si="0"/>
        <v>0.17300000000000001</v>
      </c>
      <c r="CC34" s="4">
        <f>AVERAGE(22, 12, 11.4, 13, 13.8)</f>
        <v>14.440000000000001</v>
      </c>
      <c r="CD34" s="4">
        <f t="shared" si="5"/>
        <v>52.432999999999993</v>
      </c>
      <c r="CE34" s="4">
        <f t="shared" si="2"/>
        <v>0.17300000000000001</v>
      </c>
      <c r="CF34" s="47">
        <f t="shared" si="3"/>
        <v>303.08092485549128</v>
      </c>
    </row>
    <row r="35" spans="1:84" x14ac:dyDescent="0.2">
      <c r="A35" s="4" t="s">
        <v>48</v>
      </c>
      <c r="B35" s="4">
        <v>156.72</v>
      </c>
      <c r="C35" s="4">
        <v>800.97</v>
      </c>
      <c r="D35" s="4">
        <v>66.37</v>
      </c>
      <c r="E35" s="4">
        <v>564.35</v>
      </c>
      <c r="F35" s="4">
        <v>178.36</v>
      </c>
      <c r="G35" s="4">
        <v>312.25</v>
      </c>
      <c r="H35" s="4">
        <v>25000</v>
      </c>
      <c r="I35" s="4">
        <v>3397.9</v>
      </c>
      <c r="J35" s="4">
        <v>1318.88</v>
      </c>
      <c r="K35" s="4">
        <v>2079.02</v>
      </c>
      <c r="L35" s="4">
        <v>5297</v>
      </c>
      <c r="M35" s="4">
        <v>1309</v>
      </c>
      <c r="N35" s="4" t="s">
        <v>13</v>
      </c>
      <c r="O35" s="2" t="s">
        <v>48</v>
      </c>
      <c r="P35" s="6" t="s">
        <v>289</v>
      </c>
      <c r="Q35" s="4">
        <v>201</v>
      </c>
      <c r="R35" s="4">
        <v>194.02</v>
      </c>
      <c r="S35" s="4">
        <v>3.4</v>
      </c>
      <c r="T35" s="4">
        <v>2</v>
      </c>
      <c r="U35" s="4" t="s">
        <v>122</v>
      </c>
      <c r="V35" s="4" t="s">
        <v>157</v>
      </c>
      <c r="W35" s="4" t="s">
        <v>290</v>
      </c>
      <c r="X35" s="4" t="s">
        <v>291</v>
      </c>
      <c r="Y35" s="4" t="s">
        <v>292</v>
      </c>
      <c r="Z35" s="4">
        <v>3</v>
      </c>
      <c r="AA35" s="4">
        <v>16900</v>
      </c>
      <c r="AB35" s="4" t="s">
        <v>124</v>
      </c>
      <c r="AC35" s="4">
        <v>675</v>
      </c>
      <c r="AD35" s="4" t="s">
        <v>124</v>
      </c>
      <c r="AE35" s="4">
        <v>1642.5</v>
      </c>
      <c r="AF35" s="4" t="s">
        <v>124</v>
      </c>
      <c r="AG35" s="4" t="s">
        <v>124</v>
      </c>
      <c r="AH35" s="4">
        <v>2</v>
      </c>
      <c r="AI35" s="4" t="s">
        <v>124</v>
      </c>
      <c r="AJ35" s="4">
        <v>178.05</v>
      </c>
      <c r="AK35" s="4" t="s">
        <v>124</v>
      </c>
      <c r="AL35" s="4">
        <v>9.3000000000000007</v>
      </c>
      <c r="AM35" s="4" t="s">
        <v>124</v>
      </c>
      <c r="AN35" s="4">
        <v>684.37</v>
      </c>
      <c r="AO35" s="4">
        <v>1</v>
      </c>
      <c r="AP35" s="4" t="s">
        <v>124</v>
      </c>
      <c r="AQ35" s="4">
        <v>540</v>
      </c>
      <c r="AR35" s="4">
        <v>855</v>
      </c>
      <c r="AS35" s="4" t="s">
        <v>124</v>
      </c>
      <c r="AT35" s="4">
        <v>3.9</v>
      </c>
      <c r="AU35" s="4">
        <v>46.1</v>
      </c>
      <c r="AV35" s="4">
        <v>1411.75</v>
      </c>
      <c r="AW35" s="4">
        <v>43.5</v>
      </c>
      <c r="AX35" s="4" t="s">
        <v>124</v>
      </c>
      <c r="AY35" s="4" t="s">
        <v>124</v>
      </c>
      <c r="AZ35" s="4">
        <v>1</v>
      </c>
      <c r="BA35" s="4">
        <v>450.71</v>
      </c>
      <c r="BB35" s="4">
        <v>3290</v>
      </c>
      <c r="BC35" s="4" t="s">
        <v>124</v>
      </c>
      <c r="BD35" s="4" t="s">
        <v>293</v>
      </c>
      <c r="BE35" s="4" t="s">
        <v>124</v>
      </c>
      <c r="BF35" s="4">
        <v>0.81</v>
      </c>
      <c r="BG35" s="4" t="s">
        <v>124</v>
      </c>
      <c r="BH35" s="4" t="s">
        <v>124</v>
      </c>
      <c r="BI35" s="4">
        <v>12748342</v>
      </c>
      <c r="BJ35" s="4">
        <v>21.89</v>
      </c>
      <c r="BK35" s="4">
        <v>-34.83</v>
      </c>
      <c r="BL35" s="4">
        <v>-6.47</v>
      </c>
      <c r="BM35" s="4">
        <v>47.31</v>
      </c>
      <c r="BN35" s="4">
        <v>-16.79</v>
      </c>
      <c r="BO35" s="4">
        <v>15.25</v>
      </c>
      <c r="BP35" s="4">
        <v>0</v>
      </c>
      <c r="BQ35" s="4">
        <v>33.380000000000003</v>
      </c>
      <c r="BR35" s="4">
        <v>1</v>
      </c>
      <c r="BS35" s="4">
        <v>0.14000000000000001</v>
      </c>
      <c r="BT35" s="4">
        <v>82.21</v>
      </c>
      <c r="BU35" s="4">
        <v>226.44</v>
      </c>
      <c r="BV35" s="4">
        <v>866.73</v>
      </c>
      <c r="BW35" s="4">
        <v>1501.01</v>
      </c>
      <c r="BX35" s="4">
        <f>AVERAGE(5637, 1200, 4300, 2400)</f>
        <v>3384.25</v>
      </c>
      <c r="BY35" s="4">
        <f>AVERAGE(40.2, 20.3, 50.7, 41, 42, 30.9, 31)</f>
        <v>36.585714285714289</v>
      </c>
      <c r="BZ35" s="4">
        <f>AVERAGE(87.5, 29.7, 30.3, 65, 20.7, 14.1, 31.9, 35)</f>
        <v>39.274999999999999</v>
      </c>
      <c r="CA35" s="4">
        <f>AVERAGE(4357, 900, 1968, 1035, 390, 520, 3100)</f>
        <v>1752.8571428571429</v>
      </c>
      <c r="CB35" s="4">
        <f t="shared" si="0"/>
        <v>17.528571428571428</v>
      </c>
      <c r="CC35" s="4">
        <f>AVERAGE(33.1, 18.2, 30.4, 26, 25)</f>
        <v>26.54</v>
      </c>
      <c r="CD35" s="4">
        <f t="shared" si="5"/>
        <v>39.274999999999999</v>
      </c>
      <c r="CE35" s="4">
        <f t="shared" si="2"/>
        <v>17.528571428571428</v>
      </c>
      <c r="CF35" s="47">
        <f t="shared" si="3"/>
        <v>2.2406275468622656</v>
      </c>
    </row>
    <row r="36" spans="1:84" x14ac:dyDescent="0.2">
      <c r="A36" s="4" t="s">
        <v>49</v>
      </c>
      <c r="B36" s="4">
        <v>48.35</v>
      </c>
      <c r="C36" s="4">
        <v>197.36</v>
      </c>
      <c r="D36" s="4">
        <v>16.3</v>
      </c>
      <c r="E36" s="4">
        <v>139.69</v>
      </c>
      <c r="F36" s="4">
        <v>26.62</v>
      </c>
      <c r="G36" s="4">
        <v>100</v>
      </c>
      <c r="H36" s="4">
        <v>1150</v>
      </c>
      <c r="I36" s="4">
        <v>607.01</v>
      </c>
      <c r="J36" s="4">
        <v>78.69</v>
      </c>
      <c r="K36" s="4">
        <v>528.32000000000005</v>
      </c>
      <c r="L36" s="4">
        <v>680</v>
      </c>
      <c r="M36" s="4">
        <v>328</v>
      </c>
      <c r="N36" s="4" t="s">
        <v>15</v>
      </c>
      <c r="O36" s="2" t="s">
        <v>49</v>
      </c>
      <c r="P36" s="6" t="s">
        <v>294</v>
      </c>
      <c r="Q36" s="4">
        <v>14</v>
      </c>
      <c r="R36" s="4">
        <v>13.51</v>
      </c>
      <c r="S36" s="4">
        <v>0.61</v>
      </c>
      <c r="T36" s="4">
        <v>2</v>
      </c>
      <c r="U36" s="4" t="s">
        <v>122</v>
      </c>
      <c r="V36" s="4" t="s">
        <v>263</v>
      </c>
      <c r="W36" s="4" t="s">
        <v>295</v>
      </c>
      <c r="X36" s="4" t="s">
        <v>296</v>
      </c>
      <c r="Y36" s="4" t="s">
        <v>297</v>
      </c>
      <c r="Z36" s="4">
        <v>1</v>
      </c>
      <c r="AA36" s="4">
        <v>1080</v>
      </c>
      <c r="AB36" s="4" t="s">
        <v>124</v>
      </c>
      <c r="AC36" s="4">
        <v>320</v>
      </c>
      <c r="AD36" s="4" t="s">
        <v>124</v>
      </c>
      <c r="AE36" s="4">
        <v>750.07</v>
      </c>
      <c r="AF36" s="4">
        <v>347.82</v>
      </c>
      <c r="AG36" s="4">
        <v>964</v>
      </c>
      <c r="AH36" s="4">
        <v>4</v>
      </c>
      <c r="AI36" s="4" t="s">
        <v>124</v>
      </c>
      <c r="AJ36" s="4">
        <v>192.99</v>
      </c>
      <c r="AK36" s="4">
        <v>1</v>
      </c>
      <c r="AL36" s="4">
        <v>0.11</v>
      </c>
      <c r="AM36" s="4">
        <v>0.1</v>
      </c>
      <c r="AN36" s="4">
        <v>354.05</v>
      </c>
      <c r="AO36" s="4">
        <v>1</v>
      </c>
      <c r="AP36" s="4" t="s">
        <v>124</v>
      </c>
      <c r="AQ36" s="4">
        <v>312</v>
      </c>
      <c r="AR36" s="4">
        <v>37.200000000000003</v>
      </c>
      <c r="AS36" s="4" t="s">
        <v>124</v>
      </c>
      <c r="AT36" s="4">
        <v>8.5299999999999994</v>
      </c>
      <c r="AU36" s="4" t="s">
        <v>124</v>
      </c>
      <c r="AV36" s="4">
        <v>489.13</v>
      </c>
      <c r="AW36" s="4">
        <v>1</v>
      </c>
      <c r="AX36" s="4" t="s">
        <v>124</v>
      </c>
      <c r="AY36" s="4">
        <v>2</v>
      </c>
      <c r="AZ36" s="4">
        <v>2</v>
      </c>
      <c r="BA36" s="4">
        <v>148.18</v>
      </c>
      <c r="BB36" s="4" t="s">
        <v>124</v>
      </c>
      <c r="BC36" s="4" t="s">
        <v>124</v>
      </c>
      <c r="BD36" s="4" t="s">
        <v>298</v>
      </c>
      <c r="BE36" s="4" t="s">
        <v>124</v>
      </c>
      <c r="BF36" s="4">
        <v>1.1299999999999999</v>
      </c>
      <c r="BG36" s="4" t="s">
        <v>124</v>
      </c>
      <c r="BH36" s="4" t="s">
        <v>124</v>
      </c>
      <c r="BI36" s="4">
        <v>4965958</v>
      </c>
      <c r="BJ36" s="4">
        <v>14.74</v>
      </c>
      <c r="BK36" s="4">
        <v>-11.2</v>
      </c>
      <c r="BL36" s="4">
        <v>1.77</v>
      </c>
      <c r="BM36" s="4">
        <v>38.630000000000003</v>
      </c>
      <c r="BN36" s="4">
        <v>-17.52</v>
      </c>
      <c r="BO36" s="4">
        <v>10.55</v>
      </c>
      <c r="BP36" s="4">
        <v>0</v>
      </c>
      <c r="BQ36" s="4">
        <v>51.09</v>
      </c>
      <c r="BR36" s="4">
        <v>1</v>
      </c>
      <c r="BS36" s="4">
        <v>0.12</v>
      </c>
      <c r="BT36" s="4">
        <v>139</v>
      </c>
      <c r="BU36" s="4">
        <v>243.76</v>
      </c>
      <c r="BV36" s="4">
        <v>1255.8499999999999</v>
      </c>
      <c r="BW36" s="4">
        <v>1545.51</v>
      </c>
      <c r="BX36" s="4">
        <v>2497</v>
      </c>
      <c r="BY36" s="4" t="s">
        <v>124</v>
      </c>
      <c r="BZ36" s="4">
        <v>2</v>
      </c>
      <c r="CA36" s="4">
        <v>28</v>
      </c>
      <c r="CB36" s="4">
        <f t="shared" si="0"/>
        <v>0.28000000000000003</v>
      </c>
      <c r="CC36" s="4" t="s">
        <v>124</v>
      </c>
      <c r="CD36" s="4">
        <f t="shared" si="5"/>
        <v>2</v>
      </c>
      <c r="CE36" s="4">
        <f t="shared" si="2"/>
        <v>0.28000000000000003</v>
      </c>
      <c r="CF36" s="47">
        <f t="shared" si="3"/>
        <v>7.1428571428571423</v>
      </c>
    </row>
    <row r="37" spans="1:84" x14ac:dyDescent="0.2">
      <c r="A37" s="4" t="s">
        <v>50</v>
      </c>
      <c r="B37" s="4">
        <v>129.19999999999999</v>
      </c>
      <c r="C37" s="4">
        <v>615.79</v>
      </c>
      <c r="D37" s="4">
        <v>38.44</v>
      </c>
      <c r="E37" s="4">
        <v>323.72000000000003</v>
      </c>
      <c r="F37" s="4">
        <v>156.77000000000001</v>
      </c>
      <c r="G37" s="4">
        <v>185.28</v>
      </c>
      <c r="H37" s="4">
        <v>7000</v>
      </c>
      <c r="I37" s="4">
        <v>1670.84</v>
      </c>
      <c r="J37" s="4">
        <v>221.64</v>
      </c>
      <c r="K37" s="4">
        <v>1449.2</v>
      </c>
      <c r="L37" s="4">
        <v>2007</v>
      </c>
      <c r="M37" s="4">
        <v>814</v>
      </c>
      <c r="N37" s="4" t="s">
        <v>13</v>
      </c>
      <c r="O37" s="2" t="s">
        <v>50</v>
      </c>
      <c r="P37" s="3" t="s">
        <v>186</v>
      </c>
      <c r="Q37" s="4">
        <v>78</v>
      </c>
      <c r="R37" s="4">
        <v>75.290000000000006</v>
      </c>
      <c r="S37" s="4">
        <v>1.67</v>
      </c>
      <c r="T37" s="4">
        <v>2</v>
      </c>
      <c r="U37" s="4" t="s">
        <v>122</v>
      </c>
      <c r="V37" s="4" t="s">
        <v>157</v>
      </c>
      <c r="W37" s="4" t="s">
        <v>187</v>
      </c>
      <c r="X37" s="4" t="s">
        <v>188</v>
      </c>
      <c r="Y37" s="4" t="s">
        <v>189</v>
      </c>
      <c r="Z37" s="4">
        <v>2</v>
      </c>
      <c r="AA37" s="4">
        <v>8430</v>
      </c>
      <c r="AB37" s="4" t="s">
        <v>124</v>
      </c>
      <c r="AC37" s="4">
        <v>574.45000000000005</v>
      </c>
      <c r="AD37" s="4" t="s">
        <v>124</v>
      </c>
      <c r="AE37" s="4">
        <v>1489.2</v>
      </c>
      <c r="AF37" s="4" t="s">
        <v>124</v>
      </c>
      <c r="AG37" s="4" t="s">
        <v>124</v>
      </c>
      <c r="AH37" s="4">
        <v>3</v>
      </c>
      <c r="AI37" s="4" t="s">
        <v>124</v>
      </c>
      <c r="AJ37" s="4">
        <v>151.46</v>
      </c>
      <c r="AK37" s="4">
        <v>1</v>
      </c>
      <c r="AL37" s="4">
        <v>0.43</v>
      </c>
      <c r="AM37" s="4">
        <v>0.49</v>
      </c>
      <c r="AN37" s="4">
        <v>660.65</v>
      </c>
      <c r="AO37" s="4">
        <v>1</v>
      </c>
      <c r="AP37" s="4">
        <v>0.5</v>
      </c>
      <c r="AQ37" s="4" t="s">
        <v>124</v>
      </c>
      <c r="AR37" s="4" t="s">
        <v>124</v>
      </c>
      <c r="AS37" s="4" t="s">
        <v>124</v>
      </c>
      <c r="AT37" s="4">
        <v>132</v>
      </c>
      <c r="AU37" s="4">
        <v>33.6</v>
      </c>
      <c r="AV37" s="4">
        <v>1277.49</v>
      </c>
      <c r="AW37" s="4">
        <v>34</v>
      </c>
      <c r="AX37" s="4" t="s">
        <v>124</v>
      </c>
      <c r="AY37" s="4">
        <v>2</v>
      </c>
      <c r="AZ37" s="4">
        <v>2</v>
      </c>
      <c r="BA37" s="4">
        <v>778.84</v>
      </c>
      <c r="BB37" s="4" t="s">
        <v>124</v>
      </c>
      <c r="BC37" s="4" t="s">
        <v>124</v>
      </c>
      <c r="BD37" s="4" t="s">
        <v>190</v>
      </c>
      <c r="BE37" s="4" t="s">
        <v>124</v>
      </c>
      <c r="BF37" s="4" t="s">
        <v>124</v>
      </c>
      <c r="BG37" s="4" t="s">
        <v>124</v>
      </c>
      <c r="BH37" s="4" t="s">
        <v>124</v>
      </c>
      <c r="BI37" s="4">
        <v>590235</v>
      </c>
      <c r="BJ37" s="4">
        <v>15.04</v>
      </c>
      <c r="BK37" s="4">
        <v>4.3499999999999996</v>
      </c>
      <c r="BL37" s="4">
        <v>9.69</v>
      </c>
      <c r="BM37" s="4">
        <v>0.68</v>
      </c>
      <c r="BN37" s="4">
        <v>-16.82</v>
      </c>
      <c r="BO37" s="4">
        <v>-8.07</v>
      </c>
      <c r="BP37" s="4">
        <v>3</v>
      </c>
      <c r="BQ37" s="4">
        <v>68.84</v>
      </c>
      <c r="BR37" s="4">
        <v>7</v>
      </c>
      <c r="BS37" s="4">
        <v>0.09</v>
      </c>
      <c r="BT37" s="4">
        <v>161.46</v>
      </c>
      <c r="BU37" s="4">
        <v>260.82</v>
      </c>
      <c r="BV37" s="4">
        <v>1122.3599999999999</v>
      </c>
      <c r="BW37" s="4">
        <v>1554.69</v>
      </c>
      <c r="BX37" s="4">
        <f>AVERAGE(967, 872)</f>
        <v>919.5</v>
      </c>
      <c r="BY37" s="4">
        <f>AVERAGE(37, 44.9, 13.8)</f>
        <v>31.900000000000002</v>
      </c>
      <c r="BZ37" s="4">
        <f>AVERAGE(14, 18, 4, 18)</f>
        <v>13.5</v>
      </c>
      <c r="CA37" s="4">
        <f>AVERAGE(53, 64, 65, 58)</f>
        <v>60</v>
      </c>
      <c r="CB37" s="4">
        <f t="shared" si="0"/>
        <v>0.6</v>
      </c>
      <c r="CC37" s="4">
        <f>AVERAGE(5, 18.9, 12.5)</f>
        <v>12.133333333333333</v>
      </c>
      <c r="CD37" s="4">
        <f t="shared" si="5"/>
        <v>13.5</v>
      </c>
      <c r="CE37" s="4">
        <f t="shared" si="2"/>
        <v>0.6</v>
      </c>
      <c r="CF37" s="47">
        <f t="shared" si="3"/>
        <v>22.5</v>
      </c>
    </row>
    <row r="38" spans="1:84" x14ac:dyDescent="0.2">
      <c r="A38" s="4" t="s">
        <v>51</v>
      </c>
      <c r="B38" s="4">
        <v>41.63</v>
      </c>
      <c r="C38" s="4">
        <v>259.52</v>
      </c>
      <c r="D38" s="4">
        <v>31.78</v>
      </c>
      <c r="E38" s="4">
        <v>154.43</v>
      </c>
      <c r="F38" s="4">
        <v>56.38</v>
      </c>
      <c r="G38" s="4">
        <v>102.44</v>
      </c>
      <c r="H38" s="4">
        <v>1500</v>
      </c>
      <c r="I38" s="4">
        <v>834.26</v>
      </c>
      <c r="J38" s="4">
        <v>188.08</v>
      </c>
      <c r="K38" s="4">
        <v>646.17999999999995</v>
      </c>
      <c r="L38" s="4">
        <v>1009</v>
      </c>
      <c r="M38" s="4">
        <v>289</v>
      </c>
      <c r="N38" s="4" t="s">
        <v>13</v>
      </c>
      <c r="O38" s="2" t="s">
        <v>299</v>
      </c>
      <c r="P38" s="3" t="s">
        <v>300</v>
      </c>
      <c r="Q38" s="4">
        <v>35</v>
      </c>
      <c r="R38" s="4">
        <v>33.78</v>
      </c>
      <c r="S38" s="4">
        <v>0.83</v>
      </c>
      <c r="T38" s="4">
        <v>2</v>
      </c>
      <c r="U38" s="4" t="s">
        <v>122</v>
      </c>
      <c r="V38" s="4" t="s">
        <v>125</v>
      </c>
      <c r="W38" s="4" t="s">
        <v>301</v>
      </c>
      <c r="X38" s="4" t="s">
        <v>302</v>
      </c>
      <c r="Y38" s="4" t="s">
        <v>303</v>
      </c>
      <c r="Z38" s="4">
        <v>3</v>
      </c>
      <c r="AA38" s="4">
        <v>2110</v>
      </c>
      <c r="AB38" s="4" t="s">
        <v>124</v>
      </c>
      <c r="AC38" s="4">
        <v>412.43</v>
      </c>
      <c r="AD38" s="4" t="s">
        <v>124</v>
      </c>
      <c r="AE38" s="4" t="s">
        <v>124</v>
      </c>
      <c r="AF38" s="4" t="s">
        <v>124</v>
      </c>
      <c r="AG38" s="4" t="s">
        <v>124</v>
      </c>
      <c r="AH38" s="4">
        <v>4</v>
      </c>
      <c r="AI38" s="4" t="s">
        <v>124</v>
      </c>
      <c r="AJ38" s="4" t="s">
        <v>124</v>
      </c>
      <c r="AK38" s="4">
        <v>1</v>
      </c>
      <c r="AL38" s="4" t="s">
        <v>124</v>
      </c>
      <c r="AM38" s="4" t="s">
        <v>124</v>
      </c>
      <c r="AN38" s="4" t="s">
        <v>124</v>
      </c>
      <c r="AO38" s="4">
        <v>1.02</v>
      </c>
      <c r="AP38" s="4" t="s">
        <v>124</v>
      </c>
      <c r="AQ38" s="4">
        <v>295.2</v>
      </c>
      <c r="AR38" s="4">
        <v>120</v>
      </c>
      <c r="AS38" s="4" t="s">
        <v>124</v>
      </c>
      <c r="AT38" s="4">
        <v>8</v>
      </c>
      <c r="AU38" s="4" t="s">
        <v>124</v>
      </c>
      <c r="AV38" s="4" t="s">
        <v>124</v>
      </c>
      <c r="AW38" s="4">
        <v>2.5</v>
      </c>
      <c r="AX38" s="4" t="s">
        <v>124</v>
      </c>
      <c r="AY38" s="4">
        <v>2</v>
      </c>
      <c r="AZ38" s="4">
        <v>2</v>
      </c>
      <c r="BA38" s="4" t="s">
        <v>124</v>
      </c>
      <c r="BB38" s="4" t="s">
        <v>124</v>
      </c>
      <c r="BC38" s="4" t="s">
        <v>124</v>
      </c>
      <c r="BD38" s="4" t="s">
        <v>304</v>
      </c>
      <c r="BE38" s="4" t="s">
        <v>124</v>
      </c>
      <c r="BF38" s="4" t="s">
        <v>124</v>
      </c>
      <c r="BG38" s="4" t="s">
        <v>124</v>
      </c>
      <c r="BH38" s="4" t="s">
        <v>124</v>
      </c>
      <c r="BI38" s="4">
        <v>2272019</v>
      </c>
      <c r="BJ38" s="4">
        <v>1.47</v>
      </c>
      <c r="BK38" s="4">
        <v>-14.05</v>
      </c>
      <c r="BL38" s="4">
        <v>-6.29</v>
      </c>
      <c r="BM38" s="4">
        <v>-55.26</v>
      </c>
      <c r="BN38" s="4">
        <v>-77.849999999999994</v>
      </c>
      <c r="BO38" s="4">
        <v>-66.56</v>
      </c>
      <c r="BP38" s="4">
        <v>0</v>
      </c>
      <c r="BQ38" s="4">
        <v>2.44</v>
      </c>
      <c r="BR38" s="4">
        <v>0</v>
      </c>
      <c r="BS38" s="4">
        <v>0.16</v>
      </c>
      <c r="BT38" s="4">
        <v>193.57</v>
      </c>
      <c r="BU38" s="4">
        <v>254.89</v>
      </c>
      <c r="BV38" s="4">
        <v>1427.32</v>
      </c>
      <c r="BW38" s="4">
        <v>1537.82</v>
      </c>
      <c r="BX38" s="4" t="s">
        <v>124</v>
      </c>
      <c r="BY38" s="4" t="s">
        <v>124</v>
      </c>
      <c r="BZ38" s="4">
        <f>AVERAGE(4, 3.8)</f>
        <v>3.9</v>
      </c>
      <c r="CA38" s="4">
        <v>9.6999999999999993</v>
      </c>
      <c r="CB38" s="4">
        <f t="shared" si="0"/>
        <v>9.6999999999999989E-2</v>
      </c>
      <c r="CC38" s="4" t="s">
        <v>124</v>
      </c>
      <c r="CD38" s="4">
        <f t="shared" si="5"/>
        <v>3.9</v>
      </c>
      <c r="CE38" s="4">
        <f t="shared" si="2"/>
        <v>9.6999999999999989E-2</v>
      </c>
      <c r="CF38" s="47">
        <f t="shared" si="3"/>
        <v>40.206185567010316</v>
      </c>
    </row>
    <row r="39" spans="1:84" x14ac:dyDescent="0.2">
      <c r="A39" s="4" t="s">
        <v>52</v>
      </c>
      <c r="B39" s="4">
        <v>72.19</v>
      </c>
      <c r="C39" s="4">
        <v>361.75</v>
      </c>
      <c r="D39" s="4">
        <v>18.7</v>
      </c>
      <c r="E39" s="4">
        <v>217.12</v>
      </c>
      <c r="F39" s="4">
        <v>70.930000000000007</v>
      </c>
      <c r="G39" s="4">
        <v>141.38999999999999</v>
      </c>
      <c r="H39" s="4">
        <v>3480</v>
      </c>
      <c r="I39" s="4">
        <v>1042.96</v>
      </c>
      <c r="J39" s="4">
        <v>160.88</v>
      </c>
      <c r="K39" s="4">
        <v>882.08</v>
      </c>
      <c r="L39" s="4">
        <v>1223</v>
      </c>
      <c r="M39" s="4">
        <v>443</v>
      </c>
      <c r="N39" s="4" t="s">
        <v>13</v>
      </c>
      <c r="O39" s="2" t="s">
        <v>52</v>
      </c>
      <c r="P39" s="6" t="s">
        <v>305</v>
      </c>
      <c r="Q39" s="4">
        <v>26.7</v>
      </c>
      <c r="R39" s="4">
        <v>25.77</v>
      </c>
      <c r="S39" s="4">
        <v>1.04</v>
      </c>
      <c r="T39" s="4">
        <v>2</v>
      </c>
      <c r="U39" s="4" t="s">
        <v>122</v>
      </c>
      <c r="V39" s="4" t="s">
        <v>134</v>
      </c>
      <c r="W39" s="4" t="s">
        <v>306</v>
      </c>
      <c r="X39" s="4" t="s">
        <v>307</v>
      </c>
      <c r="Y39" s="4" t="s">
        <v>308</v>
      </c>
      <c r="Z39" s="4">
        <v>3</v>
      </c>
      <c r="AA39" s="4">
        <v>3650</v>
      </c>
      <c r="AB39" s="4" t="s">
        <v>124</v>
      </c>
      <c r="AC39" s="4">
        <v>472.49</v>
      </c>
      <c r="AD39" s="4" t="s">
        <v>124</v>
      </c>
      <c r="AE39" s="4">
        <v>1600.52</v>
      </c>
      <c r="AF39" s="4">
        <v>670</v>
      </c>
      <c r="AG39" s="4">
        <v>3350</v>
      </c>
      <c r="AH39" s="4">
        <v>3</v>
      </c>
      <c r="AI39" s="4" t="s">
        <v>124</v>
      </c>
      <c r="AJ39" s="4">
        <v>147.49</v>
      </c>
      <c r="AK39" s="4">
        <v>1</v>
      </c>
      <c r="AL39" s="4">
        <v>0.03</v>
      </c>
      <c r="AM39" s="4">
        <v>0.03</v>
      </c>
      <c r="AN39" s="4">
        <v>365</v>
      </c>
      <c r="AO39" s="4">
        <v>1</v>
      </c>
      <c r="AP39" s="4">
        <v>1</v>
      </c>
      <c r="AQ39" s="4">
        <v>247.2</v>
      </c>
      <c r="AR39" s="4">
        <v>103</v>
      </c>
      <c r="AS39" s="4" t="s">
        <v>124</v>
      </c>
      <c r="AT39" s="4">
        <v>150</v>
      </c>
      <c r="AU39" s="4">
        <v>7.5</v>
      </c>
      <c r="AV39" s="4">
        <v>912.49</v>
      </c>
      <c r="AW39" s="4">
        <v>6.15</v>
      </c>
      <c r="AX39" s="4">
        <v>2</v>
      </c>
      <c r="AY39" s="4">
        <v>2</v>
      </c>
      <c r="AZ39" s="4">
        <v>1</v>
      </c>
      <c r="BA39" s="4">
        <v>178.8</v>
      </c>
      <c r="BB39" s="4" t="s">
        <v>124</v>
      </c>
      <c r="BC39" s="4" t="s">
        <v>124</v>
      </c>
      <c r="BD39" s="4" t="s">
        <v>309</v>
      </c>
      <c r="BE39" s="4" t="s">
        <v>124</v>
      </c>
      <c r="BF39" s="4" t="s">
        <v>124</v>
      </c>
      <c r="BG39" s="4" t="s">
        <v>124</v>
      </c>
      <c r="BH39" s="4" t="s">
        <v>124</v>
      </c>
      <c r="BI39" s="4">
        <v>102413</v>
      </c>
      <c r="BJ39" s="4">
        <v>-14.57</v>
      </c>
      <c r="BK39" s="4">
        <v>-25.58</v>
      </c>
      <c r="BL39" s="4">
        <v>-20.07</v>
      </c>
      <c r="BM39" s="4">
        <v>48.63</v>
      </c>
      <c r="BN39" s="4">
        <v>43.22</v>
      </c>
      <c r="BO39" s="4">
        <v>45.93</v>
      </c>
      <c r="BP39" s="4">
        <v>2</v>
      </c>
      <c r="BQ39" s="4">
        <v>12.72</v>
      </c>
      <c r="BR39" s="4">
        <v>3</v>
      </c>
      <c r="BS39" s="4">
        <v>0.18</v>
      </c>
      <c r="BT39" s="4">
        <v>85.4</v>
      </c>
      <c r="BU39" s="4">
        <v>239.98</v>
      </c>
      <c r="BV39" s="4">
        <v>881.86</v>
      </c>
      <c r="BW39" s="4">
        <v>1632.22</v>
      </c>
      <c r="BX39" s="4">
        <f>AVERAGE(380, 1100, 775)</f>
        <v>751.66666666666663</v>
      </c>
      <c r="BY39" s="4">
        <f>AVERAGE(46.3, 28.5)</f>
        <v>37.4</v>
      </c>
      <c r="BZ39" s="4">
        <f>AVERAGE(6.27, 5.69, 4.8, 4.5, 4.67, 5.5)</f>
        <v>5.2383333333333333</v>
      </c>
      <c r="CA39" s="4">
        <f>AVERAGE(7.31, 5, 7, 1.5, 3.8)</f>
        <v>4.9219999999999997</v>
      </c>
      <c r="CB39" s="4">
        <f t="shared" si="0"/>
        <v>4.922E-2</v>
      </c>
      <c r="CC39" s="4">
        <v>24.3</v>
      </c>
      <c r="CD39" s="4">
        <f t="shared" si="5"/>
        <v>5.2383333333333333</v>
      </c>
      <c r="CE39" s="4">
        <f t="shared" si="2"/>
        <v>4.922E-2</v>
      </c>
      <c r="CF39" s="47">
        <f t="shared" si="3"/>
        <v>106.4269267235541</v>
      </c>
    </row>
    <row r="40" spans="1:84" x14ac:dyDescent="0.2">
      <c r="A40" s="4" t="s">
        <v>53</v>
      </c>
      <c r="B40" s="4">
        <v>117.14</v>
      </c>
      <c r="C40" s="4">
        <v>786.6</v>
      </c>
      <c r="D40" s="4">
        <v>44.48</v>
      </c>
      <c r="E40" s="4">
        <v>420.73</v>
      </c>
      <c r="F40" s="4">
        <v>227.64</v>
      </c>
      <c r="G40" s="4">
        <v>253.07</v>
      </c>
      <c r="H40" s="4">
        <v>7500</v>
      </c>
      <c r="I40" s="4">
        <v>2295.41</v>
      </c>
      <c r="J40" s="4">
        <v>445.75</v>
      </c>
      <c r="K40" s="4">
        <v>1849.66</v>
      </c>
      <c r="L40" s="4">
        <v>2206</v>
      </c>
      <c r="M40" s="4">
        <v>723</v>
      </c>
      <c r="N40" s="4" t="s">
        <v>13</v>
      </c>
      <c r="O40" s="2" t="s">
        <v>53</v>
      </c>
      <c r="P40" s="6" t="s">
        <v>310</v>
      </c>
      <c r="Q40" s="4">
        <v>77</v>
      </c>
      <c r="R40" s="4">
        <v>74.319999999999993</v>
      </c>
      <c r="S40" s="4">
        <v>2.2999999999999998</v>
      </c>
      <c r="T40" s="4">
        <v>2</v>
      </c>
      <c r="U40" s="4" t="s">
        <v>122</v>
      </c>
      <c r="V40" s="4" t="s">
        <v>157</v>
      </c>
      <c r="W40" s="4" t="s">
        <v>311</v>
      </c>
      <c r="X40" s="4" t="s">
        <v>312</v>
      </c>
      <c r="Y40" s="4" t="s">
        <v>313</v>
      </c>
      <c r="Z40" s="4">
        <v>3</v>
      </c>
      <c r="AA40" s="4">
        <v>9550</v>
      </c>
      <c r="AB40" s="4" t="s">
        <v>124</v>
      </c>
      <c r="AC40" s="4">
        <v>610</v>
      </c>
      <c r="AD40" s="4" t="s">
        <v>124</v>
      </c>
      <c r="AE40" s="4" t="s">
        <v>124</v>
      </c>
      <c r="AF40" s="4" t="s">
        <v>124</v>
      </c>
      <c r="AG40" s="4" t="s">
        <v>124</v>
      </c>
      <c r="AH40" s="4">
        <v>2</v>
      </c>
      <c r="AI40" s="4" t="s">
        <v>124</v>
      </c>
      <c r="AJ40" s="4">
        <v>183</v>
      </c>
      <c r="AK40" s="4" t="s">
        <v>124</v>
      </c>
      <c r="AL40" s="14">
        <f>AVERAGE(1.5,3.5)</f>
        <v>2.5</v>
      </c>
      <c r="AM40" s="4" t="s">
        <v>124</v>
      </c>
      <c r="AN40" s="4">
        <v>430.7</v>
      </c>
      <c r="AO40" s="4">
        <v>1</v>
      </c>
      <c r="AP40" s="4" t="s">
        <v>124</v>
      </c>
      <c r="AQ40" s="4">
        <v>300</v>
      </c>
      <c r="AR40" s="4">
        <v>192</v>
      </c>
      <c r="AS40" s="4" t="s">
        <v>124</v>
      </c>
      <c r="AT40" s="4" t="s">
        <v>124</v>
      </c>
      <c r="AU40" s="4">
        <v>9.3000000000000007</v>
      </c>
      <c r="AV40" s="4" t="s">
        <v>124</v>
      </c>
      <c r="AW40" s="4">
        <v>9.3000000000000007</v>
      </c>
      <c r="AX40" s="4" t="s">
        <v>124</v>
      </c>
      <c r="AY40" s="4" t="s">
        <v>124</v>
      </c>
      <c r="AZ40" s="4">
        <v>1</v>
      </c>
      <c r="BA40" s="4" t="s">
        <v>124</v>
      </c>
      <c r="BB40" s="4" t="s">
        <v>124</v>
      </c>
      <c r="BC40" s="4" t="s">
        <v>124</v>
      </c>
      <c r="BD40" s="4" t="s">
        <v>314</v>
      </c>
      <c r="BE40" s="4" t="s">
        <v>124</v>
      </c>
      <c r="BF40" s="4">
        <v>1.02</v>
      </c>
      <c r="BG40" s="4" t="s">
        <v>124</v>
      </c>
      <c r="BH40" s="4" t="s">
        <v>124</v>
      </c>
      <c r="BI40" s="4">
        <v>267475</v>
      </c>
      <c r="BJ40" s="4">
        <v>19.55</v>
      </c>
      <c r="BK40" s="4">
        <v>10.59</v>
      </c>
      <c r="BL40" s="4">
        <v>15.07</v>
      </c>
      <c r="BM40" s="4">
        <v>109.46</v>
      </c>
      <c r="BN40" s="4">
        <v>102.98</v>
      </c>
      <c r="BO40" s="4">
        <v>106.22</v>
      </c>
      <c r="BP40" s="4">
        <v>2</v>
      </c>
      <c r="BQ40" s="4">
        <v>130.59</v>
      </c>
      <c r="BR40" s="4">
        <v>5</v>
      </c>
      <c r="BS40" s="4">
        <v>0.13</v>
      </c>
      <c r="BT40" s="4">
        <v>173.51</v>
      </c>
      <c r="BU40" s="4">
        <v>235.98</v>
      </c>
      <c r="BV40" s="4">
        <v>1189.22</v>
      </c>
      <c r="BW40" s="4">
        <v>1468.29</v>
      </c>
      <c r="BX40" s="4" t="s">
        <v>124</v>
      </c>
      <c r="BY40" s="4">
        <v>30</v>
      </c>
      <c r="BZ40" s="4">
        <v>15.5</v>
      </c>
      <c r="CA40" s="4" t="s">
        <v>124</v>
      </c>
      <c r="CB40" s="4" t="str">
        <f t="shared" si="0"/>
        <v>NA</v>
      </c>
      <c r="CC40" s="4">
        <v>5</v>
      </c>
      <c r="CD40" s="4">
        <f t="shared" si="5"/>
        <v>15.5</v>
      </c>
      <c r="CE40" s="4">
        <f t="shared" si="2"/>
        <v>2.5</v>
      </c>
      <c r="CF40" s="47">
        <f t="shared" si="3"/>
        <v>6.2</v>
      </c>
    </row>
    <row r="41" spans="1:84" x14ac:dyDescent="0.2">
      <c r="A41" s="8" t="s">
        <v>54</v>
      </c>
      <c r="B41" s="4">
        <v>15.85</v>
      </c>
      <c r="C41" s="4">
        <v>78.040000000000006</v>
      </c>
      <c r="D41" s="4">
        <v>10.95</v>
      </c>
      <c r="E41" s="4">
        <v>68.92</v>
      </c>
      <c r="F41" s="4">
        <v>13.97</v>
      </c>
      <c r="G41" s="4">
        <v>38.979999999999997</v>
      </c>
      <c r="H41" s="4">
        <v>340</v>
      </c>
      <c r="I41" s="4">
        <v>280.26</v>
      </c>
      <c r="J41" s="4">
        <v>53.55</v>
      </c>
      <c r="K41" s="4">
        <v>226.71</v>
      </c>
      <c r="L41" s="4">
        <v>428</v>
      </c>
      <c r="M41" s="4">
        <v>120</v>
      </c>
      <c r="N41" s="4" t="s">
        <v>13</v>
      </c>
      <c r="O41" s="9" t="s">
        <v>54</v>
      </c>
      <c r="P41" s="3" t="s">
        <v>320</v>
      </c>
      <c r="Q41" s="4">
        <v>10.3</v>
      </c>
      <c r="R41" s="4">
        <v>9.94</v>
      </c>
      <c r="S41" s="4">
        <v>0.28000000000000003</v>
      </c>
      <c r="T41" s="4">
        <v>2</v>
      </c>
      <c r="U41" s="4" t="s">
        <v>122</v>
      </c>
      <c r="V41" s="4" t="s">
        <v>143</v>
      </c>
      <c r="W41" s="4" t="s">
        <v>316</v>
      </c>
      <c r="X41" s="4" t="s">
        <v>334</v>
      </c>
      <c r="Y41" s="4" t="s">
        <v>335</v>
      </c>
      <c r="Z41" s="4">
        <v>3</v>
      </c>
      <c r="AA41" s="4">
        <v>541</v>
      </c>
      <c r="AB41" s="4" t="s">
        <v>124</v>
      </c>
      <c r="AC41" s="4">
        <v>265.72000000000003</v>
      </c>
      <c r="AD41" s="4" t="s">
        <v>124</v>
      </c>
      <c r="AE41" s="4">
        <v>730</v>
      </c>
      <c r="AF41" s="4" t="s">
        <v>124</v>
      </c>
      <c r="AG41" s="4" t="s">
        <v>124</v>
      </c>
      <c r="AH41" s="4">
        <v>4</v>
      </c>
      <c r="AI41" s="4" t="s">
        <v>124</v>
      </c>
      <c r="AJ41" s="4">
        <v>138.33000000000001</v>
      </c>
      <c r="AK41" s="4">
        <v>1</v>
      </c>
      <c r="AL41" s="4">
        <v>0.05</v>
      </c>
      <c r="AM41" s="4">
        <v>0.05</v>
      </c>
      <c r="AN41" s="4">
        <v>206.83</v>
      </c>
      <c r="AO41" s="4">
        <v>2</v>
      </c>
      <c r="AP41" s="4" t="s">
        <v>124</v>
      </c>
      <c r="AQ41" s="4">
        <v>184.8</v>
      </c>
      <c r="AR41" s="4">
        <v>39.9</v>
      </c>
      <c r="AS41" s="4" t="s">
        <v>124</v>
      </c>
      <c r="AT41" s="4">
        <v>11.1</v>
      </c>
      <c r="AU41" s="4" t="s">
        <v>124</v>
      </c>
      <c r="AV41" s="4">
        <v>730</v>
      </c>
      <c r="AW41" s="4">
        <v>5.55</v>
      </c>
      <c r="AX41" s="4" t="s">
        <v>124</v>
      </c>
      <c r="AY41" s="4">
        <v>2</v>
      </c>
      <c r="AZ41" s="4">
        <v>2</v>
      </c>
      <c r="BA41" s="4">
        <v>69.150000000000006</v>
      </c>
      <c r="BB41" s="4" t="s">
        <v>124</v>
      </c>
      <c r="BC41" s="4" t="s">
        <v>124</v>
      </c>
      <c r="BD41" s="4" t="s">
        <v>336</v>
      </c>
      <c r="BE41" s="4" t="s">
        <v>124</v>
      </c>
      <c r="BF41" s="4">
        <v>1.49</v>
      </c>
      <c r="BG41" s="4" t="s">
        <v>124</v>
      </c>
      <c r="BH41" s="4" t="s">
        <v>124</v>
      </c>
      <c r="BI41" s="4">
        <v>1526765</v>
      </c>
      <c r="BJ41" s="4">
        <v>8.02</v>
      </c>
      <c r="BK41" s="4">
        <v>-8.3699999999999992</v>
      </c>
      <c r="BL41" s="4">
        <v>-0.17</v>
      </c>
      <c r="BM41" s="4">
        <v>-45.3</v>
      </c>
      <c r="BN41" s="4">
        <v>-64.84</v>
      </c>
      <c r="BO41" s="4">
        <v>-55.07</v>
      </c>
      <c r="BP41" s="4">
        <v>0</v>
      </c>
      <c r="BQ41" s="4">
        <v>5.3</v>
      </c>
      <c r="BR41" s="4">
        <v>0</v>
      </c>
      <c r="BS41" s="4">
        <v>0.12</v>
      </c>
      <c r="BT41" s="4">
        <v>160.68</v>
      </c>
      <c r="BU41" s="4">
        <v>252.81</v>
      </c>
      <c r="BV41" s="4">
        <v>1441.49</v>
      </c>
      <c r="BW41" s="4">
        <v>1666.98</v>
      </c>
      <c r="BX41" s="3">
        <v>20000</v>
      </c>
      <c r="BY41" s="3" t="s">
        <v>124</v>
      </c>
      <c r="BZ41" s="3">
        <f>AVERAGE(6,3,7,5.7,3,12,5.8)</f>
        <v>6.0714285714285712</v>
      </c>
      <c r="CA41" s="3">
        <f>AVERAGE(35,34,39,9)</f>
        <v>29.25</v>
      </c>
      <c r="CB41" s="4">
        <f t="shared" si="0"/>
        <v>0.29249999999999998</v>
      </c>
      <c r="CC41" s="3" t="s">
        <v>124</v>
      </c>
      <c r="CD41" s="4">
        <f t="shared" si="5"/>
        <v>6.0714285714285712</v>
      </c>
      <c r="CE41" s="4">
        <f>IF(ISNUMBER(SEARCH(CB41,"NA")), AL41, CB41)</f>
        <v>0.29249999999999998</v>
      </c>
      <c r="CF41" s="47">
        <f t="shared" si="3"/>
        <v>20.757020757020758</v>
      </c>
    </row>
    <row r="42" spans="1:84" x14ac:dyDescent="0.2">
      <c r="A42" s="4" t="s">
        <v>55</v>
      </c>
      <c r="B42" s="4">
        <v>23.45</v>
      </c>
      <c r="C42" s="4">
        <v>85.42</v>
      </c>
      <c r="D42" s="4">
        <v>9.66</v>
      </c>
      <c r="E42" s="4">
        <v>49.77</v>
      </c>
      <c r="F42" s="4">
        <v>9.14</v>
      </c>
      <c r="G42" s="4">
        <v>31.55</v>
      </c>
      <c r="H42" s="4">
        <v>380</v>
      </c>
      <c r="I42" s="4">
        <v>262.08999999999997</v>
      </c>
      <c r="J42" s="4">
        <v>53.1</v>
      </c>
      <c r="K42" s="4">
        <v>208.99</v>
      </c>
      <c r="L42" s="4">
        <v>413</v>
      </c>
      <c r="M42" s="4">
        <v>107</v>
      </c>
      <c r="N42" s="4" t="s">
        <v>13</v>
      </c>
      <c r="O42" s="2" t="s">
        <v>55</v>
      </c>
      <c r="P42" s="6" t="s">
        <v>315</v>
      </c>
      <c r="Q42" s="4">
        <v>10</v>
      </c>
      <c r="R42" s="4">
        <v>9.65</v>
      </c>
      <c r="S42" s="4">
        <v>0.26</v>
      </c>
      <c r="T42" s="4">
        <v>2</v>
      </c>
      <c r="U42" s="4" t="s">
        <v>122</v>
      </c>
      <c r="V42" s="4" t="s">
        <v>143</v>
      </c>
      <c r="W42" s="4" t="s">
        <v>316</v>
      </c>
      <c r="X42" s="4" t="s">
        <v>317</v>
      </c>
      <c r="Y42" s="4" t="s">
        <v>318</v>
      </c>
      <c r="Z42" s="4">
        <v>3</v>
      </c>
      <c r="AA42" s="4">
        <v>464</v>
      </c>
      <c r="AB42" s="4" t="s">
        <v>124</v>
      </c>
      <c r="AC42" s="4">
        <v>240</v>
      </c>
      <c r="AD42" s="4" t="s">
        <v>124</v>
      </c>
      <c r="AE42" s="4">
        <v>942.91</v>
      </c>
      <c r="AF42" s="4" t="s">
        <v>124</v>
      </c>
      <c r="AG42" s="4" t="s">
        <v>124</v>
      </c>
      <c r="AH42" s="4">
        <v>4</v>
      </c>
      <c r="AI42" s="4" t="s">
        <v>124</v>
      </c>
      <c r="AJ42" s="4">
        <v>166.49</v>
      </c>
      <c r="AK42" s="4">
        <v>1</v>
      </c>
      <c r="AL42" s="4">
        <v>7.0000000000000007E-2</v>
      </c>
      <c r="AM42" s="4">
        <v>0.12</v>
      </c>
      <c r="AN42" s="4">
        <v>233.06</v>
      </c>
      <c r="AO42" s="4">
        <v>1.93</v>
      </c>
      <c r="AP42" s="4" t="s">
        <v>124</v>
      </c>
      <c r="AQ42" s="4">
        <v>277.2</v>
      </c>
      <c r="AR42" s="4">
        <v>41</v>
      </c>
      <c r="AS42" s="4" t="s">
        <v>124</v>
      </c>
      <c r="AT42" s="4">
        <v>46.2</v>
      </c>
      <c r="AU42" s="4" t="s">
        <v>124</v>
      </c>
      <c r="AV42" s="4">
        <v>590</v>
      </c>
      <c r="AW42" s="4">
        <v>7.05</v>
      </c>
      <c r="AX42" s="4" t="s">
        <v>124</v>
      </c>
      <c r="AY42" s="4">
        <v>2</v>
      </c>
      <c r="AZ42" s="4">
        <v>2</v>
      </c>
      <c r="BA42" s="4">
        <v>49.69</v>
      </c>
      <c r="BB42" s="4">
        <v>105</v>
      </c>
      <c r="BC42" s="4" t="s">
        <v>124</v>
      </c>
      <c r="BD42" s="4" t="s">
        <v>319</v>
      </c>
      <c r="BE42" s="4" t="s">
        <v>124</v>
      </c>
      <c r="BF42" s="4">
        <v>1.4</v>
      </c>
      <c r="BG42" s="4" t="s">
        <v>124</v>
      </c>
      <c r="BH42" s="4" t="s">
        <v>124</v>
      </c>
      <c r="BI42" s="4">
        <v>51021</v>
      </c>
      <c r="BJ42" s="4">
        <v>11.02</v>
      </c>
      <c r="BK42" s="4">
        <v>7.42</v>
      </c>
      <c r="BL42" s="4">
        <v>9.2200000000000006</v>
      </c>
      <c r="BM42" s="4">
        <v>-74.569999999999993</v>
      </c>
      <c r="BN42" s="4">
        <v>-76.930000000000007</v>
      </c>
      <c r="BO42" s="4">
        <v>-75.75</v>
      </c>
      <c r="BP42" s="4">
        <v>6</v>
      </c>
      <c r="BQ42" s="4">
        <v>168.35</v>
      </c>
      <c r="BR42" s="4">
        <v>13</v>
      </c>
      <c r="BS42" s="4">
        <v>0.1</v>
      </c>
      <c r="BT42" s="4">
        <v>120.29</v>
      </c>
      <c r="BU42" s="4">
        <v>263.43</v>
      </c>
      <c r="BV42" s="4">
        <v>1367.13</v>
      </c>
      <c r="BW42" s="4">
        <v>1586.07</v>
      </c>
      <c r="BX42" s="4" t="s">
        <v>124</v>
      </c>
      <c r="BY42" s="4">
        <v>44</v>
      </c>
      <c r="BZ42" s="4">
        <v>2</v>
      </c>
      <c r="CA42" s="4">
        <v>7.8</v>
      </c>
      <c r="CB42" s="4">
        <f t="shared" si="0"/>
        <v>7.8E-2</v>
      </c>
      <c r="CC42" s="4">
        <v>19</v>
      </c>
      <c r="CD42" s="4">
        <f t="shared" si="5"/>
        <v>2</v>
      </c>
      <c r="CE42" s="4">
        <f t="shared" si="2"/>
        <v>7.8E-2</v>
      </c>
      <c r="CF42" s="47">
        <f t="shared" si="3"/>
        <v>25.641025641025642</v>
      </c>
    </row>
    <row r="43" spans="1:84" x14ac:dyDescent="0.2">
      <c r="A43" s="4" t="s">
        <v>56</v>
      </c>
      <c r="B43" s="4">
        <v>17.579999999999998</v>
      </c>
      <c r="C43" s="4">
        <v>79.819999999999993</v>
      </c>
      <c r="D43" s="4">
        <v>13.7</v>
      </c>
      <c r="E43" s="4">
        <v>66.430000000000007</v>
      </c>
      <c r="F43" s="4">
        <v>21.07</v>
      </c>
      <c r="G43" s="4">
        <v>49.78</v>
      </c>
      <c r="H43" s="4">
        <v>660</v>
      </c>
      <c r="I43" s="4">
        <v>351.44</v>
      </c>
      <c r="J43" s="4">
        <v>103.06</v>
      </c>
      <c r="K43" s="4">
        <v>248.38</v>
      </c>
      <c r="L43" s="4">
        <v>722</v>
      </c>
      <c r="M43" s="4">
        <v>168</v>
      </c>
      <c r="N43" s="4" t="s">
        <v>13</v>
      </c>
      <c r="O43" s="2" t="s">
        <v>56</v>
      </c>
      <c r="P43" s="6" t="s">
        <v>321</v>
      </c>
      <c r="Q43" s="4">
        <v>24</v>
      </c>
      <c r="R43" s="4">
        <v>23.17</v>
      </c>
      <c r="S43" s="4">
        <v>0.35</v>
      </c>
      <c r="T43" s="4">
        <v>2</v>
      </c>
      <c r="U43" s="4" t="s">
        <v>122</v>
      </c>
      <c r="V43" s="4" t="s">
        <v>125</v>
      </c>
      <c r="W43" s="4" t="s">
        <v>322</v>
      </c>
      <c r="X43" s="4" t="s">
        <v>323</v>
      </c>
      <c r="Y43" s="4" t="s">
        <v>324</v>
      </c>
      <c r="Z43" s="4">
        <v>3</v>
      </c>
      <c r="AA43" s="4">
        <v>750</v>
      </c>
      <c r="AB43" s="4" t="s">
        <v>124</v>
      </c>
      <c r="AC43" s="4">
        <v>322.49</v>
      </c>
      <c r="AD43" s="4" t="s">
        <v>124</v>
      </c>
      <c r="AE43" s="4">
        <v>1073.25</v>
      </c>
      <c r="AF43" s="4">
        <v>738.81</v>
      </c>
      <c r="AG43" s="4">
        <v>850</v>
      </c>
      <c r="AH43" s="4">
        <v>3</v>
      </c>
      <c r="AI43" s="4" t="s">
        <v>124</v>
      </c>
      <c r="AJ43" s="4">
        <v>164.2</v>
      </c>
      <c r="AK43" s="4">
        <v>1</v>
      </c>
      <c r="AL43" s="4">
        <v>0.69</v>
      </c>
      <c r="AM43" s="4">
        <v>0.45</v>
      </c>
      <c r="AN43" s="4">
        <v>383.25</v>
      </c>
      <c r="AO43" s="4">
        <v>1</v>
      </c>
      <c r="AP43" s="4" t="s">
        <v>124</v>
      </c>
      <c r="AQ43" s="4">
        <v>324</v>
      </c>
      <c r="AR43" s="4">
        <v>108</v>
      </c>
      <c r="AS43" s="4" t="s">
        <v>124</v>
      </c>
      <c r="AT43" s="4">
        <v>36.1</v>
      </c>
      <c r="AU43" s="4" t="s">
        <v>124</v>
      </c>
      <c r="AV43" s="4">
        <v>1204.07</v>
      </c>
      <c r="AW43" s="4">
        <v>34.85</v>
      </c>
      <c r="AX43" s="4" t="s">
        <v>124</v>
      </c>
      <c r="AY43" s="4">
        <v>2</v>
      </c>
      <c r="AZ43" s="4">
        <v>2</v>
      </c>
      <c r="BA43" s="4">
        <v>172.01</v>
      </c>
      <c r="BB43" s="4">
        <v>418</v>
      </c>
      <c r="BC43" s="4" t="s">
        <v>124</v>
      </c>
      <c r="BD43" s="4" t="s">
        <v>325</v>
      </c>
      <c r="BE43" s="4" t="s">
        <v>124</v>
      </c>
      <c r="BF43" s="4">
        <v>1.08</v>
      </c>
      <c r="BG43" s="4" t="s">
        <v>124</v>
      </c>
      <c r="BH43" s="4" t="s">
        <v>124</v>
      </c>
      <c r="BI43" s="4">
        <v>3166418</v>
      </c>
      <c r="BJ43" s="4">
        <v>7.61</v>
      </c>
      <c r="BK43" s="4">
        <v>-8.91</v>
      </c>
      <c r="BL43" s="4">
        <v>-0.64</v>
      </c>
      <c r="BM43" s="4">
        <v>-44.29</v>
      </c>
      <c r="BN43" s="4">
        <v>-78.36</v>
      </c>
      <c r="BO43" s="4">
        <v>-61.33</v>
      </c>
      <c r="BP43" s="4">
        <v>0</v>
      </c>
      <c r="BQ43" s="4">
        <v>4.63</v>
      </c>
      <c r="BR43" s="4">
        <v>0</v>
      </c>
      <c r="BS43" s="4">
        <v>0.11</v>
      </c>
      <c r="BT43" s="4">
        <v>186.86</v>
      </c>
      <c r="BU43" s="4">
        <v>253.03</v>
      </c>
      <c r="BV43" s="4">
        <v>1461.05</v>
      </c>
      <c r="BW43" s="4">
        <v>1606.65</v>
      </c>
      <c r="BX43" s="4">
        <f>AVERAGE(700, 2300)</f>
        <v>1500</v>
      </c>
      <c r="BY43" s="4" t="s">
        <v>124</v>
      </c>
      <c r="BZ43" s="4">
        <f>AVERAGE(15, 25)</f>
        <v>20</v>
      </c>
      <c r="CA43" s="4">
        <f>AVERAGE(250, 44)</f>
        <v>147</v>
      </c>
      <c r="CB43" s="4">
        <f t="shared" si="0"/>
        <v>1.47</v>
      </c>
      <c r="CC43" s="4" t="s">
        <v>124</v>
      </c>
      <c r="CD43" s="4">
        <f t="shared" si="5"/>
        <v>20</v>
      </c>
      <c r="CE43" s="4">
        <f t="shared" si="2"/>
        <v>1.47</v>
      </c>
      <c r="CF43" s="47">
        <f t="shared" si="3"/>
        <v>13.605442176870749</v>
      </c>
    </row>
    <row r="44" spans="1:84" x14ac:dyDescent="0.2">
      <c r="A44" s="8" t="s">
        <v>57</v>
      </c>
      <c r="B44" s="4">
        <v>10.76</v>
      </c>
      <c r="C44" s="4">
        <v>51.39</v>
      </c>
      <c r="D44" s="4">
        <v>7.03</v>
      </c>
      <c r="E44" s="4">
        <v>32.090000000000003</v>
      </c>
      <c r="F44" s="4">
        <v>5.87</v>
      </c>
      <c r="G44" s="4">
        <v>22.74</v>
      </c>
      <c r="H44" s="4">
        <v>125</v>
      </c>
      <c r="I44" s="4">
        <v>152.66</v>
      </c>
      <c r="J44" s="4">
        <v>22.78</v>
      </c>
      <c r="K44" s="4">
        <v>129.88</v>
      </c>
      <c r="L44" s="4">
        <v>207</v>
      </c>
      <c r="M44" s="4">
        <v>69</v>
      </c>
      <c r="N44" s="4" t="s">
        <v>15</v>
      </c>
      <c r="O44" s="9" t="s">
        <v>57</v>
      </c>
      <c r="P44" s="3" t="s">
        <v>326</v>
      </c>
      <c r="Q44" s="4">
        <v>3.6</v>
      </c>
      <c r="R44" s="4">
        <v>3.47</v>
      </c>
      <c r="S44" s="4">
        <v>0.15</v>
      </c>
      <c r="T44" s="4">
        <v>2</v>
      </c>
      <c r="U44" s="4" t="s">
        <v>122</v>
      </c>
      <c r="V44" s="4" t="s">
        <v>327</v>
      </c>
      <c r="W44" s="4" t="s">
        <v>328</v>
      </c>
      <c r="X44" s="4" t="s">
        <v>337</v>
      </c>
      <c r="Y44" s="4" t="s">
        <v>338</v>
      </c>
      <c r="Z44" s="4">
        <v>1</v>
      </c>
      <c r="AA44" s="4">
        <v>114</v>
      </c>
      <c r="AB44" s="4" t="s">
        <v>124</v>
      </c>
      <c r="AC44" s="4">
        <v>106.59</v>
      </c>
      <c r="AD44" s="4" t="s">
        <v>124</v>
      </c>
      <c r="AE44" s="4">
        <v>919.8</v>
      </c>
      <c r="AF44" s="4" t="s">
        <v>124</v>
      </c>
      <c r="AG44" s="4" t="s">
        <v>124</v>
      </c>
      <c r="AH44" s="4">
        <v>3</v>
      </c>
      <c r="AI44" s="4" t="s">
        <v>124</v>
      </c>
      <c r="AJ44" s="4">
        <v>125.88</v>
      </c>
      <c r="AK44" s="4">
        <v>1</v>
      </c>
      <c r="AL44" s="4">
        <v>0.01</v>
      </c>
      <c r="AM44" s="4">
        <v>0.01</v>
      </c>
      <c r="AN44" s="4">
        <v>240.29</v>
      </c>
      <c r="AO44" s="4">
        <v>1</v>
      </c>
      <c r="AP44" s="4" t="s">
        <v>124</v>
      </c>
      <c r="AQ44" s="4">
        <v>144</v>
      </c>
      <c r="AR44" s="4">
        <v>24</v>
      </c>
      <c r="AS44" s="4" t="s">
        <v>124</v>
      </c>
      <c r="AT44" s="4">
        <v>62.2</v>
      </c>
      <c r="AU44" s="4" t="s">
        <v>124</v>
      </c>
      <c r="AV44" s="4">
        <v>638.1</v>
      </c>
      <c r="AW44" s="4">
        <v>1</v>
      </c>
      <c r="AX44" s="4" t="s">
        <v>124</v>
      </c>
      <c r="AY44" s="4">
        <v>2</v>
      </c>
      <c r="AZ44" s="4">
        <v>2</v>
      </c>
      <c r="BA44" s="4">
        <v>78.040000000000006</v>
      </c>
      <c r="BB44" s="4" t="s">
        <v>124</v>
      </c>
      <c r="BC44" s="4" t="s">
        <v>124</v>
      </c>
      <c r="BD44" s="4" t="s">
        <v>339</v>
      </c>
      <c r="BE44" s="4" t="s">
        <v>124</v>
      </c>
      <c r="BF44" s="4">
        <v>1.38</v>
      </c>
      <c r="BG44" s="4" t="s">
        <v>124</v>
      </c>
      <c r="BH44" s="4" t="s">
        <v>124</v>
      </c>
      <c r="BI44" s="4">
        <v>848020</v>
      </c>
      <c r="BJ44" s="4">
        <v>7.03</v>
      </c>
      <c r="BK44" s="4">
        <v>-5.9</v>
      </c>
      <c r="BL44" s="4">
        <v>0.56000000000000005</v>
      </c>
      <c r="BM44" s="4">
        <v>119.26</v>
      </c>
      <c r="BN44" s="4">
        <v>102.6</v>
      </c>
      <c r="BO44" s="4">
        <v>110.93</v>
      </c>
      <c r="BP44" s="4">
        <v>1</v>
      </c>
      <c r="BQ44" s="4">
        <v>39.479999999999997</v>
      </c>
      <c r="BR44" s="4">
        <v>4</v>
      </c>
      <c r="BS44" s="4">
        <v>0.17</v>
      </c>
      <c r="BT44" s="4">
        <v>256.39</v>
      </c>
      <c r="BU44" s="4">
        <v>246.61</v>
      </c>
      <c r="BV44" s="4">
        <v>1702.76</v>
      </c>
      <c r="BW44" s="4">
        <v>1734.7</v>
      </c>
      <c r="BX44" s="3">
        <f>AVERAGE(1154.78,1013.35,839.44,715.27)</f>
        <v>930.71</v>
      </c>
      <c r="BY44" s="3">
        <f>AVERAGE(60.1,9)</f>
        <v>34.549999999999997</v>
      </c>
      <c r="BZ44" s="3">
        <v>2</v>
      </c>
      <c r="CA44" s="3">
        <f>AVERAGE(8.5,10,7,2,0.9,1,1,1,2,1,2)</f>
        <v>3.3090909090909091</v>
      </c>
      <c r="CB44" s="4">
        <f t="shared" si="0"/>
        <v>3.3090909090909087E-2</v>
      </c>
      <c r="CC44" s="3">
        <v>26.5</v>
      </c>
      <c r="CD44" s="4">
        <f t="shared" si="5"/>
        <v>2</v>
      </c>
      <c r="CE44" s="4">
        <f t="shared" si="2"/>
        <v>3.3090909090909087E-2</v>
      </c>
      <c r="CF44" s="47">
        <f t="shared" si="3"/>
        <v>60.439560439560445</v>
      </c>
    </row>
    <row r="45" spans="1:84" x14ac:dyDescent="0.2">
      <c r="A45" s="4" t="s">
        <v>58</v>
      </c>
      <c r="B45" s="4">
        <v>80.150000000000006</v>
      </c>
      <c r="C45" s="4">
        <v>410.99</v>
      </c>
      <c r="D45" s="4">
        <v>26.84</v>
      </c>
      <c r="E45" s="4">
        <v>304.87</v>
      </c>
      <c r="F45" s="4">
        <v>118.25</v>
      </c>
      <c r="G45" s="4">
        <v>235.85</v>
      </c>
      <c r="H45" s="4">
        <v>3000</v>
      </c>
      <c r="I45" s="4">
        <v>1403.65</v>
      </c>
      <c r="J45" s="4">
        <v>226.7</v>
      </c>
      <c r="K45" s="4">
        <v>1176.95</v>
      </c>
      <c r="L45" s="4">
        <v>1420</v>
      </c>
      <c r="M45" s="4">
        <v>608</v>
      </c>
      <c r="N45" s="4" t="s">
        <v>13</v>
      </c>
      <c r="O45" s="5" t="s">
        <v>58</v>
      </c>
      <c r="P45" s="3" t="s">
        <v>251</v>
      </c>
      <c r="Q45" s="4">
        <v>31.5</v>
      </c>
      <c r="R45" s="4">
        <v>30.41</v>
      </c>
      <c r="S45" s="4">
        <v>1.4</v>
      </c>
      <c r="T45" s="4">
        <v>2</v>
      </c>
      <c r="U45" s="4" t="s">
        <v>122</v>
      </c>
      <c r="V45" s="4" t="s">
        <v>246</v>
      </c>
      <c r="W45" s="4" t="s">
        <v>252</v>
      </c>
      <c r="X45" s="4" t="s">
        <v>253</v>
      </c>
      <c r="Y45" s="4" t="s">
        <v>254</v>
      </c>
      <c r="Z45" s="4">
        <v>2</v>
      </c>
      <c r="AA45" s="4">
        <v>3870</v>
      </c>
      <c r="AB45" s="4" t="s">
        <v>124</v>
      </c>
      <c r="AC45" s="4">
        <v>547.35</v>
      </c>
      <c r="AD45" s="4" t="s">
        <v>124</v>
      </c>
      <c r="AE45" s="4">
        <v>700.8</v>
      </c>
      <c r="AF45" s="4" t="s">
        <v>124</v>
      </c>
      <c r="AG45" s="4" t="s">
        <v>124</v>
      </c>
      <c r="AH45" s="4">
        <v>4</v>
      </c>
      <c r="AI45" s="4" t="s">
        <v>124</v>
      </c>
      <c r="AJ45" s="4">
        <v>102.5</v>
      </c>
      <c r="AK45" s="4">
        <v>2</v>
      </c>
      <c r="AL45" s="4">
        <v>1.4</v>
      </c>
      <c r="AM45" s="4">
        <v>1.37</v>
      </c>
      <c r="AN45" s="4">
        <v>365</v>
      </c>
      <c r="AO45" s="4">
        <v>2.04</v>
      </c>
      <c r="AP45" s="4" t="s">
        <v>124</v>
      </c>
      <c r="AQ45" s="4">
        <v>384</v>
      </c>
      <c r="AR45" s="4">
        <v>93.7</v>
      </c>
      <c r="AS45" s="4">
        <v>83.06</v>
      </c>
      <c r="AT45" s="4">
        <v>27.8</v>
      </c>
      <c r="AU45" s="4">
        <v>3.5</v>
      </c>
      <c r="AV45" s="4">
        <v>608.33000000000004</v>
      </c>
      <c r="AW45" s="4">
        <v>2.8</v>
      </c>
      <c r="AX45" s="4">
        <v>6</v>
      </c>
      <c r="AY45" s="4">
        <v>2</v>
      </c>
      <c r="AZ45" s="4">
        <v>1</v>
      </c>
      <c r="BA45" s="4">
        <v>90.14</v>
      </c>
      <c r="BB45" s="4" t="s">
        <v>124</v>
      </c>
      <c r="BC45" s="4" t="s">
        <v>124</v>
      </c>
      <c r="BD45" s="4" t="s">
        <v>255</v>
      </c>
      <c r="BE45" s="4" t="s">
        <v>124</v>
      </c>
      <c r="BF45" s="4">
        <v>1.1100000000000001</v>
      </c>
      <c r="BG45" s="4" t="s">
        <v>124</v>
      </c>
      <c r="BH45" s="4" t="s">
        <v>124</v>
      </c>
      <c r="BI45" s="4">
        <v>66876</v>
      </c>
      <c r="BJ45" s="4">
        <v>-14.88</v>
      </c>
      <c r="BK45" s="4">
        <v>-23.26</v>
      </c>
      <c r="BL45" s="4">
        <v>-19.07</v>
      </c>
      <c r="BM45" s="4">
        <v>50.44</v>
      </c>
      <c r="BN45" s="4">
        <v>46.68</v>
      </c>
      <c r="BO45" s="4">
        <v>48.56</v>
      </c>
      <c r="BP45" s="4">
        <v>5</v>
      </c>
      <c r="BQ45" s="4">
        <v>44.17</v>
      </c>
      <c r="BR45" s="4">
        <v>8</v>
      </c>
      <c r="BS45" s="4">
        <v>0.18</v>
      </c>
      <c r="BT45" s="4">
        <v>187.79</v>
      </c>
      <c r="BU45" s="4">
        <v>200.84</v>
      </c>
      <c r="BV45" s="4">
        <v>1361.07</v>
      </c>
      <c r="BW45" s="4">
        <v>1587.77</v>
      </c>
      <c r="BX45" s="4">
        <f>AVERAGE(1083.33, 1063.75, 1463, 1600, 223.5)</f>
        <v>1086.7159999999999</v>
      </c>
      <c r="BY45" s="4">
        <f>AVERAGE(33.33, 21, 26.41, 16, 20.45, 23, 10)</f>
        <v>21.455714285714286</v>
      </c>
      <c r="BZ45" s="4">
        <f>AVERAGE(5.83, 2.5, 10, 12, 3.5, 2.33)</f>
        <v>6.0266666666666664</v>
      </c>
      <c r="CA45" s="4">
        <f>AVERAGE(116.67, 134, 30, 92, 50)</f>
        <v>84.534000000000006</v>
      </c>
      <c r="CB45" s="4">
        <f t="shared" si="0"/>
        <v>0.84534000000000009</v>
      </c>
      <c r="CC45" s="4">
        <f>AVERAGE(16.67, 11, 10.98, 3.85, 7, 6, 12)</f>
        <v>9.6428571428571423</v>
      </c>
      <c r="CD45" s="4">
        <f t="shared" si="5"/>
        <v>6.0266666666666664</v>
      </c>
      <c r="CE45" s="4">
        <f t="shared" si="2"/>
        <v>0.84534000000000009</v>
      </c>
      <c r="CF45" s="47">
        <f t="shared" si="3"/>
        <v>7.1292813148161285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
  <sheetViews>
    <sheetView topLeftCell="C5" zoomScale="125" zoomScaleNormal="125" zoomScalePageLayoutView="125" workbookViewId="0">
      <selection activeCell="F12" sqref="F12"/>
    </sheetView>
  </sheetViews>
  <sheetFormatPr baseColWidth="10" defaultRowHeight="16" x14ac:dyDescent="0.2"/>
  <cols>
    <col min="1" max="1" width="38.5" style="19" bestFit="1" customWidth="1"/>
    <col min="2" max="2" width="5.6640625" style="21" customWidth="1"/>
    <col min="3" max="3" width="54.1640625" style="19" customWidth="1"/>
    <col min="4" max="4" width="6.1640625" style="21" customWidth="1"/>
    <col min="5" max="5" width="16.83203125" style="19" bestFit="1" customWidth="1"/>
    <col min="6" max="6" width="52.5" style="19" customWidth="1"/>
    <col min="7" max="16384" width="10.83203125" style="19"/>
  </cols>
  <sheetData>
    <row r="1" spans="1:7" ht="21" x14ac:dyDescent="0.2">
      <c r="A1" s="16" t="s">
        <v>377</v>
      </c>
      <c r="B1" s="17"/>
      <c r="C1" s="16" t="s">
        <v>376</v>
      </c>
      <c r="D1" s="17"/>
      <c r="E1" s="16" t="s">
        <v>359</v>
      </c>
      <c r="F1" s="18"/>
    </row>
    <row r="2" spans="1:7" ht="51" x14ac:dyDescent="0.2">
      <c r="A2" s="20" t="s">
        <v>346</v>
      </c>
      <c r="C2" s="22" t="s">
        <v>362</v>
      </c>
      <c r="D2" s="23"/>
      <c r="E2" s="24" t="s">
        <v>363</v>
      </c>
      <c r="F2" s="39" t="s">
        <v>364</v>
      </c>
      <c r="G2" s="40" t="s">
        <v>375</v>
      </c>
    </row>
    <row r="3" spans="1:7" ht="51" x14ac:dyDescent="0.2">
      <c r="A3" s="25" t="s">
        <v>347</v>
      </c>
      <c r="C3" s="26" t="s">
        <v>361</v>
      </c>
      <c r="D3" s="27"/>
      <c r="E3" s="36" t="s">
        <v>0</v>
      </c>
      <c r="F3" s="35" t="s">
        <v>369</v>
      </c>
      <c r="G3" s="41" t="s">
        <v>368</v>
      </c>
    </row>
    <row r="4" spans="1:7" ht="34" x14ac:dyDescent="0.2">
      <c r="A4" s="28" t="s">
        <v>348</v>
      </c>
      <c r="B4" s="58"/>
      <c r="C4" s="26" t="s">
        <v>386</v>
      </c>
      <c r="D4" s="29"/>
      <c r="E4" s="36" t="s">
        <v>1</v>
      </c>
      <c r="F4" s="35" t="s">
        <v>370</v>
      </c>
      <c r="G4" s="41" t="s">
        <v>368</v>
      </c>
    </row>
    <row r="5" spans="1:7" ht="51" x14ac:dyDescent="0.2">
      <c r="A5" s="45" t="s">
        <v>381</v>
      </c>
      <c r="C5" s="53" t="s">
        <v>353</v>
      </c>
      <c r="D5" s="27"/>
      <c r="E5" s="36" t="s">
        <v>2</v>
      </c>
      <c r="F5" s="35" t="s">
        <v>371</v>
      </c>
      <c r="G5" s="41" t="s">
        <v>368</v>
      </c>
    </row>
    <row r="6" spans="1:7" ht="51" x14ac:dyDescent="0.2">
      <c r="A6" s="46" t="s">
        <v>383</v>
      </c>
      <c r="C6" s="54" t="s">
        <v>349</v>
      </c>
      <c r="D6" s="27"/>
      <c r="E6" s="36" t="s">
        <v>3</v>
      </c>
      <c r="F6" s="35" t="s">
        <v>372</v>
      </c>
      <c r="G6" s="41" t="s">
        <v>368</v>
      </c>
    </row>
    <row r="7" spans="1:7" ht="34" x14ac:dyDescent="0.2">
      <c r="C7" s="55" t="s">
        <v>350</v>
      </c>
      <c r="D7" s="23"/>
      <c r="E7" s="36" t="s">
        <v>4</v>
      </c>
      <c r="F7" s="35" t="s">
        <v>367</v>
      </c>
      <c r="G7" s="41" t="s">
        <v>368</v>
      </c>
    </row>
    <row r="8" spans="1:7" ht="34" x14ac:dyDescent="0.2">
      <c r="C8" s="56" t="s">
        <v>351</v>
      </c>
      <c r="D8" s="30"/>
      <c r="E8" s="37" t="s">
        <v>5</v>
      </c>
      <c r="F8" s="35" t="s">
        <v>366</v>
      </c>
      <c r="G8" s="41" t="s">
        <v>368</v>
      </c>
    </row>
    <row r="9" spans="1:7" ht="34" x14ac:dyDescent="0.2">
      <c r="C9" s="57" t="s">
        <v>352</v>
      </c>
      <c r="D9" s="23"/>
      <c r="E9" s="37" t="s">
        <v>6</v>
      </c>
      <c r="F9" s="35" t="s">
        <v>373</v>
      </c>
      <c r="G9" s="41" t="s">
        <v>374</v>
      </c>
    </row>
    <row r="10" spans="1:7" ht="17" x14ac:dyDescent="0.2">
      <c r="C10" s="18"/>
      <c r="D10" s="23"/>
      <c r="E10" s="37" t="s">
        <v>7</v>
      </c>
      <c r="F10" s="35" t="s">
        <v>365</v>
      </c>
      <c r="G10" s="41" t="s">
        <v>368</v>
      </c>
    </row>
    <row r="11" spans="1:7" ht="306" x14ac:dyDescent="0.2">
      <c r="C11" s="18"/>
      <c r="D11" s="23"/>
      <c r="E11" s="37" t="s">
        <v>358</v>
      </c>
      <c r="F11" s="35" t="s">
        <v>419</v>
      </c>
      <c r="G11" s="41" t="s">
        <v>368</v>
      </c>
    </row>
    <row r="12" spans="1:7" ht="51" x14ac:dyDescent="0.2">
      <c r="C12" s="18"/>
      <c r="D12" s="23"/>
      <c r="E12" s="37" t="s">
        <v>8</v>
      </c>
      <c r="F12" s="35" t="s">
        <v>387</v>
      </c>
      <c r="G12" s="41" t="s">
        <v>368</v>
      </c>
    </row>
    <row r="13" spans="1:7" ht="17" x14ac:dyDescent="0.2">
      <c r="C13" s="18"/>
      <c r="D13" s="23"/>
      <c r="E13" s="37" t="s">
        <v>9</v>
      </c>
      <c r="F13" s="35" t="s">
        <v>378</v>
      </c>
      <c r="G13" s="41" t="s">
        <v>368</v>
      </c>
    </row>
    <row r="14" spans="1:7" ht="119" x14ac:dyDescent="0.2">
      <c r="C14" s="18"/>
      <c r="D14" s="23"/>
      <c r="E14" s="38" t="s">
        <v>10</v>
      </c>
      <c r="F14" s="35" t="s">
        <v>360</v>
      </c>
      <c r="G14" s="41" t="s">
        <v>368</v>
      </c>
    </row>
    <row r="15" spans="1:7" x14ac:dyDescent="0.2">
      <c r="A15" s="31"/>
      <c r="B15" s="32"/>
      <c r="C15" s="33"/>
      <c r="D15" s="34"/>
    </row>
    <row r="16" spans="1:7" x14ac:dyDescent="0.2">
      <c r="C16" s="18"/>
      <c r="D16" s="2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7"/>
  <sheetViews>
    <sheetView workbookViewId="0">
      <pane xSplit="1" topLeftCell="R1" activePane="topRight" state="frozen"/>
      <selection pane="topRight" activeCell="G18" sqref="G18"/>
    </sheetView>
  </sheetViews>
  <sheetFormatPr baseColWidth="10" defaultRowHeight="16" x14ac:dyDescent="0.2"/>
  <cols>
    <col min="1" max="1" width="25.5" bestFit="1" customWidth="1"/>
    <col min="8" max="8" width="18.83203125" customWidth="1"/>
    <col min="28" max="29" width="12" customWidth="1"/>
  </cols>
  <sheetData>
    <row r="1" spans="1:30" x14ac:dyDescent="0.2">
      <c r="B1" s="72" t="s">
        <v>409</v>
      </c>
      <c r="C1" s="72"/>
      <c r="D1" s="72"/>
      <c r="E1" s="72"/>
      <c r="F1" s="72"/>
      <c r="G1" s="72"/>
      <c r="H1" s="72"/>
      <c r="I1" s="72"/>
      <c r="J1" s="72"/>
      <c r="K1" s="72"/>
      <c r="L1" s="72"/>
      <c r="M1" s="72"/>
      <c r="N1" s="72"/>
      <c r="O1" s="72"/>
      <c r="P1" s="72"/>
      <c r="Q1" s="73" t="s">
        <v>410</v>
      </c>
      <c r="R1" s="73"/>
      <c r="S1" s="73"/>
      <c r="T1" s="73"/>
      <c r="U1" s="73"/>
      <c r="V1" s="73"/>
      <c r="W1" s="73"/>
      <c r="X1" s="73"/>
      <c r="Y1" s="73"/>
      <c r="Z1" s="73"/>
      <c r="AA1" s="73"/>
      <c r="AB1" s="74" t="s">
        <v>408</v>
      </c>
      <c r="AC1" s="74"/>
    </row>
    <row r="2" spans="1:30" s="64" customFormat="1" x14ac:dyDescent="0.2">
      <c r="B2" s="65" t="s">
        <v>397</v>
      </c>
      <c r="C2" s="65"/>
      <c r="D2" s="65"/>
      <c r="E2" s="65"/>
      <c r="F2" s="65"/>
      <c r="G2" s="65"/>
      <c r="H2" s="66" t="s">
        <v>398</v>
      </c>
      <c r="I2" s="67" t="s">
        <v>399</v>
      </c>
      <c r="J2" s="67"/>
      <c r="K2" s="67"/>
      <c r="L2" s="68" t="s">
        <v>420</v>
      </c>
      <c r="M2" s="68"/>
      <c r="N2" s="68"/>
      <c r="O2" s="68"/>
      <c r="P2" s="68"/>
      <c r="Q2" s="77" t="s">
        <v>397</v>
      </c>
      <c r="R2" s="77"/>
      <c r="S2" s="77"/>
      <c r="T2" s="77"/>
      <c r="U2" s="77"/>
      <c r="V2" s="77"/>
      <c r="W2" s="77"/>
      <c r="X2" s="69"/>
      <c r="Y2" s="69"/>
      <c r="Z2" s="69"/>
      <c r="AA2" s="70"/>
      <c r="AB2" s="70"/>
      <c r="AC2" s="70"/>
    </row>
    <row r="3" spans="1:30" s="59" customFormat="1" ht="86" thickBot="1" x14ac:dyDescent="0.25">
      <c r="A3" s="59" t="s">
        <v>388</v>
      </c>
      <c r="B3" s="60" t="s">
        <v>396</v>
      </c>
      <c r="C3" s="60" t="s">
        <v>401</v>
      </c>
      <c r="D3" s="60" t="s">
        <v>400</v>
      </c>
      <c r="E3" s="60" t="s">
        <v>402</v>
      </c>
      <c r="F3" s="60" t="s">
        <v>403</v>
      </c>
      <c r="G3" s="60" t="s">
        <v>404</v>
      </c>
      <c r="H3" s="61" t="s">
        <v>389</v>
      </c>
      <c r="I3" s="62" t="s">
        <v>392</v>
      </c>
      <c r="J3" s="62" t="s">
        <v>390</v>
      </c>
      <c r="K3" s="62" t="s">
        <v>391</v>
      </c>
      <c r="L3" s="63" t="s">
        <v>393</v>
      </c>
      <c r="M3" s="63" t="s">
        <v>405</v>
      </c>
      <c r="N3" s="63" t="s">
        <v>1</v>
      </c>
      <c r="O3" s="63" t="s">
        <v>394</v>
      </c>
      <c r="P3" s="63" t="s">
        <v>395</v>
      </c>
      <c r="Q3" s="15" t="s">
        <v>0</v>
      </c>
      <c r="R3" s="15" t="s">
        <v>1</v>
      </c>
      <c r="S3" s="15" t="s">
        <v>2</v>
      </c>
      <c r="T3" s="15" t="s">
        <v>3</v>
      </c>
      <c r="U3" s="15" t="s">
        <v>4</v>
      </c>
      <c r="V3" s="15" t="s">
        <v>5</v>
      </c>
      <c r="W3" s="15" t="s">
        <v>6</v>
      </c>
      <c r="X3" s="10" t="s">
        <v>7</v>
      </c>
      <c r="Y3" s="10" t="s">
        <v>358</v>
      </c>
      <c r="Z3" s="10" t="s">
        <v>8</v>
      </c>
      <c r="AA3" s="49" t="s">
        <v>9</v>
      </c>
      <c r="AB3" s="49" t="s">
        <v>379</v>
      </c>
      <c r="AC3" s="75" t="s">
        <v>411</v>
      </c>
      <c r="AD3" s="59" t="s">
        <v>394</v>
      </c>
    </row>
    <row r="4" spans="1:30" x14ac:dyDescent="0.2">
      <c r="A4" t="s">
        <v>385</v>
      </c>
      <c r="B4">
        <v>170</v>
      </c>
      <c r="C4">
        <v>3008</v>
      </c>
      <c r="D4">
        <v>151</v>
      </c>
      <c r="E4">
        <v>4.87</v>
      </c>
      <c r="F4">
        <v>1.04</v>
      </c>
      <c r="G4">
        <v>145</v>
      </c>
      <c r="H4">
        <v>5</v>
      </c>
      <c r="I4">
        <v>3.2</v>
      </c>
      <c r="J4">
        <v>0.7</v>
      </c>
      <c r="K4">
        <v>96.1</v>
      </c>
      <c r="L4">
        <v>10</v>
      </c>
      <c r="M4">
        <v>2</v>
      </c>
      <c r="N4">
        <v>27.4</v>
      </c>
      <c r="O4">
        <v>21.4</v>
      </c>
      <c r="P4">
        <v>39.1</v>
      </c>
      <c r="Q4" s="73">
        <f>L4/100*$G4</f>
        <v>14.5</v>
      </c>
      <c r="R4" s="73">
        <f>N4/100*$G4</f>
        <v>39.729999999999997</v>
      </c>
      <c r="S4" s="73" t="s">
        <v>124</v>
      </c>
      <c r="T4" s="73" t="s">
        <v>124</v>
      </c>
      <c r="U4" s="73" t="s">
        <v>124</v>
      </c>
      <c r="V4" s="73">
        <f>P4/100*$G4</f>
        <v>56.695</v>
      </c>
      <c r="W4" s="73">
        <f>B4</f>
        <v>170</v>
      </c>
      <c r="AA4">
        <v>219</v>
      </c>
      <c r="AB4">
        <v>114</v>
      </c>
      <c r="AC4">
        <v>152</v>
      </c>
      <c r="AD4">
        <f>O4/100*$G4</f>
        <v>31.03</v>
      </c>
    </row>
    <row r="5" spans="1:30" x14ac:dyDescent="0.2">
      <c r="A5" t="s">
        <v>407</v>
      </c>
      <c r="B5">
        <v>852</v>
      </c>
      <c r="C5" s="71">
        <v>2336</v>
      </c>
      <c r="D5">
        <v>155</v>
      </c>
      <c r="E5">
        <v>9.17</v>
      </c>
      <c r="F5">
        <v>2.19</v>
      </c>
      <c r="G5">
        <v>143</v>
      </c>
      <c r="H5">
        <v>6.6</v>
      </c>
      <c r="I5">
        <v>5.9</v>
      </c>
      <c r="J5">
        <v>1.4</v>
      </c>
      <c r="K5">
        <v>92.6</v>
      </c>
      <c r="L5">
        <v>10.4</v>
      </c>
      <c r="M5">
        <v>2.4</v>
      </c>
      <c r="N5">
        <v>22.3</v>
      </c>
      <c r="O5">
        <v>28.1</v>
      </c>
      <c r="P5">
        <v>36.700000000000003</v>
      </c>
      <c r="Q5" s="73">
        <f>L5/100*$G5</f>
        <v>14.872000000000002</v>
      </c>
      <c r="R5" s="73">
        <f>N5/100*$G5</f>
        <v>31.888999999999999</v>
      </c>
      <c r="S5" s="73" t="s">
        <v>124</v>
      </c>
      <c r="T5" s="73" t="s">
        <v>124</v>
      </c>
      <c r="U5" s="73" t="s">
        <v>124</v>
      </c>
      <c r="V5" s="73">
        <f>P5/100*$G5</f>
        <v>52.481000000000009</v>
      </c>
      <c r="W5" s="73">
        <f>B5</f>
        <v>852</v>
      </c>
      <c r="AA5">
        <v>313</v>
      </c>
      <c r="AB5">
        <v>76.5</v>
      </c>
      <c r="AC5" s="76">
        <v>146</v>
      </c>
      <c r="AD5">
        <f>O5/100*$G5</f>
        <v>40.183000000000007</v>
      </c>
    </row>
    <row r="6" spans="1:30" x14ac:dyDescent="0.2">
      <c r="A6" t="s">
        <v>406</v>
      </c>
      <c r="B6">
        <v>852</v>
      </c>
      <c r="C6" s="71">
        <v>2336</v>
      </c>
      <c r="D6">
        <v>155</v>
      </c>
      <c r="E6">
        <v>9.17</v>
      </c>
      <c r="F6">
        <v>2.19</v>
      </c>
      <c r="G6">
        <v>143</v>
      </c>
      <c r="H6">
        <v>6.6</v>
      </c>
      <c r="I6">
        <v>5.9</v>
      </c>
      <c r="J6">
        <v>1.4</v>
      </c>
      <c r="K6">
        <v>92.6</v>
      </c>
      <c r="L6">
        <v>10.4</v>
      </c>
      <c r="M6">
        <v>2.4</v>
      </c>
      <c r="N6">
        <v>22.3</v>
      </c>
      <c r="O6">
        <v>28.1</v>
      </c>
      <c r="P6">
        <v>36.700000000000003</v>
      </c>
      <c r="Q6">
        <v>7.5</v>
      </c>
      <c r="R6">
        <v>32.11</v>
      </c>
      <c r="S6">
        <v>6.49</v>
      </c>
      <c r="T6">
        <v>39.700000000000003</v>
      </c>
      <c r="U6">
        <v>8</v>
      </c>
      <c r="V6">
        <v>30.73</v>
      </c>
      <c r="W6">
        <v>852</v>
      </c>
      <c r="X6">
        <v>147.12</v>
      </c>
      <c r="Y6">
        <v>22.59</v>
      </c>
      <c r="Z6">
        <v>124.53</v>
      </c>
      <c r="AA6">
        <v>313</v>
      </c>
      <c r="AB6">
        <v>76.5</v>
      </c>
      <c r="AC6">
        <v>146</v>
      </c>
      <c r="AD6">
        <f>S6+T6</f>
        <v>46.190000000000005</v>
      </c>
    </row>
    <row r="10" spans="1:30" x14ac:dyDescent="0.2">
      <c r="G10" t="s">
        <v>417</v>
      </c>
    </row>
    <row r="11" spans="1:30" x14ac:dyDescent="0.2">
      <c r="E11">
        <f>100-(Z6/G6*100)</f>
        <v>12.91608391608392</v>
      </c>
      <c r="G11" t="s">
        <v>412</v>
      </c>
    </row>
    <row r="12" spans="1:30" x14ac:dyDescent="0.2">
      <c r="H12" t="s">
        <v>414</v>
      </c>
    </row>
    <row r="13" spans="1:30" x14ac:dyDescent="0.2">
      <c r="G13" t="s">
        <v>416</v>
      </c>
    </row>
    <row r="14" spans="1:30" x14ac:dyDescent="0.2">
      <c r="F14" t="s">
        <v>413</v>
      </c>
      <c r="G14" t="s">
        <v>415</v>
      </c>
    </row>
    <row r="16" spans="1:30" x14ac:dyDescent="0.2">
      <c r="G16" t="s">
        <v>418</v>
      </c>
    </row>
    <row r="17" spans="7:7" x14ac:dyDescent="0.2">
      <c r="G17" t="s">
        <v>421</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Final_Data</vt:lpstr>
      <vt:lpstr>Key</vt:lpstr>
      <vt:lpstr>Stephan_Manoleseu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Schilder</cp:lastModifiedBy>
  <dcterms:modified xsi:type="dcterms:W3CDTF">2019-03-23T18:05:01Z</dcterms:modified>
</cp:coreProperties>
</file>