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C:\Users\BenSchoenfeld\Downloads\"/>
    </mc:Choice>
  </mc:AlternateContent>
  <xr:revisionPtr revIDLastSave="0" documentId="13_ncr:1_{971D0346-39BA-43CD-A370-13DCF9DB5078}" xr6:coauthVersionLast="45" xr6:coauthVersionMax="45" xr10:uidLastSave="{00000000-0000-0000-0000-000000000000}"/>
  <bookViews>
    <workbookView xWindow="2325" yWindow="2985" windowWidth="21825" windowHeight="10935" tabRatio="813" activeTab="1" xr2:uid="{00000000-000D-0000-FFFF-FFFF00000000}"/>
  </bookViews>
  <sheets>
    <sheet name="BASIC INFO" sheetId="10" r:id="rId1"/>
    <sheet name="CASE DATA" sheetId="1" r:id="rId2"/>
    <sheet name="EXPUNGEMENT" sheetId="2" r:id="rId3"/>
    <sheet name="BANKRUPTCY" sheetId="11" r:id="rId4"/>
    <sheet name="LICENSE-REGIS" sheetId="6" r:id="rId5"/>
    <sheet name="EXEMPTIONS" sheetId="13" r:id="rId6"/>
    <sheet name="SOL" sheetId="16" r:id="rId7"/>
    <sheet name="PRINTOUT" sheetId="18" r:id="rId8"/>
    <sheet name="RAP #1" sheetId="19" r:id="rId9"/>
    <sheet name="RAP #2" sheetId="22" r:id="rId10"/>
    <sheet name="TABLES" sheetId="24" r:id="rId11"/>
  </sheets>
  <externalReferences>
    <externalReference r:id="rId12"/>
    <externalReference r:id="rId13"/>
  </externalReferenc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7" i="18" l="1"/>
  <c r="G27" i="18"/>
  <c r="F27" i="18"/>
  <c r="E27" i="18"/>
  <c r="C27" i="18"/>
  <c r="B27" i="18"/>
  <c r="A27" i="18"/>
  <c r="A50" i="18"/>
  <c r="L5" i="2" l="1"/>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4" i="2"/>
  <c r="L3" i="2"/>
  <c r="D4" i="2"/>
  <c r="M9" i="2" l="1"/>
  <c r="D35" i="19" l="1"/>
  <c r="G17" i="19"/>
  <c r="D26" i="19"/>
  <c r="D24" i="19"/>
  <c r="D27" i="19" s="1"/>
  <c r="H4" i="18" l="1"/>
  <c r="G4" i="18"/>
  <c r="E4" i="18"/>
  <c r="A4" i="18"/>
  <c r="B4" i="18"/>
  <c r="D4" i="18"/>
  <c r="E4" i="16"/>
  <c r="D4" i="16"/>
  <c r="C4" i="16"/>
  <c r="B4" i="16"/>
  <c r="A4" i="16"/>
  <c r="E5" i="16"/>
  <c r="D5" i="16"/>
  <c r="C5" i="16"/>
  <c r="B5" i="16"/>
  <c r="A5" i="16"/>
  <c r="B4" i="13"/>
  <c r="C4" i="13" s="1"/>
  <c r="A4" i="13"/>
  <c r="B5" i="13"/>
  <c r="D5" i="13" s="1"/>
  <c r="A5" i="13"/>
  <c r="F4" i="6"/>
  <c r="E4" i="6"/>
  <c r="J4" i="6" s="1"/>
  <c r="D4" i="6"/>
  <c r="C4" i="6"/>
  <c r="B4" i="6"/>
  <c r="A4" i="6"/>
  <c r="F5" i="6"/>
  <c r="E5" i="6"/>
  <c r="J5" i="6" s="1"/>
  <c r="D5" i="6"/>
  <c r="C5" i="6"/>
  <c r="B5" i="6"/>
  <c r="A5" i="6"/>
  <c r="B201" i="11"/>
  <c r="A201" i="11"/>
  <c r="B200" i="11"/>
  <c r="E200" i="11" s="1"/>
  <c r="A200" i="11"/>
  <c r="E199" i="11"/>
  <c r="D199" i="11"/>
  <c r="C199" i="11"/>
  <c r="B199" i="11"/>
  <c r="A199" i="11"/>
  <c r="B198" i="11"/>
  <c r="A198" i="11"/>
  <c r="C197" i="11"/>
  <c r="B197" i="11"/>
  <c r="D197" i="11" s="1"/>
  <c r="A197" i="11"/>
  <c r="B196" i="11"/>
  <c r="E196" i="11" s="1"/>
  <c r="A196" i="11"/>
  <c r="B195" i="11"/>
  <c r="D195" i="11" s="1"/>
  <c r="A195" i="11"/>
  <c r="E194" i="11"/>
  <c r="B194" i="11"/>
  <c r="C194" i="11" s="1"/>
  <c r="A194" i="11"/>
  <c r="C193" i="11"/>
  <c r="B193" i="11"/>
  <c r="A193" i="11"/>
  <c r="D192" i="11"/>
  <c r="B192" i="11"/>
  <c r="E192" i="11" s="1"/>
  <c r="A192" i="11"/>
  <c r="E191" i="11"/>
  <c r="D191" i="11"/>
  <c r="C191" i="11"/>
  <c r="B191" i="11"/>
  <c r="A191" i="11"/>
  <c r="B190" i="11"/>
  <c r="A190" i="11"/>
  <c r="E189" i="11"/>
  <c r="B189" i="11"/>
  <c r="D189" i="11" s="1"/>
  <c r="A189" i="11"/>
  <c r="B188" i="11"/>
  <c r="E188" i="11" s="1"/>
  <c r="A188" i="11"/>
  <c r="E187" i="11"/>
  <c r="B187" i="11"/>
  <c r="C187" i="11" s="1"/>
  <c r="A187" i="11"/>
  <c r="B186" i="11"/>
  <c r="C186" i="11" s="1"/>
  <c r="A186" i="11"/>
  <c r="C185" i="11"/>
  <c r="B185" i="11"/>
  <c r="A185" i="11"/>
  <c r="B184" i="11"/>
  <c r="E184" i="11" s="1"/>
  <c r="A184" i="11"/>
  <c r="E183" i="11"/>
  <c r="D183" i="11"/>
  <c r="C183" i="11"/>
  <c r="B183" i="11"/>
  <c r="A183" i="11"/>
  <c r="B182" i="11"/>
  <c r="A182" i="11"/>
  <c r="E181" i="11"/>
  <c r="C181" i="11"/>
  <c r="B181" i="11"/>
  <c r="D181" i="11" s="1"/>
  <c r="A181" i="11"/>
  <c r="B180" i="11"/>
  <c r="E180" i="11" s="1"/>
  <c r="A180" i="11"/>
  <c r="B179" i="11"/>
  <c r="C179" i="11" s="1"/>
  <c r="A179" i="11"/>
  <c r="E178" i="11"/>
  <c r="B178" i="11"/>
  <c r="C178" i="11" s="1"/>
  <c r="A178" i="11"/>
  <c r="B177" i="11"/>
  <c r="C177" i="11" s="1"/>
  <c r="A177" i="11"/>
  <c r="D176" i="11"/>
  <c r="B176" i="11"/>
  <c r="E176" i="11" s="1"/>
  <c r="A176" i="11"/>
  <c r="B175" i="11"/>
  <c r="E175" i="11" s="1"/>
  <c r="A175" i="11"/>
  <c r="B174" i="11"/>
  <c r="A174" i="11"/>
  <c r="E173" i="11"/>
  <c r="D173" i="11"/>
  <c r="C173" i="11"/>
  <c r="B173" i="11"/>
  <c r="A173" i="11"/>
  <c r="B172" i="11"/>
  <c r="E172" i="11" s="1"/>
  <c r="A172" i="11"/>
  <c r="B171" i="11"/>
  <c r="D171" i="11" s="1"/>
  <c r="A171" i="11"/>
  <c r="B170" i="11"/>
  <c r="C170" i="11" s="1"/>
  <c r="A170" i="11"/>
  <c r="B169" i="11"/>
  <c r="A169" i="11"/>
  <c r="D168" i="11"/>
  <c r="B168" i="11"/>
  <c r="E168" i="11" s="1"/>
  <c r="A168" i="11"/>
  <c r="B167" i="11"/>
  <c r="E167" i="11" s="1"/>
  <c r="A167" i="11"/>
  <c r="B166" i="11"/>
  <c r="A166" i="11"/>
  <c r="E165" i="11"/>
  <c r="D165" i="11"/>
  <c r="C165" i="11"/>
  <c r="B165" i="11"/>
  <c r="A165" i="11"/>
  <c r="C164" i="11"/>
  <c r="B164" i="11"/>
  <c r="E164" i="11" s="1"/>
  <c r="A164" i="11"/>
  <c r="E163" i="11"/>
  <c r="B163" i="11"/>
  <c r="D163" i="11" s="1"/>
  <c r="A163" i="11"/>
  <c r="D162" i="11"/>
  <c r="B162" i="11"/>
  <c r="C162" i="11" s="1"/>
  <c r="A162" i="11"/>
  <c r="B161" i="11"/>
  <c r="A161" i="11"/>
  <c r="D160" i="11"/>
  <c r="B160" i="11"/>
  <c r="E160" i="11" s="1"/>
  <c r="A160" i="11"/>
  <c r="C159" i="11"/>
  <c r="B159" i="11"/>
  <c r="E159" i="11" s="1"/>
  <c r="A159" i="11"/>
  <c r="B158" i="11"/>
  <c r="A158" i="11"/>
  <c r="B157" i="11"/>
  <c r="E157" i="11" s="1"/>
  <c r="A157" i="11"/>
  <c r="D156" i="11"/>
  <c r="B156" i="11"/>
  <c r="E156" i="11" s="1"/>
  <c r="A156" i="11"/>
  <c r="B155" i="11"/>
  <c r="D155" i="11" s="1"/>
  <c r="A155" i="11"/>
  <c r="E154" i="11"/>
  <c r="B154" i="11"/>
  <c r="C154" i="11" s="1"/>
  <c r="A154" i="11"/>
  <c r="C153" i="11"/>
  <c r="B153" i="11"/>
  <c r="A153" i="11"/>
  <c r="B152" i="11"/>
  <c r="E152" i="11" s="1"/>
  <c r="A152" i="11"/>
  <c r="E151" i="11"/>
  <c r="D151" i="11"/>
  <c r="C151" i="11"/>
  <c r="B151" i="11"/>
  <c r="A151" i="11"/>
  <c r="B150" i="11"/>
  <c r="A150" i="11"/>
  <c r="E149" i="11"/>
  <c r="D149" i="11"/>
  <c r="C149" i="11"/>
  <c r="B149" i="11"/>
  <c r="A149" i="11"/>
  <c r="B148" i="11"/>
  <c r="E148" i="11" s="1"/>
  <c r="A148" i="11"/>
  <c r="E147" i="11"/>
  <c r="B147" i="11"/>
  <c r="C147" i="11" s="1"/>
  <c r="A147" i="11"/>
  <c r="E146" i="11"/>
  <c r="D146" i="11"/>
  <c r="B146" i="11"/>
  <c r="C146" i="11" s="1"/>
  <c r="A146" i="11"/>
  <c r="B145" i="11"/>
  <c r="C145" i="11" s="1"/>
  <c r="A145" i="11"/>
  <c r="D144" i="11"/>
  <c r="B144" i="11"/>
  <c r="E144" i="11" s="1"/>
  <c r="A144" i="11"/>
  <c r="B143" i="11"/>
  <c r="E143" i="11" s="1"/>
  <c r="A143" i="11"/>
  <c r="B142" i="11"/>
  <c r="A142" i="11"/>
  <c r="E141" i="11"/>
  <c r="C141" i="11"/>
  <c r="B141" i="11"/>
  <c r="D141" i="11" s="1"/>
  <c r="A141" i="11"/>
  <c r="B140" i="11"/>
  <c r="E140" i="11" s="1"/>
  <c r="A140" i="11"/>
  <c r="E139" i="11"/>
  <c r="B139" i="11"/>
  <c r="D139" i="11" s="1"/>
  <c r="A139" i="11"/>
  <c r="B138" i="11"/>
  <c r="C138" i="11" s="1"/>
  <c r="A138" i="11"/>
  <c r="B137" i="11"/>
  <c r="C137" i="11" s="1"/>
  <c r="A137" i="11"/>
  <c r="D136" i="11"/>
  <c r="B136" i="11"/>
  <c r="E136" i="11" s="1"/>
  <c r="A136" i="11"/>
  <c r="D135" i="11"/>
  <c r="B135" i="11"/>
  <c r="E135" i="11" s="1"/>
  <c r="A135" i="11"/>
  <c r="B134" i="11"/>
  <c r="A134" i="11"/>
  <c r="C133" i="11"/>
  <c r="B133" i="11"/>
  <c r="E133" i="11" s="1"/>
  <c r="A133" i="11"/>
  <c r="D132" i="11"/>
  <c r="C132" i="11"/>
  <c r="B132" i="11"/>
  <c r="E132" i="11" s="1"/>
  <c r="A132" i="11"/>
  <c r="B131" i="11"/>
  <c r="D131" i="11" s="1"/>
  <c r="A131" i="11"/>
  <c r="B130" i="11"/>
  <c r="C130" i="11" s="1"/>
  <c r="A130" i="11"/>
  <c r="B129" i="11"/>
  <c r="A129" i="11"/>
  <c r="D128" i="11"/>
  <c r="B128" i="11"/>
  <c r="E128" i="11" s="1"/>
  <c r="A128" i="11"/>
  <c r="E127" i="11"/>
  <c r="D127" i="11"/>
  <c r="C127" i="11"/>
  <c r="B127" i="11"/>
  <c r="A127" i="11"/>
  <c r="B126" i="11"/>
  <c r="A126" i="11"/>
  <c r="B125" i="11"/>
  <c r="E125" i="11" s="1"/>
  <c r="A125" i="11"/>
  <c r="D124" i="11"/>
  <c r="C124" i="11"/>
  <c r="B124" i="11"/>
  <c r="E124" i="11" s="1"/>
  <c r="A124" i="11"/>
  <c r="B123" i="11"/>
  <c r="C123" i="11" s="1"/>
  <c r="A123" i="11"/>
  <c r="B122" i="11"/>
  <c r="C122" i="11" s="1"/>
  <c r="A122" i="11"/>
  <c r="B121" i="11"/>
  <c r="C121" i="11" s="1"/>
  <c r="A121" i="11"/>
  <c r="B120" i="11"/>
  <c r="E120" i="11" s="1"/>
  <c r="A120" i="11"/>
  <c r="B119" i="11"/>
  <c r="E119" i="11" s="1"/>
  <c r="A119" i="11"/>
  <c r="B118" i="11"/>
  <c r="A118" i="11"/>
  <c r="E117" i="11"/>
  <c r="D117" i="11"/>
  <c r="C117" i="11"/>
  <c r="B117" i="11"/>
  <c r="A117" i="11"/>
  <c r="B116" i="11"/>
  <c r="E116" i="11" s="1"/>
  <c r="A116" i="11"/>
  <c r="E115" i="11"/>
  <c r="B115" i="11"/>
  <c r="D115" i="11" s="1"/>
  <c r="A115" i="11"/>
  <c r="E114" i="11"/>
  <c r="B114" i="11"/>
  <c r="C114" i="11" s="1"/>
  <c r="A114" i="11"/>
  <c r="B113" i="11"/>
  <c r="C113" i="11" s="1"/>
  <c r="A113" i="11"/>
  <c r="D112" i="11"/>
  <c r="B112" i="11"/>
  <c r="E112" i="11" s="1"/>
  <c r="A112" i="11"/>
  <c r="D111" i="11"/>
  <c r="B111" i="11"/>
  <c r="E111" i="11" s="1"/>
  <c r="A111" i="11"/>
  <c r="B110" i="11"/>
  <c r="A110" i="11"/>
  <c r="C109" i="11"/>
  <c r="B109" i="11"/>
  <c r="E109" i="11" s="1"/>
  <c r="A109" i="11"/>
  <c r="B108" i="11"/>
  <c r="E108" i="11" s="1"/>
  <c r="A108" i="11"/>
  <c r="B107" i="11"/>
  <c r="D107" i="11" s="1"/>
  <c r="A107" i="11"/>
  <c r="B106" i="11"/>
  <c r="C106" i="11" s="1"/>
  <c r="A106" i="11"/>
  <c r="B105" i="11"/>
  <c r="A105" i="11"/>
  <c r="D104" i="11"/>
  <c r="B104" i="11"/>
  <c r="E104" i="11" s="1"/>
  <c r="A104" i="11"/>
  <c r="D103" i="11"/>
  <c r="B103" i="11"/>
  <c r="E103" i="11" s="1"/>
  <c r="A103" i="11"/>
  <c r="B102" i="11"/>
  <c r="A102" i="11"/>
  <c r="E101" i="11"/>
  <c r="C101" i="11"/>
  <c r="B101" i="11"/>
  <c r="D101" i="11" s="1"/>
  <c r="A101" i="11"/>
  <c r="A4" i="11"/>
  <c r="B4" i="11"/>
  <c r="B5" i="11"/>
  <c r="D5" i="11" s="1"/>
  <c r="A5" i="11"/>
  <c r="A100" i="11"/>
  <c r="V200" i="2"/>
  <c r="V199"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6" i="2"/>
  <c r="V165" i="2"/>
  <c r="V164" i="2"/>
  <c r="V163" i="2"/>
  <c r="V162" i="2"/>
  <c r="V161" i="2"/>
  <c r="V160" i="2"/>
  <c r="V159"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3" i="2"/>
  <c r="V132" i="2"/>
  <c r="V131" i="2"/>
  <c r="V130" i="2"/>
  <c r="V129" i="2"/>
  <c r="V128" i="2"/>
  <c r="V127" i="2"/>
  <c r="V126" i="2"/>
  <c r="V125" i="2"/>
  <c r="V124" i="2"/>
  <c r="V123" i="2"/>
  <c r="V122" i="2"/>
  <c r="V121" i="2"/>
  <c r="V120" i="2"/>
  <c r="V119" i="2"/>
  <c r="V118" i="2"/>
  <c r="V117" i="2"/>
  <c r="V116" i="2"/>
  <c r="V115" i="2"/>
  <c r="V114" i="2"/>
  <c r="V113" i="2"/>
  <c r="V112" i="2"/>
  <c r="V111" i="2"/>
  <c r="V110" i="2"/>
  <c r="V109" i="2"/>
  <c r="V108" i="2"/>
  <c r="V107" i="2"/>
  <c r="V106" i="2"/>
  <c r="V105" i="2"/>
  <c r="V104" i="2"/>
  <c r="V103" i="2"/>
  <c r="V102" i="2"/>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3" i="2"/>
  <c r="V4" i="2"/>
  <c r="V5" i="2"/>
  <c r="V6" i="2"/>
  <c r="D120" i="11" l="1"/>
  <c r="C125" i="11"/>
  <c r="C103" i="11"/>
  <c r="C111" i="11"/>
  <c r="E123" i="11"/>
  <c r="D125" i="11"/>
  <c r="C135" i="11"/>
  <c r="C140" i="11"/>
  <c r="D154" i="11"/>
  <c r="E171" i="11"/>
  <c r="E186" i="11"/>
  <c r="C189" i="11"/>
  <c r="D109" i="11"/>
  <c r="C119" i="11"/>
  <c r="E131" i="11"/>
  <c r="D133" i="11"/>
  <c r="C143" i="11"/>
  <c r="D152" i="11"/>
  <c r="C157" i="11"/>
  <c r="D159" i="11"/>
  <c r="D164" i="11"/>
  <c r="E179" i="11"/>
  <c r="D184" i="11"/>
  <c r="E197" i="11"/>
  <c r="D119" i="11"/>
  <c r="D143" i="11"/>
  <c r="D157" i="11"/>
  <c r="E107" i="11"/>
  <c r="D122" i="11"/>
  <c r="E155" i="11"/>
  <c r="C167" i="11"/>
  <c r="C175" i="11"/>
  <c r="E195" i="11"/>
  <c r="D200" i="11"/>
  <c r="E122" i="11"/>
  <c r="D167" i="11"/>
  <c r="D175" i="11"/>
  <c r="I5" i="6"/>
  <c r="I4" i="6"/>
  <c r="D4" i="13"/>
  <c r="C5" i="13"/>
  <c r="K4" i="6"/>
  <c r="M4" i="6" s="1"/>
  <c r="L4" i="6"/>
  <c r="G4" i="6"/>
  <c r="H4" i="6"/>
  <c r="L5" i="6"/>
  <c r="K5" i="6"/>
  <c r="M5" i="6"/>
  <c r="G5" i="6"/>
  <c r="H5" i="6"/>
  <c r="C108" i="11"/>
  <c r="D161" i="11"/>
  <c r="E161" i="11"/>
  <c r="C172" i="11"/>
  <c r="C174" i="11"/>
  <c r="E174" i="11"/>
  <c r="D174" i="11"/>
  <c r="C190" i="11"/>
  <c r="E190" i="11"/>
  <c r="D190" i="11"/>
  <c r="E110" i="11"/>
  <c r="D110" i="11"/>
  <c r="C110" i="11"/>
  <c r="D130" i="11"/>
  <c r="D106" i="11"/>
  <c r="D108" i="11"/>
  <c r="E130" i="11"/>
  <c r="E137" i="11"/>
  <c r="D137" i="11"/>
  <c r="C148" i="11"/>
  <c r="E150" i="11"/>
  <c r="D150" i="11"/>
  <c r="C150" i="11"/>
  <c r="C161" i="11"/>
  <c r="D170" i="11"/>
  <c r="D172" i="11"/>
  <c r="C188" i="11"/>
  <c r="E106" i="11"/>
  <c r="E113" i="11"/>
  <c r="D113" i="11"/>
  <c r="D126" i="11"/>
  <c r="C126" i="11"/>
  <c r="E126" i="11"/>
  <c r="D148" i="11"/>
  <c r="E170" i="11"/>
  <c r="D177" i="11"/>
  <c r="E177" i="11"/>
  <c r="D186" i="11"/>
  <c r="D188" i="11"/>
  <c r="E193" i="11"/>
  <c r="D193" i="11"/>
  <c r="D153" i="11"/>
  <c r="E153" i="11"/>
  <c r="E166" i="11"/>
  <c r="D166" i="11"/>
  <c r="C166" i="11"/>
  <c r="E129" i="11"/>
  <c r="D129" i="11"/>
  <c r="C142" i="11"/>
  <c r="E142" i="11"/>
  <c r="D142" i="11"/>
  <c r="C182" i="11"/>
  <c r="E182" i="11"/>
  <c r="D182" i="11"/>
  <c r="D198" i="11"/>
  <c r="E198" i="11"/>
  <c r="C198" i="11"/>
  <c r="E121" i="11"/>
  <c r="D121" i="11"/>
  <c r="E134" i="11"/>
  <c r="D134" i="11"/>
  <c r="C134" i="11"/>
  <c r="C116" i="11"/>
  <c r="E118" i="11"/>
  <c r="D118" i="11"/>
  <c r="C118" i="11"/>
  <c r="D138" i="11"/>
  <c r="D140" i="11"/>
  <c r="E162" i="11"/>
  <c r="E169" i="11"/>
  <c r="D169" i="11"/>
  <c r="C180" i="11"/>
  <c r="C196" i="11"/>
  <c r="E102" i="11"/>
  <c r="D102" i="11"/>
  <c r="C102" i="11"/>
  <c r="D105" i="11"/>
  <c r="E105" i="11"/>
  <c r="C129" i="11"/>
  <c r="C105" i="11"/>
  <c r="D114" i="11"/>
  <c r="D116" i="11"/>
  <c r="E138" i="11"/>
  <c r="D145" i="11"/>
  <c r="E145" i="11"/>
  <c r="C156" i="11"/>
  <c r="C158" i="11"/>
  <c r="E158" i="11"/>
  <c r="D158" i="11"/>
  <c r="C169" i="11"/>
  <c r="D178" i="11"/>
  <c r="D180" i="11"/>
  <c r="E185" i="11"/>
  <c r="D185" i="11"/>
  <c r="D194" i="11"/>
  <c r="D196" i="11"/>
  <c r="E201" i="11"/>
  <c r="D201" i="11"/>
  <c r="C201" i="11"/>
  <c r="C107" i="11"/>
  <c r="C115" i="11"/>
  <c r="C131" i="11"/>
  <c r="C139" i="11"/>
  <c r="C155" i="11"/>
  <c r="C163" i="11"/>
  <c r="C171" i="11"/>
  <c r="C195" i="11"/>
  <c r="C104" i="11"/>
  <c r="C112" i="11"/>
  <c r="C120" i="11"/>
  <c r="D123" i="11"/>
  <c r="C128" i="11"/>
  <c r="C136" i="11"/>
  <c r="C144" i="11"/>
  <c r="D147" i="11"/>
  <c r="C152" i="11"/>
  <c r="C160" i="11"/>
  <c r="C168" i="11"/>
  <c r="C176" i="11"/>
  <c r="D179" i="11"/>
  <c r="C184" i="11"/>
  <c r="D187" i="11"/>
  <c r="C192" i="11"/>
  <c r="C200" i="11"/>
  <c r="E5" i="11"/>
  <c r="C5" i="11"/>
  <c r="X199" i="2"/>
  <c r="X198" i="2"/>
  <c r="X197" i="2"/>
  <c r="X195" i="2"/>
  <c r="X194" i="2"/>
  <c r="X193" i="2"/>
  <c r="X191" i="2"/>
  <c r="X190" i="2"/>
  <c r="X189" i="2"/>
  <c r="X187" i="2"/>
  <c r="X186" i="2"/>
  <c r="X185" i="2"/>
  <c r="X183" i="2"/>
  <c r="X182" i="2"/>
  <c r="X181" i="2"/>
  <c r="X179" i="2"/>
  <c r="X178" i="2"/>
  <c r="X177" i="2"/>
  <c r="X175" i="2"/>
  <c r="X174" i="2"/>
  <c r="X173" i="2"/>
  <c r="X171" i="2"/>
  <c r="X170" i="2"/>
  <c r="X169" i="2"/>
  <c r="X167" i="2"/>
  <c r="X166" i="2"/>
  <c r="X165" i="2"/>
  <c r="X163" i="2"/>
  <c r="X162" i="2"/>
  <c r="X161" i="2"/>
  <c r="X159" i="2"/>
  <c r="X158" i="2"/>
  <c r="X157" i="2"/>
  <c r="X155" i="2"/>
  <c r="X154" i="2"/>
  <c r="X153" i="2"/>
  <c r="X151" i="2"/>
  <c r="X150" i="2"/>
  <c r="X149" i="2"/>
  <c r="X147" i="2"/>
  <c r="X146" i="2"/>
  <c r="X145" i="2"/>
  <c r="X143" i="2"/>
  <c r="X142" i="2"/>
  <c r="X141" i="2"/>
  <c r="X139" i="2"/>
  <c r="X138" i="2"/>
  <c r="X137" i="2"/>
  <c r="X135" i="2"/>
  <c r="X134" i="2"/>
  <c r="X133" i="2"/>
  <c r="X131" i="2"/>
  <c r="X130" i="2"/>
  <c r="X129" i="2"/>
  <c r="X127" i="2"/>
  <c r="X126" i="2"/>
  <c r="X125" i="2"/>
  <c r="X123" i="2"/>
  <c r="X122" i="2"/>
  <c r="X121" i="2"/>
  <c r="X119" i="2"/>
  <c r="X118" i="2"/>
  <c r="X117" i="2"/>
  <c r="X115" i="2"/>
  <c r="X114" i="2"/>
  <c r="X113" i="2"/>
  <c r="X111" i="2"/>
  <c r="X110" i="2"/>
  <c r="X109" i="2"/>
  <c r="X107" i="2"/>
  <c r="X106" i="2"/>
  <c r="X105" i="2"/>
  <c r="X103" i="2"/>
  <c r="X102" i="2"/>
  <c r="X101" i="2"/>
  <c r="X99" i="2"/>
  <c r="X98" i="2"/>
  <c r="X97" i="2"/>
  <c r="X95" i="2"/>
  <c r="X94" i="2"/>
  <c r="X93" i="2"/>
  <c r="X91" i="2"/>
  <c r="X90" i="2"/>
  <c r="X89" i="2"/>
  <c r="X87" i="2"/>
  <c r="X86" i="2"/>
  <c r="X85" i="2"/>
  <c r="X83" i="2"/>
  <c r="X82" i="2"/>
  <c r="X81" i="2"/>
  <c r="X79" i="2"/>
  <c r="X78" i="2"/>
  <c r="X77" i="2"/>
  <c r="X75" i="2"/>
  <c r="X74" i="2"/>
  <c r="X73" i="2"/>
  <c r="X71" i="2"/>
  <c r="X70" i="2"/>
  <c r="X69" i="2"/>
  <c r="X67" i="2"/>
  <c r="X66" i="2"/>
  <c r="X65" i="2"/>
  <c r="X63" i="2"/>
  <c r="X62" i="2"/>
  <c r="X61" i="2"/>
  <c r="X59" i="2"/>
  <c r="X58" i="2"/>
  <c r="X57" i="2"/>
  <c r="X55" i="2"/>
  <c r="X54" i="2"/>
  <c r="X53" i="2"/>
  <c r="X51" i="2"/>
  <c r="X50" i="2"/>
  <c r="X49" i="2"/>
  <c r="X47" i="2"/>
  <c r="X46" i="2"/>
  <c r="X45" i="2"/>
  <c r="X43" i="2"/>
  <c r="X42" i="2"/>
  <c r="X41" i="2"/>
  <c r="X39" i="2"/>
  <c r="X38" i="2"/>
  <c r="X37" i="2"/>
  <c r="X35" i="2"/>
  <c r="X34" i="2"/>
  <c r="X33" i="2"/>
  <c r="X31" i="2"/>
  <c r="X30" i="2"/>
  <c r="X29" i="2"/>
  <c r="X27" i="2"/>
  <c r="X26" i="2"/>
  <c r="X25" i="2"/>
  <c r="X23" i="2"/>
  <c r="X22" i="2"/>
  <c r="X21" i="2"/>
  <c r="X19" i="2"/>
  <c r="X18" i="2"/>
  <c r="X17" i="2"/>
  <c r="X15" i="2"/>
  <c r="X14" i="2"/>
  <c r="X13" i="2"/>
  <c r="X11" i="2"/>
  <c r="X10" i="2"/>
  <c r="X9" i="2"/>
  <c r="X3" i="2"/>
  <c r="X200" i="2"/>
  <c r="X196" i="2"/>
  <c r="X192" i="2"/>
  <c r="X188" i="2"/>
  <c r="X184" i="2"/>
  <c r="X180" i="2"/>
  <c r="X176" i="2"/>
  <c r="X172" i="2"/>
  <c r="X168" i="2"/>
  <c r="X164" i="2"/>
  <c r="X160" i="2"/>
  <c r="X156" i="2"/>
  <c r="X152" i="2"/>
  <c r="X148" i="2"/>
  <c r="X144" i="2"/>
  <c r="X140" i="2"/>
  <c r="X136" i="2"/>
  <c r="X132" i="2"/>
  <c r="X128" i="2"/>
  <c r="X124" i="2"/>
  <c r="X120" i="2"/>
  <c r="X116" i="2"/>
  <c r="X112" i="2"/>
  <c r="X108" i="2"/>
  <c r="X104" i="2"/>
  <c r="X100" i="2"/>
  <c r="X96" i="2"/>
  <c r="X92" i="2"/>
  <c r="X88" i="2"/>
  <c r="X84" i="2"/>
  <c r="X80" i="2"/>
  <c r="X76" i="2"/>
  <c r="X72" i="2"/>
  <c r="X68" i="2"/>
  <c r="X64" i="2"/>
  <c r="X60" i="2"/>
  <c r="X56" i="2"/>
  <c r="X52" i="2"/>
  <c r="X48" i="2"/>
  <c r="X44" i="2"/>
  <c r="X40" i="2"/>
  <c r="X36" i="2"/>
  <c r="X32" i="2"/>
  <c r="X28" i="2"/>
  <c r="X24" i="2"/>
  <c r="X20" i="2"/>
  <c r="X16" i="2"/>
  <c r="X12" i="2"/>
  <c r="X8" i="2"/>
  <c r="X5" i="2"/>
  <c r="X4" i="2"/>
  <c r="P9" i="2"/>
  <c r="P25" i="2"/>
  <c r="P33" i="2"/>
  <c r="P41" i="2"/>
  <c r="P69" i="2"/>
  <c r="P81" i="2"/>
  <c r="P97" i="2"/>
  <c r="P117" i="2"/>
  <c r="P125" i="2"/>
  <c r="P133" i="2"/>
  <c r="P137" i="2"/>
  <c r="P161" i="2"/>
  <c r="P169" i="2"/>
  <c r="P181" i="2"/>
  <c r="M193" i="2"/>
  <c r="Q193" i="2" s="1"/>
  <c r="M189" i="2"/>
  <c r="Q189" i="2" s="1"/>
  <c r="M185" i="2"/>
  <c r="Q185" i="2" s="1"/>
  <c r="M177" i="2"/>
  <c r="Q177" i="2" s="1"/>
  <c r="M173" i="2"/>
  <c r="Q173" i="2" s="1"/>
  <c r="M169" i="2"/>
  <c r="Q169" i="2" s="1"/>
  <c r="M161" i="2"/>
  <c r="Q161" i="2" s="1"/>
  <c r="M157" i="2"/>
  <c r="Q157" i="2" s="1"/>
  <c r="M153" i="2"/>
  <c r="Q153" i="2" s="1"/>
  <c r="M145" i="2"/>
  <c r="Q145" i="2" s="1"/>
  <c r="M141" i="2"/>
  <c r="Q141" i="2" s="1"/>
  <c r="M137" i="2"/>
  <c r="Q137" i="2" s="1"/>
  <c r="M129" i="2"/>
  <c r="Q129" i="2" s="1"/>
  <c r="M125" i="2"/>
  <c r="Q125" i="2" s="1"/>
  <c r="M121" i="2"/>
  <c r="Q121" i="2" s="1"/>
  <c r="M113" i="2"/>
  <c r="Q113" i="2" s="1"/>
  <c r="M109" i="2"/>
  <c r="Q109" i="2" s="1"/>
  <c r="M105" i="2"/>
  <c r="Q105" i="2" s="1"/>
  <c r="M97" i="2"/>
  <c r="Q97" i="2" s="1"/>
  <c r="M93" i="2"/>
  <c r="Q93" i="2" s="1"/>
  <c r="M89" i="2"/>
  <c r="Q89" i="2" s="1"/>
  <c r="M81" i="2"/>
  <c r="Q81" i="2" s="1"/>
  <c r="M77" i="2"/>
  <c r="Q77" i="2" s="1"/>
  <c r="M73" i="2"/>
  <c r="Q73" i="2" s="1"/>
  <c r="M65" i="2"/>
  <c r="Q65" i="2" s="1"/>
  <c r="M61" i="2"/>
  <c r="Q61" i="2" s="1"/>
  <c r="M57" i="2"/>
  <c r="Q57" i="2" s="1"/>
  <c r="M49" i="2"/>
  <c r="Q49" i="2" s="1"/>
  <c r="M45" i="2"/>
  <c r="Q45" i="2" s="1"/>
  <c r="M41" i="2"/>
  <c r="Q41" i="2" s="1"/>
  <c r="M33" i="2"/>
  <c r="Q33" i="2" s="1"/>
  <c r="M30" i="2"/>
  <c r="Q30" i="2" s="1"/>
  <c r="M29" i="2"/>
  <c r="Q29" i="2" s="1"/>
  <c r="M25" i="2"/>
  <c r="Q25" i="2" s="1"/>
  <c r="M18" i="2"/>
  <c r="Q18" i="2" s="1"/>
  <c r="M17" i="2"/>
  <c r="Q17" i="2" s="1"/>
  <c r="M14" i="2"/>
  <c r="Q14" i="2" s="1"/>
  <c r="M13" i="2"/>
  <c r="Q13" i="2" s="1"/>
  <c r="Q9" i="2"/>
  <c r="M7" i="2"/>
  <c r="Q7" i="2" s="1"/>
  <c r="M50" i="2"/>
  <c r="Q50" i="2" s="1"/>
  <c r="M197" i="2"/>
  <c r="Q197" i="2" s="1"/>
  <c r="M181" i="2"/>
  <c r="Q181" i="2" s="1"/>
  <c r="M165" i="2"/>
  <c r="Q165" i="2" s="1"/>
  <c r="M149" i="2"/>
  <c r="Q149" i="2" s="1"/>
  <c r="M133" i="2"/>
  <c r="Q133" i="2" s="1"/>
  <c r="M117" i="2"/>
  <c r="Q117" i="2" s="1"/>
  <c r="M101" i="2"/>
  <c r="Q101" i="2" s="1"/>
  <c r="M85" i="2"/>
  <c r="Q85" i="2" s="1"/>
  <c r="M69" i="2"/>
  <c r="Q69" i="2" s="1"/>
  <c r="M53" i="2"/>
  <c r="Q53" i="2" s="1"/>
  <c r="M37" i="2"/>
  <c r="Q37" i="2" s="1"/>
  <c r="M21" i="2"/>
  <c r="Q21" i="2" s="1"/>
  <c r="C6" i="2"/>
  <c r="C5" i="2"/>
  <c r="Q35" i="2"/>
  <c r="M200" i="2"/>
  <c r="Q200" i="2" s="1"/>
  <c r="M199" i="2"/>
  <c r="Q199" i="2" s="1"/>
  <c r="M198" i="2"/>
  <c r="Q198" i="2" s="1"/>
  <c r="M196" i="2"/>
  <c r="Q196" i="2" s="1"/>
  <c r="M195" i="2"/>
  <c r="Q195" i="2" s="1"/>
  <c r="M194" i="2"/>
  <c r="Q194" i="2" s="1"/>
  <c r="M192" i="2"/>
  <c r="Q192" i="2" s="1"/>
  <c r="M191" i="2"/>
  <c r="Q191" i="2" s="1"/>
  <c r="M190" i="2"/>
  <c r="Q190" i="2" s="1"/>
  <c r="M188" i="2"/>
  <c r="Q188" i="2" s="1"/>
  <c r="M187" i="2"/>
  <c r="Q187" i="2" s="1"/>
  <c r="M186" i="2"/>
  <c r="Q186" i="2" s="1"/>
  <c r="M184" i="2"/>
  <c r="Q184" i="2" s="1"/>
  <c r="M183" i="2"/>
  <c r="Q183" i="2" s="1"/>
  <c r="M182" i="2"/>
  <c r="Q182" i="2" s="1"/>
  <c r="M180" i="2"/>
  <c r="Q180" i="2" s="1"/>
  <c r="M179" i="2"/>
  <c r="Q179" i="2" s="1"/>
  <c r="M178" i="2"/>
  <c r="Q178" i="2" s="1"/>
  <c r="M176" i="2"/>
  <c r="Q176" i="2" s="1"/>
  <c r="M175" i="2"/>
  <c r="Q175" i="2" s="1"/>
  <c r="M174" i="2"/>
  <c r="Q174" i="2" s="1"/>
  <c r="M172" i="2"/>
  <c r="Q172" i="2" s="1"/>
  <c r="M171" i="2"/>
  <c r="Q171" i="2" s="1"/>
  <c r="M170" i="2"/>
  <c r="Q170" i="2" s="1"/>
  <c r="M168" i="2"/>
  <c r="Q168" i="2" s="1"/>
  <c r="M167" i="2"/>
  <c r="Q167" i="2" s="1"/>
  <c r="M166" i="2"/>
  <c r="Q166" i="2" s="1"/>
  <c r="M164" i="2"/>
  <c r="Q164" i="2" s="1"/>
  <c r="M163" i="2"/>
  <c r="Q163" i="2" s="1"/>
  <c r="M162" i="2"/>
  <c r="Q162" i="2" s="1"/>
  <c r="M160" i="2"/>
  <c r="Q160" i="2" s="1"/>
  <c r="M159" i="2"/>
  <c r="Q159" i="2" s="1"/>
  <c r="M158" i="2"/>
  <c r="Q158" i="2" s="1"/>
  <c r="M156" i="2"/>
  <c r="Q156" i="2" s="1"/>
  <c r="M155" i="2"/>
  <c r="Q155" i="2" s="1"/>
  <c r="M154" i="2"/>
  <c r="Q154" i="2" s="1"/>
  <c r="M152" i="2"/>
  <c r="Q152" i="2" s="1"/>
  <c r="M151" i="2"/>
  <c r="Q151" i="2" s="1"/>
  <c r="M150" i="2"/>
  <c r="Q150" i="2" s="1"/>
  <c r="M148" i="2"/>
  <c r="Q148" i="2" s="1"/>
  <c r="M147" i="2"/>
  <c r="Q147" i="2" s="1"/>
  <c r="M146" i="2"/>
  <c r="Q146" i="2" s="1"/>
  <c r="M144" i="2"/>
  <c r="Q144" i="2" s="1"/>
  <c r="M143" i="2"/>
  <c r="Q143" i="2" s="1"/>
  <c r="M142" i="2"/>
  <c r="Q142" i="2" s="1"/>
  <c r="M140" i="2"/>
  <c r="Q140" i="2" s="1"/>
  <c r="M139" i="2"/>
  <c r="Q139" i="2" s="1"/>
  <c r="M138" i="2"/>
  <c r="Q138" i="2" s="1"/>
  <c r="M136" i="2"/>
  <c r="Q136" i="2" s="1"/>
  <c r="M135" i="2"/>
  <c r="Q135" i="2" s="1"/>
  <c r="M134" i="2"/>
  <c r="Q134" i="2" s="1"/>
  <c r="M132" i="2"/>
  <c r="Q132" i="2" s="1"/>
  <c r="M131" i="2"/>
  <c r="Q131" i="2" s="1"/>
  <c r="M130" i="2"/>
  <c r="Q130" i="2" s="1"/>
  <c r="M128" i="2"/>
  <c r="Q128" i="2" s="1"/>
  <c r="M127" i="2"/>
  <c r="Q127" i="2" s="1"/>
  <c r="M126" i="2"/>
  <c r="Q126" i="2" s="1"/>
  <c r="M124" i="2"/>
  <c r="Q124" i="2" s="1"/>
  <c r="M123" i="2"/>
  <c r="Q123" i="2" s="1"/>
  <c r="M122" i="2"/>
  <c r="Q122" i="2" s="1"/>
  <c r="M120" i="2"/>
  <c r="Q120" i="2" s="1"/>
  <c r="M119" i="2"/>
  <c r="Q119" i="2" s="1"/>
  <c r="M118" i="2"/>
  <c r="Q118" i="2" s="1"/>
  <c r="M116" i="2"/>
  <c r="Q116" i="2" s="1"/>
  <c r="M115" i="2"/>
  <c r="Q115" i="2" s="1"/>
  <c r="M114" i="2"/>
  <c r="Q114" i="2" s="1"/>
  <c r="M112" i="2"/>
  <c r="Q112" i="2" s="1"/>
  <c r="M111" i="2"/>
  <c r="Q111" i="2" s="1"/>
  <c r="M110" i="2"/>
  <c r="Q110" i="2" s="1"/>
  <c r="M108" i="2"/>
  <c r="Q108" i="2" s="1"/>
  <c r="M107" i="2"/>
  <c r="Q107" i="2" s="1"/>
  <c r="M106" i="2"/>
  <c r="Q106" i="2" s="1"/>
  <c r="M104" i="2"/>
  <c r="Q104" i="2" s="1"/>
  <c r="M103" i="2"/>
  <c r="Q103" i="2" s="1"/>
  <c r="M102" i="2"/>
  <c r="Q102" i="2" s="1"/>
  <c r="M100" i="2"/>
  <c r="Q100" i="2" s="1"/>
  <c r="M99" i="2"/>
  <c r="Q99" i="2" s="1"/>
  <c r="M98" i="2"/>
  <c r="Q98" i="2" s="1"/>
  <c r="M96" i="2"/>
  <c r="Q96" i="2" s="1"/>
  <c r="M95" i="2"/>
  <c r="Q95" i="2" s="1"/>
  <c r="M94" i="2"/>
  <c r="Q94" i="2" s="1"/>
  <c r="M92" i="2"/>
  <c r="Q92" i="2" s="1"/>
  <c r="M91" i="2"/>
  <c r="Q91" i="2" s="1"/>
  <c r="M90" i="2"/>
  <c r="Q90" i="2" s="1"/>
  <c r="M88" i="2"/>
  <c r="Q88" i="2" s="1"/>
  <c r="M87" i="2"/>
  <c r="Q87" i="2" s="1"/>
  <c r="M86" i="2"/>
  <c r="Q86" i="2" s="1"/>
  <c r="M84" i="2"/>
  <c r="Q84" i="2" s="1"/>
  <c r="M83" i="2"/>
  <c r="Q83" i="2" s="1"/>
  <c r="M82" i="2"/>
  <c r="Q82" i="2" s="1"/>
  <c r="M80" i="2"/>
  <c r="Q80" i="2" s="1"/>
  <c r="M79" i="2"/>
  <c r="Q79" i="2" s="1"/>
  <c r="M78" i="2"/>
  <c r="Q78" i="2" s="1"/>
  <c r="M76" i="2"/>
  <c r="Q76" i="2" s="1"/>
  <c r="M75" i="2"/>
  <c r="Q75" i="2" s="1"/>
  <c r="M74" i="2"/>
  <c r="Q74" i="2" s="1"/>
  <c r="M72" i="2"/>
  <c r="Q72" i="2" s="1"/>
  <c r="M71" i="2"/>
  <c r="Q71" i="2" s="1"/>
  <c r="M70" i="2"/>
  <c r="Q70" i="2" s="1"/>
  <c r="M68" i="2"/>
  <c r="Q68" i="2" s="1"/>
  <c r="M67" i="2"/>
  <c r="Q67" i="2" s="1"/>
  <c r="M66" i="2"/>
  <c r="Q66" i="2" s="1"/>
  <c r="M64" i="2"/>
  <c r="Q64" i="2" s="1"/>
  <c r="M63" i="2"/>
  <c r="Q63" i="2" s="1"/>
  <c r="M62" i="2"/>
  <c r="Q62" i="2" s="1"/>
  <c r="M60" i="2"/>
  <c r="Q60" i="2" s="1"/>
  <c r="M59" i="2"/>
  <c r="Q59" i="2" s="1"/>
  <c r="M58" i="2"/>
  <c r="Q58" i="2" s="1"/>
  <c r="M56" i="2"/>
  <c r="Q56" i="2" s="1"/>
  <c r="M55" i="2"/>
  <c r="Q55" i="2" s="1"/>
  <c r="M54" i="2"/>
  <c r="Q54" i="2" s="1"/>
  <c r="M52" i="2"/>
  <c r="Q52" i="2" s="1"/>
  <c r="M51" i="2"/>
  <c r="P51" i="2" s="1"/>
  <c r="M48" i="2"/>
  <c r="Q48" i="2" s="1"/>
  <c r="M47" i="2"/>
  <c r="Q47" i="2" s="1"/>
  <c r="M46" i="2"/>
  <c r="Q46" i="2" s="1"/>
  <c r="M44" i="2"/>
  <c r="Q44" i="2" s="1"/>
  <c r="M43" i="2"/>
  <c r="Q43" i="2" s="1"/>
  <c r="M42" i="2"/>
  <c r="Q42" i="2" s="1"/>
  <c r="M40" i="2"/>
  <c r="Q40" i="2" s="1"/>
  <c r="M39" i="2"/>
  <c r="Q39" i="2" s="1"/>
  <c r="M38" i="2"/>
  <c r="Q38" i="2" s="1"/>
  <c r="M36" i="2"/>
  <c r="Q36" i="2" s="1"/>
  <c r="M35" i="2"/>
  <c r="P35" i="2" s="1"/>
  <c r="M34" i="2"/>
  <c r="Q34" i="2" s="1"/>
  <c r="M32" i="2"/>
  <c r="Q32" i="2" s="1"/>
  <c r="M31" i="2"/>
  <c r="Q31" i="2" s="1"/>
  <c r="M28" i="2"/>
  <c r="Q28" i="2" s="1"/>
  <c r="M27" i="2"/>
  <c r="Q27" i="2" s="1"/>
  <c r="M26" i="2"/>
  <c r="Q26" i="2" s="1"/>
  <c r="M24" i="2"/>
  <c r="Q24" i="2" s="1"/>
  <c r="M23" i="2"/>
  <c r="Q23" i="2" s="1"/>
  <c r="M22" i="2"/>
  <c r="Q22" i="2" s="1"/>
  <c r="M20" i="2"/>
  <c r="Q20" i="2" s="1"/>
  <c r="M19" i="2"/>
  <c r="P19" i="2" s="1"/>
  <c r="M16" i="2"/>
  <c r="Q16" i="2" s="1"/>
  <c r="M15" i="2"/>
  <c r="Q15" i="2" s="1"/>
  <c r="M12" i="2"/>
  <c r="Q12" i="2" s="1"/>
  <c r="M11" i="2"/>
  <c r="Q11" i="2" s="1"/>
  <c r="M10" i="2"/>
  <c r="Q10" i="2" s="1"/>
  <c r="M8" i="2"/>
  <c r="Q8" i="2" s="1"/>
  <c r="P157" i="2" l="1"/>
  <c r="P189" i="2"/>
  <c r="P145" i="2"/>
  <c r="P105" i="2"/>
  <c r="P61" i="2"/>
  <c r="P17" i="2"/>
  <c r="P198" i="2"/>
  <c r="P113" i="2"/>
  <c r="P185" i="2"/>
  <c r="P141" i="2"/>
  <c r="P101" i="2"/>
  <c r="P57" i="2"/>
  <c r="P13" i="2"/>
  <c r="P53" i="2"/>
  <c r="P177" i="2"/>
  <c r="P93" i="2"/>
  <c r="P49" i="2"/>
  <c r="P165" i="2"/>
  <c r="P121" i="2"/>
  <c r="P77" i="2"/>
  <c r="P37" i="2"/>
  <c r="P73" i="2"/>
  <c r="P194" i="2"/>
  <c r="P149" i="2"/>
  <c r="P65" i="2"/>
  <c r="P29" i="2"/>
  <c r="Q51" i="2"/>
  <c r="O197" i="2"/>
  <c r="P197" i="2"/>
  <c r="P193" i="2"/>
  <c r="P188" i="2"/>
  <c r="P184" i="2"/>
  <c r="P180" i="2"/>
  <c r="P176" i="2"/>
  <c r="P172" i="2"/>
  <c r="P168" i="2"/>
  <c r="P164" i="2"/>
  <c r="P160" i="2"/>
  <c r="P156" i="2"/>
  <c r="P152" i="2"/>
  <c r="P148" i="2"/>
  <c r="P144" i="2"/>
  <c r="P140" i="2"/>
  <c r="P136" i="2"/>
  <c r="P132" i="2"/>
  <c r="P128" i="2"/>
  <c r="P124" i="2"/>
  <c r="P120" i="2"/>
  <c r="P116" i="2"/>
  <c r="P112" i="2"/>
  <c r="P108" i="2"/>
  <c r="P104" i="2"/>
  <c r="P100" i="2"/>
  <c r="P96" i="2"/>
  <c r="P92" i="2"/>
  <c r="P88" i="2"/>
  <c r="P84" i="2"/>
  <c r="P80" i="2"/>
  <c r="P76" i="2"/>
  <c r="P72" i="2"/>
  <c r="P68" i="2"/>
  <c r="P64" i="2"/>
  <c r="P60" i="2"/>
  <c r="P56" i="2"/>
  <c r="P52" i="2"/>
  <c r="P48" i="2"/>
  <c r="P44" i="2"/>
  <c r="P40" i="2"/>
  <c r="P36" i="2"/>
  <c r="P32" i="2"/>
  <c r="P28" i="2"/>
  <c r="P24" i="2"/>
  <c r="P20" i="2"/>
  <c r="P16" i="2"/>
  <c r="P12" i="2"/>
  <c r="P8" i="2"/>
  <c r="P173" i="2"/>
  <c r="P89" i="2"/>
  <c r="P85" i="2"/>
  <c r="P45" i="2"/>
  <c r="P21" i="2"/>
  <c r="Q19" i="2"/>
  <c r="P200" i="2"/>
  <c r="P196" i="2"/>
  <c r="P191" i="2"/>
  <c r="P187" i="2"/>
  <c r="P183" i="2"/>
  <c r="P179" i="2"/>
  <c r="P175" i="2"/>
  <c r="P171" i="2"/>
  <c r="P167" i="2"/>
  <c r="P163" i="2"/>
  <c r="P159" i="2"/>
  <c r="P155" i="2"/>
  <c r="P151" i="2"/>
  <c r="P147" i="2"/>
  <c r="P143" i="2"/>
  <c r="P139" i="2"/>
  <c r="P135" i="2"/>
  <c r="P131" i="2"/>
  <c r="P127" i="2"/>
  <c r="P123" i="2"/>
  <c r="P119" i="2"/>
  <c r="P115" i="2"/>
  <c r="P111" i="2"/>
  <c r="P107" i="2"/>
  <c r="P103" i="2"/>
  <c r="P99" i="2"/>
  <c r="P95" i="2"/>
  <c r="P91" i="2"/>
  <c r="P87" i="2"/>
  <c r="P83" i="2"/>
  <c r="P79" i="2"/>
  <c r="P75" i="2"/>
  <c r="P71" i="2"/>
  <c r="P67" i="2"/>
  <c r="P63" i="2"/>
  <c r="P59" i="2"/>
  <c r="P55" i="2"/>
  <c r="P47" i="2"/>
  <c r="P43" i="2"/>
  <c r="P39" i="2"/>
  <c r="P31" i="2"/>
  <c r="P27" i="2"/>
  <c r="P23" i="2"/>
  <c r="P15" i="2"/>
  <c r="P11" i="2"/>
  <c r="P7" i="2"/>
  <c r="P153" i="2"/>
  <c r="P129" i="2"/>
  <c r="P109" i="2"/>
  <c r="P199" i="2"/>
  <c r="P195" i="2"/>
  <c r="P190" i="2"/>
  <c r="P186" i="2"/>
  <c r="P182" i="2"/>
  <c r="P178" i="2"/>
  <c r="P174" i="2"/>
  <c r="P170" i="2"/>
  <c r="P166" i="2"/>
  <c r="P162" i="2"/>
  <c r="P158" i="2"/>
  <c r="P154" i="2"/>
  <c r="P150" i="2"/>
  <c r="P146" i="2"/>
  <c r="P142" i="2"/>
  <c r="P138" i="2"/>
  <c r="P134" i="2"/>
  <c r="P130" i="2"/>
  <c r="P126" i="2"/>
  <c r="P122" i="2"/>
  <c r="P118" i="2"/>
  <c r="P114" i="2"/>
  <c r="P110" i="2"/>
  <c r="P106" i="2"/>
  <c r="P102" i="2"/>
  <c r="P98" i="2"/>
  <c r="P94" i="2"/>
  <c r="P90" i="2"/>
  <c r="P86" i="2"/>
  <c r="P82" i="2"/>
  <c r="P78" i="2"/>
  <c r="P74" i="2"/>
  <c r="P70" i="2"/>
  <c r="P66" i="2"/>
  <c r="P62" i="2"/>
  <c r="P58" i="2"/>
  <c r="P54" i="2"/>
  <c r="P50" i="2"/>
  <c r="P46" i="2"/>
  <c r="P42" i="2"/>
  <c r="P38" i="2"/>
  <c r="P34" i="2"/>
  <c r="P30" i="2"/>
  <c r="P26" i="2"/>
  <c r="P22" i="2"/>
  <c r="P18" i="2"/>
  <c r="P14" i="2"/>
  <c r="P10" i="2"/>
  <c r="P192" i="2"/>
  <c r="B3" i="2"/>
  <c r="Z200" i="2"/>
  <c r="Y200" i="2"/>
  <c r="Y199" i="2"/>
  <c r="Y198" i="2"/>
  <c r="Y197" i="2"/>
  <c r="Z196" i="2"/>
  <c r="Y196" i="2"/>
  <c r="Y195" i="2"/>
  <c r="Y194" i="2"/>
  <c r="Y193" i="2"/>
  <c r="Z192" i="2"/>
  <c r="Y192" i="2"/>
  <c r="Y191" i="2"/>
  <c r="Y190" i="2"/>
  <c r="Y189" i="2"/>
  <c r="Z188" i="2"/>
  <c r="Y188" i="2"/>
  <c r="Y187" i="2"/>
  <c r="Y186" i="2"/>
  <c r="Y185" i="2"/>
  <c r="Z184" i="2"/>
  <c r="Y184" i="2"/>
  <c r="Y183" i="2"/>
  <c r="Y182" i="2"/>
  <c r="Y181" i="2"/>
  <c r="Z180" i="2"/>
  <c r="Y180" i="2"/>
  <c r="Y179" i="2"/>
  <c r="Y178" i="2"/>
  <c r="Y177" i="2"/>
  <c r="Z176" i="2"/>
  <c r="Y176" i="2"/>
  <c r="Y175" i="2"/>
  <c r="Y174" i="2"/>
  <c r="Y173" i="2"/>
  <c r="Z172" i="2"/>
  <c r="Y172" i="2"/>
  <c r="Y171" i="2"/>
  <c r="Y170" i="2"/>
  <c r="Y169" i="2"/>
  <c r="Z168" i="2"/>
  <c r="Y168" i="2"/>
  <c r="Y167" i="2"/>
  <c r="Y166" i="2"/>
  <c r="Y165" i="2"/>
  <c r="Z164" i="2"/>
  <c r="Y164" i="2"/>
  <c r="Y163" i="2"/>
  <c r="Y162" i="2"/>
  <c r="Y161" i="2"/>
  <c r="Z160" i="2"/>
  <c r="Y160" i="2"/>
  <c r="Y159" i="2"/>
  <c r="Y158" i="2"/>
  <c r="Y157" i="2"/>
  <c r="Z156" i="2"/>
  <c r="Y156" i="2"/>
  <c r="Y155" i="2"/>
  <c r="Y154" i="2"/>
  <c r="Y153" i="2"/>
  <c r="Z152" i="2"/>
  <c r="Y152" i="2"/>
  <c r="Y151" i="2"/>
  <c r="Y150" i="2"/>
  <c r="Y149" i="2"/>
  <c r="Z148" i="2"/>
  <c r="Y148" i="2"/>
  <c r="Y147" i="2"/>
  <c r="Y146" i="2"/>
  <c r="Y145" i="2"/>
  <c r="Z144" i="2"/>
  <c r="Y144" i="2"/>
  <c r="Y143" i="2"/>
  <c r="Y142" i="2"/>
  <c r="Y141" i="2"/>
  <c r="Z140" i="2"/>
  <c r="Y140" i="2"/>
  <c r="Y139" i="2"/>
  <c r="Y138" i="2"/>
  <c r="Y137" i="2"/>
  <c r="Z136" i="2"/>
  <c r="Y136" i="2"/>
  <c r="Y135" i="2"/>
  <c r="Y134" i="2"/>
  <c r="Y133" i="2"/>
  <c r="Z132" i="2"/>
  <c r="Y132" i="2"/>
  <c r="Y131" i="2"/>
  <c r="Y130" i="2"/>
  <c r="Y129" i="2"/>
  <c r="Z128" i="2"/>
  <c r="Y128" i="2"/>
  <c r="Y127" i="2"/>
  <c r="Y126" i="2"/>
  <c r="Y125" i="2"/>
  <c r="Z124" i="2"/>
  <c r="Y124" i="2"/>
  <c r="Y123" i="2"/>
  <c r="Y122" i="2"/>
  <c r="Y121" i="2"/>
  <c r="Z120" i="2"/>
  <c r="Y120" i="2"/>
  <c r="Y119" i="2"/>
  <c r="Y118" i="2"/>
  <c r="Y117" i="2"/>
  <c r="Z116" i="2"/>
  <c r="Y116" i="2"/>
  <c r="Y115" i="2"/>
  <c r="Y114" i="2"/>
  <c r="Y113" i="2"/>
  <c r="Z112" i="2"/>
  <c r="Y112" i="2"/>
  <c r="Y111" i="2"/>
  <c r="Y110" i="2"/>
  <c r="Y109" i="2"/>
  <c r="Z108" i="2"/>
  <c r="Y108" i="2"/>
  <c r="Y107" i="2"/>
  <c r="Y106" i="2"/>
  <c r="Y105" i="2"/>
  <c r="Z104" i="2"/>
  <c r="Y104" i="2"/>
  <c r="Y103" i="2"/>
  <c r="Y102" i="2"/>
  <c r="Y101" i="2"/>
  <c r="R200" i="2"/>
  <c r="U200" i="2" s="1"/>
  <c r="R199" i="2"/>
  <c r="S199" i="2" s="1"/>
  <c r="R198" i="2"/>
  <c r="U198" i="2" s="1"/>
  <c r="U197" i="2"/>
  <c r="R197" i="2"/>
  <c r="T197" i="2" s="1"/>
  <c r="R196" i="2"/>
  <c r="T196" i="2" s="1"/>
  <c r="R195" i="2"/>
  <c r="U195" i="2" s="1"/>
  <c r="R194" i="2"/>
  <c r="R193" i="2"/>
  <c r="U193" i="2" s="1"/>
  <c r="R192" i="2"/>
  <c r="U192" i="2" s="1"/>
  <c r="R191" i="2"/>
  <c r="U191" i="2" s="1"/>
  <c r="T190" i="2"/>
  <c r="S190" i="2"/>
  <c r="R190" i="2"/>
  <c r="U190" i="2" s="1"/>
  <c r="R189" i="2"/>
  <c r="T189" i="2" s="1"/>
  <c r="R188" i="2"/>
  <c r="T188" i="2" s="1"/>
  <c r="R187" i="2"/>
  <c r="U187" i="2" s="1"/>
  <c r="R186" i="2"/>
  <c r="S186" i="2" s="1"/>
  <c r="R185" i="2"/>
  <c r="U185" i="2" s="1"/>
  <c r="R184" i="2"/>
  <c r="U184" i="2" s="1"/>
  <c r="U183" i="2"/>
  <c r="T183" i="2"/>
  <c r="S183" i="2"/>
  <c r="R183" i="2"/>
  <c r="R182" i="2"/>
  <c r="U182" i="2" s="1"/>
  <c r="R181" i="2"/>
  <c r="U180" i="2"/>
  <c r="S180" i="2"/>
  <c r="R180" i="2"/>
  <c r="T180" i="2" s="1"/>
  <c r="R179" i="2"/>
  <c r="U179" i="2" s="1"/>
  <c r="R178" i="2"/>
  <c r="R177" i="2"/>
  <c r="U177" i="2" s="1"/>
  <c r="R176" i="2"/>
  <c r="U176" i="2" s="1"/>
  <c r="U175" i="2"/>
  <c r="T175" i="2"/>
  <c r="S175" i="2"/>
  <c r="R175" i="2"/>
  <c r="R174" i="2"/>
  <c r="R173" i="2"/>
  <c r="T173" i="2" s="1"/>
  <c r="R172" i="2"/>
  <c r="T172" i="2" s="1"/>
  <c r="S171" i="2"/>
  <c r="R171" i="2"/>
  <c r="U171" i="2" s="1"/>
  <c r="R170" i="2"/>
  <c r="S170" i="2" s="1"/>
  <c r="R169" i="2"/>
  <c r="U169" i="2" s="1"/>
  <c r="R168" i="2"/>
  <c r="U168" i="2" s="1"/>
  <c r="U167" i="2"/>
  <c r="T167" i="2"/>
  <c r="S167" i="2"/>
  <c r="R167" i="2"/>
  <c r="R166" i="2"/>
  <c r="U166" i="2" s="1"/>
  <c r="S165" i="2"/>
  <c r="R165" i="2"/>
  <c r="R164" i="2"/>
  <c r="T164" i="2" s="1"/>
  <c r="S163" i="2"/>
  <c r="R163" i="2"/>
  <c r="U163" i="2" s="1"/>
  <c r="R162" i="2"/>
  <c r="T162" i="2" s="1"/>
  <c r="R161" i="2"/>
  <c r="U161" i="2" s="1"/>
  <c r="R160" i="2"/>
  <c r="U160" i="2" s="1"/>
  <c r="R159" i="2"/>
  <c r="U159" i="2" s="1"/>
  <c r="T158" i="2"/>
  <c r="S158" i="2"/>
  <c r="R158" i="2"/>
  <c r="U158" i="2" s="1"/>
  <c r="R157" i="2"/>
  <c r="T157" i="2" s="1"/>
  <c r="R156" i="2"/>
  <c r="S155" i="2"/>
  <c r="R155" i="2"/>
  <c r="U155" i="2" s="1"/>
  <c r="R154" i="2"/>
  <c r="S154" i="2" s="1"/>
  <c r="R153" i="2"/>
  <c r="T153" i="2" s="1"/>
  <c r="R152" i="2"/>
  <c r="U152" i="2" s="1"/>
  <c r="U151" i="2"/>
  <c r="R151" i="2"/>
  <c r="T151" i="2" s="1"/>
  <c r="R150" i="2"/>
  <c r="U150" i="2" s="1"/>
  <c r="U149" i="2"/>
  <c r="S149" i="2"/>
  <c r="R149" i="2"/>
  <c r="T149" i="2" s="1"/>
  <c r="R148" i="2"/>
  <c r="T148" i="2" s="1"/>
  <c r="R147" i="2"/>
  <c r="U147" i="2" s="1"/>
  <c r="U146" i="2"/>
  <c r="T146" i="2"/>
  <c r="R146" i="2"/>
  <c r="S146" i="2" s="1"/>
  <c r="R145" i="2"/>
  <c r="U145" i="2" s="1"/>
  <c r="R144" i="2"/>
  <c r="U144" i="2" s="1"/>
  <c r="R143" i="2"/>
  <c r="T142" i="2"/>
  <c r="S142" i="2"/>
  <c r="R142" i="2"/>
  <c r="U142" i="2" s="1"/>
  <c r="U141" i="2"/>
  <c r="S141" i="2"/>
  <c r="R141" i="2"/>
  <c r="T141" i="2" s="1"/>
  <c r="S140" i="2"/>
  <c r="R140" i="2"/>
  <c r="S139" i="2"/>
  <c r="R139" i="2"/>
  <c r="U139" i="2" s="1"/>
  <c r="U138" i="2"/>
  <c r="T138" i="2"/>
  <c r="R138" i="2"/>
  <c r="S138" i="2" s="1"/>
  <c r="R137" i="2"/>
  <c r="U137" i="2" s="1"/>
  <c r="R136" i="2"/>
  <c r="U136" i="2" s="1"/>
  <c r="U135" i="2"/>
  <c r="R135" i="2"/>
  <c r="T135" i="2" s="1"/>
  <c r="R134" i="2"/>
  <c r="U134" i="2" s="1"/>
  <c r="U133" i="2"/>
  <c r="S133" i="2"/>
  <c r="R133" i="2"/>
  <c r="T133" i="2" s="1"/>
  <c r="R132" i="2"/>
  <c r="T132" i="2" s="1"/>
  <c r="R131" i="2"/>
  <c r="U131" i="2" s="1"/>
  <c r="R130" i="2"/>
  <c r="T130" i="2" s="1"/>
  <c r="R129" i="2"/>
  <c r="U129" i="2" s="1"/>
  <c r="R128" i="2"/>
  <c r="U128" i="2" s="1"/>
  <c r="T127" i="2"/>
  <c r="S127" i="2"/>
  <c r="R127" i="2"/>
  <c r="U127" i="2" s="1"/>
  <c r="S126" i="2"/>
  <c r="R126" i="2"/>
  <c r="R125" i="2"/>
  <c r="S125" i="2" s="1"/>
  <c r="R124" i="2"/>
  <c r="U123" i="2"/>
  <c r="S123" i="2"/>
  <c r="R123" i="2"/>
  <c r="T123" i="2" s="1"/>
  <c r="R122" i="2"/>
  <c r="T122" i="2" s="1"/>
  <c r="R121" i="2"/>
  <c r="U121" i="2" s="1"/>
  <c r="R120" i="2"/>
  <c r="U120" i="2" s="1"/>
  <c r="T119" i="2"/>
  <c r="S119" i="2"/>
  <c r="R119" i="2"/>
  <c r="U119" i="2" s="1"/>
  <c r="R118" i="2"/>
  <c r="U118" i="2" s="1"/>
  <c r="S117" i="2"/>
  <c r="R117" i="2"/>
  <c r="R116" i="2"/>
  <c r="T116" i="2" s="1"/>
  <c r="R115" i="2"/>
  <c r="T115" i="2" s="1"/>
  <c r="R114" i="2"/>
  <c r="T114" i="2" s="1"/>
  <c r="R113" i="2"/>
  <c r="U113" i="2" s="1"/>
  <c r="R112" i="2"/>
  <c r="U112" i="2" s="1"/>
  <c r="T111" i="2"/>
  <c r="S111" i="2"/>
  <c r="R111" i="2"/>
  <c r="U111" i="2" s="1"/>
  <c r="R110" i="2"/>
  <c r="R109" i="2"/>
  <c r="S109" i="2" s="1"/>
  <c r="R108" i="2"/>
  <c r="U107" i="2"/>
  <c r="S107" i="2"/>
  <c r="R107" i="2"/>
  <c r="T107" i="2" s="1"/>
  <c r="R106" i="2"/>
  <c r="T106" i="2" s="1"/>
  <c r="R105" i="2"/>
  <c r="U105" i="2" s="1"/>
  <c r="R104" i="2"/>
  <c r="U104" i="2" s="1"/>
  <c r="T103" i="2"/>
  <c r="S103" i="2"/>
  <c r="R103" i="2"/>
  <c r="U103" i="2" s="1"/>
  <c r="R102" i="2"/>
  <c r="U102" i="2" s="1"/>
  <c r="R101" i="2"/>
  <c r="U101" i="2" s="1"/>
  <c r="C200" i="2"/>
  <c r="B200" i="2"/>
  <c r="A200" i="2"/>
  <c r="C199" i="2"/>
  <c r="Z199" i="2" s="1"/>
  <c r="B199" i="2"/>
  <c r="A199" i="2"/>
  <c r="C198" i="2"/>
  <c r="Z198" i="2" s="1"/>
  <c r="B198" i="2"/>
  <c r="A198" i="2"/>
  <c r="C197" i="2"/>
  <c r="Z197" i="2" s="1"/>
  <c r="B197" i="2"/>
  <c r="A197" i="2"/>
  <c r="C196" i="2"/>
  <c r="B196" i="2"/>
  <c r="A196" i="2"/>
  <c r="C195" i="2"/>
  <c r="Z195" i="2" s="1"/>
  <c r="B195" i="2"/>
  <c r="A195" i="2"/>
  <c r="C194" i="2"/>
  <c r="Z194" i="2" s="1"/>
  <c r="B194" i="2"/>
  <c r="A194" i="2"/>
  <c r="C193" i="2"/>
  <c r="Z193" i="2" s="1"/>
  <c r="B193" i="2"/>
  <c r="A193" i="2"/>
  <c r="C192" i="2"/>
  <c r="B192" i="2"/>
  <c r="A192" i="2"/>
  <c r="C191" i="2"/>
  <c r="Z191" i="2" s="1"/>
  <c r="B191" i="2"/>
  <c r="A191" i="2"/>
  <c r="C190" i="2"/>
  <c r="Z190" i="2" s="1"/>
  <c r="B190" i="2"/>
  <c r="A190" i="2"/>
  <c r="C189" i="2"/>
  <c r="Z189" i="2" s="1"/>
  <c r="B189" i="2"/>
  <c r="A189" i="2"/>
  <c r="C188" i="2"/>
  <c r="B188" i="2"/>
  <c r="A188" i="2"/>
  <c r="C187" i="2"/>
  <c r="Z187" i="2" s="1"/>
  <c r="B187" i="2"/>
  <c r="A187" i="2"/>
  <c r="C186" i="2"/>
  <c r="Z186" i="2" s="1"/>
  <c r="B186" i="2"/>
  <c r="A186" i="2"/>
  <c r="C185" i="2"/>
  <c r="Z185" i="2" s="1"/>
  <c r="B185" i="2"/>
  <c r="A185" i="2"/>
  <c r="C184" i="2"/>
  <c r="B184" i="2"/>
  <c r="A184" i="2"/>
  <c r="C183" i="2"/>
  <c r="Z183" i="2" s="1"/>
  <c r="B183" i="2"/>
  <c r="A183" i="2"/>
  <c r="C182" i="2"/>
  <c r="Z182" i="2" s="1"/>
  <c r="B182" i="2"/>
  <c r="A182" i="2"/>
  <c r="C181" i="2"/>
  <c r="Z181" i="2" s="1"/>
  <c r="B181" i="2"/>
  <c r="A181" i="2"/>
  <c r="C180" i="2"/>
  <c r="B180" i="2"/>
  <c r="A180" i="2"/>
  <c r="C179" i="2"/>
  <c r="Z179" i="2" s="1"/>
  <c r="B179" i="2"/>
  <c r="A179" i="2"/>
  <c r="C178" i="2"/>
  <c r="Z178" i="2" s="1"/>
  <c r="B178" i="2"/>
  <c r="A178" i="2"/>
  <c r="C177" i="2"/>
  <c r="Z177" i="2" s="1"/>
  <c r="B177" i="2"/>
  <c r="A177" i="2"/>
  <c r="C176" i="2"/>
  <c r="B176" i="2"/>
  <c r="A176" i="2"/>
  <c r="C175" i="2"/>
  <c r="Z175" i="2" s="1"/>
  <c r="B175" i="2"/>
  <c r="A175" i="2"/>
  <c r="C174" i="2"/>
  <c r="Z174" i="2" s="1"/>
  <c r="B174" i="2"/>
  <c r="A174" i="2"/>
  <c r="C173" i="2"/>
  <c r="Z173" i="2" s="1"/>
  <c r="B173" i="2"/>
  <c r="A173" i="2"/>
  <c r="C172" i="2"/>
  <c r="B172" i="2"/>
  <c r="A172" i="2"/>
  <c r="C171" i="2"/>
  <c r="Z171" i="2" s="1"/>
  <c r="B171" i="2"/>
  <c r="A171" i="2"/>
  <c r="C170" i="2"/>
  <c r="Z170" i="2" s="1"/>
  <c r="B170" i="2"/>
  <c r="A170" i="2"/>
  <c r="C169" i="2"/>
  <c r="Z169" i="2" s="1"/>
  <c r="B169" i="2"/>
  <c r="A169" i="2"/>
  <c r="C168" i="2"/>
  <c r="B168" i="2"/>
  <c r="A168" i="2"/>
  <c r="C167" i="2"/>
  <c r="Z167" i="2" s="1"/>
  <c r="B167" i="2"/>
  <c r="A167" i="2"/>
  <c r="C166" i="2"/>
  <c r="Z166" i="2" s="1"/>
  <c r="B166" i="2"/>
  <c r="A166" i="2"/>
  <c r="C165" i="2"/>
  <c r="Z165" i="2" s="1"/>
  <c r="B165" i="2"/>
  <c r="A165" i="2"/>
  <c r="C164" i="2"/>
  <c r="B164" i="2"/>
  <c r="A164" i="2"/>
  <c r="C163" i="2"/>
  <c r="Z163" i="2" s="1"/>
  <c r="B163" i="2"/>
  <c r="A163" i="2"/>
  <c r="C162" i="2"/>
  <c r="Z162" i="2" s="1"/>
  <c r="B162" i="2"/>
  <c r="A162" i="2"/>
  <c r="C161" i="2"/>
  <c r="Z161" i="2" s="1"/>
  <c r="B161" i="2"/>
  <c r="A161" i="2"/>
  <c r="C160" i="2"/>
  <c r="B160" i="2"/>
  <c r="A160" i="2"/>
  <c r="C159" i="2"/>
  <c r="Z159" i="2" s="1"/>
  <c r="B159" i="2"/>
  <c r="A159" i="2"/>
  <c r="C158" i="2"/>
  <c r="Z158" i="2" s="1"/>
  <c r="B158" i="2"/>
  <c r="A158" i="2"/>
  <c r="C157" i="2"/>
  <c r="Z157" i="2" s="1"/>
  <c r="B157" i="2"/>
  <c r="A157" i="2"/>
  <c r="C156" i="2"/>
  <c r="B156" i="2"/>
  <c r="A156" i="2"/>
  <c r="C155" i="2"/>
  <c r="Z155" i="2" s="1"/>
  <c r="B155" i="2"/>
  <c r="A155" i="2"/>
  <c r="C154" i="2"/>
  <c r="Z154" i="2" s="1"/>
  <c r="B154" i="2"/>
  <c r="A154" i="2"/>
  <c r="C153" i="2"/>
  <c r="Z153" i="2" s="1"/>
  <c r="B153" i="2"/>
  <c r="A153" i="2"/>
  <c r="C152" i="2"/>
  <c r="B152" i="2"/>
  <c r="A152" i="2"/>
  <c r="C151" i="2"/>
  <c r="Z151" i="2" s="1"/>
  <c r="B151" i="2"/>
  <c r="A151" i="2"/>
  <c r="C150" i="2"/>
  <c r="Z150" i="2" s="1"/>
  <c r="B150" i="2"/>
  <c r="A150" i="2"/>
  <c r="C149" i="2"/>
  <c r="Z149" i="2" s="1"/>
  <c r="B149" i="2"/>
  <c r="A149" i="2"/>
  <c r="C148" i="2"/>
  <c r="B148" i="2"/>
  <c r="A148" i="2"/>
  <c r="C147" i="2"/>
  <c r="Z147" i="2" s="1"/>
  <c r="B147" i="2"/>
  <c r="A147" i="2"/>
  <c r="C146" i="2"/>
  <c r="Z146" i="2" s="1"/>
  <c r="B146" i="2"/>
  <c r="A146" i="2"/>
  <c r="C145" i="2"/>
  <c r="Z145" i="2" s="1"/>
  <c r="B145" i="2"/>
  <c r="A145" i="2"/>
  <c r="C144" i="2"/>
  <c r="B144" i="2"/>
  <c r="A144" i="2"/>
  <c r="C143" i="2"/>
  <c r="Z143" i="2" s="1"/>
  <c r="B143" i="2"/>
  <c r="A143" i="2"/>
  <c r="C142" i="2"/>
  <c r="Z142" i="2" s="1"/>
  <c r="B142" i="2"/>
  <c r="A142" i="2"/>
  <c r="C141" i="2"/>
  <c r="Z141" i="2" s="1"/>
  <c r="B141" i="2"/>
  <c r="A141" i="2"/>
  <c r="C140" i="2"/>
  <c r="B140" i="2"/>
  <c r="A140" i="2"/>
  <c r="C139" i="2"/>
  <c r="Z139" i="2" s="1"/>
  <c r="B139" i="2"/>
  <c r="A139" i="2"/>
  <c r="C138" i="2"/>
  <c r="Z138" i="2" s="1"/>
  <c r="B138" i="2"/>
  <c r="A138" i="2"/>
  <c r="C137" i="2"/>
  <c r="Z137" i="2" s="1"/>
  <c r="B137" i="2"/>
  <c r="A137" i="2"/>
  <c r="C136" i="2"/>
  <c r="B136" i="2"/>
  <c r="A136" i="2"/>
  <c r="C135" i="2"/>
  <c r="Z135" i="2" s="1"/>
  <c r="B135" i="2"/>
  <c r="A135" i="2"/>
  <c r="C134" i="2"/>
  <c r="Z134" i="2" s="1"/>
  <c r="B134" i="2"/>
  <c r="A134" i="2"/>
  <c r="C133" i="2"/>
  <c r="Z133" i="2" s="1"/>
  <c r="B133" i="2"/>
  <c r="A133" i="2"/>
  <c r="C132" i="2"/>
  <c r="B132" i="2"/>
  <c r="A132" i="2"/>
  <c r="C131" i="2"/>
  <c r="Z131" i="2" s="1"/>
  <c r="B131" i="2"/>
  <c r="A131" i="2"/>
  <c r="C130" i="2"/>
  <c r="Z130" i="2" s="1"/>
  <c r="B130" i="2"/>
  <c r="A130" i="2"/>
  <c r="C129" i="2"/>
  <c r="Z129" i="2" s="1"/>
  <c r="B129" i="2"/>
  <c r="A129" i="2"/>
  <c r="C128" i="2"/>
  <c r="B128" i="2"/>
  <c r="A128" i="2"/>
  <c r="C127" i="2"/>
  <c r="Z127" i="2" s="1"/>
  <c r="B127" i="2"/>
  <c r="A127" i="2"/>
  <c r="C126" i="2"/>
  <c r="Z126" i="2" s="1"/>
  <c r="B126" i="2"/>
  <c r="A126" i="2"/>
  <c r="C125" i="2"/>
  <c r="Z125" i="2" s="1"/>
  <c r="B125" i="2"/>
  <c r="A125" i="2"/>
  <c r="C124" i="2"/>
  <c r="B124" i="2"/>
  <c r="A124" i="2"/>
  <c r="C123" i="2"/>
  <c r="Z123" i="2" s="1"/>
  <c r="B123" i="2"/>
  <c r="A123" i="2"/>
  <c r="C122" i="2"/>
  <c r="Z122" i="2" s="1"/>
  <c r="B122" i="2"/>
  <c r="A122" i="2"/>
  <c r="C121" i="2"/>
  <c r="Z121" i="2" s="1"/>
  <c r="B121" i="2"/>
  <c r="A121" i="2"/>
  <c r="C120" i="2"/>
  <c r="B120" i="2"/>
  <c r="A120" i="2"/>
  <c r="C119" i="2"/>
  <c r="Z119" i="2" s="1"/>
  <c r="B119" i="2"/>
  <c r="A119" i="2"/>
  <c r="C118" i="2"/>
  <c r="Z118" i="2" s="1"/>
  <c r="B118" i="2"/>
  <c r="A118" i="2"/>
  <c r="C117" i="2"/>
  <c r="Z117" i="2" s="1"/>
  <c r="B117" i="2"/>
  <c r="A117" i="2"/>
  <c r="C116" i="2"/>
  <c r="B116" i="2"/>
  <c r="A116" i="2"/>
  <c r="C115" i="2"/>
  <c r="Z115" i="2" s="1"/>
  <c r="B115" i="2"/>
  <c r="A115" i="2"/>
  <c r="C114" i="2"/>
  <c r="Z114" i="2" s="1"/>
  <c r="B114" i="2"/>
  <c r="A114" i="2"/>
  <c r="C113" i="2"/>
  <c r="Z113" i="2" s="1"/>
  <c r="B113" i="2"/>
  <c r="A113" i="2"/>
  <c r="C112" i="2"/>
  <c r="B112" i="2"/>
  <c r="A112" i="2"/>
  <c r="C111" i="2"/>
  <c r="Z111" i="2" s="1"/>
  <c r="B111" i="2"/>
  <c r="A111" i="2"/>
  <c r="C110" i="2"/>
  <c r="Z110" i="2" s="1"/>
  <c r="B110" i="2"/>
  <c r="A110" i="2"/>
  <c r="C109" i="2"/>
  <c r="Z109" i="2" s="1"/>
  <c r="B109" i="2"/>
  <c r="A109" i="2"/>
  <c r="C108" i="2"/>
  <c r="B108" i="2"/>
  <c r="A108" i="2"/>
  <c r="C107" i="2"/>
  <c r="Z107" i="2" s="1"/>
  <c r="B107" i="2"/>
  <c r="A107" i="2"/>
  <c r="C106" i="2"/>
  <c r="Z106" i="2" s="1"/>
  <c r="B106" i="2"/>
  <c r="A106" i="2"/>
  <c r="C105" i="2"/>
  <c r="Z105" i="2" s="1"/>
  <c r="B105" i="2"/>
  <c r="A105" i="2"/>
  <c r="C104" i="2"/>
  <c r="B104" i="2"/>
  <c r="A104" i="2"/>
  <c r="C103" i="2"/>
  <c r="Z103" i="2" s="1"/>
  <c r="B103" i="2"/>
  <c r="A103" i="2"/>
  <c r="C102" i="2"/>
  <c r="Z102" i="2" s="1"/>
  <c r="B102" i="2"/>
  <c r="A102" i="2"/>
  <c r="C101" i="2"/>
  <c r="Z101" i="2" s="1"/>
  <c r="B101" i="2"/>
  <c r="A101" i="2"/>
  <c r="H200" i="2"/>
  <c r="K200" i="2" s="1"/>
  <c r="D200" i="2"/>
  <c r="G200" i="2" s="1"/>
  <c r="I199" i="2"/>
  <c r="H199" i="2"/>
  <c r="D199" i="2"/>
  <c r="F199" i="2" s="1"/>
  <c r="H198" i="2"/>
  <c r="I198" i="2" s="1"/>
  <c r="D198" i="2"/>
  <c r="I197" i="2"/>
  <c r="H197" i="2"/>
  <c r="K197" i="2" s="1"/>
  <c r="D197" i="2"/>
  <c r="H196" i="2"/>
  <c r="K196" i="2" s="1"/>
  <c r="G196" i="2"/>
  <c r="D196" i="2"/>
  <c r="F196" i="2" s="1"/>
  <c r="K195" i="2"/>
  <c r="I195" i="2"/>
  <c r="H195" i="2"/>
  <c r="J195" i="2" s="1"/>
  <c r="D195" i="2"/>
  <c r="F195" i="2" s="1"/>
  <c r="H194" i="2"/>
  <c r="K194" i="2" s="1"/>
  <c r="D194" i="2"/>
  <c r="K193" i="2"/>
  <c r="J193" i="2"/>
  <c r="I193" i="2"/>
  <c r="H193" i="2"/>
  <c r="D193" i="2"/>
  <c r="G193" i="2" s="1"/>
  <c r="H192" i="2"/>
  <c r="K192" i="2" s="1"/>
  <c r="D192" i="2"/>
  <c r="K191" i="2"/>
  <c r="J191" i="2"/>
  <c r="H191" i="2"/>
  <c r="I191" i="2" s="1"/>
  <c r="G191" i="2"/>
  <c r="D191" i="2"/>
  <c r="F191" i="2" s="1"/>
  <c r="H190" i="2"/>
  <c r="G190" i="2"/>
  <c r="F190" i="2"/>
  <c r="D190" i="2"/>
  <c r="H189" i="2"/>
  <c r="K189" i="2" s="1"/>
  <c r="D189" i="2"/>
  <c r="H188" i="2"/>
  <c r="K188" i="2" s="1"/>
  <c r="G188" i="2"/>
  <c r="F188" i="2"/>
  <c r="D188" i="2"/>
  <c r="I187" i="2"/>
  <c r="H187" i="2"/>
  <c r="J187" i="2" s="1"/>
  <c r="D187" i="2"/>
  <c r="F187" i="2" s="1"/>
  <c r="J186" i="2"/>
  <c r="H186" i="2"/>
  <c r="K186" i="2" s="1"/>
  <c r="F186" i="2"/>
  <c r="D186" i="2"/>
  <c r="J185" i="2"/>
  <c r="H185" i="2"/>
  <c r="K185" i="2" s="1"/>
  <c r="D185" i="2"/>
  <c r="G185" i="2" s="1"/>
  <c r="H184" i="2"/>
  <c r="K184" i="2" s="1"/>
  <c r="G184" i="2"/>
  <c r="D184" i="2"/>
  <c r="F184" i="2" s="1"/>
  <c r="H183" i="2"/>
  <c r="G183" i="2"/>
  <c r="D183" i="2"/>
  <c r="F183" i="2" s="1"/>
  <c r="H182" i="2"/>
  <c r="I182" i="2" s="1"/>
  <c r="G182" i="2"/>
  <c r="D182" i="2"/>
  <c r="F182" i="2" s="1"/>
  <c r="I181" i="2"/>
  <c r="H181" i="2"/>
  <c r="K181" i="2" s="1"/>
  <c r="D181" i="2"/>
  <c r="H180" i="2"/>
  <c r="K180" i="2" s="1"/>
  <c r="F180" i="2"/>
  <c r="D180" i="2"/>
  <c r="G180" i="2" s="1"/>
  <c r="K179" i="2"/>
  <c r="J179" i="2"/>
  <c r="I179" i="2"/>
  <c r="H179" i="2"/>
  <c r="D179" i="2"/>
  <c r="F179" i="2" s="1"/>
  <c r="J178" i="2"/>
  <c r="H178" i="2"/>
  <c r="I178" i="2" s="1"/>
  <c r="D178" i="2"/>
  <c r="K177" i="2"/>
  <c r="J177" i="2"/>
  <c r="H177" i="2"/>
  <c r="I177" i="2" s="1"/>
  <c r="D177" i="2"/>
  <c r="G177" i="2" s="1"/>
  <c r="H176" i="2"/>
  <c r="K176" i="2" s="1"/>
  <c r="F176" i="2"/>
  <c r="D176" i="2"/>
  <c r="G176" i="2" s="1"/>
  <c r="H175" i="2"/>
  <c r="I175" i="2" s="1"/>
  <c r="D175" i="2"/>
  <c r="F175" i="2" s="1"/>
  <c r="H174" i="2"/>
  <c r="I174" i="2" s="1"/>
  <c r="G174" i="2"/>
  <c r="D174" i="2"/>
  <c r="F174" i="2" s="1"/>
  <c r="I173" i="2"/>
  <c r="H173" i="2"/>
  <c r="K173" i="2" s="1"/>
  <c r="D173" i="2"/>
  <c r="H172" i="2"/>
  <c r="K172" i="2" s="1"/>
  <c r="G172" i="2"/>
  <c r="F172" i="2"/>
  <c r="D172" i="2"/>
  <c r="J171" i="2"/>
  <c r="H171" i="2"/>
  <c r="K171" i="2" s="1"/>
  <c r="D171" i="2"/>
  <c r="F171" i="2" s="1"/>
  <c r="K170" i="2"/>
  <c r="J170" i="2"/>
  <c r="H170" i="2"/>
  <c r="I170" i="2" s="1"/>
  <c r="D170" i="2"/>
  <c r="H169" i="2"/>
  <c r="D169" i="2"/>
  <c r="G169" i="2" s="1"/>
  <c r="H168" i="2"/>
  <c r="K168" i="2" s="1"/>
  <c r="F168" i="2"/>
  <c r="D168" i="2"/>
  <c r="G168" i="2" s="1"/>
  <c r="K167" i="2"/>
  <c r="J167" i="2"/>
  <c r="I167" i="2"/>
  <c r="H167" i="2"/>
  <c r="D167" i="2"/>
  <c r="H166" i="2"/>
  <c r="I166" i="2" s="1"/>
  <c r="G166" i="2"/>
  <c r="F166" i="2"/>
  <c r="D166" i="2"/>
  <c r="H165" i="2"/>
  <c r="K165" i="2" s="1"/>
  <c r="D165" i="2"/>
  <c r="G165" i="2" s="1"/>
  <c r="H164" i="2"/>
  <c r="K164" i="2" s="1"/>
  <c r="F164" i="2"/>
  <c r="D164" i="2"/>
  <c r="G164" i="2" s="1"/>
  <c r="H163" i="2"/>
  <c r="D163" i="2"/>
  <c r="F163" i="2" s="1"/>
  <c r="K162" i="2"/>
  <c r="J162" i="2"/>
  <c r="I162" i="2"/>
  <c r="H162" i="2"/>
  <c r="D162" i="2"/>
  <c r="F162" i="2" s="1"/>
  <c r="H161" i="2"/>
  <c r="D161" i="2"/>
  <c r="G161" i="2" s="1"/>
  <c r="H160" i="2"/>
  <c r="K160" i="2" s="1"/>
  <c r="D160" i="2"/>
  <c r="H159" i="2"/>
  <c r="G159" i="2"/>
  <c r="D159" i="2"/>
  <c r="F159" i="2" s="1"/>
  <c r="J158" i="2"/>
  <c r="H158" i="2"/>
  <c r="I158" i="2" s="1"/>
  <c r="D158" i="2"/>
  <c r="G158" i="2" s="1"/>
  <c r="I157" i="2"/>
  <c r="H157" i="2"/>
  <c r="K157" i="2" s="1"/>
  <c r="D157" i="2"/>
  <c r="H156" i="2"/>
  <c r="K156" i="2" s="1"/>
  <c r="D156" i="2"/>
  <c r="K155" i="2"/>
  <c r="J155" i="2"/>
  <c r="H155" i="2"/>
  <c r="I155" i="2" s="1"/>
  <c r="F155" i="2"/>
  <c r="D155" i="2"/>
  <c r="K154" i="2"/>
  <c r="J154" i="2"/>
  <c r="I154" i="2"/>
  <c r="H154" i="2"/>
  <c r="D154" i="2"/>
  <c r="F154" i="2" s="1"/>
  <c r="K153" i="2"/>
  <c r="H153" i="2"/>
  <c r="D153" i="2"/>
  <c r="G153" i="2" s="1"/>
  <c r="H152" i="2"/>
  <c r="K152" i="2" s="1"/>
  <c r="D152" i="2"/>
  <c r="H151" i="2"/>
  <c r="I151" i="2" s="1"/>
  <c r="G151" i="2"/>
  <c r="D151" i="2"/>
  <c r="F151" i="2" s="1"/>
  <c r="J150" i="2"/>
  <c r="H150" i="2"/>
  <c r="K150" i="2" s="1"/>
  <c r="F150" i="2"/>
  <c r="D150" i="2"/>
  <c r="G150" i="2" s="1"/>
  <c r="I149" i="2"/>
  <c r="H149" i="2"/>
  <c r="K149" i="2" s="1"/>
  <c r="D149" i="2"/>
  <c r="H148" i="2"/>
  <c r="K148" i="2" s="1"/>
  <c r="D148" i="2"/>
  <c r="K147" i="2"/>
  <c r="J147" i="2"/>
  <c r="H147" i="2"/>
  <c r="I147" i="2" s="1"/>
  <c r="F147" i="2"/>
  <c r="D147" i="2"/>
  <c r="K146" i="2"/>
  <c r="J146" i="2"/>
  <c r="I146" i="2"/>
  <c r="H146" i="2"/>
  <c r="D146" i="2"/>
  <c r="F146" i="2" s="1"/>
  <c r="K145" i="2"/>
  <c r="H145" i="2"/>
  <c r="J145" i="2" s="1"/>
  <c r="D145" i="2"/>
  <c r="G145" i="2" s="1"/>
  <c r="H144" i="2"/>
  <c r="K144" i="2" s="1"/>
  <c r="G144" i="2"/>
  <c r="D144" i="2"/>
  <c r="F144" i="2" s="1"/>
  <c r="K143" i="2"/>
  <c r="H143" i="2"/>
  <c r="G143" i="2"/>
  <c r="F143" i="2"/>
  <c r="D143" i="2"/>
  <c r="I142" i="2"/>
  <c r="H142" i="2"/>
  <c r="K142" i="2" s="1"/>
  <c r="D142" i="2"/>
  <c r="I141" i="2"/>
  <c r="H141" i="2"/>
  <c r="K141" i="2" s="1"/>
  <c r="D141" i="2"/>
  <c r="H140" i="2"/>
  <c r="K140" i="2" s="1"/>
  <c r="G140" i="2"/>
  <c r="D140" i="2"/>
  <c r="F140" i="2" s="1"/>
  <c r="K139" i="2"/>
  <c r="J139" i="2"/>
  <c r="I139" i="2"/>
  <c r="H139" i="2"/>
  <c r="D139" i="2"/>
  <c r="F139" i="2" s="1"/>
  <c r="J138" i="2"/>
  <c r="I138" i="2"/>
  <c r="H138" i="2"/>
  <c r="K138" i="2" s="1"/>
  <c r="F138" i="2"/>
  <c r="D138" i="2"/>
  <c r="I137" i="2"/>
  <c r="H137" i="2"/>
  <c r="J137" i="2" s="1"/>
  <c r="D137" i="2"/>
  <c r="G137" i="2" s="1"/>
  <c r="H136" i="2"/>
  <c r="K136" i="2" s="1"/>
  <c r="G136" i="2"/>
  <c r="F136" i="2"/>
  <c r="D136" i="2"/>
  <c r="H135" i="2"/>
  <c r="D135" i="2"/>
  <c r="G135" i="2" s="1"/>
  <c r="H134" i="2"/>
  <c r="D134" i="2"/>
  <c r="I133" i="2"/>
  <c r="H133" i="2"/>
  <c r="K133" i="2" s="1"/>
  <c r="D133" i="2"/>
  <c r="G133" i="2" s="1"/>
  <c r="H132" i="2"/>
  <c r="K132" i="2" s="1"/>
  <c r="F132" i="2"/>
  <c r="D132" i="2"/>
  <c r="G132" i="2" s="1"/>
  <c r="K131" i="2"/>
  <c r="I131" i="2"/>
  <c r="H131" i="2"/>
  <c r="J131" i="2" s="1"/>
  <c r="D131" i="2"/>
  <c r="F131" i="2" s="1"/>
  <c r="H130" i="2"/>
  <c r="J130" i="2" s="1"/>
  <c r="F130" i="2"/>
  <c r="D130" i="2"/>
  <c r="G130" i="2" s="1"/>
  <c r="H129" i="2"/>
  <c r="K129" i="2" s="1"/>
  <c r="D129" i="2"/>
  <c r="G129" i="2" s="1"/>
  <c r="H128" i="2"/>
  <c r="K128" i="2" s="1"/>
  <c r="D128" i="2"/>
  <c r="G128" i="2" s="1"/>
  <c r="K127" i="2"/>
  <c r="H127" i="2"/>
  <c r="F127" i="2"/>
  <c r="D127" i="2"/>
  <c r="G127" i="2" s="1"/>
  <c r="J126" i="2"/>
  <c r="I126" i="2"/>
  <c r="H126" i="2"/>
  <c r="K126" i="2" s="1"/>
  <c r="D126" i="2"/>
  <c r="H125" i="2"/>
  <c r="D125" i="2"/>
  <c r="G125" i="2" s="1"/>
  <c r="H124" i="2"/>
  <c r="K124" i="2" s="1"/>
  <c r="G124" i="2"/>
  <c r="D124" i="2"/>
  <c r="F124" i="2" s="1"/>
  <c r="H123" i="2"/>
  <c r="J123" i="2" s="1"/>
  <c r="F123" i="2"/>
  <c r="D123" i="2"/>
  <c r="I122" i="2"/>
  <c r="H122" i="2"/>
  <c r="J122" i="2" s="1"/>
  <c r="F122" i="2"/>
  <c r="D122" i="2"/>
  <c r="G122" i="2" s="1"/>
  <c r="H121" i="2"/>
  <c r="K121" i="2" s="1"/>
  <c r="D121" i="2"/>
  <c r="G121" i="2" s="1"/>
  <c r="H120" i="2"/>
  <c r="K120" i="2" s="1"/>
  <c r="G120" i="2"/>
  <c r="D120" i="2"/>
  <c r="F120" i="2" s="1"/>
  <c r="K119" i="2"/>
  <c r="J119" i="2"/>
  <c r="I119" i="2"/>
  <c r="H119" i="2"/>
  <c r="F119" i="2"/>
  <c r="D119" i="2"/>
  <c r="G119" i="2" s="1"/>
  <c r="J118" i="2"/>
  <c r="H118" i="2"/>
  <c r="K118" i="2" s="1"/>
  <c r="F118" i="2"/>
  <c r="D118" i="2"/>
  <c r="G118" i="2" s="1"/>
  <c r="H117" i="2"/>
  <c r="D117" i="2"/>
  <c r="H116" i="2"/>
  <c r="K116" i="2" s="1"/>
  <c r="G116" i="2"/>
  <c r="D116" i="2"/>
  <c r="F116" i="2" s="1"/>
  <c r="I115" i="2"/>
  <c r="H115" i="2"/>
  <c r="J115" i="2" s="1"/>
  <c r="D115" i="2"/>
  <c r="F115" i="2" s="1"/>
  <c r="K114" i="2"/>
  <c r="J114" i="2"/>
  <c r="H114" i="2"/>
  <c r="I114" i="2" s="1"/>
  <c r="F114" i="2"/>
  <c r="D114" i="2"/>
  <c r="G114" i="2" s="1"/>
  <c r="H113" i="2"/>
  <c r="K113" i="2" s="1"/>
  <c r="D113" i="2"/>
  <c r="G113" i="2" s="1"/>
  <c r="H112" i="2"/>
  <c r="K112" i="2" s="1"/>
  <c r="D112" i="2"/>
  <c r="K111" i="2"/>
  <c r="J111" i="2"/>
  <c r="I111" i="2"/>
  <c r="H111" i="2"/>
  <c r="G111" i="2"/>
  <c r="D111" i="2"/>
  <c r="F111" i="2" s="1"/>
  <c r="I110" i="2"/>
  <c r="H110" i="2"/>
  <c r="K110" i="2" s="1"/>
  <c r="F110" i="2"/>
  <c r="D110" i="2"/>
  <c r="G110" i="2" s="1"/>
  <c r="I109" i="2"/>
  <c r="H109" i="2"/>
  <c r="K109" i="2" s="1"/>
  <c r="D109" i="2"/>
  <c r="H108" i="2"/>
  <c r="K108" i="2" s="1"/>
  <c r="G108" i="2"/>
  <c r="D108" i="2"/>
  <c r="F108" i="2" s="1"/>
  <c r="K107" i="2"/>
  <c r="J107" i="2"/>
  <c r="H107" i="2"/>
  <c r="I107" i="2" s="1"/>
  <c r="F107" i="2"/>
  <c r="D107" i="2"/>
  <c r="K106" i="2"/>
  <c r="J106" i="2"/>
  <c r="I106" i="2"/>
  <c r="H106" i="2"/>
  <c r="D106" i="2"/>
  <c r="F106" i="2" s="1"/>
  <c r="H105" i="2"/>
  <c r="K105" i="2" s="1"/>
  <c r="D105" i="2"/>
  <c r="G105" i="2" s="1"/>
  <c r="H104" i="2"/>
  <c r="K104" i="2" s="1"/>
  <c r="G104" i="2"/>
  <c r="F104" i="2"/>
  <c r="D104" i="2"/>
  <c r="H103" i="2"/>
  <c r="K103" i="2" s="1"/>
  <c r="F103" i="2"/>
  <c r="D103" i="2"/>
  <c r="G103" i="2" s="1"/>
  <c r="H102" i="2"/>
  <c r="F102" i="2"/>
  <c r="D102" i="2"/>
  <c r="G102" i="2" s="1"/>
  <c r="H101" i="2"/>
  <c r="K101" i="2" s="1"/>
  <c r="D101" i="2"/>
  <c r="G101" i="2" s="1"/>
  <c r="N30" i="2"/>
  <c r="O157" i="2"/>
  <c r="O93" i="2"/>
  <c r="O55" i="2"/>
  <c r="O39" i="2"/>
  <c r="O22"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29" i="2"/>
  <c r="N28" i="2"/>
  <c r="N27" i="2"/>
  <c r="N26" i="2"/>
  <c r="N25" i="2"/>
  <c r="N24" i="2"/>
  <c r="N23" i="2"/>
  <c r="N22" i="2"/>
  <c r="N21" i="2"/>
  <c r="N20" i="2"/>
  <c r="N19" i="2"/>
  <c r="N18" i="2"/>
  <c r="N17" i="2"/>
  <c r="N16" i="2"/>
  <c r="N15" i="2"/>
  <c r="N14" i="2"/>
  <c r="N13" i="2"/>
  <c r="N12" i="2"/>
  <c r="N11" i="2"/>
  <c r="N10" i="2"/>
  <c r="N9" i="2"/>
  <c r="N8" i="2"/>
  <c r="N7" i="2"/>
  <c r="O47" i="2"/>
  <c r="O43" i="2"/>
  <c r="O31" i="2"/>
  <c r="O26" i="2"/>
  <c r="O24" i="2"/>
  <c r="O10" i="2"/>
  <c r="O8" i="2"/>
  <c r="H4" i="2"/>
  <c r="H3" i="2"/>
  <c r="D3" i="2"/>
  <c r="F3" i="2" s="1"/>
  <c r="C3" i="2"/>
  <c r="A3" i="2"/>
  <c r="R4" i="2"/>
  <c r="S4" i="2" s="1"/>
  <c r="R3" i="2"/>
  <c r="S3" i="2" s="1"/>
  <c r="A4" i="2"/>
  <c r="B4" i="2"/>
  <c r="C4" i="2"/>
  <c r="A100" i="2"/>
  <c r="F4" i="2"/>
  <c r="F160" i="2" l="1"/>
  <c r="G160" i="2"/>
  <c r="G170" i="2"/>
  <c r="F170" i="2"/>
  <c r="J110" i="2"/>
  <c r="I127" i="2"/>
  <c r="J127" i="2"/>
  <c r="G134" i="2"/>
  <c r="F134" i="2"/>
  <c r="F158" i="2"/>
  <c r="J174" i="2"/>
  <c r="K199" i="2"/>
  <c r="J199" i="2"/>
  <c r="U117" i="2"/>
  <c r="T117" i="2"/>
  <c r="K125" i="2"/>
  <c r="I125" i="2"/>
  <c r="T181" i="2"/>
  <c r="U181" i="2"/>
  <c r="S181" i="2"/>
  <c r="I101" i="2"/>
  <c r="I103" i="2"/>
  <c r="I105" i="2"/>
  <c r="K117" i="2"/>
  <c r="I117" i="2"/>
  <c r="G126" i="2"/>
  <c r="F126" i="2"/>
  <c r="G156" i="2"/>
  <c r="F156" i="2"/>
  <c r="J161" i="2"/>
  <c r="I161" i="2"/>
  <c r="I163" i="2"/>
  <c r="K163" i="2"/>
  <c r="J163" i="2"/>
  <c r="G178" i="2"/>
  <c r="F178" i="2"/>
  <c r="G192" i="2"/>
  <c r="F192" i="2"/>
  <c r="T156" i="2"/>
  <c r="U156" i="2"/>
  <c r="S156" i="2"/>
  <c r="J103" i="2"/>
  <c r="I113" i="2"/>
  <c r="I121" i="2"/>
  <c r="I123" i="2"/>
  <c r="F128" i="2"/>
  <c r="I130" i="2"/>
  <c r="F135" i="2"/>
  <c r="F152" i="2"/>
  <c r="G152" i="2"/>
  <c r="K161" i="2"/>
  <c r="T108" i="2"/>
  <c r="U108" i="2"/>
  <c r="S108" i="2"/>
  <c r="S187" i="2"/>
  <c r="K151" i="2"/>
  <c r="J151" i="2"/>
  <c r="S162" i="2"/>
  <c r="U162" i="2"/>
  <c r="K123" i="2"/>
  <c r="K130" i="2"/>
  <c r="J143" i="2"/>
  <c r="I143" i="2"/>
  <c r="F167" i="2"/>
  <c r="G167" i="2"/>
  <c r="I190" i="2"/>
  <c r="J190" i="2"/>
  <c r="T124" i="2"/>
  <c r="U124" i="2"/>
  <c r="S124" i="2"/>
  <c r="U174" i="2"/>
  <c r="T174" i="2"/>
  <c r="S178" i="2"/>
  <c r="U178" i="2"/>
  <c r="T178" i="2"/>
  <c r="U194" i="2"/>
  <c r="T194" i="2"/>
  <c r="K134" i="2"/>
  <c r="I134" i="2"/>
  <c r="J134" i="2"/>
  <c r="K102" i="2"/>
  <c r="I102" i="2"/>
  <c r="J102" i="2"/>
  <c r="K135" i="2"/>
  <c r="I135" i="2"/>
  <c r="K159" i="2"/>
  <c r="J159" i="2"/>
  <c r="K169" i="2"/>
  <c r="J169" i="2"/>
  <c r="K183" i="2"/>
  <c r="J183" i="2"/>
  <c r="I183" i="2"/>
  <c r="G198" i="2"/>
  <c r="F198" i="2"/>
  <c r="U110" i="2"/>
  <c r="T110" i="2"/>
  <c r="U114" i="2"/>
  <c r="S174" i="2"/>
  <c r="S194" i="2"/>
  <c r="F112" i="2"/>
  <c r="G112" i="2"/>
  <c r="I118" i="2"/>
  <c r="J135" i="2"/>
  <c r="G142" i="2"/>
  <c r="F142" i="2"/>
  <c r="G148" i="2"/>
  <c r="F148" i="2"/>
  <c r="J153" i="2"/>
  <c r="I153" i="2"/>
  <c r="I159" i="2"/>
  <c r="I169" i="2"/>
  <c r="S110" i="2"/>
  <c r="U126" i="2"/>
  <c r="T126" i="2"/>
  <c r="U130" i="2"/>
  <c r="T140" i="2"/>
  <c r="U140" i="2"/>
  <c r="U143" i="2"/>
  <c r="T143" i="2"/>
  <c r="S143" i="2"/>
  <c r="U165" i="2"/>
  <c r="T165" i="2"/>
  <c r="K115" i="2"/>
  <c r="K122" i="2"/>
  <c r="I129" i="2"/>
  <c r="G138" i="2"/>
  <c r="G141" i="2"/>
  <c r="I165" i="2"/>
  <c r="J175" i="2"/>
  <c r="J182" i="2"/>
  <c r="G186" i="2"/>
  <c r="K187" i="2"/>
  <c r="G197" i="2"/>
  <c r="T102" i="2"/>
  <c r="T109" i="2"/>
  <c r="S116" i="2"/>
  <c r="T118" i="2"/>
  <c r="T125" i="2"/>
  <c r="U132" i="2"/>
  <c r="S135" i="2"/>
  <c r="U148" i="2"/>
  <c r="S151" i="2"/>
  <c r="U154" i="2"/>
  <c r="U157" i="2"/>
  <c r="S164" i="2"/>
  <c r="T166" i="2"/>
  <c r="T170" i="2"/>
  <c r="S173" i="2"/>
  <c r="T182" i="2"/>
  <c r="T186" i="2"/>
  <c r="U189" i="2"/>
  <c r="S196" i="2"/>
  <c r="T199" i="2"/>
  <c r="K175" i="2"/>
  <c r="G181" i="2"/>
  <c r="G199" i="2"/>
  <c r="U109" i="2"/>
  <c r="U116" i="2"/>
  <c r="U125" i="2"/>
  <c r="U164" i="2"/>
  <c r="U170" i="2"/>
  <c r="U173" i="2"/>
  <c r="U186" i="2"/>
  <c r="U196" i="2"/>
  <c r="U199" i="2"/>
  <c r="G173" i="2"/>
  <c r="G194" i="2"/>
  <c r="G117" i="2"/>
  <c r="I145" i="2"/>
  <c r="I150" i="2"/>
  <c r="J166" i="2"/>
  <c r="I171" i="2"/>
  <c r="G175" i="2"/>
  <c r="I185" i="2"/>
  <c r="G189" i="2"/>
  <c r="F194" i="2"/>
  <c r="G107" i="2"/>
  <c r="G115" i="2"/>
  <c r="G123" i="2"/>
  <c r="G155" i="2"/>
  <c r="G163" i="2"/>
  <c r="G187" i="2"/>
  <c r="S115" i="2"/>
  <c r="S131" i="2"/>
  <c r="S134" i="2"/>
  <c r="S147" i="2"/>
  <c r="S150" i="2"/>
  <c r="U153" i="2"/>
  <c r="S159" i="2"/>
  <c r="S172" i="2"/>
  <c r="S188" i="2"/>
  <c r="S191" i="2"/>
  <c r="S198" i="2"/>
  <c r="U115" i="2"/>
  <c r="T134" i="2"/>
  <c r="T150" i="2"/>
  <c r="T159" i="2"/>
  <c r="U172" i="2"/>
  <c r="U188" i="2"/>
  <c r="T191" i="2"/>
  <c r="G106" i="2"/>
  <c r="G109" i="2"/>
  <c r="K137" i="2"/>
  <c r="J142" i="2"/>
  <c r="G146" i="2"/>
  <c r="G149" i="2"/>
  <c r="G154" i="2"/>
  <c r="G157" i="2"/>
  <c r="G162" i="2"/>
  <c r="K178" i="2"/>
  <c r="I189" i="2"/>
  <c r="J194" i="2"/>
  <c r="J198" i="2"/>
  <c r="F200" i="2"/>
  <c r="S102" i="2"/>
  <c r="U106" i="2"/>
  <c r="S118" i="2"/>
  <c r="U122" i="2"/>
  <c r="S132" i="2"/>
  <c r="S148" i="2"/>
  <c r="T154" i="2"/>
  <c r="S157" i="2"/>
  <c r="S166" i="2"/>
  <c r="S179" i="2"/>
  <c r="S182" i="2"/>
  <c r="N3" i="2"/>
  <c r="M3" i="2"/>
  <c r="Q3" i="2" s="1"/>
  <c r="J4" i="2"/>
  <c r="J3" i="2"/>
  <c r="E11" i="18" s="1"/>
  <c r="G4" i="2"/>
  <c r="B34" i="18" s="1"/>
  <c r="O13" i="2"/>
  <c r="O25" i="2"/>
  <c r="O33" i="2"/>
  <c r="O41" i="2"/>
  <c r="O49" i="2"/>
  <c r="O85" i="2"/>
  <c r="O97" i="2"/>
  <c r="O101" i="2"/>
  <c r="O105" i="2"/>
  <c r="O117" i="2"/>
  <c r="O121" i="2"/>
  <c r="O129" i="2"/>
  <c r="O133" i="2"/>
  <c r="O137" i="2"/>
  <c r="O145" i="2"/>
  <c r="O149" i="2"/>
  <c r="O153" i="2"/>
  <c r="O161" i="2"/>
  <c r="O165" i="2"/>
  <c r="O169" i="2"/>
  <c r="O177" i="2"/>
  <c r="O181" i="2"/>
  <c r="O185" i="2"/>
  <c r="O193" i="2"/>
  <c r="O61" i="2"/>
  <c r="O109" i="2"/>
  <c r="O173" i="2"/>
  <c r="O16" i="2"/>
  <c r="O20" i="2"/>
  <c r="O28" i="2"/>
  <c r="O36" i="2"/>
  <c r="O44" i="2"/>
  <c r="O52" i="2"/>
  <c r="O64" i="2"/>
  <c r="O68" i="2"/>
  <c r="O76" i="2"/>
  <c r="O88" i="2"/>
  <c r="O96" i="2"/>
  <c r="O104" i="2"/>
  <c r="O112" i="2"/>
  <c r="O124" i="2"/>
  <c r="O132" i="2"/>
  <c r="O140" i="2"/>
  <c r="O148" i="2"/>
  <c r="O152" i="2"/>
  <c r="O160" i="2"/>
  <c r="O168" i="2"/>
  <c r="O180" i="2"/>
  <c r="O188" i="2"/>
  <c r="O9" i="2"/>
  <c r="O21" i="2"/>
  <c r="O29" i="2"/>
  <c r="O37" i="2"/>
  <c r="O45" i="2"/>
  <c r="O57" i="2"/>
  <c r="O65" i="2"/>
  <c r="O73" i="2"/>
  <c r="O81" i="2"/>
  <c r="O89" i="2"/>
  <c r="O113" i="2"/>
  <c r="O34" i="2"/>
  <c r="O38" i="2"/>
  <c r="O42" i="2"/>
  <c r="O46" i="2"/>
  <c r="O50" i="2"/>
  <c r="O54" i="2"/>
  <c r="O58" i="2"/>
  <c r="O62" i="2"/>
  <c r="O66" i="2"/>
  <c r="O70" i="2"/>
  <c r="O74" i="2"/>
  <c r="O78" i="2"/>
  <c r="O82" i="2"/>
  <c r="O86" i="2"/>
  <c r="O90" i="2"/>
  <c r="O94" i="2"/>
  <c r="O98" i="2"/>
  <c r="O102" i="2"/>
  <c r="O106" i="2"/>
  <c r="O110" i="2"/>
  <c r="O114" i="2"/>
  <c r="O118" i="2"/>
  <c r="O122" i="2"/>
  <c r="O126" i="2"/>
  <c r="O130" i="2"/>
  <c r="O134" i="2"/>
  <c r="O138" i="2"/>
  <c r="O142" i="2"/>
  <c r="O146" i="2"/>
  <c r="O150" i="2"/>
  <c r="O154" i="2"/>
  <c r="O158" i="2"/>
  <c r="O162" i="2"/>
  <c r="O166" i="2"/>
  <c r="O170" i="2"/>
  <c r="O174" i="2"/>
  <c r="O178" i="2"/>
  <c r="O182" i="2"/>
  <c r="O186" i="2"/>
  <c r="O190" i="2"/>
  <c r="O194" i="2"/>
  <c r="O198" i="2"/>
  <c r="O14" i="2"/>
  <c r="O69" i="2"/>
  <c r="O125" i="2"/>
  <c r="O189" i="2"/>
  <c r="O12" i="2"/>
  <c r="O32" i="2"/>
  <c r="O40" i="2"/>
  <c r="O48" i="2"/>
  <c r="O56" i="2"/>
  <c r="O60" i="2"/>
  <c r="O72" i="2"/>
  <c r="O80" i="2"/>
  <c r="O84" i="2"/>
  <c r="O92" i="2"/>
  <c r="O100" i="2"/>
  <c r="O108" i="2"/>
  <c r="O116" i="2"/>
  <c r="O120" i="2"/>
  <c r="O128" i="2"/>
  <c r="O136" i="2"/>
  <c r="O144" i="2"/>
  <c r="O156" i="2"/>
  <c r="O164" i="2"/>
  <c r="O172" i="2"/>
  <c r="O176" i="2"/>
  <c r="O184" i="2"/>
  <c r="O192" i="2"/>
  <c r="O17" i="2"/>
  <c r="O53" i="2"/>
  <c r="O7" i="2"/>
  <c r="O11" i="2"/>
  <c r="O15" i="2"/>
  <c r="O19" i="2"/>
  <c r="O23" i="2"/>
  <c r="O27" i="2"/>
  <c r="O59" i="2"/>
  <c r="O63" i="2"/>
  <c r="O67" i="2"/>
  <c r="O71" i="2"/>
  <c r="O75" i="2"/>
  <c r="O79" i="2"/>
  <c r="O83" i="2"/>
  <c r="O87" i="2"/>
  <c r="O91" i="2"/>
  <c r="O95" i="2"/>
  <c r="O99" i="2"/>
  <c r="O103" i="2"/>
  <c r="O107" i="2"/>
  <c r="O111" i="2"/>
  <c r="O115" i="2"/>
  <c r="O119" i="2"/>
  <c r="O123" i="2"/>
  <c r="O127" i="2"/>
  <c r="O131" i="2"/>
  <c r="O135" i="2"/>
  <c r="O139" i="2"/>
  <c r="O143" i="2"/>
  <c r="O147" i="2"/>
  <c r="O151" i="2"/>
  <c r="O155" i="2"/>
  <c r="O159" i="2"/>
  <c r="O163" i="2"/>
  <c r="O167" i="2"/>
  <c r="O171" i="2"/>
  <c r="O175" i="2"/>
  <c r="O179" i="2"/>
  <c r="O183" i="2"/>
  <c r="O18" i="2"/>
  <c r="O35" i="2"/>
  <c r="O51" i="2"/>
  <c r="O77" i="2"/>
  <c r="O141" i="2"/>
  <c r="O187" i="2"/>
  <c r="O191" i="2"/>
  <c r="O195" i="2"/>
  <c r="O199" i="2"/>
  <c r="O196" i="2"/>
  <c r="O200" i="2"/>
  <c r="S105" i="2"/>
  <c r="S113" i="2"/>
  <c r="S121" i="2"/>
  <c r="S129" i="2"/>
  <c r="S137" i="2"/>
  <c r="S145" i="2"/>
  <c r="S153" i="2"/>
  <c r="S161" i="2"/>
  <c r="S169" i="2"/>
  <c r="S177" i="2"/>
  <c r="S185" i="2"/>
  <c r="S193" i="2"/>
  <c r="T105" i="2"/>
  <c r="T113" i="2"/>
  <c r="T121" i="2"/>
  <c r="T129" i="2"/>
  <c r="T137" i="2"/>
  <c r="T145" i="2"/>
  <c r="T161" i="2"/>
  <c r="T169" i="2"/>
  <c r="T177" i="2"/>
  <c r="T185" i="2"/>
  <c r="T193" i="2"/>
  <c r="S195" i="2"/>
  <c r="T198" i="2"/>
  <c r="S104" i="2"/>
  <c r="S112" i="2"/>
  <c r="S120" i="2"/>
  <c r="S128" i="2"/>
  <c r="T131" i="2"/>
  <c r="S136" i="2"/>
  <c r="T139" i="2"/>
  <c r="S144" i="2"/>
  <c r="T147" i="2"/>
  <c r="S152" i="2"/>
  <c r="T155" i="2"/>
  <c r="S160" i="2"/>
  <c r="T163" i="2"/>
  <c r="S168" i="2"/>
  <c r="T171" i="2"/>
  <c r="S176" i="2"/>
  <c r="T179" i="2"/>
  <c r="S184" i="2"/>
  <c r="T187" i="2"/>
  <c r="S192" i="2"/>
  <c r="T195" i="2"/>
  <c r="S200" i="2"/>
  <c r="T112" i="2"/>
  <c r="T120" i="2"/>
  <c r="T128" i="2"/>
  <c r="T136" i="2"/>
  <c r="T144" i="2"/>
  <c r="T152" i="2"/>
  <c r="T160" i="2"/>
  <c r="T168" i="2"/>
  <c r="T176" i="2"/>
  <c r="T184" i="2"/>
  <c r="S189" i="2"/>
  <c r="T192" i="2"/>
  <c r="S197" i="2"/>
  <c r="T200" i="2"/>
  <c r="T104" i="2"/>
  <c r="S106" i="2"/>
  <c r="S114" i="2"/>
  <c r="S122" i="2"/>
  <c r="S130" i="2"/>
  <c r="S101" i="2"/>
  <c r="T101" i="2"/>
  <c r="G179" i="2"/>
  <c r="G131" i="2"/>
  <c r="G139" i="2"/>
  <c r="G147" i="2"/>
  <c r="G171" i="2"/>
  <c r="G195" i="2"/>
  <c r="J101" i="2"/>
  <c r="F105" i="2"/>
  <c r="I108" i="2"/>
  <c r="J109" i="2"/>
  <c r="F113" i="2"/>
  <c r="I116" i="2"/>
  <c r="J117" i="2"/>
  <c r="F121" i="2"/>
  <c r="I124" i="2"/>
  <c r="J125" i="2"/>
  <c r="F129" i="2"/>
  <c r="I132" i="2"/>
  <c r="J133" i="2"/>
  <c r="F137" i="2"/>
  <c r="I140" i="2"/>
  <c r="J141" i="2"/>
  <c r="F145" i="2"/>
  <c r="I148" i="2"/>
  <c r="J149" i="2"/>
  <c r="F153" i="2"/>
  <c r="I156" i="2"/>
  <c r="J157" i="2"/>
  <c r="K158" i="2"/>
  <c r="F161" i="2"/>
  <c r="I164" i="2"/>
  <c r="J165" i="2"/>
  <c r="K166" i="2"/>
  <c r="F169" i="2"/>
  <c r="I172" i="2"/>
  <c r="J173" i="2"/>
  <c r="K174" i="2"/>
  <c r="F177" i="2"/>
  <c r="I180" i="2"/>
  <c r="J181" i="2"/>
  <c r="K182" i="2"/>
  <c r="F185" i="2"/>
  <c r="I188" i="2"/>
  <c r="J189" i="2"/>
  <c r="K190" i="2"/>
  <c r="F193" i="2"/>
  <c r="I196" i="2"/>
  <c r="J197" i="2"/>
  <c r="K198" i="2"/>
  <c r="J108" i="2"/>
  <c r="J116" i="2"/>
  <c r="J124" i="2"/>
  <c r="J132" i="2"/>
  <c r="J140" i="2"/>
  <c r="J148" i="2"/>
  <c r="J156" i="2"/>
  <c r="J164" i="2"/>
  <c r="J172" i="2"/>
  <c r="J180" i="2"/>
  <c r="J188" i="2"/>
  <c r="J196" i="2"/>
  <c r="I186" i="2"/>
  <c r="I194" i="2"/>
  <c r="F101" i="2"/>
  <c r="I104" i="2"/>
  <c r="J105" i="2"/>
  <c r="F109" i="2"/>
  <c r="I112" i="2"/>
  <c r="J113" i="2"/>
  <c r="F117" i="2"/>
  <c r="I120" i="2"/>
  <c r="J121" i="2"/>
  <c r="F125" i="2"/>
  <c r="I128" i="2"/>
  <c r="J129" i="2"/>
  <c r="F133" i="2"/>
  <c r="I136" i="2"/>
  <c r="F141" i="2"/>
  <c r="I144" i="2"/>
  <c r="F149" i="2"/>
  <c r="I152" i="2"/>
  <c r="F157" i="2"/>
  <c r="I160" i="2"/>
  <c r="F165" i="2"/>
  <c r="I168" i="2"/>
  <c r="F173" i="2"/>
  <c r="I176" i="2"/>
  <c r="F181" i="2"/>
  <c r="I184" i="2"/>
  <c r="F189" i="2"/>
  <c r="I192" i="2"/>
  <c r="F197" i="2"/>
  <c r="I200" i="2"/>
  <c r="J104" i="2"/>
  <c r="J112" i="2"/>
  <c r="J120" i="2"/>
  <c r="J128" i="2"/>
  <c r="J136" i="2"/>
  <c r="J144" i="2"/>
  <c r="J152" i="2"/>
  <c r="J160" i="2"/>
  <c r="J168" i="2"/>
  <c r="J176" i="2"/>
  <c r="J184" i="2"/>
  <c r="J192" i="2"/>
  <c r="J200" i="2"/>
  <c r="O30" i="2"/>
  <c r="G3" i="2"/>
  <c r="B11" i="18" s="1"/>
  <c r="K4" i="2"/>
  <c r="K3" i="2"/>
  <c r="F11" i="18" s="1"/>
  <c r="Y8" i="2"/>
  <c r="Y96" i="2"/>
  <c r="Y95" i="2"/>
  <c r="Y88" i="2"/>
  <c r="Y87" i="2"/>
  <c r="Y80" i="2"/>
  <c r="Y79" i="2"/>
  <c r="Y72" i="2"/>
  <c r="Y71" i="2"/>
  <c r="Y64" i="2"/>
  <c r="Y63" i="2"/>
  <c r="Y56" i="2"/>
  <c r="Y55" i="2"/>
  <c r="Y48" i="2"/>
  <c r="Y47" i="2"/>
  <c r="Y40" i="2"/>
  <c r="Y39" i="2"/>
  <c r="Y32" i="2"/>
  <c r="Y31" i="2"/>
  <c r="Y24" i="2"/>
  <c r="Y23" i="2"/>
  <c r="Y16" i="2"/>
  <c r="Y15" i="2"/>
  <c r="Y5" i="2"/>
  <c r="Y100" i="2"/>
  <c r="Y99" i="2"/>
  <c r="Y98" i="2"/>
  <c r="Y97" i="2"/>
  <c r="Y94" i="2"/>
  <c r="Y93" i="2"/>
  <c r="Y92" i="2"/>
  <c r="Y91" i="2"/>
  <c r="Y90" i="2"/>
  <c r="Y89" i="2"/>
  <c r="Y86" i="2"/>
  <c r="Y85" i="2"/>
  <c r="Y84" i="2"/>
  <c r="Y83" i="2"/>
  <c r="Y82" i="2"/>
  <c r="Y81" i="2"/>
  <c r="Y78" i="2"/>
  <c r="Y77" i="2"/>
  <c r="Y76" i="2"/>
  <c r="Y75" i="2"/>
  <c r="Y74" i="2"/>
  <c r="Y73" i="2"/>
  <c r="Y70" i="2"/>
  <c r="Y69" i="2"/>
  <c r="Y68" i="2"/>
  <c r="Y67" i="2"/>
  <c r="Y66" i="2"/>
  <c r="Y65" i="2"/>
  <c r="Y62" i="2"/>
  <c r="Y61" i="2"/>
  <c r="Y60" i="2"/>
  <c r="Y59" i="2"/>
  <c r="Y58" i="2"/>
  <c r="Y57" i="2"/>
  <c r="Y54" i="2"/>
  <c r="Y53" i="2"/>
  <c r="Y52" i="2"/>
  <c r="Y51" i="2"/>
  <c r="Y50" i="2"/>
  <c r="Y49" i="2"/>
  <c r="Y46" i="2"/>
  <c r="Y45" i="2"/>
  <c r="Y44" i="2"/>
  <c r="Y43" i="2"/>
  <c r="Y42" i="2"/>
  <c r="Y41" i="2"/>
  <c r="Y38" i="2"/>
  <c r="Y37" i="2"/>
  <c r="Y36" i="2"/>
  <c r="Y35" i="2"/>
  <c r="Y34" i="2"/>
  <c r="Y33" i="2"/>
  <c r="Y30" i="2"/>
  <c r="Y29" i="2"/>
  <c r="Y28" i="2"/>
  <c r="Y27" i="2"/>
  <c r="Y26" i="2"/>
  <c r="Y25" i="2"/>
  <c r="Y22" i="2"/>
  <c r="Y21" i="2"/>
  <c r="Y20" i="2"/>
  <c r="Y19" i="2"/>
  <c r="Y18" i="2"/>
  <c r="Y17" i="2"/>
  <c r="Y14" i="2"/>
  <c r="Y13" i="2"/>
  <c r="Y12" i="2"/>
  <c r="Y11" i="2"/>
  <c r="Y10" i="2"/>
  <c r="Y9" i="2"/>
  <c r="Y4" i="2"/>
  <c r="Y3" i="2"/>
  <c r="Y7" i="2"/>
  <c r="H100" i="2"/>
  <c r="H99" i="2"/>
  <c r="H98" i="2"/>
  <c r="I98" i="2" s="1"/>
  <c r="H97" i="2"/>
  <c r="H96" i="2"/>
  <c r="H95" i="2"/>
  <c r="H94" i="2"/>
  <c r="H93" i="2"/>
  <c r="H92" i="2"/>
  <c r="H91" i="2"/>
  <c r="H90" i="2"/>
  <c r="H89" i="2"/>
  <c r="H88" i="2"/>
  <c r="H87" i="2"/>
  <c r="H86" i="2"/>
  <c r="H85" i="2"/>
  <c r="H84" i="2"/>
  <c r="H83" i="2"/>
  <c r="H82" i="2"/>
  <c r="I82" i="2" s="1"/>
  <c r="H81" i="2"/>
  <c r="H80" i="2"/>
  <c r="H79" i="2"/>
  <c r="H78" i="2"/>
  <c r="H77" i="2"/>
  <c r="H76" i="2"/>
  <c r="H75" i="2"/>
  <c r="H74" i="2"/>
  <c r="H73" i="2"/>
  <c r="H72" i="2"/>
  <c r="H71" i="2"/>
  <c r="H70" i="2"/>
  <c r="H69" i="2"/>
  <c r="H68" i="2"/>
  <c r="H67" i="2"/>
  <c r="H66" i="2"/>
  <c r="I66" i="2" s="1"/>
  <c r="H65" i="2"/>
  <c r="H64" i="2"/>
  <c r="H63" i="2"/>
  <c r="H62" i="2"/>
  <c r="H61" i="2"/>
  <c r="H60" i="2"/>
  <c r="H59" i="2"/>
  <c r="H58" i="2"/>
  <c r="H57" i="2"/>
  <c r="H56" i="2"/>
  <c r="H55" i="2"/>
  <c r="H54" i="2"/>
  <c r="H53" i="2"/>
  <c r="H52" i="2"/>
  <c r="I52" i="2" s="1"/>
  <c r="H51" i="2"/>
  <c r="H50" i="2"/>
  <c r="H49" i="2"/>
  <c r="H48" i="2"/>
  <c r="H47" i="2"/>
  <c r="H46" i="2"/>
  <c r="H45" i="2"/>
  <c r="H44" i="2"/>
  <c r="H43" i="2"/>
  <c r="H42" i="2"/>
  <c r="I42" i="2" s="1"/>
  <c r="H41" i="2"/>
  <c r="H40" i="2"/>
  <c r="H39" i="2"/>
  <c r="H38" i="2"/>
  <c r="H37" i="2"/>
  <c r="H36" i="2"/>
  <c r="H35" i="2"/>
  <c r="H34" i="2"/>
  <c r="I34" i="2" s="1"/>
  <c r="H33" i="2"/>
  <c r="H32" i="2"/>
  <c r="H31" i="2"/>
  <c r="H30" i="2"/>
  <c r="H29" i="2"/>
  <c r="H28" i="2"/>
  <c r="H27" i="2"/>
  <c r="H26" i="2"/>
  <c r="H25" i="2"/>
  <c r="H24" i="2"/>
  <c r="H23" i="2"/>
  <c r="H22" i="2"/>
  <c r="H21" i="2"/>
  <c r="H20" i="2"/>
  <c r="H19" i="2"/>
  <c r="H18" i="2"/>
  <c r="I18" i="2" s="1"/>
  <c r="H17" i="2"/>
  <c r="H16" i="2"/>
  <c r="H15" i="2"/>
  <c r="H14" i="2"/>
  <c r="H13" i="2"/>
  <c r="H12" i="2"/>
  <c r="H11" i="2"/>
  <c r="H10" i="2"/>
  <c r="I10" i="2" s="1"/>
  <c r="D172" i="18" s="1"/>
  <c r="H9" i="2"/>
  <c r="H7" i="2"/>
  <c r="H6" i="2"/>
  <c r="H5" i="2"/>
  <c r="E99" i="16"/>
  <c r="D99" i="16"/>
  <c r="C99" i="16"/>
  <c r="E98" i="16"/>
  <c r="D98" i="16"/>
  <c r="C98" i="16"/>
  <c r="E97" i="16"/>
  <c r="D97" i="16"/>
  <c r="C97" i="16"/>
  <c r="E96" i="16"/>
  <c r="D96" i="16"/>
  <c r="C96" i="16"/>
  <c r="E95" i="16"/>
  <c r="D95" i="16"/>
  <c r="C95" i="16"/>
  <c r="E94" i="16"/>
  <c r="D94" i="16"/>
  <c r="C94" i="16"/>
  <c r="E93" i="16"/>
  <c r="D93" i="16"/>
  <c r="C93" i="16"/>
  <c r="E92" i="16"/>
  <c r="D92" i="16"/>
  <c r="C92" i="16"/>
  <c r="E91" i="16"/>
  <c r="D91" i="16"/>
  <c r="C91" i="16"/>
  <c r="E90" i="16"/>
  <c r="D90" i="16"/>
  <c r="C90" i="16"/>
  <c r="E89" i="16"/>
  <c r="D89" i="16"/>
  <c r="C89" i="16"/>
  <c r="E88" i="16"/>
  <c r="D88" i="16"/>
  <c r="C88" i="16"/>
  <c r="E87" i="16"/>
  <c r="D87" i="16"/>
  <c r="C87" i="16"/>
  <c r="E86" i="16"/>
  <c r="D86" i="16"/>
  <c r="C86" i="16"/>
  <c r="E85" i="16"/>
  <c r="D85" i="16"/>
  <c r="C85" i="16"/>
  <c r="E84" i="16"/>
  <c r="D84" i="16"/>
  <c r="C84" i="16"/>
  <c r="E83" i="16"/>
  <c r="D83" i="16"/>
  <c r="C83" i="16"/>
  <c r="E82" i="16"/>
  <c r="D82" i="16"/>
  <c r="C82" i="16"/>
  <c r="E81" i="16"/>
  <c r="D81" i="16"/>
  <c r="C81" i="16"/>
  <c r="E80" i="16"/>
  <c r="D80" i="16"/>
  <c r="C80" i="16"/>
  <c r="E79" i="16"/>
  <c r="D79" i="16"/>
  <c r="C79" i="16"/>
  <c r="E78" i="16"/>
  <c r="D78" i="16"/>
  <c r="C78" i="16"/>
  <c r="E77" i="16"/>
  <c r="D77" i="16"/>
  <c r="C77" i="16"/>
  <c r="E76" i="16"/>
  <c r="D76" i="16"/>
  <c r="C76" i="16"/>
  <c r="E75" i="16"/>
  <c r="D75" i="16"/>
  <c r="C75" i="16"/>
  <c r="E74" i="16"/>
  <c r="D74" i="16"/>
  <c r="C74" i="16"/>
  <c r="E73" i="16"/>
  <c r="D73" i="16"/>
  <c r="C73" i="16"/>
  <c r="E72" i="16"/>
  <c r="D72" i="16"/>
  <c r="C72" i="16"/>
  <c r="E71" i="16"/>
  <c r="D71" i="16"/>
  <c r="C71" i="16"/>
  <c r="E70" i="16"/>
  <c r="D70" i="16"/>
  <c r="C70" i="16"/>
  <c r="E69" i="16"/>
  <c r="D69" i="16"/>
  <c r="C69" i="16"/>
  <c r="E68" i="16"/>
  <c r="D68" i="16"/>
  <c r="C68" i="16"/>
  <c r="E67" i="16"/>
  <c r="D67" i="16"/>
  <c r="C67" i="16"/>
  <c r="E66" i="16"/>
  <c r="D66" i="16"/>
  <c r="C66" i="16"/>
  <c r="E65" i="16"/>
  <c r="D65" i="16"/>
  <c r="C65" i="16"/>
  <c r="E64" i="16"/>
  <c r="D64" i="16"/>
  <c r="C64" i="16"/>
  <c r="E63" i="16"/>
  <c r="D63" i="16"/>
  <c r="C63" i="16"/>
  <c r="E62" i="16"/>
  <c r="D62" i="16"/>
  <c r="C62" i="16"/>
  <c r="E61" i="16"/>
  <c r="D61" i="16"/>
  <c r="C61" i="16"/>
  <c r="E60" i="16"/>
  <c r="D60" i="16"/>
  <c r="C60" i="16"/>
  <c r="E59" i="16"/>
  <c r="D59" i="16"/>
  <c r="C59" i="16"/>
  <c r="E58" i="16"/>
  <c r="D58" i="16"/>
  <c r="C58" i="16"/>
  <c r="E57" i="16"/>
  <c r="F1236" i="18" s="1"/>
  <c r="D57" i="16"/>
  <c r="D1236" i="18" s="1"/>
  <c r="C57" i="16"/>
  <c r="E56" i="16"/>
  <c r="F1213" i="18" s="1"/>
  <c r="D56" i="16"/>
  <c r="D1213" i="18" s="1"/>
  <c r="C56" i="16"/>
  <c r="B1213" i="18" s="1"/>
  <c r="E55" i="16"/>
  <c r="F1190" i="18" s="1"/>
  <c r="D55" i="16"/>
  <c r="C55" i="16"/>
  <c r="E54" i="16"/>
  <c r="F1167" i="18" s="1"/>
  <c r="D54" i="16"/>
  <c r="C54" i="16"/>
  <c r="E53" i="16"/>
  <c r="F1144" i="18" s="1"/>
  <c r="D53" i="16"/>
  <c r="D1144" i="18" s="1"/>
  <c r="C53" i="16"/>
  <c r="E52" i="16"/>
  <c r="D52" i="16"/>
  <c r="C52" i="16"/>
  <c r="E51" i="16"/>
  <c r="F1098" i="18" s="1"/>
  <c r="D51" i="16"/>
  <c r="D1098" i="18" s="1"/>
  <c r="C51" i="16"/>
  <c r="B1098" i="18" s="1"/>
  <c r="E50" i="16"/>
  <c r="F1075" i="18" s="1"/>
  <c r="D50" i="16"/>
  <c r="C50" i="16"/>
  <c r="E49" i="16"/>
  <c r="F1052" i="18" s="1"/>
  <c r="D49" i="16"/>
  <c r="D1052" i="18" s="1"/>
  <c r="C49" i="16"/>
  <c r="E48" i="16"/>
  <c r="F1029" i="18" s="1"/>
  <c r="D48" i="16"/>
  <c r="D1029" i="18" s="1"/>
  <c r="C48" i="16"/>
  <c r="B1029" i="18" s="1"/>
  <c r="E47" i="16"/>
  <c r="F1006" i="18" s="1"/>
  <c r="D47" i="16"/>
  <c r="C47" i="16"/>
  <c r="E46" i="16"/>
  <c r="F983" i="18" s="1"/>
  <c r="D46" i="16"/>
  <c r="C46" i="16"/>
  <c r="B983" i="18" s="1"/>
  <c r="E45" i="16"/>
  <c r="D45" i="16"/>
  <c r="D960" i="18" s="1"/>
  <c r="C45" i="16"/>
  <c r="E44" i="16"/>
  <c r="F937" i="18" s="1"/>
  <c r="D44" i="16"/>
  <c r="C44" i="16"/>
  <c r="B937" i="18" s="1"/>
  <c r="E43" i="16"/>
  <c r="F914" i="18" s="1"/>
  <c r="D43" i="16"/>
  <c r="C43" i="16"/>
  <c r="B914" i="18" s="1"/>
  <c r="E42" i="16"/>
  <c r="F891" i="18" s="1"/>
  <c r="D42" i="16"/>
  <c r="C42" i="16"/>
  <c r="E41" i="16"/>
  <c r="F868" i="18" s="1"/>
  <c r="D41" i="16"/>
  <c r="D868" i="18" s="1"/>
  <c r="C41" i="16"/>
  <c r="E40" i="16"/>
  <c r="F845" i="18" s="1"/>
  <c r="D40" i="16"/>
  <c r="D845" i="18" s="1"/>
  <c r="C40" i="16"/>
  <c r="B845" i="18" s="1"/>
  <c r="E39" i="16"/>
  <c r="F822" i="18" s="1"/>
  <c r="D39" i="16"/>
  <c r="C39" i="16"/>
  <c r="E38" i="16"/>
  <c r="F799" i="18" s="1"/>
  <c r="D38" i="16"/>
  <c r="C38" i="16"/>
  <c r="B799" i="18" s="1"/>
  <c r="E37" i="16"/>
  <c r="F776" i="18" s="1"/>
  <c r="D37" i="16"/>
  <c r="D776" i="18" s="1"/>
  <c r="C37" i="16"/>
  <c r="E36" i="16"/>
  <c r="F753" i="18" s="1"/>
  <c r="D36" i="16"/>
  <c r="C36" i="16"/>
  <c r="E35" i="16"/>
  <c r="F730" i="18" s="1"/>
  <c r="D35" i="16"/>
  <c r="D730" i="18" s="1"/>
  <c r="C35" i="16"/>
  <c r="B730" i="18" s="1"/>
  <c r="E34" i="16"/>
  <c r="F707" i="18" s="1"/>
  <c r="D34" i="16"/>
  <c r="C34" i="16"/>
  <c r="E33" i="16"/>
  <c r="F684" i="18" s="1"/>
  <c r="D33" i="16"/>
  <c r="D684" i="18" s="1"/>
  <c r="C33" i="16"/>
  <c r="E32" i="16"/>
  <c r="F661" i="18" s="1"/>
  <c r="D32" i="16"/>
  <c r="D661" i="18" s="1"/>
  <c r="C32" i="16"/>
  <c r="B661" i="18" s="1"/>
  <c r="E31" i="16"/>
  <c r="F638" i="18" s="1"/>
  <c r="D31" i="16"/>
  <c r="C31" i="16"/>
  <c r="E30" i="16"/>
  <c r="F615" i="18" s="1"/>
  <c r="D30" i="16"/>
  <c r="C30" i="16"/>
  <c r="B615" i="18" s="1"/>
  <c r="E29" i="16"/>
  <c r="F592" i="18" s="1"/>
  <c r="D29" i="16"/>
  <c r="D592" i="18" s="1"/>
  <c r="C29" i="16"/>
  <c r="E28" i="16"/>
  <c r="F569" i="18" s="1"/>
  <c r="D28" i="16"/>
  <c r="C28" i="16"/>
  <c r="B569" i="18" s="1"/>
  <c r="E27" i="16"/>
  <c r="F546" i="18" s="1"/>
  <c r="D27" i="16"/>
  <c r="D546" i="18" s="1"/>
  <c r="C27" i="16"/>
  <c r="B546" i="18" s="1"/>
  <c r="E26" i="16"/>
  <c r="F523" i="18" s="1"/>
  <c r="D26" i="16"/>
  <c r="C26" i="16"/>
  <c r="E25" i="16"/>
  <c r="F500" i="18" s="1"/>
  <c r="D25" i="16"/>
  <c r="C25" i="16"/>
  <c r="E24" i="16"/>
  <c r="F477" i="18" s="1"/>
  <c r="D24" i="16"/>
  <c r="D477" i="18" s="1"/>
  <c r="C24" i="16"/>
  <c r="B477" i="18" s="1"/>
  <c r="E23" i="16"/>
  <c r="D23" i="16"/>
  <c r="C23" i="16"/>
  <c r="E22" i="16"/>
  <c r="F431" i="18" s="1"/>
  <c r="D22" i="16"/>
  <c r="C22" i="16"/>
  <c r="B431" i="18" s="1"/>
  <c r="E21" i="16"/>
  <c r="F408" i="18" s="1"/>
  <c r="D21" i="16"/>
  <c r="D408" i="18" s="1"/>
  <c r="C21" i="16"/>
  <c r="E20" i="16"/>
  <c r="F385" i="18" s="1"/>
  <c r="D20" i="16"/>
  <c r="C20" i="16"/>
  <c r="E19" i="16"/>
  <c r="F362" i="18" s="1"/>
  <c r="D19" i="16"/>
  <c r="D362" i="18" s="1"/>
  <c r="C19" i="16"/>
  <c r="B362" i="18" s="1"/>
  <c r="E18" i="16"/>
  <c r="F339" i="18" s="1"/>
  <c r="D18" i="16"/>
  <c r="C18" i="16"/>
  <c r="E17" i="16"/>
  <c r="F316" i="18" s="1"/>
  <c r="D17" i="16"/>
  <c r="D316" i="18" s="1"/>
  <c r="C17" i="16"/>
  <c r="E16" i="16"/>
  <c r="F293" i="18" s="1"/>
  <c r="D16" i="16"/>
  <c r="D293" i="18" s="1"/>
  <c r="C16" i="16"/>
  <c r="B293" i="18" s="1"/>
  <c r="E15" i="16"/>
  <c r="F270" i="18" s="1"/>
  <c r="D15" i="16"/>
  <c r="C15" i="16"/>
  <c r="E14" i="16"/>
  <c r="F247" i="18" s="1"/>
  <c r="D14" i="16"/>
  <c r="C14" i="16"/>
  <c r="B247" i="18" s="1"/>
  <c r="E13" i="16"/>
  <c r="F224" i="18" s="1"/>
  <c r="D13" i="16"/>
  <c r="D224" i="18" s="1"/>
  <c r="C13" i="16"/>
  <c r="E12" i="16"/>
  <c r="D12" i="16"/>
  <c r="C12" i="16"/>
  <c r="B201" i="18" s="1"/>
  <c r="E11" i="16"/>
  <c r="F178" i="18" s="1"/>
  <c r="D11" i="16"/>
  <c r="D178" i="18" s="1"/>
  <c r="C11" i="16"/>
  <c r="E10" i="16"/>
  <c r="D10" i="16"/>
  <c r="C10" i="16"/>
  <c r="E9" i="16"/>
  <c r="F132" i="18" s="1"/>
  <c r="D9" i="16"/>
  <c r="D132" i="18" s="1"/>
  <c r="C9" i="16"/>
  <c r="E8" i="16"/>
  <c r="F109" i="18" s="1"/>
  <c r="D8" i="16"/>
  <c r="D109" i="18" s="1"/>
  <c r="C8" i="16"/>
  <c r="B109" i="18" s="1"/>
  <c r="E7" i="16"/>
  <c r="F86" i="18" s="1"/>
  <c r="D7" i="16"/>
  <c r="C7" i="16"/>
  <c r="E6" i="16"/>
  <c r="F63" i="18" s="1"/>
  <c r="F17" i="18"/>
  <c r="F40" i="18"/>
  <c r="E100" i="16"/>
  <c r="C6" i="16"/>
  <c r="B63" i="18" s="1"/>
  <c r="C100" i="16"/>
  <c r="D6" i="16"/>
  <c r="D100" i="16"/>
  <c r="B200" i="13"/>
  <c r="D200" i="13"/>
  <c r="A200" i="13"/>
  <c r="B199" i="13"/>
  <c r="D199" i="13" s="1"/>
  <c r="A199" i="13"/>
  <c r="B198" i="13"/>
  <c r="A198" i="13"/>
  <c r="B197" i="13"/>
  <c r="D197" i="13" s="1"/>
  <c r="A197" i="13"/>
  <c r="B196" i="13"/>
  <c r="D196" i="13" s="1"/>
  <c r="A196" i="13"/>
  <c r="B195" i="13"/>
  <c r="D195" i="13"/>
  <c r="A195" i="13"/>
  <c r="B194" i="13"/>
  <c r="D194" i="13" s="1"/>
  <c r="A194" i="13"/>
  <c r="B193" i="13"/>
  <c r="D193" i="13"/>
  <c r="A193" i="13"/>
  <c r="B192" i="13"/>
  <c r="A192" i="13"/>
  <c r="B191" i="13"/>
  <c r="D191" i="13" s="1"/>
  <c r="A191" i="13"/>
  <c r="B190" i="13"/>
  <c r="A190" i="13"/>
  <c r="B189" i="13"/>
  <c r="D189" i="13" s="1"/>
  <c r="A189" i="13"/>
  <c r="B188" i="13"/>
  <c r="D188" i="13" s="1"/>
  <c r="A188" i="13"/>
  <c r="B187" i="13"/>
  <c r="D187" i="13"/>
  <c r="A187" i="13"/>
  <c r="B186" i="13"/>
  <c r="D186" i="13" s="1"/>
  <c r="A186" i="13"/>
  <c r="B185" i="13"/>
  <c r="D185" i="13"/>
  <c r="A185" i="13"/>
  <c r="B184" i="13"/>
  <c r="D184" i="13"/>
  <c r="A184" i="13"/>
  <c r="B183" i="13"/>
  <c r="D183" i="13" s="1"/>
  <c r="A183" i="13"/>
  <c r="B182" i="13"/>
  <c r="A182" i="13"/>
  <c r="B181" i="13"/>
  <c r="D181" i="13" s="1"/>
  <c r="A181" i="13"/>
  <c r="B180" i="13"/>
  <c r="D180" i="13" s="1"/>
  <c r="A180" i="13"/>
  <c r="B179" i="13"/>
  <c r="D179" i="13"/>
  <c r="A179" i="13"/>
  <c r="B178" i="13"/>
  <c r="D178" i="13" s="1"/>
  <c r="A178" i="13"/>
  <c r="B177" i="13"/>
  <c r="D177" i="13"/>
  <c r="A177" i="13"/>
  <c r="B176" i="13"/>
  <c r="A176" i="13"/>
  <c r="B175" i="13"/>
  <c r="D175" i="13" s="1"/>
  <c r="A175" i="13"/>
  <c r="B174" i="13"/>
  <c r="A174" i="13"/>
  <c r="B173" i="13"/>
  <c r="D173" i="13" s="1"/>
  <c r="A173" i="13"/>
  <c r="B172" i="13"/>
  <c r="D172" i="13" s="1"/>
  <c r="A172" i="13"/>
  <c r="B171" i="13"/>
  <c r="D171" i="13"/>
  <c r="A171" i="13"/>
  <c r="B170" i="13"/>
  <c r="A170" i="13"/>
  <c r="B169" i="13"/>
  <c r="D169" i="13"/>
  <c r="A169" i="13"/>
  <c r="B168" i="13"/>
  <c r="D168" i="13"/>
  <c r="A168" i="13"/>
  <c r="B167" i="13"/>
  <c r="D167" i="13" s="1"/>
  <c r="A167" i="13"/>
  <c r="B166" i="13"/>
  <c r="A166" i="13"/>
  <c r="B165" i="13"/>
  <c r="D165" i="13" s="1"/>
  <c r="A165" i="13"/>
  <c r="B164" i="13"/>
  <c r="D164" i="13" s="1"/>
  <c r="A164" i="13"/>
  <c r="B163" i="13"/>
  <c r="D163" i="13"/>
  <c r="A163" i="13"/>
  <c r="B162" i="13"/>
  <c r="D162" i="13" s="1"/>
  <c r="A162" i="13"/>
  <c r="B161" i="13"/>
  <c r="D161" i="13"/>
  <c r="A161" i="13"/>
  <c r="B160" i="13"/>
  <c r="A160" i="13"/>
  <c r="B159" i="13"/>
  <c r="D159" i="13" s="1"/>
  <c r="A159" i="13"/>
  <c r="B158" i="13"/>
  <c r="A158" i="13"/>
  <c r="B157" i="13"/>
  <c r="D157" i="13" s="1"/>
  <c r="A157" i="13"/>
  <c r="B156" i="13"/>
  <c r="D156" i="13" s="1"/>
  <c r="A156" i="13"/>
  <c r="B155" i="13"/>
  <c r="D155" i="13"/>
  <c r="A155" i="13"/>
  <c r="B154" i="13"/>
  <c r="A154" i="13"/>
  <c r="B153" i="13"/>
  <c r="D153" i="13"/>
  <c r="A153" i="13"/>
  <c r="B152" i="13"/>
  <c r="D152" i="13"/>
  <c r="A152" i="13"/>
  <c r="B151" i="13"/>
  <c r="D151" i="13" s="1"/>
  <c r="A151" i="13"/>
  <c r="B150" i="13"/>
  <c r="A150" i="13"/>
  <c r="B149" i="13"/>
  <c r="D149" i="13" s="1"/>
  <c r="A149" i="13"/>
  <c r="B148" i="13"/>
  <c r="D148" i="13" s="1"/>
  <c r="A148" i="13"/>
  <c r="B147" i="13"/>
  <c r="D147" i="13"/>
  <c r="A147" i="13"/>
  <c r="B146" i="13"/>
  <c r="D146" i="13" s="1"/>
  <c r="A146" i="13"/>
  <c r="B145" i="13"/>
  <c r="D145" i="13"/>
  <c r="A145" i="13"/>
  <c r="B144" i="13"/>
  <c r="A144" i="13"/>
  <c r="B143" i="13"/>
  <c r="D143" i="13" s="1"/>
  <c r="A143" i="13"/>
  <c r="B142" i="13"/>
  <c r="A142" i="13"/>
  <c r="B141" i="13"/>
  <c r="D141" i="13" s="1"/>
  <c r="A141" i="13"/>
  <c r="B140" i="13"/>
  <c r="D140" i="13" s="1"/>
  <c r="A140" i="13"/>
  <c r="B139" i="13"/>
  <c r="D139" i="13"/>
  <c r="A139" i="13"/>
  <c r="B138" i="13"/>
  <c r="D138" i="13" s="1"/>
  <c r="A138" i="13"/>
  <c r="B137" i="13"/>
  <c r="D137" i="13"/>
  <c r="A137" i="13"/>
  <c r="B136" i="13"/>
  <c r="D136" i="13"/>
  <c r="A136" i="13"/>
  <c r="B135" i="13"/>
  <c r="D135" i="13" s="1"/>
  <c r="A135" i="13"/>
  <c r="B134" i="13"/>
  <c r="A134" i="13"/>
  <c r="B133" i="13"/>
  <c r="D133" i="13" s="1"/>
  <c r="A133" i="13"/>
  <c r="B132" i="13"/>
  <c r="D132" i="13" s="1"/>
  <c r="A132" i="13"/>
  <c r="B131" i="13"/>
  <c r="C131" i="13"/>
  <c r="D131" i="13"/>
  <c r="A131" i="13"/>
  <c r="B130" i="13"/>
  <c r="D130" i="13" s="1"/>
  <c r="A130" i="13"/>
  <c r="B129" i="13"/>
  <c r="D129" i="13" s="1"/>
  <c r="C129" i="13"/>
  <c r="A129" i="13"/>
  <c r="B128" i="13"/>
  <c r="D128" i="13" s="1"/>
  <c r="A128" i="13"/>
  <c r="B127" i="13"/>
  <c r="C127" i="13"/>
  <c r="D127" i="13"/>
  <c r="A127" i="13"/>
  <c r="B126" i="13"/>
  <c r="D126" i="13" s="1"/>
  <c r="A126" i="13"/>
  <c r="B125" i="13"/>
  <c r="D125" i="13" s="1"/>
  <c r="C125" i="13"/>
  <c r="A125" i="13"/>
  <c r="B124" i="13"/>
  <c r="D124" i="13" s="1"/>
  <c r="A124" i="13"/>
  <c r="B123" i="13"/>
  <c r="C123" i="13"/>
  <c r="D123" i="13"/>
  <c r="A123" i="13"/>
  <c r="B122" i="13"/>
  <c r="D122" i="13" s="1"/>
  <c r="A122" i="13"/>
  <c r="B121" i="13"/>
  <c r="D121" i="13" s="1"/>
  <c r="C121" i="13"/>
  <c r="A121" i="13"/>
  <c r="B120" i="13"/>
  <c r="D120" i="13" s="1"/>
  <c r="A120" i="13"/>
  <c r="B119" i="13"/>
  <c r="C119" i="13"/>
  <c r="D119" i="13"/>
  <c r="A119" i="13"/>
  <c r="B118" i="13"/>
  <c r="D118" i="13" s="1"/>
  <c r="A118" i="13"/>
  <c r="B117" i="13"/>
  <c r="D117" i="13" s="1"/>
  <c r="C117" i="13"/>
  <c r="A117" i="13"/>
  <c r="B116" i="13"/>
  <c r="D116" i="13" s="1"/>
  <c r="A116" i="13"/>
  <c r="B115" i="13"/>
  <c r="A115" i="13"/>
  <c r="B114" i="13"/>
  <c r="C114" i="13" s="1"/>
  <c r="A114" i="13"/>
  <c r="B113" i="13"/>
  <c r="D113" i="13" s="1"/>
  <c r="A113" i="13"/>
  <c r="B112" i="13"/>
  <c r="D112" i="13" s="1"/>
  <c r="C112" i="13"/>
  <c r="A112" i="13"/>
  <c r="B111" i="13"/>
  <c r="D111" i="13" s="1"/>
  <c r="A111" i="13"/>
  <c r="B110" i="13"/>
  <c r="C110" i="13"/>
  <c r="A110" i="13"/>
  <c r="B109" i="13"/>
  <c r="A109" i="13"/>
  <c r="B108" i="13"/>
  <c r="C108" i="13" s="1"/>
  <c r="A108" i="13"/>
  <c r="B107" i="13"/>
  <c r="D107" i="13" s="1"/>
  <c r="A107" i="13"/>
  <c r="B106" i="13"/>
  <c r="A106" i="13"/>
  <c r="B105" i="13"/>
  <c r="C105" i="13" s="1"/>
  <c r="A105" i="13"/>
  <c r="B104" i="13"/>
  <c r="C104" i="13"/>
  <c r="A104" i="13"/>
  <c r="B103" i="13"/>
  <c r="D103" i="13"/>
  <c r="A103" i="13"/>
  <c r="B102" i="13"/>
  <c r="D102" i="13"/>
  <c r="A102" i="13"/>
  <c r="B101" i="13"/>
  <c r="C101" i="13" s="1"/>
  <c r="A101" i="13"/>
  <c r="E200" i="6"/>
  <c r="J200" i="6" s="1"/>
  <c r="L200" i="6" s="1"/>
  <c r="F200" i="6"/>
  <c r="D200" i="6"/>
  <c r="C200" i="6"/>
  <c r="B200" i="6"/>
  <c r="A200" i="6"/>
  <c r="E199" i="6"/>
  <c r="J199" i="6"/>
  <c r="L199" i="6" s="1"/>
  <c r="F199" i="6"/>
  <c r="G199" i="6" s="1"/>
  <c r="I199" i="6"/>
  <c r="D199" i="6"/>
  <c r="C199" i="6"/>
  <c r="B199" i="6"/>
  <c r="A199" i="6"/>
  <c r="E198" i="6"/>
  <c r="J198" i="6"/>
  <c r="L198" i="6" s="1"/>
  <c r="F198" i="6"/>
  <c r="I198" i="6" s="1"/>
  <c r="H198" i="6"/>
  <c r="D198" i="6"/>
  <c r="C198" i="6"/>
  <c r="B198" i="6"/>
  <c r="A198" i="6"/>
  <c r="F197" i="6"/>
  <c r="E197" i="6"/>
  <c r="D197" i="6"/>
  <c r="C197" i="6"/>
  <c r="B197" i="6"/>
  <c r="A197" i="6"/>
  <c r="E196" i="6"/>
  <c r="J196" i="6" s="1"/>
  <c r="F196" i="6"/>
  <c r="D196" i="6"/>
  <c r="C196" i="6"/>
  <c r="B196" i="6"/>
  <c r="A196" i="6"/>
  <c r="E195" i="6"/>
  <c r="J195" i="6" s="1"/>
  <c r="M195" i="6" s="1"/>
  <c r="F195" i="6"/>
  <c r="L195" i="6"/>
  <c r="D195" i="6"/>
  <c r="C195" i="6"/>
  <c r="B195" i="6"/>
  <c r="A195" i="6"/>
  <c r="E194" i="6"/>
  <c r="F194" i="6"/>
  <c r="D194" i="6"/>
  <c r="C194" i="6"/>
  <c r="B194" i="6"/>
  <c r="A194" i="6"/>
  <c r="F193" i="6"/>
  <c r="E193" i="6"/>
  <c r="G193" i="6" s="1"/>
  <c r="D193" i="6"/>
  <c r="C193" i="6"/>
  <c r="B193" i="6"/>
  <c r="A193" i="6"/>
  <c r="E192" i="6"/>
  <c r="J192" i="6" s="1"/>
  <c r="L192" i="6" s="1"/>
  <c r="F192" i="6"/>
  <c r="D192" i="6"/>
  <c r="C192" i="6"/>
  <c r="B192" i="6"/>
  <c r="A192" i="6"/>
  <c r="E191" i="6"/>
  <c r="J191" i="6" s="1"/>
  <c r="L191" i="6" s="1"/>
  <c r="F191" i="6"/>
  <c r="I191" i="6" s="1"/>
  <c r="D191" i="6"/>
  <c r="C191" i="6"/>
  <c r="B191" i="6"/>
  <c r="A191" i="6"/>
  <c r="E190" i="6"/>
  <c r="J190" i="6"/>
  <c r="L190" i="6" s="1"/>
  <c r="F190" i="6"/>
  <c r="H190" i="6"/>
  <c r="D190" i="6"/>
  <c r="C190" i="6"/>
  <c r="B190" i="6"/>
  <c r="A190" i="6"/>
  <c r="F189" i="6"/>
  <c r="E189" i="6"/>
  <c r="D189" i="6"/>
  <c r="C189" i="6"/>
  <c r="B189" i="6"/>
  <c r="A189" i="6"/>
  <c r="E188" i="6"/>
  <c r="F188" i="6"/>
  <c r="D188" i="6"/>
  <c r="C188" i="6"/>
  <c r="B188" i="6"/>
  <c r="A188" i="6"/>
  <c r="E187" i="6"/>
  <c r="J187" i="6" s="1"/>
  <c r="F187" i="6"/>
  <c r="D187" i="6"/>
  <c r="C187" i="6"/>
  <c r="B187" i="6"/>
  <c r="A187" i="6"/>
  <c r="E186" i="6"/>
  <c r="J186" i="6"/>
  <c r="L186" i="6" s="1"/>
  <c r="F186" i="6"/>
  <c r="H186" i="6" s="1"/>
  <c r="D186" i="6"/>
  <c r="C186" i="6"/>
  <c r="B186" i="6"/>
  <c r="A186" i="6"/>
  <c r="F185" i="6"/>
  <c r="E185" i="6"/>
  <c r="D185" i="6"/>
  <c r="C185" i="6"/>
  <c r="B185" i="6"/>
  <c r="A185" i="6"/>
  <c r="E184" i="6"/>
  <c r="J184" i="6"/>
  <c r="F184" i="6"/>
  <c r="G184" i="6" s="1"/>
  <c r="D184" i="6"/>
  <c r="C184" i="6"/>
  <c r="B184" i="6"/>
  <c r="A184" i="6"/>
  <c r="E183" i="6"/>
  <c r="J183" i="6" s="1"/>
  <c r="F183" i="6"/>
  <c r="H183" i="6"/>
  <c r="D183" i="6"/>
  <c r="C183" i="6"/>
  <c r="B183" i="6"/>
  <c r="A183" i="6"/>
  <c r="E182" i="6"/>
  <c r="J182" i="6" s="1"/>
  <c r="L182" i="6" s="1"/>
  <c r="F182" i="6"/>
  <c r="D182" i="6"/>
  <c r="C182" i="6"/>
  <c r="B182" i="6"/>
  <c r="A182" i="6"/>
  <c r="F181" i="6"/>
  <c r="E181" i="6"/>
  <c r="J181" i="6" s="1"/>
  <c r="D181" i="6"/>
  <c r="C181" i="6"/>
  <c r="B181" i="6"/>
  <c r="A181" i="6"/>
  <c r="E180" i="6"/>
  <c r="J180" i="6" s="1"/>
  <c r="F180" i="6"/>
  <c r="D180" i="6"/>
  <c r="C180" i="6"/>
  <c r="B180" i="6"/>
  <c r="A180" i="6"/>
  <c r="E179" i="6"/>
  <c r="J179" i="6"/>
  <c r="F179" i="6"/>
  <c r="D179" i="6"/>
  <c r="C179" i="6"/>
  <c r="B179" i="6"/>
  <c r="A179" i="6"/>
  <c r="E178" i="6"/>
  <c r="J178" i="6"/>
  <c r="F178" i="6"/>
  <c r="H178" i="6"/>
  <c r="D178" i="6"/>
  <c r="C178" i="6"/>
  <c r="B178" i="6"/>
  <c r="A178" i="6"/>
  <c r="F177" i="6"/>
  <c r="E177" i="6"/>
  <c r="D177" i="6"/>
  <c r="C177" i="6"/>
  <c r="B177" i="6"/>
  <c r="A177" i="6"/>
  <c r="F176" i="6"/>
  <c r="E176" i="6"/>
  <c r="J176" i="6" s="1"/>
  <c r="M176" i="6" s="1"/>
  <c r="D176" i="6"/>
  <c r="C176" i="6"/>
  <c r="B176" i="6"/>
  <c r="A176" i="6"/>
  <c r="E175" i="6"/>
  <c r="J175" i="6"/>
  <c r="L175" i="6" s="1"/>
  <c r="F175" i="6"/>
  <c r="D175" i="6"/>
  <c r="C175" i="6"/>
  <c r="B175" i="6"/>
  <c r="A175" i="6"/>
  <c r="F174" i="6"/>
  <c r="E174" i="6"/>
  <c r="J174" i="6" s="1"/>
  <c r="L174" i="6" s="1"/>
  <c r="D174" i="6"/>
  <c r="C174" i="6"/>
  <c r="B174" i="6"/>
  <c r="A174" i="6"/>
  <c r="E173" i="6"/>
  <c r="J173" i="6" s="1"/>
  <c r="F173" i="6"/>
  <c r="D173" i="6"/>
  <c r="C173" i="6"/>
  <c r="B173" i="6"/>
  <c r="A173" i="6"/>
  <c r="E172" i="6"/>
  <c r="F172" i="6"/>
  <c r="D172" i="6"/>
  <c r="C172" i="6"/>
  <c r="B172" i="6"/>
  <c r="A172" i="6"/>
  <c r="E171" i="6"/>
  <c r="F171" i="6"/>
  <c r="D171" i="6"/>
  <c r="C171" i="6"/>
  <c r="B171" i="6"/>
  <c r="A171" i="6"/>
  <c r="F170" i="6"/>
  <c r="I170" i="6" s="1"/>
  <c r="E170" i="6"/>
  <c r="J170" i="6"/>
  <c r="L170" i="6" s="1"/>
  <c r="D170" i="6"/>
  <c r="C170" i="6"/>
  <c r="B170" i="6"/>
  <c r="A170" i="6"/>
  <c r="E169" i="6"/>
  <c r="J169" i="6" s="1"/>
  <c r="M169" i="6" s="1"/>
  <c r="F169" i="6"/>
  <c r="D169" i="6"/>
  <c r="C169" i="6"/>
  <c r="B169" i="6"/>
  <c r="A169" i="6"/>
  <c r="E168" i="6"/>
  <c r="J168" i="6" s="1"/>
  <c r="F168" i="6"/>
  <c r="D168" i="6"/>
  <c r="C168" i="6"/>
  <c r="B168" i="6"/>
  <c r="A168" i="6"/>
  <c r="E167" i="6"/>
  <c r="J167" i="6"/>
  <c r="F167" i="6"/>
  <c r="H167" i="6" s="1"/>
  <c r="D167" i="6"/>
  <c r="C167" i="6"/>
  <c r="B167" i="6"/>
  <c r="A167" i="6"/>
  <c r="F166" i="6"/>
  <c r="H166" i="6" s="1"/>
  <c r="E166" i="6"/>
  <c r="J166" i="6"/>
  <c r="L166" i="6" s="1"/>
  <c r="D166" i="6"/>
  <c r="C166" i="6"/>
  <c r="B166" i="6"/>
  <c r="A166" i="6"/>
  <c r="E165" i="6"/>
  <c r="J165" i="6" s="1"/>
  <c r="F165" i="6"/>
  <c r="D165" i="6"/>
  <c r="C165" i="6"/>
  <c r="B165" i="6"/>
  <c r="A165" i="6"/>
  <c r="E164" i="6"/>
  <c r="J164" i="6"/>
  <c r="M164" i="6" s="1"/>
  <c r="F164" i="6"/>
  <c r="L164" i="6"/>
  <c r="D164" i="6"/>
  <c r="C164" i="6"/>
  <c r="B164" i="6"/>
  <c r="A164" i="6"/>
  <c r="E163" i="6"/>
  <c r="J163" i="6" s="1"/>
  <c r="L163" i="6" s="1"/>
  <c r="F163" i="6"/>
  <c r="D163" i="6"/>
  <c r="C163" i="6"/>
  <c r="B163" i="6"/>
  <c r="A163" i="6"/>
  <c r="F162" i="6"/>
  <c r="E162" i="6"/>
  <c r="J162" i="6" s="1"/>
  <c r="D162" i="6"/>
  <c r="C162" i="6"/>
  <c r="B162" i="6"/>
  <c r="A162" i="6"/>
  <c r="E161" i="6"/>
  <c r="F161" i="6"/>
  <c r="D161" i="6"/>
  <c r="C161" i="6"/>
  <c r="B161" i="6"/>
  <c r="A161" i="6"/>
  <c r="E160" i="6"/>
  <c r="J160" i="6" s="1"/>
  <c r="L160" i="6" s="1"/>
  <c r="F160" i="6"/>
  <c r="D160" i="6"/>
  <c r="C160" i="6"/>
  <c r="B160" i="6"/>
  <c r="A160" i="6"/>
  <c r="E159" i="6"/>
  <c r="J159" i="6" s="1"/>
  <c r="L159" i="6" s="1"/>
  <c r="F159" i="6"/>
  <c r="D159" i="6"/>
  <c r="C159" i="6"/>
  <c r="B159" i="6"/>
  <c r="A159" i="6"/>
  <c r="F158" i="6"/>
  <c r="E158" i="6"/>
  <c r="J158" i="6"/>
  <c r="L158" i="6" s="1"/>
  <c r="D158" i="6"/>
  <c r="C158" i="6"/>
  <c r="B158" i="6"/>
  <c r="A158" i="6"/>
  <c r="E157" i="6"/>
  <c r="J157" i="6" s="1"/>
  <c r="F157" i="6"/>
  <c r="D157" i="6"/>
  <c r="C157" i="6"/>
  <c r="B157" i="6"/>
  <c r="A157" i="6"/>
  <c r="E156" i="6"/>
  <c r="J156" i="6" s="1"/>
  <c r="F156" i="6"/>
  <c r="H156" i="6" s="1"/>
  <c r="D156" i="6"/>
  <c r="C156" i="6"/>
  <c r="B156" i="6"/>
  <c r="A156" i="6"/>
  <c r="E155" i="6"/>
  <c r="J155" i="6" s="1"/>
  <c r="F155" i="6"/>
  <c r="D155" i="6"/>
  <c r="C155" i="6"/>
  <c r="B155" i="6"/>
  <c r="A155" i="6"/>
  <c r="F154" i="6"/>
  <c r="E154" i="6"/>
  <c r="J154" i="6" s="1"/>
  <c r="L154" i="6" s="1"/>
  <c r="D154" i="6"/>
  <c r="C154" i="6"/>
  <c r="B154" i="6"/>
  <c r="A154" i="6"/>
  <c r="E153" i="6"/>
  <c r="J153" i="6"/>
  <c r="L153" i="6" s="1"/>
  <c r="F153" i="6"/>
  <c r="D153" i="6"/>
  <c r="C153" i="6"/>
  <c r="B153" i="6"/>
  <c r="A153" i="6"/>
  <c r="E152" i="6"/>
  <c r="J152" i="6" s="1"/>
  <c r="L152" i="6" s="1"/>
  <c r="F152" i="6"/>
  <c r="I152" i="6" s="1"/>
  <c r="D152" i="6"/>
  <c r="C152" i="6"/>
  <c r="B152" i="6"/>
  <c r="A152" i="6"/>
  <c r="E151" i="6"/>
  <c r="J151" i="6" s="1"/>
  <c r="L151" i="6" s="1"/>
  <c r="F151" i="6"/>
  <c r="H151" i="6" s="1"/>
  <c r="D151" i="6"/>
  <c r="C151" i="6"/>
  <c r="B151" i="6"/>
  <c r="A151" i="6"/>
  <c r="F150" i="6"/>
  <c r="E150" i="6"/>
  <c r="J150" i="6" s="1"/>
  <c r="L150" i="6"/>
  <c r="D150" i="6"/>
  <c r="C150" i="6"/>
  <c r="B150" i="6"/>
  <c r="A150" i="6"/>
  <c r="E149" i="6"/>
  <c r="J149" i="6"/>
  <c r="K149" i="6" s="1"/>
  <c r="F149" i="6"/>
  <c r="D149" i="6"/>
  <c r="C149" i="6"/>
  <c r="B149" i="6"/>
  <c r="A149" i="6"/>
  <c r="E148" i="6"/>
  <c r="J148" i="6" s="1"/>
  <c r="F148" i="6"/>
  <c r="D148" i="6"/>
  <c r="C148" i="6"/>
  <c r="B148" i="6"/>
  <c r="A148" i="6"/>
  <c r="E147" i="6"/>
  <c r="J147" i="6"/>
  <c r="F147" i="6"/>
  <c r="H147" i="6"/>
  <c r="D147" i="6"/>
  <c r="C147" i="6"/>
  <c r="B147" i="6"/>
  <c r="A147" i="6"/>
  <c r="F146" i="6"/>
  <c r="E146" i="6"/>
  <c r="D146" i="6"/>
  <c r="C146" i="6"/>
  <c r="B146" i="6"/>
  <c r="A146" i="6"/>
  <c r="E145" i="6"/>
  <c r="F145" i="6"/>
  <c r="D145" i="6"/>
  <c r="C145" i="6"/>
  <c r="B145" i="6"/>
  <c r="A145" i="6"/>
  <c r="E144" i="6"/>
  <c r="J144" i="6"/>
  <c r="L144" i="6" s="1"/>
  <c r="F144" i="6"/>
  <c r="H144" i="6" s="1"/>
  <c r="D144" i="6"/>
  <c r="C144" i="6"/>
  <c r="B144" i="6"/>
  <c r="A144" i="6"/>
  <c r="E143" i="6"/>
  <c r="I143" i="6" s="1"/>
  <c r="J143" i="6"/>
  <c r="F143" i="6"/>
  <c r="H143" i="6"/>
  <c r="D143" i="6"/>
  <c r="C143" i="6"/>
  <c r="B143" i="6"/>
  <c r="A143" i="6"/>
  <c r="F142" i="6"/>
  <c r="E142" i="6"/>
  <c r="D142" i="6"/>
  <c r="C142" i="6"/>
  <c r="B142" i="6"/>
  <c r="A142" i="6"/>
  <c r="E141" i="6"/>
  <c r="J141" i="6" s="1"/>
  <c r="F141" i="6"/>
  <c r="H141" i="6" s="1"/>
  <c r="D141" i="6"/>
  <c r="C141" i="6"/>
  <c r="B141" i="6"/>
  <c r="A141" i="6"/>
  <c r="F140" i="6"/>
  <c r="H140" i="6" s="1"/>
  <c r="E140" i="6"/>
  <c r="J140" i="6"/>
  <c r="K140" i="6" s="1"/>
  <c r="D140" i="6"/>
  <c r="C140" i="6"/>
  <c r="B140" i="6"/>
  <c r="A140" i="6"/>
  <c r="E139" i="6"/>
  <c r="J139" i="6" s="1"/>
  <c r="M139" i="6" s="1"/>
  <c r="F139" i="6"/>
  <c r="D139" i="6"/>
  <c r="C139" i="6"/>
  <c r="B139" i="6"/>
  <c r="A139" i="6"/>
  <c r="F138" i="6"/>
  <c r="E138" i="6"/>
  <c r="D138" i="6"/>
  <c r="C138" i="6"/>
  <c r="B138" i="6"/>
  <c r="A138" i="6"/>
  <c r="E137" i="6"/>
  <c r="F137" i="6"/>
  <c r="I137" i="6"/>
  <c r="D137" i="6"/>
  <c r="C137" i="6"/>
  <c r="B137" i="6"/>
  <c r="A137" i="6"/>
  <c r="F136" i="6"/>
  <c r="G136" i="6" s="1"/>
  <c r="E136" i="6"/>
  <c r="D136" i="6"/>
  <c r="C136" i="6"/>
  <c r="B136" i="6"/>
  <c r="A136" i="6"/>
  <c r="E135" i="6"/>
  <c r="J135" i="6"/>
  <c r="M135" i="6" s="1"/>
  <c r="F135" i="6"/>
  <c r="D135" i="6"/>
  <c r="C135" i="6"/>
  <c r="B135" i="6"/>
  <c r="A135" i="6"/>
  <c r="F134" i="6"/>
  <c r="I134" i="6" s="1"/>
  <c r="E134" i="6"/>
  <c r="J134" i="6"/>
  <c r="M134" i="6" s="1"/>
  <c r="D134" i="6"/>
  <c r="C134" i="6"/>
  <c r="B134" i="6"/>
  <c r="A134" i="6"/>
  <c r="E133" i="6"/>
  <c r="J133" i="6" s="1"/>
  <c r="M133" i="6"/>
  <c r="F133" i="6"/>
  <c r="H133" i="6" s="1"/>
  <c r="D133" i="6"/>
  <c r="C133" i="6"/>
  <c r="B133" i="6"/>
  <c r="A133" i="6"/>
  <c r="F132" i="6"/>
  <c r="I132" i="6" s="1"/>
  <c r="E132" i="6"/>
  <c r="J132" i="6" s="1"/>
  <c r="K132" i="6" s="1"/>
  <c r="D132" i="6"/>
  <c r="C132" i="6"/>
  <c r="B132" i="6"/>
  <c r="A132" i="6"/>
  <c r="E131" i="6"/>
  <c r="I131" i="6" s="1"/>
  <c r="J131" i="6"/>
  <c r="M131" i="6" s="1"/>
  <c r="F131" i="6"/>
  <c r="D131" i="6"/>
  <c r="C131" i="6"/>
  <c r="B131" i="6"/>
  <c r="A131" i="6"/>
  <c r="F130" i="6"/>
  <c r="I130" i="6" s="1"/>
  <c r="E130" i="6"/>
  <c r="J130" i="6" s="1"/>
  <c r="D130" i="6"/>
  <c r="C130" i="6"/>
  <c r="B130" i="6"/>
  <c r="A130" i="6"/>
  <c r="E129" i="6"/>
  <c r="F129" i="6"/>
  <c r="D129" i="6"/>
  <c r="C129" i="6"/>
  <c r="B129" i="6"/>
  <c r="A129" i="6"/>
  <c r="F128" i="6"/>
  <c r="E128" i="6"/>
  <c r="H128" i="6"/>
  <c r="J128" i="6"/>
  <c r="L128" i="6" s="1"/>
  <c r="D128" i="6"/>
  <c r="C128" i="6"/>
  <c r="B128" i="6"/>
  <c r="A128" i="6"/>
  <c r="E127" i="6"/>
  <c r="J127" i="6" s="1"/>
  <c r="F127" i="6"/>
  <c r="D127" i="6"/>
  <c r="C127" i="6"/>
  <c r="B127" i="6"/>
  <c r="A127" i="6"/>
  <c r="F126" i="6"/>
  <c r="E126" i="6"/>
  <c r="I126" i="6" s="1"/>
  <c r="D126" i="6"/>
  <c r="C126" i="6"/>
  <c r="B126" i="6"/>
  <c r="A126" i="6"/>
  <c r="E125" i="6"/>
  <c r="J125" i="6"/>
  <c r="M125" i="6" s="1"/>
  <c r="F125" i="6"/>
  <c r="G125" i="6" s="1"/>
  <c r="I125" i="6"/>
  <c r="D125" i="6"/>
  <c r="C125" i="6"/>
  <c r="B125" i="6"/>
  <c r="A125" i="6"/>
  <c r="F124" i="6"/>
  <c r="E124" i="6"/>
  <c r="J124" i="6"/>
  <c r="L124" i="6" s="1"/>
  <c r="D124" i="6"/>
  <c r="C124" i="6"/>
  <c r="B124" i="6"/>
  <c r="A124" i="6"/>
  <c r="E123" i="6"/>
  <c r="J123" i="6" s="1"/>
  <c r="M123" i="6" s="1"/>
  <c r="F123" i="6"/>
  <c r="D123" i="6"/>
  <c r="C123" i="6"/>
  <c r="B123" i="6"/>
  <c r="A123" i="6"/>
  <c r="F122" i="6"/>
  <c r="E122" i="6"/>
  <c r="J122" i="6" s="1"/>
  <c r="K122" i="6" s="1"/>
  <c r="D122" i="6"/>
  <c r="C122" i="6"/>
  <c r="B122" i="6"/>
  <c r="A122" i="6"/>
  <c r="E121" i="6"/>
  <c r="J121" i="6" s="1"/>
  <c r="M121" i="6" s="1"/>
  <c r="F121" i="6"/>
  <c r="D121" i="6"/>
  <c r="C121" i="6"/>
  <c r="B121" i="6"/>
  <c r="A121" i="6"/>
  <c r="F120" i="6"/>
  <c r="E120" i="6"/>
  <c r="J120" i="6" s="1"/>
  <c r="D120" i="6"/>
  <c r="C120" i="6"/>
  <c r="B120" i="6"/>
  <c r="A120" i="6"/>
  <c r="E119" i="6"/>
  <c r="J119" i="6"/>
  <c r="M119" i="6" s="1"/>
  <c r="F119" i="6"/>
  <c r="D119" i="6"/>
  <c r="C119" i="6"/>
  <c r="B119" i="6"/>
  <c r="A119" i="6"/>
  <c r="F118" i="6"/>
  <c r="E118" i="6"/>
  <c r="H118" i="6"/>
  <c r="J118" i="6"/>
  <c r="D118" i="6"/>
  <c r="C118" i="6"/>
  <c r="B118" i="6"/>
  <c r="A118" i="6"/>
  <c r="E117" i="6"/>
  <c r="J117" i="6" s="1"/>
  <c r="M117" i="6"/>
  <c r="F117" i="6"/>
  <c r="I117" i="6" s="1"/>
  <c r="D117" i="6"/>
  <c r="C117" i="6"/>
  <c r="B117" i="6"/>
  <c r="A117" i="6"/>
  <c r="F116" i="6"/>
  <c r="H116" i="6" s="1"/>
  <c r="E116" i="6"/>
  <c r="J116" i="6" s="1"/>
  <c r="D116" i="6"/>
  <c r="C116" i="6"/>
  <c r="B116" i="6"/>
  <c r="A116" i="6"/>
  <c r="E115" i="6"/>
  <c r="I115" i="6" s="1"/>
  <c r="J115" i="6"/>
  <c r="M115" i="6" s="1"/>
  <c r="F115" i="6"/>
  <c r="D115" i="6"/>
  <c r="C115" i="6"/>
  <c r="B115" i="6"/>
  <c r="A115" i="6"/>
  <c r="F114" i="6"/>
  <c r="E114" i="6"/>
  <c r="J114" i="6" s="1"/>
  <c r="D114" i="6"/>
  <c r="C114" i="6"/>
  <c r="B114" i="6"/>
  <c r="A114" i="6"/>
  <c r="E113" i="6"/>
  <c r="J113" i="6" s="1"/>
  <c r="F113" i="6"/>
  <c r="D113" i="6"/>
  <c r="C113" i="6"/>
  <c r="B113" i="6"/>
  <c r="A113" i="6"/>
  <c r="F112" i="6"/>
  <c r="G112" i="6" s="1"/>
  <c r="E112" i="6"/>
  <c r="J112" i="6"/>
  <c r="L112" i="6" s="1"/>
  <c r="D112" i="6"/>
  <c r="C112" i="6"/>
  <c r="B112" i="6"/>
  <c r="A112" i="6"/>
  <c r="E111" i="6"/>
  <c r="J111" i="6" s="1"/>
  <c r="F111" i="6"/>
  <c r="D111" i="6"/>
  <c r="C111" i="6"/>
  <c r="B111" i="6"/>
  <c r="A111" i="6"/>
  <c r="F110" i="6"/>
  <c r="E110" i="6"/>
  <c r="D110" i="6"/>
  <c r="C110" i="6"/>
  <c r="B110" i="6"/>
  <c r="A110" i="6"/>
  <c r="E109" i="6"/>
  <c r="J109" i="6" s="1"/>
  <c r="L109" i="6" s="1"/>
  <c r="F109" i="6"/>
  <c r="I109" i="6" s="1"/>
  <c r="D109" i="6"/>
  <c r="C109" i="6"/>
  <c r="B109" i="6"/>
  <c r="A109" i="6"/>
  <c r="F108" i="6"/>
  <c r="E108" i="6"/>
  <c r="J108" i="6"/>
  <c r="L108" i="6" s="1"/>
  <c r="D108" i="6"/>
  <c r="C108" i="6"/>
  <c r="B108" i="6"/>
  <c r="A108" i="6"/>
  <c r="E107" i="6"/>
  <c r="J107" i="6" s="1"/>
  <c r="K107" i="6" s="1"/>
  <c r="F107" i="6"/>
  <c r="G107" i="6" s="1"/>
  <c r="D107" i="6"/>
  <c r="C107" i="6"/>
  <c r="B107" i="6"/>
  <c r="A107" i="6"/>
  <c r="E106" i="6"/>
  <c r="J106" i="6" s="1"/>
  <c r="M106" i="6" s="1"/>
  <c r="F106" i="6"/>
  <c r="H106" i="6" s="1"/>
  <c r="D106" i="6"/>
  <c r="C106" i="6"/>
  <c r="B106" i="6"/>
  <c r="A106" i="6"/>
  <c r="E105" i="6"/>
  <c r="J105" i="6" s="1"/>
  <c r="L105" i="6" s="1"/>
  <c r="F105" i="6"/>
  <c r="D105" i="6"/>
  <c r="C105" i="6"/>
  <c r="B105" i="6"/>
  <c r="A105" i="6"/>
  <c r="F104" i="6"/>
  <c r="E104" i="6"/>
  <c r="G104" i="6" s="1"/>
  <c r="D104" i="6"/>
  <c r="C104" i="6"/>
  <c r="B104" i="6"/>
  <c r="A104" i="6"/>
  <c r="E103" i="6"/>
  <c r="J103" i="6"/>
  <c r="L103" i="6" s="1"/>
  <c r="F103" i="6"/>
  <c r="D103" i="6"/>
  <c r="C103" i="6"/>
  <c r="B103" i="6"/>
  <c r="A103" i="6"/>
  <c r="E102" i="6"/>
  <c r="J102" i="6" s="1"/>
  <c r="F102" i="6"/>
  <c r="D102" i="6"/>
  <c r="C102" i="6"/>
  <c r="B102" i="6"/>
  <c r="A102" i="6"/>
  <c r="E101" i="6"/>
  <c r="J101" i="6" s="1"/>
  <c r="M101" i="6" s="1"/>
  <c r="F101" i="6"/>
  <c r="D101" i="6"/>
  <c r="C101" i="6"/>
  <c r="B101" i="6"/>
  <c r="A101" i="6"/>
  <c r="G8" i="22"/>
  <c r="G7" i="22"/>
  <c r="G9" i="22" s="1"/>
  <c r="F10" i="22" s="1"/>
  <c r="F11" i="22" s="1"/>
  <c r="B1" i="22" s="1"/>
  <c r="D16" i="19"/>
  <c r="H8" i="2"/>
  <c r="D104" i="13"/>
  <c r="D105" i="13"/>
  <c r="D108" i="13"/>
  <c r="D110" i="13"/>
  <c r="D114" i="13"/>
  <c r="C102" i="13"/>
  <c r="C103" i="13"/>
  <c r="C113" i="13"/>
  <c r="C116" i="13"/>
  <c r="C132" i="13"/>
  <c r="C133" i="13"/>
  <c r="C135" i="13"/>
  <c r="C136" i="13"/>
  <c r="C137" i="13"/>
  <c r="C138" i="13"/>
  <c r="C139" i="13"/>
  <c r="C140" i="13"/>
  <c r="C141" i="13"/>
  <c r="C143" i="13"/>
  <c r="C145" i="13"/>
  <c r="C146" i="13"/>
  <c r="C147" i="13"/>
  <c r="C149" i="13"/>
  <c r="C151" i="13"/>
  <c r="C152" i="13"/>
  <c r="C153" i="13"/>
  <c r="C155" i="13"/>
  <c r="C156" i="13"/>
  <c r="C157" i="13"/>
  <c r="C159" i="13"/>
  <c r="C161" i="13"/>
  <c r="C162" i="13"/>
  <c r="C163" i="13"/>
  <c r="C164" i="13"/>
  <c r="C165" i="13"/>
  <c r="C167" i="13"/>
  <c r="C168" i="13"/>
  <c r="C169" i="13"/>
  <c r="C171" i="13"/>
  <c r="C172" i="13"/>
  <c r="C173" i="13"/>
  <c r="C175" i="13"/>
  <c r="C177" i="13"/>
  <c r="C178" i="13"/>
  <c r="C179" i="13"/>
  <c r="C181" i="13"/>
  <c r="C183" i="13"/>
  <c r="C184" i="13"/>
  <c r="C185" i="13"/>
  <c r="C186" i="13"/>
  <c r="C187" i="13"/>
  <c r="C188" i="13"/>
  <c r="C189" i="13"/>
  <c r="C191" i="13"/>
  <c r="C193" i="13"/>
  <c r="C194" i="13"/>
  <c r="C195" i="13"/>
  <c r="C196" i="13"/>
  <c r="C197" i="13"/>
  <c r="C199" i="13"/>
  <c r="C200" i="13"/>
  <c r="D101" i="13"/>
  <c r="M103" i="6"/>
  <c r="I107" i="6"/>
  <c r="M107" i="6"/>
  <c r="G108" i="6"/>
  <c r="K108" i="6"/>
  <c r="L118" i="6"/>
  <c r="M122" i="6"/>
  <c r="M130" i="6"/>
  <c r="K102" i="6"/>
  <c r="H107" i="6"/>
  <c r="H108" i="6"/>
  <c r="I108" i="6"/>
  <c r="M108" i="6"/>
  <c r="M109" i="6"/>
  <c r="K109" i="6"/>
  <c r="M112" i="6"/>
  <c r="K112" i="6"/>
  <c r="L116" i="6"/>
  <c r="M116" i="6"/>
  <c r="K116" i="6"/>
  <c r="M128" i="6"/>
  <c r="K128" i="6"/>
  <c r="L132" i="6"/>
  <c r="M132" i="6"/>
  <c r="L140" i="6"/>
  <c r="M140" i="6"/>
  <c r="G114" i="6"/>
  <c r="I114" i="6"/>
  <c r="H115" i="6"/>
  <c r="G116" i="6"/>
  <c r="I116" i="6"/>
  <c r="H117" i="6"/>
  <c r="L117" i="6"/>
  <c r="G118" i="6"/>
  <c r="I118" i="6"/>
  <c r="L121" i="6"/>
  <c r="G122" i="6"/>
  <c r="H123" i="6"/>
  <c r="G124" i="6"/>
  <c r="I124" i="6"/>
  <c r="H125" i="6"/>
  <c r="G130" i="6"/>
  <c r="H131" i="6"/>
  <c r="L131" i="6"/>
  <c r="G132" i="6"/>
  <c r="L133" i="6"/>
  <c r="G134" i="6"/>
  <c r="H135" i="6"/>
  <c r="H139" i="6"/>
  <c r="L139" i="6"/>
  <c r="G140" i="6"/>
  <c r="M141" i="6"/>
  <c r="K141" i="6"/>
  <c r="I149" i="6"/>
  <c r="G149" i="6"/>
  <c r="M149" i="6"/>
  <c r="K150" i="6"/>
  <c r="M153" i="6"/>
  <c r="I157" i="6"/>
  <c r="G157" i="6"/>
  <c r="G158" i="6"/>
  <c r="K158" i="6"/>
  <c r="I161" i="6"/>
  <c r="G162" i="6"/>
  <c r="M165" i="6"/>
  <c r="K165" i="6"/>
  <c r="K170" i="6"/>
  <c r="I173" i="6"/>
  <c r="G173" i="6"/>
  <c r="M173" i="6"/>
  <c r="K173" i="6"/>
  <c r="G174" i="6"/>
  <c r="J177" i="6"/>
  <c r="I184" i="6"/>
  <c r="H184" i="6"/>
  <c r="J185" i="6"/>
  <c r="L185" i="6" s="1"/>
  <c r="H188" i="6"/>
  <c r="J189" i="6"/>
  <c r="I189" i="6"/>
  <c r="G189" i="6"/>
  <c r="I192" i="6"/>
  <c r="G192" i="6"/>
  <c r="H192" i="6"/>
  <c r="J193" i="6"/>
  <c r="K193" i="6" s="1"/>
  <c r="I193" i="6"/>
  <c r="I196" i="6"/>
  <c r="G196" i="6"/>
  <c r="H196" i="6"/>
  <c r="J197" i="6"/>
  <c r="M197" i="6" s="1"/>
  <c r="H200" i="6"/>
  <c r="G115" i="6"/>
  <c r="K115" i="6"/>
  <c r="K117" i="6"/>
  <c r="K119" i="6"/>
  <c r="K121" i="6"/>
  <c r="G123" i="6"/>
  <c r="K123" i="6"/>
  <c r="K125" i="6"/>
  <c r="G131" i="6"/>
  <c r="K131" i="6"/>
  <c r="G133" i="6"/>
  <c r="K133" i="6"/>
  <c r="K135" i="6"/>
  <c r="G137" i="6"/>
  <c r="G139" i="6"/>
  <c r="K139" i="6"/>
  <c r="G141" i="6"/>
  <c r="L141" i="6"/>
  <c r="G143" i="6"/>
  <c r="H146" i="6"/>
  <c r="I147" i="6"/>
  <c r="G147" i="6"/>
  <c r="K148" i="6"/>
  <c r="H149" i="6"/>
  <c r="L149" i="6"/>
  <c r="M150" i="6"/>
  <c r="I151" i="6"/>
  <c r="G151" i="6"/>
  <c r="M151" i="6"/>
  <c r="K151" i="6"/>
  <c r="G152" i="6"/>
  <c r="K152" i="6"/>
  <c r="G156" i="6"/>
  <c r="K156" i="6"/>
  <c r="H157" i="6"/>
  <c r="L157" i="6"/>
  <c r="H158" i="6"/>
  <c r="I158" i="6"/>
  <c r="M159" i="6"/>
  <c r="G160" i="6"/>
  <c r="H162" i="6"/>
  <c r="I162" i="6"/>
  <c r="I163" i="6"/>
  <c r="G163" i="6"/>
  <c r="M163" i="6"/>
  <c r="K163" i="6"/>
  <c r="G164" i="6"/>
  <c r="K164" i="6"/>
  <c r="L165" i="6"/>
  <c r="I167" i="6"/>
  <c r="G167" i="6"/>
  <c r="M170" i="6"/>
  <c r="H173" i="6"/>
  <c r="L173" i="6"/>
  <c r="H174" i="6"/>
  <c r="M174" i="6"/>
  <c r="K175" i="6"/>
  <c r="M184" i="6"/>
  <c r="K184" i="6"/>
  <c r="L184" i="6"/>
  <c r="M196" i="6"/>
  <c r="K196" i="6"/>
  <c r="L196" i="6"/>
  <c r="M200" i="6"/>
  <c r="K200" i="6"/>
  <c r="H177" i="6"/>
  <c r="I178" i="6"/>
  <c r="G178" i="6"/>
  <c r="G179" i="6"/>
  <c r="K179" i="6"/>
  <c r="M182" i="6"/>
  <c r="G183" i="6"/>
  <c r="K183" i="6"/>
  <c r="I186" i="6"/>
  <c r="G186" i="6"/>
  <c r="K186" i="6"/>
  <c r="K187" i="6"/>
  <c r="H189" i="6"/>
  <c r="I190" i="6"/>
  <c r="G190" i="6"/>
  <c r="M190" i="6"/>
  <c r="K190" i="6"/>
  <c r="G191" i="6"/>
  <c r="K191" i="6"/>
  <c r="H193" i="6"/>
  <c r="G195" i="6"/>
  <c r="K195" i="6"/>
  <c r="G198" i="6"/>
  <c r="M198" i="6"/>
  <c r="K198" i="6"/>
  <c r="K199" i="6"/>
  <c r="H101" i="6"/>
  <c r="I3" i="2"/>
  <c r="D11" i="18" s="1"/>
  <c r="B6" i="2"/>
  <c r="B5" i="2"/>
  <c r="L197" i="6"/>
  <c r="L193" i="6"/>
  <c r="M193" i="6"/>
  <c r="L189" i="6"/>
  <c r="M189" i="6"/>
  <c r="K189" i="6"/>
  <c r="M185" i="6"/>
  <c r="K185" i="6"/>
  <c r="M181" i="6"/>
  <c r="R19" i="2"/>
  <c r="S19" i="2" s="1"/>
  <c r="R18" i="2"/>
  <c r="U18" i="2" s="1"/>
  <c r="R17" i="2"/>
  <c r="U17" i="2" s="1"/>
  <c r="R16" i="2"/>
  <c r="R15" i="2"/>
  <c r="S15" i="2" s="1"/>
  <c r="U15" i="2"/>
  <c r="S17" i="2"/>
  <c r="U19" i="2"/>
  <c r="B7" i="16"/>
  <c r="B6" i="16"/>
  <c r="B7" i="13"/>
  <c r="B6" i="13"/>
  <c r="C7" i="6"/>
  <c r="C6" i="6"/>
  <c r="D7" i="6"/>
  <c r="D6" i="6"/>
  <c r="E7" i="6"/>
  <c r="J7" i="6" s="1"/>
  <c r="L7" i="6" s="1"/>
  <c r="E6" i="6"/>
  <c r="F7" i="6"/>
  <c r="F6" i="6"/>
  <c r="B7" i="11"/>
  <c r="C7" i="11" s="1"/>
  <c r="B84" i="18" s="1"/>
  <c r="B6" i="11"/>
  <c r="E6" i="11" s="1"/>
  <c r="F61" i="18" s="1"/>
  <c r="R6" i="2"/>
  <c r="U6" i="2" s="1"/>
  <c r="R5" i="2"/>
  <c r="S5" i="2" s="1"/>
  <c r="B59" i="18" s="1"/>
  <c r="I6" i="2"/>
  <c r="D80" i="18" s="1"/>
  <c r="D6" i="2"/>
  <c r="D5" i="2"/>
  <c r="F5" i="2" s="1"/>
  <c r="Z6" i="2"/>
  <c r="Z5" i="2"/>
  <c r="H74" i="18"/>
  <c r="B77" i="18"/>
  <c r="F76" i="18"/>
  <c r="F75" i="18"/>
  <c r="F74" i="18"/>
  <c r="D76" i="18"/>
  <c r="D75" i="18"/>
  <c r="D74" i="18"/>
  <c r="B76" i="18"/>
  <c r="B75" i="18"/>
  <c r="B74" i="18"/>
  <c r="H73" i="18"/>
  <c r="G73" i="18"/>
  <c r="F73" i="18"/>
  <c r="E73" i="18"/>
  <c r="D73" i="18"/>
  <c r="C73" i="18"/>
  <c r="B73" i="18"/>
  <c r="A73" i="18"/>
  <c r="B53" i="18"/>
  <c r="B52" i="18"/>
  <c r="B51" i="18"/>
  <c r="D53" i="18"/>
  <c r="D52" i="18"/>
  <c r="D51" i="18"/>
  <c r="H51" i="18"/>
  <c r="F53" i="18"/>
  <c r="F52" i="18"/>
  <c r="F51" i="18"/>
  <c r="H50" i="18"/>
  <c r="G50" i="18"/>
  <c r="F50" i="18"/>
  <c r="E50" i="18"/>
  <c r="D50" i="18"/>
  <c r="C50" i="18"/>
  <c r="H75" i="18"/>
  <c r="A119" i="18"/>
  <c r="B119" i="18"/>
  <c r="C119" i="18"/>
  <c r="D119" i="18"/>
  <c r="E119" i="18"/>
  <c r="F119" i="18"/>
  <c r="G119" i="18"/>
  <c r="H119" i="18"/>
  <c r="B120" i="18"/>
  <c r="D120" i="18"/>
  <c r="F120" i="18"/>
  <c r="H120" i="18"/>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H1202" i="18" s="1"/>
  <c r="S55" i="1"/>
  <c r="S54" i="1"/>
  <c r="H1156" i="18"/>
  <c r="S53" i="1"/>
  <c r="H1133" i="18" s="1"/>
  <c r="S52" i="1"/>
  <c r="H1110" i="18" s="1"/>
  <c r="S51" i="1"/>
  <c r="H1087" i="18" s="1"/>
  <c r="S50" i="1"/>
  <c r="H1064" i="18"/>
  <c r="S49" i="1"/>
  <c r="S48" i="1"/>
  <c r="H1018" i="18"/>
  <c r="S47" i="1"/>
  <c r="H995" i="18" s="1"/>
  <c r="S46" i="1"/>
  <c r="H972" i="18"/>
  <c r="S45" i="1"/>
  <c r="S44" i="1"/>
  <c r="H926" i="18" s="1"/>
  <c r="S43" i="1"/>
  <c r="H903" i="18"/>
  <c r="S42" i="1"/>
  <c r="H880" i="18" s="1"/>
  <c r="S41" i="1"/>
  <c r="H857" i="18" s="1"/>
  <c r="S40" i="1"/>
  <c r="H834" i="18" s="1"/>
  <c r="S39" i="1"/>
  <c r="H811" i="18"/>
  <c r="S38" i="1"/>
  <c r="H788" i="18" s="1"/>
  <c r="S37" i="1"/>
  <c r="H765" i="18" s="1"/>
  <c r="S36" i="1"/>
  <c r="H742" i="18" s="1"/>
  <c r="S35" i="1"/>
  <c r="H719" i="18"/>
  <c r="S34" i="1"/>
  <c r="H696" i="18" s="1"/>
  <c r="S33" i="1"/>
  <c r="H673" i="18" s="1"/>
  <c r="S32" i="1"/>
  <c r="H650" i="18" s="1"/>
  <c r="S31" i="1"/>
  <c r="H627" i="18"/>
  <c r="S30" i="1"/>
  <c r="H604" i="18" s="1"/>
  <c r="S29" i="1"/>
  <c r="H581" i="18" s="1"/>
  <c r="S28" i="1"/>
  <c r="H558" i="18" s="1"/>
  <c r="S27" i="1"/>
  <c r="H535" i="18"/>
  <c r="S26" i="1"/>
  <c r="H512" i="18" s="1"/>
  <c r="S25" i="1"/>
  <c r="H489" i="18" s="1"/>
  <c r="S24" i="1"/>
  <c r="H466" i="18" s="1"/>
  <c r="S23" i="1"/>
  <c r="H443" i="18"/>
  <c r="S22" i="1"/>
  <c r="H420" i="18" s="1"/>
  <c r="S21" i="1"/>
  <c r="H397" i="18" s="1"/>
  <c r="S20" i="1"/>
  <c r="H374" i="18" s="1"/>
  <c r="S19" i="1"/>
  <c r="H351" i="18"/>
  <c r="S18" i="1"/>
  <c r="H328" i="18" s="1"/>
  <c r="S17" i="1"/>
  <c r="H305" i="18" s="1"/>
  <c r="S16" i="1"/>
  <c r="H282" i="18" s="1"/>
  <c r="S15" i="1"/>
  <c r="H259" i="18"/>
  <c r="S14" i="1"/>
  <c r="H236" i="18" s="1"/>
  <c r="S13" i="1"/>
  <c r="H213" i="18" s="1"/>
  <c r="S12" i="1"/>
  <c r="H190" i="18" s="1"/>
  <c r="S11" i="1"/>
  <c r="H167" i="18"/>
  <c r="S10" i="1"/>
  <c r="H144" i="18" s="1"/>
  <c r="S9" i="1"/>
  <c r="H121" i="18" s="1"/>
  <c r="H98" i="18"/>
  <c r="H52" i="18"/>
  <c r="H29" i="18"/>
  <c r="H6" i="18"/>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B28" i="18"/>
  <c r="D28" i="18"/>
  <c r="F28" i="18"/>
  <c r="H28" i="18"/>
  <c r="B29" i="18"/>
  <c r="D29" i="18"/>
  <c r="F29" i="18"/>
  <c r="B30" i="18"/>
  <c r="D30" i="18"/>
  <c r="F30" i="18"/>
  <c r="B31" i="18"/>
  <c r="A96" i="18"/>
  <c r="B96" i="18"/>
  <c r="C96" i="18"/>
  <c r="D96" i="18"/>
  <c r="E96" i="18"/>
  <c r="F96" i="18"/>
  <c r="G96" i="18"/>
  <c r="H96" i="18"/>
  <c r="B97" i="18"/>
  <c r="D97" i="18"/>
  <c r="F97" i="18"/>
  <c r="H97" i="18"/>
  <c r="B98" i="18"/>
  <c r="D98" i="18"/>
  <c r="F98" i="18"/>
  <c r="B99" i="18"/>
  <c r="D99" i="18"/>
  <c r="F99" i="18"/>
  <c r="B100" i="18"/>
  <c r="A165" i="18"/>
  <c r="B165" i="18"/>
  <c r="C165" i="18"/>
  <c r="D165" i="18"/>
  <c r="E165" i="18"/>
  <c r="F165" i="18"/>
  <c r="G165" i="18"/>
  <c r="H165" i="18"/>
  <c r="B166" i="18"/>
  <c r="D166" i="18"/>
  <c r="F166" i="18"/>
  <c r="H166" i="18"/>
  <c r="B167" i="18"/>
  <c r="D167" i="18"/>
  <c r="F167" i="18"/>
  <c r="B168" i="18"/>
  <c r="D168" i="18"/>
  <c r="F168" i="18"/>
  <c r="B169" i="18"/>
  <c r="A234" i="18"/>
  <c r="B234" i="18"/>
  <c r="C234" i="18"/>
  <c r="D234" i="18"/>
  <c r="E234" i="18"/>
  <c r="F234" i="18"/>
  <c r="G234" i="18"/>
  <c r="H234" i="18"/>
  <c r="B235" i="18"/>
  <c r="D235" i="18"/>
  <c r="F235" i="18"/>
  <c r="H235" i="18"/>
  <c r="B236" i="18"/>
  <c r="D236" i="18"/>
  <c r="F236" i="18"/>
  <c r="B237" i="18"/>
  <c r="D237" i="18"/>
  <c r="F237" i="18"/>
  <c r="B238" i="18"/>
  <c r="A303" i="18"/>
  <c r="B303" i="18"/>
  <c r="C303" i="18"/>
  <c r="D303" i="18"/>
  <c r="E303" i="18"/>
  <c r="F303" i="18"/>
  <c r="G303" i="18"/>
  <c r="H303" i="18"/>
  <c r="B304" i="18"/>
  <c r="D304" i="18"/>
  <c r="F304" i="18"/>
  <c r="H304" i="18"/>
  <c r="B305" i="18"/>
  <c r="D305" i="18"/>
  <c r="F305" i="18"/>
  <c r="B306" i="18"/>
  <c r="D306" i="18"/>
  <c r="F306" i="18"/>
  <c r="B307" i="18"/>
  <c r="A372" i="18"/>
  <c r="B372" i="18"/>
  <c r="C372" i="18"/>
  <c r="D372" i="18"/>
  <c r="E372" i="18"/>
  <c r="F372" i="18"/>
  <c r="G372" i="18"/>
  <c r="H372" i="18"/>
  <c r="B373" i="18"/>
  <c r="D373" i="18"/>
  <c r="F373" i="18"/>
  <c r="H373" i="18"/>
  <c r="B374" i="18"/>
  <c r="D374" i="18"/>
  <c r="F374" i="18"/>
  <c r="B375" i="18"/>
  <c r="D375" i="18"/>
  <c r="F375" i="18"/>
  <c r="B376" i="18"/>
  <c r="A441" i="18"/>
  <c r="B441" i="18"/>
  <c r="C441" i="18"/>
  <c r="D441" i="18"/>
  <c r="E441" i="18"/>
  <c r="F441" i="18"/>
  <c r="G441" i="18"/>
  <c r="H441" i="18"/>
  <c r="B442" i="18"/>
  <c r="D442" i="18"/>
  <c r="F442" i="18"/>
  <c r="H442" i="18"/>
  <c r="B443" i="18"/>
  <c r="D443" i="18"/>
  <c r="F443" i="18"/>
  <c r="B444" i="18"/>
  <c r="D444" i="18"/>
  <c r="F444" i="18"/>
  <c r="B445" i="18"/>
  <c r="A510" i="18"/>
  <c r="B510" i="18"/>
  <c r="C510" i="18"/>
  <c r="D510" i="18"/>
  <c r="E510" i="18"/>
  <c r="F510" i="18"/>
  <c r="G510" i="18"/>
  <c r="H510" i="18"/>
  <c r="B511" i="18"/>
  <c r="D511" i="18"/>
  <c r="F511" i="18"/>
  <c r="H511" i="18"/>
  <c r="B512" i="18"/>
  <c r="D512" i="18"/>
  <c r="F512" i="18"/>
  <c r="B513" i="18"/>
  <c r="D513" i="18"/>
  <c r="F513" i="18"/>
  <c r="B514" i="18"/>
  <c r="A579" i="18"/>
  <c r="B579" i="18"/>
  <c r="C579" i="18"/>
  <c r="D579" i="18"/>
  <c r="E579" i="18"/>
  <c r="F579" i="18"/>
  <c r="G579" i="18"/>
  <c r="H579" i="18"/>
  <c r="B580" i="18"/>
  <c r="D580" i="18"/>
  <c r="F580" i="18"/>
  <c r="H580" i="18"/>
  <c r="B581" i="18"/>
  <c r="D581" i="18"/>
  <c r="F581" i="18"/>
  <c r="B582" i="18"/>
  <c r="D582" i="18"/>
  <c r="F582" i="18"/>
  <c r="B583" i="18"/>
  <c r="A648" i="18"/>
  <c r="B648" i="18"/>
  <c r="C648" i="18"/>
  <c r="D648" i="18"/>
  <c r="E648" i="18"/>
  <c r="F648" i="18"/>
  <c r="G648" i="18"/>
  <c r="H648" i="18"/>
  <c r="B649" i="18"/>
  <c r="D649" i="18"/>
  <c r="F649" i="18"/>
  <c r="H649" i="18"/>
  <c r="B650" i="18"/>
  <c r="D650" i="18"/>
  <c r="F650" i="18"/>
  <c r="B651" i="18"/>
  <c r="D651" i="18"/>
  <c r="F651" i="18"/>
  <c r="B652" i="18"/>
  <c r="A717" i="18"/>
  <c r="B717" i="18"/>
  <c r="C717" i="18"/>
  <c r="D717" i="18"/>
  <c r="E717" i="18"/>
  <c r="F717" i="18"/>
  <c r="G717" i="18"/>
  <c r="H717" i="18"/>
  <c r="B718" i="18"/>
  <c r="D718" i="18"/>
  <c r="F718" i="18"/>
  <c r="H718" i="18"/>
  <c r="B719" i="18"/>
  <c r="D719" i="18"/>
  <c r="F719" i="18"/>
  <c r="B720" i="18"/>
  <c r="D720" i="18"/>
  <c r="F720" i="18"/>
  <c r="B721" i="18"/>
  <c r="A786" i="18"/>
  <c r="B786" i="18"/>
  <c r="C786" i="18"/>
  <c r="D786" i="18"/>
  <c r="E786" i="18"/>
  <c r="F786" i="18"/>
  <c r="G786" i="18"/>
  <c r="H786" i="18"/>
  <c r="B787" i="18"/>
  <c r="D787" i="18"/>
  <c r="F787" i="18"/>
  <c r="H787" i="18"/>
  <c r="B788" i="18"/>
  <c r="D788" i="18"/>
  <c r="F788" i="18"/>
  <c r="B789" i="18"/>
  <c r="D789" i="18"/>
  <c r="F789" i="18"/>
  <c r="B790" i="18"/>
  <c r="A855" i="18"/>
  <c r="B855" i="18"/>
  <c r="C855" i="18"/>
  <c r="D855" i="18"/>
  <c r="E855" i="18"/>
  <c r="F855" i="18"/>
  <c r="G855" i="18"/>
  <c r="H855" i="18"/>
  <c r="B856" i="18"/>
  <c r="D856" i="18"/>
  <c r="F856" i="18"/>
  <c r="H856" i="18"/>
  <c r="B857" i="18"/>
  <c r="D857" i="18"/>
  <c r="F857" i="18"/>
  <c r="B858" i="18"/>
  <c r="D858" i="18"/>
  <c r="F858" i="18"/>
  <c r="B859" i="18"/>
  <c r="A924" i="18"/>
  <c r="B924" i="18"/>
  <c r="C924" i="18"/>
  <c r="D924" i="18"/>
  <c r="E924" i="18"/>
  <c r="F924" i="18"/>
  <c r="G924" i="18"/>
  <c r="H924" i="18"/>
  <c r="B925" i="18"/>
  <c r="D925" i="18"/>
  <c r="F925" i="18"/>
  <c r="H925" i="18"/>
  <c r="B926" i="18"/>
  <c r="D926" i="18"/>
  <c r="F926" i="18"/>
  <c r="B927" i="18"/>
  <c r="D927" i="18"/>
  <c r="F927" i="18"/>
  <c r="B928" i="18"/>
  <c r="A993" i="18"/>
  <c r="B993" i="18"/>
  <c r="C993" i="18"/>
  <c r="D993" i="18"/>
  <c r="E993" i="18"/>
  <c r="F993" i="18"/>
  <c r="G993" i="18"/>
  <c r="H993" i="18"/>
  <c r="B994" i="18"/>
  <c r="D994" i="18"/>
  <c r="F994" i="18"/>
  <c r="H994" i="18"/>
  <c r="B995" i="18"/>
  <c r="D995" i="18"/>
  <c r="F995" i="18"/>
  <c r="B996" i="18"/>
  <c r="D996" i="18"/>
  <c r="F996" i="18"/>
  <c r="B997" i="18"/>
  <c r="A1062" i="18"/>
  <c r="B1062" i="18"/>
  <c r="C1062" i="18"/>
  <c r="D1062" i="18"/>
  <c r="E1062" i="18"/>
  <c r="F1062" i="18"/>
  <c r="G1062" i="18"/>
  <c r="H1062" i="18"/>
  <c r="B1063" i="18"/>
  <c r="D1063" i="18"/>
  <c r="F1063" i="18"/>
  <c r="H1063" i="18"/>
  <c r="B1064" i="18"/>
  <c r="D1064" i="18"/>
  <c r="F1064" i="18"/>
  <c r="B1065" i="18"/>
  <c r="D1065" i="18"/>
  <c r="F1065" i="18"/>
  <c r="B1066" i="18"/>
  <c r="A1131" i="18"/>
  <c r="B1131" i="18"/>
  <c r="C1131" i="18"/>
  <c r="D1131" i="18"/>
  <c r="E1131" i="18"/>
  <c r="F1131" i="18"/>
  <c r="G1131" i="18"/>
  <c r="H1131" i="18"/>
  <c r="B1132" i="18"/>
  <c r="D1132" i="18"/>
  <c r="F1132" i="18"/>
  <c r="H1132" i="18"/>
  <c r="B1133" i="18"/>
  <c r="D1133" i="18"/>
  <c r="F1133" i="18"/>
  <c r="B1134" i="18"/>
  <c r="D1134" i="18"/>
  <c r="F1134" i="18"/>
  <c r="B1135" i="18"/>
  <c r="A1200" i="18"/>
  <c r="B1200" i="18"/>
  <c r="C1200" i="18"/>
  <c r="D1200" i="18"/>
  <c r="E1200" i="18"/>
  <c r="F1200" i="18"/>
  <c r="G1200" i="18"/>
  <c r="H1200" i="18"/>
  <c r="B1201" i="18"/>
  <c r="D1201" i="18"/>
  <c r="F1201" i="18"/>
  <c r="H1201" i="18"/>
  <c r="B1202" i="18"/>
  <c r="D1202" i="18"/>
  <c r="F1202" i="18"/>
  <c r="B1203" i="18"/>
  <c r="D1203" i="18"/>
  <c r="F1203" i="18"/>
  <c r="B1204" i="18"/>
  <c r="B121" i="18"/>
  <c r="D121" i="18"/>
  <c r="F121" i="18"/>
  <c r="B122" i="18"/>
  <c r="D122" i="18"/>
  <c r="F122" i="18"/>
  <c r="B123" i="18"/>
  <c r="A211" i="18"/>
  <c r="B211" i="18"/>
  <c r="C211" i="18"/>
  <c r="D211" i="18"/>
  <c r="E211" i="18"/>
  <c r="F211" i="18"/>
  <c r="G211" i="18"/>
  <c r="H211" i="18"/>
  <c r="B212" i="18"/>
  <c r="D212" i="18"/>
  <c r="F212" i="18"/>
  <c r="H212" i="18"/>
  <c r="B213" i="18"/>
  <c r="D213" i="18"/>
  <c r="F213" i="18"/>
  <c r="B214" i="18"/>
  <c r="D214" i="18"/>
  <c r="F214" i="18"/>
  <c r="B215" i="18"/>
  <c r="A257" i="18"/>
  <c r="B257" i="18"/>
  <c r="C257" i="18"/>
  <c r="D257" i="18"/>
  <c r="E257" i="18"/>
  <c r="F257" i="18"/>
  <c r="G257" i="18"/>
  <c r="H257" i="18"/>
  <c r="B258" i="18"/>
  <c r="D258" i="18"/>
  <c r="F258" i="18"/>
  <c r="H258" i="18"/>
  <c r="B259" i="18"/>
  <c r="D259" i="18"/>
  <c r="F259" i="18"/>
  <c r="B260" i="18"/>
  <c r="D260" i="18"/>
  <c r="F260" i="18"/>
  <c r="B261" i="18"/>
  <c r="A349" i="18"/>
  <c r="B349" i="18"/>
  <c r="C349" i="18"/>
  <c r="D349" i="18"/>
  <c r="E349" i="18"/>
  <c r="F349" i="18"/>
  <c r="G349" i="18"/>
  <c r="H349" i="18"/>
  <c r="B350" i="18"/>
  <c r="D350" i="18"/>
  <c r="F350" i="18"/>
  <c r="H350" i="18"/>
  <c r="B351" i="18"/>
  <c r="D351" i="18"/>
  <c r="F351" i="18"/>
  <c r="B352" i="18"/>
  <c r="D352" i="18"/>
  <c r="F352" i="18"/>
  <c r="B353" i="18"/>
  <c r="A395" i="18"/>
  <c r="B395" i="18"/>
  <c r="C395" i="18"/>
  <c r="D395" i="18"/>
  <c r="E395" i="18"/>
  <c r="F395" i="18"/>
  <c r="G395" i="18"/>
  <c r="H395" i="18"/>
  <c r="B396" i="18"/>
  <c r="D396" i="18"/>
  <c r="F396" i="18"/>
  <c r="H396" i="18"/>
  <c r="B397" i="18"/>
  <c r="D397" i="18"/>
  <c r="F397" i="18"/>
  <c r="B398" i="18"/>
  <c r="D398" i="18"/>
  <c r="F398" i="18"/>
  <c r="B399" i="18"/>
  <c r="A418" i="18"/>
  <c r="B418" i="18"/>
  <c r="C418" i="18"/>
  <c r="D418" i="18"/>
  <c r="E418" i="18"/>
  <c r="F418" i="18"/>
  <c r="G418" i="18"/>
  <c r="H418" i="18"/>
  <c r="B419" i="18"/>
  <c r="D419" i="18"/>
  <c r="F419" i="18"/>
  <c r="H419" i="18"/>
  <c r="B420" i="18"/>
  <c r="D420" i="18"/>
  <c r="F420" i="18"/>
  <c r="B421" i="18"/>
  <c r="D421" i="18"/>
  <c r="F421" i="18"/>
  <c r="B422" i="18"/>
  <c r="G9" i="19"/>
  <c r="G10" i="19"/>
  <c r="F11" i="19"/>
  <c r="C35" i="19"/>
  <c r="C27" i="19"/>
  <c r="F19" i="19"/>
  <c r="B3" i="22"/>
  <c r="F35" i="19"/>
  <c r="D20" i="19"/>
  <c r="D19" i="19"/>
  <c r="G35" i="19"/>
  <c r="G19" i="19"/>
  <c r="D18" i="19"/>
  <c r="D17" i="19"/>
  <c r="B3" i="19"/>
  <c r="B629" i="18"/>
  <c r="F628" i="18"/>
  <c r="D628" i="18"/>
  <c r="B628" i="18"/>
  <c r="F627" i="18"/>
  <c r="D627" i="18"/>
  <c r="B627" i="18"/>
  <c r="H626" i="18"/>
  <c r="F626" i="18"/>
  <c r="D626" i="18"/>
  <c r="B626" i="18"/>
  <c r="H625" i="18"/>
  <c r="G625" i="18"/>
  <c r="F625" i="18"/>
  <c r="E625" i="18"/>
  <c r="D625" i="18"/>
  <c r="C625" i="18"/>
  <c r="B625" i="18"/>
  <c r="A625" i="18"/>
  <c r="B675" i="18"/>
  <c r="F674" i="18"/>
  <c r="D674" i="18"/>
  <c r="B674" i="18"/>
  <c r="F673" i="18"/>
  <c r="D673" i="18"/>
  <c r="B673" i="18"/>
  <c r="H672" i="18"/>
  <c r="F672" i="18"/>
  <c r="D672" i="18"/>
  <c r="B672" i="18"/>
  <c r="H671" i="18"/>
  <c r="G671" i="18"/>
  <c r="F671" i="18"/>
  <c r="E671" i="18"/>
  <c r="D671" i="18"/>
  <c r="C671" i="18"/>
  <c r="B671" i="18"/>
  <c r="A671" i="18"/>
  <c r="B698" i="18"/>
  <c r="F697" i="18"/>
  <c r="D697" i="18"/>
  <c r="B697" i="18"/>
  <c r="F696" i="18"/>
  <c r="D696" i="18"/>
  <c r="B696" i="18"/>
  <c r="H695" i="18"/>
  <c r="F695" i="18"/>
  <c r="D695" i="18"/>
  <c r="B695" i="18"/>
  <c r="H694" i="18"/>
  <c r="G694" i="18"/>
  <c r="F694" i="18"/>
  <c r="E694" i="18"/>
  <c r="D694" i="18"/>
  <c r="C694" i="18"/>
  <c r="B694" i="18"/>
  <c r="A694" i="18"/>
  <c r="B744" i="18"/>
  <c r="F743" i="18"/>
  <c r="D743" i="18"/>
  <c r="B743" i="18"/>
  <c r="F742" i="18"/>
  <c r="D742" i="18"/>
  <c r="B742" i="18"/>
  <c r="H741" i="18"/>
  <c r="F741" i="18"/>
  <c r="D741" i="18"/>
  <c r="B741" i="18"/>
  <c r="H740" i="18"/>
  <c r="G740" i="18"/>
  <c r="F740" i="18"/>
  <c r="E740" i="18"/>
  <c r="D740" i="18"/>
  <c r="C740" i="18"/>
  <c r="B740" i="18"/>
  <c r="A740" i="18"/>
  <c r="B767" i="18"/>
  <c r="F766" i="18"/>
  <c r="D766" i="18"/>
  <c r="B766" i="18"/>
  <c r="F765" i="18"/>
  <c r="D765" i="18"/>
  <c r="B765" i="18"/>
  <c r="H764" i="18"/>
  <c r="F764" i="18"/>
  <c r="D764" i="18"/>
  <c r="B764" i="18"/>
  <c r="H763" i="18"/>
  <c r="G763" i="18"/>
  <c r="F763" i="18"/>
  <c r="E763" i="18"/>
  <c r="D763" i="18"/>
  <c r="C763" i="18"/>
  <c r="B763" i="18"/>
  <c r="A763" i="18"/>
  <c r="B813" i="18"/>
  <c r="F812" i="18"/>
  <c r="D812" i="18"/>
  <c r="B812" i="18"/>
  <c r="F811" i="18"/>
  <c r="D811" i="18"/>
  <c r="B811" i="18"/>
  <c r="H810" i="18"/>
  <c r="F810" i="18"/>
  <c r="D810" i="18"/>
  <c r="B810" i="18"/>
  <c r="H809" i="18"/>
  <c r="G809" i="18"/>
  <c r="F809" i="18"/>
  <c r="E809" i="18"/>
  <c r="D809" i="18"/>
  <c r="C809" i="18"/>
  <c r="B809" i="18"/>
  <c r="A809" i="18"/>
  <c r="B836" i="18"/>
  <c r="F835" i="18"/>
  <c r="D835" i="18"/>
  <c r="B835" i="18"/>
  <c r="F834" i="18"/>
  <c r="D834" i="18"/>
  <c r="B834" i="18"/>
  <c r="H833" i="18"/>
  <c r="F833" i="18"/>
  <c r="D833" i="18"/>
  <c r="B833" i="18"/>
  <c r="H832" i="18"/>
  <c r="G832" i="18"/>
  <c r="F832" i="18"/>
  <c r="E832" i="18"/>
  <c r="D832" i="18"/>
  <c r="C832" i="18"/>
  <c r="B832" i="18"/>
  <c r="A832" i="18"/>
  <c r="B882" i="18"/>
  <c r="F881" i="18"/>
  <c r="D881" i="18"/>
  <c r="B881" i="18"/>
  <c r="F880" i="18"/>
  <c r="D880" i="18"/>
  <c r="B880" i="18"/>
  <c r="H879" i="18"/>
  <c r="F879" i="18"/>
  <c r="D879" i="18"/>
  <c r="B879" i="18"/>
  <c r="H878" i="18"/>
  <c r="G878" i="18"/>
  <c r="F878" i="18"/>
  <c r="E878" i="18"/>
  <c r="D878" i="18"/>
  <c r="C878" i="18"/>
  <c r="B878" i="18"/>
  <c r="A878" i="18"/>
  <c r="B905" i="18"/>
  <c r="F904" i="18"/>
  <c r="D904" i="18"/>
  <c r="B904" i="18"/>
  <c r="F903" i="18"/>
  <c r="D903" i="18"/>
  <c r="B903" i="18"/>
  <c r="H902" i="18"/>
  <c r="F902" i="18"/>
  <c r="D902" i="18"/>
  <c r="B902" i="18"/>
  <c r="H901" i="18"/>
  <c r="G901" i="18"/>
  <c r="F901" i="18"/>
  <c r="E901" i="18"/>
  <c r="D901" i="18"/>
  <c r="C901" i="18"/>
  <c r="B901" i="18"/>
  <c r="A901" i="18"/>
  <c r="B951" i="18"/>
  <c r="F950" i="18"/>
  <c r="D950" i="18"/>
  <c r="B950" i="18"/>
  <c r="F949" i="18"/>
  <c r="D949" i="18"/>
  <c r="B949" i="18"/>
  <c r="H948" i="18"/>
  <c r="F948" i="18"/>
  <c r="D948" i="18"/>
  <c r="B948" i="18"/>
  <c r="H947" i="18"/>
  <c r="G947" i="18"/>
  <c r="F947" i="18"/>
  <c r="E947" i="18"/>
  <c r="D947" i="18"/>
  <c r="C947" i="18"/>
  <c r="B947" i="18"/>
  <c r="A947" i="18"/>
  <c r="B974" i="18"/>
  <c r="F973" i="18"/>
  <c r="D973" i="18"/>
  <c r="B973" i="18"/>
  <c r="F972" i="18"/>
  <c r="D972" i="18"/>
  <c r="B972" i="18"/>
  <c r="H971" i="18"/>
  <c r="F971" i="18"/>
  <c r="D971" i="18"/>
  <c r="B971" i="18"/>
  <c r="H970" i="18"/>
  <c r="G970" i="18"/>
  <c r="F970" i="18"/>
  <c r="E970" i="18"/>
  <c r="D970" i="18"/>
  <c r="C970" i="18"/>
  <c r="B970" i="18"/>
  <c r="A970" i="18"/>
  <c r="B1020" i="18"/>
  <c r="F1019" i="18"/>
  <c r="D1019" i="18"/>
  <c r="B1019" i="18"/>
  <c r="F1018" i="18"/>
  <c r="D1018" i="18"/>
  <c r="B1018" i="18"/>
  <c r="H1017" i="18"/>
  <c r="F1017" i="18"/>
  <c r="D1017" i="18"/>
  <c r="B1017" i="18"/>
  <c r="H1016" i="18"/>
  <c r="G1016" i="18"/>
  <c r="F1016" i="18"/>
  <c r="E1016" i="18"/>
  <c r="D1016" i="18"/>
  <c r="C1016" i="18"/>
  <c r="B1016" i="18"/>
  <c r="A1016" i="18"/>
  <c r="B1043" i="18"/>
  <c r="F1042" i="18"/>
  <c r="D1042" i="18"/>
  <c r="B1042" i="18"/>
  <c r="F1041" i="18"/>
  <c r="D1041" i="18"/>
  <c r="B1041" i="18"/>
  <c r="H1040" i="18"/>
  <c r="F1040" i="18"/>
  <c r="D1040" i="18"/>
  <c r="B1040" i="18"/>
  <c r="H1039" i="18"/>
  <c r="G1039" i="18"/>
  <c r="F1039" i="18"/>
  <c r="E1039" i="18"/>
  <c r="D1039" i="18"/>
  <c r="C1039" i="18"/>
  <c r="B1039" i="18"/>
  <c r="A1039" i="18"/>
  <c r="B1089" i="18"/>
  <c r="F1088" i="18"/>
  <c r="D1088" i="18"/>
  <c r="B1088" i="18"/>
  <c r="F1087" i="18"/>
  <c r="D1087" i="18"/>
  <c r="B1087" i="18"/>
  <c r="H1086" i="18"/>
  <c r="F1086" i="18"/>
  <c r="D1086" i="18"/>
  <c r="B1086" i="18"/>
  <c r="H1085" i="18"/>
  <c r="G1085" i="18"/>
  <c r="F1085" i="18"/>
  <c r="E1085" i="18"/>
  <c r="D1085" i="18"/>
  <c r="C1085" i="18"/>
  <c r="B1085" i="18"/>
  <c r="A1085" i="18"/>
  <c r="B1112" i="18"/>
  <c r="F1111" i="18"/>
  <c r="D1111" i="18"/>
  <c r="B1111" i="18"/>
  <c r="F1110" i="18"/>
  <c r="D1110" i="18"/>
  <c r="B1110" i="18"/>
  <c r="H1109" i="18"/>
  <c r="F1109" i="18"/>
  <c r="D1109" i="18"/>
  <c r="B1109" i="18"/>
  <c r="H1108" i="18"/>
  <c r="G1108" i="18"/>
  <c r="F1108" i="18"/>
  <c r="E1108" i="18"/>
  <c r="D1108" i="18"/>
  <c r="C1108" i="18"/>
  <c r="B1108" i="18"/>
  <c r="A1108" i="18"/>
  <c r="B1158" i="18"/>
  <c r="F1157" i="18"/>
  <c r="D1157" i="18"/>
  <c r="B1157" i="18"/>
  <c r="F1156" i="18"/>
  <c r="D1156" i="18"/>
  <c r="B1156" i="18"/>
  <c r="H1155" i="18"/>
  <c r="F1155" i="18"/>
  <c r="D1155" i="18"/>
  <c r="B1155" i="18"/>
  <c r="H1154" i="18"/>
  <c r="G1154" i="18"/>
  <c r="F1154" i="18"/>
  <c r="E1154" i="18"/>
  <c r="D1154" i="18"/>
  <c r="C1154" i="18"/>
  <c r="B1154" i="18"/>
  <c r="A1154" i="18"/>
  <c r="B1181" i="18"/>
  <c r="F1180" i="18"/>
  <c r="D1180" i="18"/>
  <c r="B1180" i="18"/>
  <c r="F1179" i="18"/>
  <c r="D1179" i="18"/>
  <c r="B1179" i="18"/>
  <c r="H1178" i="18"/>
  <c r="F1178" i="18"/>
  <c r="D1178" i="18"/>
  <c r="B1178" i="18"/>
  <c r="H1177" i="18"/>
  <c r="G1177" i="18"/>
  <c r="F1177" i="18"/>
  <c r="E1177" i="18"/>
  <c r="D1177" i="18"/>
  <c r="C1177" i="18"/>
  <c r="B1177" i="18"/>
  <c r="A1177" i="18"/>
  <c r="B1227" i="18"/>
  <c r="F1226" i="18"/>
  <c r="D1226" i="18"/>
  <c r="B1226" i="18"/>
  <c r="F1225" i="18"/>
  <c r="D1225" i="18"/>
  <c r="B1225" i="18"/>
  <c r="H1224" i="18"/>
  <c r="F1224" i="18"/>
  <c r="D1224" i="18"/>
  <c r="B1224" i="18"/>
  <c r="H1223" i="18"/>
  <c r="G1223" i="18"/>
  <c r="F1223" i="18"/>
  <c r="E1223" i="18"/>
  <c r="D1223" i="18"/>
  <c r="C1223" i="18"/>
  <c r="B1223" i="18"/>
  <c r="A1223" i="18"/>
  <c r="B606" i="18"/>
  <c r="F605" i="18"/>
  <c r="D605" i="18"/>
  <c r="B605" i="18"/>
  <c r="F604" i="18"/>
  <c r="D604" i="18"/>
  <c r="B604" i="18"/>
  <c r="H603" i="18"/>
  <c r="F603" i="18"/>
  <c r="D603" i="18"/>
  <c r="B603" i="18"/>
  <c r="H602" i="18"/>
  <c r="G602" i="18"/>
  <c r="F602" i="18"/>
  <c r="E602" i="18"/>
  <c r="D602" i="18"/>
  <c r="C602" i="18"/>
  <c r="B602" i="18"/>
  <c r="A602" i="18"/>
  <c r="B560" i="18"/>
  <c r="F559" i="18"/>
  <c r="D559" i="18"/>
  <c r="B559" i="18"/>
  <c r="F558" i="18"/>
  <c r="D558" i="18"/>
  <c r="B558" i="18"/>
  <c r="H557" i="18"/>
  <c r="F557" i="18"/>
  <c r="D557" i="18"/>
  <c r="B557" i="18"/>
  <c r="H556" i="18"/>
  <c r="G556" i="18"/>
  <c r="F556" i="18"/>
  <c r="E556" i="18"/>
  <c r="D556" i="18"/>
  <c r="C556" i="18"/>
  <c r="B556" i="18"/>
  <c r="A556" i="18"/>
  <c r="B468" i="18"/>
  <c r="B537" i="18"/>
  <c r="F536" i="18"/>
  <c r="D536" i="18"/>
  <c r="B536" i="18"/>
  <c r="F535" i="18"/>
  <c r="D535" i="18"/>
  <c r="B535" i="18"/>
  <c r="H534" i="18"/>
  <c r="F534" i="18"/>
  <c r="D534" i="18"/>
  <c r="B534" i="18"/>
  <c r="H533" i="18"/>
  <c r="G533" i="18"/>
  <c r="F533" i="18"/>
  <c r="E533" i="18"/>
  <c r="D533" i="18"/>
  <c r="C533" i="18"/>
  <c r="B533" i="18"/>
  <c r="A533" i="18"/>
  <c r="B491" i="18"/>
  <c r="F490" i="18"/>
  <c r="D490" i="18"/>
  <c r="B490" i="18"/>
  <c r="F489" i="18"/>
  <c r="D489" i="18"/>
  <c r="B489" i="18"/>
  <c r="H488" i="18"/>
  <c r="F488" i="18"/>
  <c r="D488" i="18"/>
  <c r="B488" i="18"/>
  <c r="H487" i="18"/>
  <c r="G487" i="18"/>
  <c r="F487" i="18"/>
  <c r="E487" i="18"/>
  <c r="D487" i="18"/>
  <c r="C487" i="18"/>
  <c r="B487" i="18"/>
  <c r="A487" i="18"/>
  <c r="F467" i="18"/>
  <c r="D467" i="18"/>
  <c r="B467" i="18"/>
  <c r="F466" i="18"/>
  <c r="D466" i="18"/>
  <c r="B466" i="18"/>
  <c r="H465" i="18"/>
  <c r="F465" i="18"/>
  <c r="D465" i="18"/>
  <c r="B465" i="18"/>
  <c r="H464" i="18"/>
  <c r="G464" i="18"/>
  <c r="F464" i="18"/>
  <c r="E464" i="18"/>
  <c r="D464" i="18"/>
  <c r="C464" i="18"/>
  <c r="B464" i="18"/>
  <c r="A464" i="18"/>
  <c r="H327" i="18"/>
  <c r="F329" i="18"/>
  <c r="F328" i="18"/>
  <c r="F327" i="18"/>
  <c r="B330" i="18"/>
  <c r="D329" i="18"/>
  <c r="D328" i="18"/>
  <c r="D327" i="18"/>
  <c r="B329" i="18"/>
  <c r="B328" i="18"/>
  <c r="B327" i="18"/>
  <c r="H326" i="18"/>
  <c r="G326" i="18"/>
  <c r="F326" i="18"/>
  <c r="E326" i="18"/>
  <c r="D326" i="18"/>
  <c r="C326" i="18"/>
  <c r="B326" i="18"/>
  <c r="A326" i="18"/>
  <c r="B284" i="18"/>
  <c r="H281" i="18"/>
  <c r="F283" i="18"/>
  <c r="F282" i="18"/>
  <c r="F281" i="18"/>
  <c r="D283" i="18"/>
  <c r="D282" i="18"/>
  <c r="D281" i="18"/>
  <c r="B283" i="18"/>
  <c r="B282" i="18"/>
  <c r="B281" i="18"/>
  <c r="H280" i="18"/>
  <c r="G280" i="18"/>
  <c r="F280" i="18"/>
  <c r="E280" i="18"/>
  <c r="D280" i="18"/>
  <c r="C280" i="18"/>
  <c r="B280" i="18"/>
  <c r="A280" i="18"/>
  <c r="B192" i="18"/>
  <c r="H189" i="18"/>
  <c r="F191" i="18"/>
  <c r="F190" i="18"/>
  <c r="F189" i="18"/>
  <c r="D191" i="18"/>
  <c r="D190" i="18"/>
  <c r="D189" i="18"/>
  <c r="B191" i="18"/>
  <c r="B190" i="18"/>
  <c r="B189" i="18"/>
  <c r="H188" i="18"/>
  <c r="G188" i="18"/>
  <c r="F188" i="18"/>
  <c r="E188" i="18"/>
  <c r="D188" i="18"/>
  <c r="C188" i="18"/>
  <c r="B188" i="18"/>
  <c r="A188" i="18"/>
  <c r="B146" i="18"/>
  <c r="H143" i="18"/>
  <c r="F145" i="18"/>
  <c r="F144" i="18"/>
  <c r="F143" i="18"/>
  <c r="D145" i="18"/>
  <c r="D144" i="18"/>
  <c r="D143" i="18"/>
  <c r="B145" i="18"/>
  <c r="B144" i="18"/>
  <c r="B143" i="18"/>
  <c r="H142" i="18"/>
  <c r="G142" i="18"/>
  <c r="F142" i="18"/>
  <c r="E142" i="18"/>
  <c r="D142" i="18"/>
  <c r="C142" i="18"/>
  <c r="B142" i="18"/>
  <c r="A142" i="18"/>
  <c r="F6" i="18"/>
  <c r="D7" i="18"/>
  <c r="B54" i="18"/>
  <c r="B50" i="18"/>
  <c r="F4" i="18"/>
  <c r="B8" i="18"/>
  <c r="H5" i="18"/>
  <c r="F7" i="18"/>
  <c r="F5" i="18"/>
  <c r="D6" i="18"/>
  <c r="D5" i="18"/>
  <c r="B7" i="18"/>
  <c r="B6" i="18"/>
  <c r="B5" i="18"/>
  <c r="R1" i="1"/>
  <c r="D99" i="6"/>
  <c r="D100" i="6"/>
  <c r="C100" i="6"/>
  <c r="B100" i="6"/>
  <c r="A100" i="6"/>
  <c r="C99" i="6"/>
  <c r="B99" i="6"/>
  <c r="A99" i="6"/>
  <c r="C98" i="6"/>
  <c r="B98" i="6"/>
  <c r="A98" i="6"/>
  <c r="C97" i="6"/>
  <c r="B97" i="6"/>
  <c r="A97" i="6"/>
  <c r="C96" i="6"/>
  <c r="B96" i="6"/>
  <c r="A96" i="6"/>
  <c r="C95" i="6"/>
  <c r="B95" i="6"/>
  <c r="A95" i="6"/>
  <c r="C94" i="6"/>
  <c r="B94" i="6"/>
  <c r="A94" i="6"/>
  <c r="C93" i="6"/>
  <c r="B93" i="6"/>
  <c r="A93" i="6"/>
  <c r="C92" i="6"/>
  <c r="B92" i="6"/>
  <c r="A92" i="6"/>
  <c r="C91" i="6"/>
  <c r="B91" i="6"/>
  <c r="A91" i="6"/>
  <c r="C90" i="6"/>
  <c r="B90" i="6"/>
  <c r="A90" i="6"/>
  <c r="C89" i="6"/>
  <c r="B89" i="6"/>
  <c r="A89" i="6"/>
  <c r="C88" i="6"/>
  <c r="B88" i="6"/>
  <c r="A88" i="6"/>
  <c r="C87" i="6"/>
  <c r="B87" i="6"/>
  <c r="A87" i="6"/>
  <c r="C86" i="6"/>
  <c r="B86" i="6"/>
  <c r="A86" i="6"/>
  <c r="C85" i="6"/>
  <c r="B85" i="6"/>
  <c r="A85" i="6"/>
  <c r="C84" i="6"/>
  <c r="B84" i="6"/>
  <c r="A84" i="6"/>
  <c r="C83" i="6"/>
  <c r="B83" i="6"/>
  <c r="A83" i="6"/>
  <c r="C82" i="6"/>
  <c r="B82" i="6"/>
  <c r="A82" i="6"/>
  <c r="C81" i="6"/>
  <c r="B81" i="6"/>
  <c r="A81" i="6"/>
  <c r="C80" i="6"/>
  <c r="B80" i="6"/>
  <c r="A80" i="6"/>
  <c r="C79" i="6"/>
  <c r="B79" i="6"/>
  <c r="A79" i="6"/>
  <c r="C78" i="6"/>
  <c r="B78" i="6"/>
  <c r="A78" i="6"/>
  <c r="C77" i="6"/>
  <c r="B77" i="6"/>
  <c r="A77" i="6"/>
  <c r="C76" i="6"/>
  <c r="B76" i="6"/>
  <c r="A76" i="6"/>
  <c r="C75" i="6"/>
  <c r="B75" i="6"/>
  <c r="A75" i="6"/>
  <c r="C74" i="6"/>
  <c r="B74" i="6"/>
  <c r="A74" i="6"/>
  <c r="C73" i="6"/>
  <c r="B73" i="6"/>
  <c r="A73" i="6"/>
  <c r="C72" i="6"/>
  <c r="B72" i="6"/>
  <c r="A72" i="6"/>
  <c r="C71" i="6"/>
  <c r="B71" i="6"/>
  <c r="A71" i="6"/>
  <c r="C70" i="6"/>
  <c r="B70" i="6"/>
  <c r="A70" i="6"/>
  <c r="C69" i="6"/>
  <c r="B69" i="6"/>
  <c r="A69" i="6"/>
  <c r="C68" i="6"/>
  <c r="B68" i="6"/>
  <c r="A68" i="6"/>
  <c r="C67" i="6"/>
  <c r="B67" i="6"/>
  <c r="A67" i="6"/>
  <c r="C66" i="6"/>
  <c r="B66" i="6"/>
  <c r="A66" i="6"/>
  <c r="C65" i="6"/>
  <c r="B65" i="6"/>
  <c r="A65" i="6"/>
  <c r="C64" i="6"/>
  <c r="B64" i="6"/>
  <c r="A64" i="6"/>
  <c r="C63" i="6"/>
  <c r="B63" i="6"/>
  <c r="A63" i="6"/>
  <c r="C62" i="6"/>
  <c r="B62" i="6"/>
  <c r="A62" i="6"/>
  <c r="C61" i="6"/>
  <c r="B61" i="6"/>
  <c r="A61" i="6"/>
  <c r="C60" i="6"/>
  <c r="B60" i="6"/>
  <c r="A60" i="6"/>
  <c r="C59" i="6"/>
  <c r="B59" i="6"/>
  <c r="A59" i="6"/>
  <c r="C58" i="6"/>
  <c r="B58" i="6"/>
  <c r="A58" i="6"/>
  <c r="C57" i="6"/>
  <c r="B57" i="6"/>
  <c r="A57" i="6"/>
  <c r="C56" i="6"/>
  <c r="B56" i="6"/>
  <c r="A56" i="6"/>
  <c r="C55" i="6"/>
  <c r="B55" i="6"/>
  <c r="A55" i="6"/>
  <c r="C54" i="6"/>
  <c r="B54" i="6"/>
  <c r="A54" i="6"/>
  <c r="C53" i="6"/>
  <c r="B53" i="6"/>
  <c r="A53" i="6"/>
  <c r="C52" i="6"/>
  <c r="B52" i="6"/>
  <c r="A52" i="6"/>
  <c r="C51" i="6"/>
  <c r="B51" i="6"/>
  <c r="A51" i="6"/>
  <c r="C50" i="6"/>
  <c r="B50" i="6"/>
  <c r="A50" i="6"/>
  <c r="C49" i="6"/>
  <c r="B49" i="6"/>
  <c r="A49" i="6"/>
  <c r="C48" i="6"/>
  <c r="B48" i="6"/>
  <c r="A48" i="6"/>
  <c r="C47" i="6"/>
  <c r="B47" i="6"/>
  <c r="A47" i="6"/>
  <c r="C46" i="6"/>
  <c r="B46" i="6"/>
  <c r="A46" i="6"/>
  <c r="C45" i="6"/>
  <c r="B45" i="6"/>
  <c r="A45" i="6"/>
  <c r="C44" i="6"/>
  <c r="B44" i="6"/>
  <c r="A44" i="6"/>
  <c r="C43" i="6"/>
  <c r="B43" i="6"/>
  <c r="A43" i="6"/>
  <c r="C42" i="6"/>
  <c r="B42" i="6"/>
  <c r="A42" i="6"/>
  <c r="C41" i="6"/>
  <c r="B41" i="6"/>
  <c r="A41" i="6"/>
  <c r="C40" i="6"/>
  <c r="B40" i="6"/>
  <c r="A40" i="6"/>
  <c r="C39" i="6"/>
  <c r="B39" i="6"/>
  <c r="A39" i="6"/>
  <c r="C38" i="6"/>
  <c r="B38" i="6"/>
  <c r="A38" i="6"/>
  <c r="C37" i="6"/>
  <c r="B37" i="6"/>
  <c r="A37" i="6"/>
  <c r="C36" i="6"/>
  <c r="B36" i="6"/>
  <c r="A36" i="6"/>
  <c r="C35" i="6"/>
  <c r="B35" i="6"/>
  <c r="A35" i="6"/>
  <c r="C34" i="6"/>
  <c r="B34" i="6"/>
  <c r="A34" i="6"/>
  <c r="C33" i="6"/>
  <c r="B33" i="6"/>
  <c r="A33" i="6"/>
  <c r="C32" i="6"/>
  <c r="B32" i="6"/>
  <c r="A32" i="6"/>
  <c r="C31" i="6"/>
  <c r="B31" i="6"/>
  <c r="A31" i="6"/>
  <c r="C30" i="6"/>
  <c r="B30" i="6"/>
  <c r="A30" i="6"/>
  <c r="C29" i="6"/>
  <c r="B29" i="6"/>
  <c r="A29" i="6"/>
  <c r="C28" i="6"/>
  <c r="B28" i="6"/>
  <c r="A28" i="6"/>
  <c r="C27" i="6"/>
  <c r="B27" i="6"/>
  <c r="A27" i="6"/>
  <c r="C26" i="6"/>
  <c r="B26" i="6"/>
  <c r="A26" i="6"/>
  <c r="C25" i="6"/>
  <c r="B25" i="6"/>
  <c r="A25" i="6"/>
  <c r="C24" i="6"/>
  <c r="B24" i="6"/>
  <c r="A24" i="6"/>
  <c r="C23" i="6"/>
  <c r="B23" i="6"/>
  <c r="A23" i="6"/>
  <c r="C22" i="6"/>
  <c r="B22" i="6"/>
  <c r="A22" i="6"/>
  <c r="C21" i="6"/>
  <c r="B21" i="6"/>
  <c r="A21" i="6"/>
  <c r="C20" i="6"/>
  <c r="B20" i="6"/>
  <c r="A20" i="6"/>
  <c r="C19" i="6"/>
  <c r="B19" i="6"/>
  <c r="A19" i="6"/>
  <c r="C18" i="6"/>
  <c r="B18" i="6"/>
  <c r="A18" i="6"/>
  <c r="F1121" i="18"/>
  <c r="F960" i="18"/>
  <c r="F454" i="18"/>
  <c r="F201" i="18"/>
  <c r="D1190" i="18"/>
  <c r="D1167" i="18"/>
  <c r="D1121" i="18"/>
  <c r="D1075" i="18"/>
  <c r="D1006" i="18"/>
  <c r="D983" i="18"/>
  <c r="D937" i="18"/>
  <c r="D914" i="18"/>
  <c r="D891" i="18"/>
  <c r="D822" i="18"/>
  <c r="D799" i="18"/>
  <c r="D753" i="18"/>
  <c r="D707" i="18"/>
  <c r="D638" i="18"/>
  <c r="D615" i="18"/>
  <c r="D569" i="18"/>
  <c r="D523" i="18"/>
  <c r="D500" i="18"/>
  <c r="D454" i="18"/>
  <c r="D431" i="18"/>
  <c r="D385" i="18"/>
  <c r="D339" i="18"/>
  <c r="D270" i="18"/>
  <c r="D247" i="18"/>
  <c r="D201" i="18"/>
  <c r="D155" i="18"/>
  <c r="D86" i="18"/>
  <c r="D63" i="18"/>
  <c r="D40" i="18"/>
  <c r="D17" i="18"/>
  <c r="B17" i="18"/>
  <c r="B1236" i="18"/>
  <c r="B1190" i="18"/>
  <c r="B1167" i="18"/>
  <c r="B1144" i="18"/>
  <c r="B1121" i="18"/>
  <c r="B1075" i="18"/>
  <c r="B1052" i="18"/>
  <c r="B1006" i="18"/>
  <c r="B960" i="18"/>
  <c r="B891" i="18"/>
  <c r="B868" i="18"/>
  <c r="B822" i="18"/>
  <c r="B776" i="18"/>
  <c r="B753" i="18"/>
  <c r="B707" i="18"/>
  <c r="B684" i="18"/>
  <c r="B638" i="18"/>
  <c r="B592" i="18"/>
  <c r="B523" i="18"/>
  <c r="B500" i="18"/>
  <c r="B454" i="18"/>
  <c r="B408" i="18"/>
  <c r="B385" i="18"/>
  <c r="B339" i="18"/>
  <c r="B316" i="18"/>
  <c r="B270" i="18"/>
  <c r="B224" i="18"/>
  <c r="B155" i="18"/>
  <c r="B132" i="18"/>
  <c r="B86" i="18"/>
  <c r="B40" i="18"/>
  <c r="B100" i="16"/>
  <c r="A100" i="16"/>
  <c r="B99" i="16"/>
  <c r="A99" i="16"/>
  <c r="B98" i="16"/>
  <c r="A98" i="16"/>
  <c r="B97" i="16"/>
  <c r="A97" i="16"/>
  <c r="B96" i="16"/>
  <c r="A96" i="16"/>
  <c r="B95" i="16"/>
  <c r="A95" i="16"/>
  <c r="B94" i="16"/>
  <c r="A94" i="16"/>
  <c r="B93" i="16"/>
  <c r="A93" i="16"/>
  <c r="B92" i="16"/>
  <c r="A92" i="16"/>
  <c r="B91" i="16"/>
  <c r="A91" i="16"/>
  <c r="B90" i="16"/>
  <c r="A90" i="16"/>
  <c r="B89" i="16"/>
  <c r="A89" i="16"/>
  <c r="B88" i="16"/>
  <c r="A88" i="16"/>
  <c r="B87" i="16"/>
  <c r="A87" i="16"/>
  <c r="B86" i="16"/>
  <c r="A86" i="16"/>
  <c r="B85" i="16"/>
  <c r="A85" i="16"/>
  <c r="B84" i="16"/>
  <c r="A84" i="16"/>
  <c r="B83" i="16"/>
  <c r="A83" i="16"/>
  <c r="B82" i="16"/>
  <c r="A82" i="16"/>
  <c r="B81" i="16"/>
  <c r="A81" i="16"/>
  <c r="B80" i="16"/>
  <c r="A80" i="16"/>
  <c r="B79" i="16"/>
  <c r="A79" i="16"/>
  <c r="B78" i="16"/>
  <c r="A78" i="16"/>
  <c r="B77" i="16"/>
  <c r="A77" i="16"/>
  <c r="B76" i="16"/>
  <c r="A76" i="16"/>
  <c r="B75" i="16"/>
  <c r="A75" i="16"/>
  <c r="B74" i="16"/>
  <c r="A74" i="16"/>
  <c r="B73" i="16"/>
  <c r="A73" i="16"/>
  <c r="B72" i="16"/>
  <c r="A72" i="16"/>
  <c r="B71" i="16"/>
  <c r="A71" i="16"/>
  <c r="B70" i="16"/>
  <c r="A70" i="16"/>
  <c r="B69" i="16"/>
  <c r="A69" i="16"/>
  <c r="B68" i="16"/>
  <c r="A68" i="16"/>
  <c r="B67" i="16"/>
  <c r="A67" i="16"/>
  <c r="B66" i="16"/>
  <c r="A66" i="16"/>
  <c r="B65" i="16"/>
  <c r="A65" i="16"/>
  <c r="B64" i="16"/>
  <c r="A64" i="16"/>
  <c r="B63" i="16"/>
  <c r="A63" i="16"/>
  <c r="B62" i="16"/>
  <c r="A62" i="16"/>
  <c r="B61" i="16"/>
  <c r="A61" i="16"/>
  <c r="B60" i="16"/>
  <c r="A60" i="16"/>
  <c r="B59" i="16"/>
  <c r="A59" i="16"/>
  <c r="B58" i="16"/>
  <c r="A58" i="16"/>
  <c r="B57" i="16"/>
  <c r="A57" i="16"/>
  <c r="B56" i="16"/>
  <c r="A56" i="16"/>
  <c r="B55" i="16"/>
  <c r="A55" i="16"/>
  <c r="B54" i="16"/>
  <c r="A54" i="16"/>
  <c r="B53" i="16"/>
  <c r="A53" i="16"/>
  <c r="B52" i="16"/>
  <c r="A52" i="16"/>
  <c r="B51" i="16"/>
  <c r="A51" i="16"/>
  <c r="B50" i="16"/>
  <c r="A50" i="16"/>
  <c r="B49" i="16"/>
  <c r="A49" i="16"/>
  <c r="B48" i="16"/>
  <c r="A48" i="16"/>
  <c r="B47" i="16"/>
  <c r="A47" i="16"/>
  <c r="B46" i="16"/>
  <c r="A46" i="16"/>
  <c r="B45" i="16"/>
  <c r="A45" i="16"/>
  <c r="B44" i="16"/>
  <c r="A44" i="16"/>
  <c r="B43" i="16"/>
  <c r="A43" i="16"/>
  <c r="B42" i="16"/>
  <c r="A42" i="16"/>
  <c r="B41" i="16"/>
  <c r="A41" i="16"/>
  <c r="B40" i="16"/>
  <c r="A40" i="16"/>
  <c r="B39" i="16"/>
  <c r="A39" i="16"/>
  <c r="B38" i="16"/>
  <c r="A38" i="16"/>
  <c r="B37" i="16"/>
  <c r="A37" i="16"/>
  <c r="B36" i="16"/>
  <c r="A36" i="16"/>
  <c r="B35" i="16"/>
  <c r="A35" i="16"/>
  <c r="B34" i="16"/>
  <c r="A34" i="16"/>
  <c r="B33" i="16"/>
  <c r="A33" i="16"/>
  <c r="B32" i="16"/>
  <c r="A32" i="16"/>
  <c r="B31" i="16"/>
  <c r="A31" i="16"/>
  <c r="B30" i="16"/>
  <c r="A30" i="16"/>
  <c r="B29" i="16"/>
  <c r="A29" i="16"/>
  <c r="B28" i="16"/>
  <c r="A28" i="16"/>
  <c r="B27" i="16"/>
  <c r="A27" i="16"/>
  <c r="B26" i="16"/>
  <c r="A26" i="16"/>
  <c r="B25" i="16"/>
  <c r="A25" i="16"/>
  <c r="B24" i="16"/>
  <c r="A24" i="16"/>
  <c r="B23" i="16"/>
  <c r="A23" i="16"/>
  <c r="B22" i="16"/>
  <c r="A22" i="16"/>
  <c r="B21" i="16"/>
  <c r="A21" i="16"/>
  <c r="B20" i="16"/>
  <c r="A20" i="16"/>
  <c r="B19" i="16"/>
  <c r="A19" i="16"/>
  <c r="B18" i="16"/>
  <c r="A18" i="16"/>
  <c r="B17" i="16"/>
  <c r="A17" i="16"/>
  <c r="B16" i="16"/>
  <c r="A16" i="16"/>
  <c r="B15" i="16"/>
  <c r="A15" i="16"/>
  <c r="B14" i="16"/>
  <c r="A14" i="16"/>
  <c r="B13" i="16"/>
  <c r="A13" i="16"/>
  <c r="B12" i="16"/>
  <c r="A12" i="16"/>
  <c r="B11" i="16"/>
  <c r="A11" i="16"/>
  <c r="B10" i="16"/>
  <c r="A10" i="16"/>
  <c r="B9" i="16"/>
  <c r="A9" i="16"/>
  <c r="B8" i="16"/>
  <c r="A8" i="16"/>
  <c r="A7" i="16"/>
  <c r="A6" i="16"/>
  <c r="B9" i="6"/>
  <c r="C9" i="6"/>
  <c r="I99" i="2"/>
  <c r="I96" i="2"/>
  <c r="I95" i="2"/>
  <c r="I94" i="2"/>
  <c r="I93" i="2"/>
  <c r="I92" i="2"/>
  <c r="I91" i="2"/>
  <c r="I90" i="2"/>
  <c r="I88" i="2"/>
  <c r="J87" i="2"/>
  <c r="I86" i="2"/>
  <c r="I78" i="2"/>
  <c r="I74" i="2"/>
  <c r="J72" i="2"/>
  <c r="J70" i="2"/>
  <c r="I65" i="2"/>
  <c r="J64" i="2"/>
  <c r="I61" i="2"/>
  <c r="I57" i="2"/>
  <c r="C1230" i="18"/>
  <c r="I54" i="2"/>
  <c r="I53" i="2"/>
  <c r="I50" i="2"/>
  <c r="I49" i="2"/>
  <c r="C1046" i="18"/>
  <c r="I46" i="2"/>
  <c r="I45" i="2"/>
  <c r="I40" i="2"/>
  <c r="D862" i="18" s="1"/>
  <c r="I38" i="2"/>
  <c r="I33" i="2"/>
  <c r="I32" i="2"/>
  <c r="I31" i="2"/>
  <c r="I30" i="2"/>
  <c r="I27" i="2"/>
  <c r="I24" i="2"/>
  <c r="I22" i="2"/>
  <c r="I16" i="2"/>
  <c r="D310" i="18"/>
  <c r="I15" i="2"/>
  <c r="I13" i="2"/>
  <c r="I11" i="2"/>
  <c r="D195" i="18" s="1"/>
  <c r="I7" i="2"/>
  <c r="D103" i="18" s="1"/>
  <c r="C80" i="18"/>
  <c r="J43" i="2"/>
  <c r="C8" i="2"/>
  <c r="B100" i="13"/>
  <c r="D100" i="13" s="1"/>
  <c r="A100" i="13"/>
  <c r="B99" i="13"/>
  <c r="D99" i="13" s="1"/>
  <c r="A99" i="13"/>
  <c r="B98" i="13"/>
  <c r="C98" i="13" s="1"/>
  <c r="A98" i="13"/>
  <c r="B97" i="13"/>
  <c r="D97" i="13"/>
  <c r="A97" i="13"/>
  <c r="B96" i="13"/>
  <c r="C96" i="13" s="1"/>
  <c r="A96" i="13"/>
  <c r="B95" i="13"/>
  <c r="C95" i="13" s="1"/>
  <c r="A95" i="13"/>
  <c r="B94" i="13"/>
  <c r="A94" i="13"/>
  <c r="B93" i="13"/>
  <c r="A93" i="13"/>
  <c r="B92" i="13"/>
  <c r="C92" i="13"/>
  <c r="A92" i="13"/>
  <c r="B91" i="13"/>
  <c r="D91" i="13" s="1"/>
  <c r="A91" i="13"/>
  <c r="B90" i="13"/>
  <c r="C90" i="13" s="1"/>
  <c r="A90" i="13"/>
  <c r="B89" i="13"/>
  <c r="C89" i="13" s="1"/>
  <c r="A89" i="13"/>
  <c r="B88" i="13"/>
  <c r="C88" i="13" s="1"/>
  <c r="A88" i="13"/>
  <c r="B87" i="13"/>
  <c r="D87" i="13" s="1"/>
  <c r="A87" i="13"/>
  <c r="B86" i="13"/>
  <c r="A86" i="13"/>
  <c r="B85" i="13"/>
  <c r="D85" i="13" s="1"/>
  <c r="A85" i="13"/>
  <c r="B84" i="13"/>
  <c r="A84" i="13"/>
  <c r="B83" i="13"/>
  <c r="D83" i="13" s="1"/>
  <c r="A83" i="13"/>
  <c r="B82" i="13"/>
  <c r="C82" i="13" s="1"/>
  <c r="A82" i="13"/>
  <c r="B81" i="13"/>
  <c r="C81" i="13" s="1"/>
  <c r="A81" i="13"/>
  <c r="B80" i="13"/>
  <c r="A80" i="13"/>
  <c r="B79" i="13"/>
  <c r="C79" i="13" s="1"/>
  <c r="A79" i="13"/>
  <c r="B78" i="13"/>
  <c r="A78" i="13"/>
  <c r="B77" i="13"/>
  <c r="D77" i="13" s="1"/>
  <c r="A77" i="13"/>
  <c r="B76" i="13"/>
  <c r="C76" i="13" s="1"/>
  <c r="A76" i="13"/>
  <c r="B75" i="13"/>
  <c r="D75" i="13" s="1"/>
  <c r="A75" i="13"/>
  <c r="B74" i="13"/>
  <c r="A74" i="13"/>
  <c r="B73" i="13"/>
  <c r="C73" i="13" s="1"/>
  <c r="A73" i="13"/>
  <c r="B72" i="13"/>
  <c r="A72" i="13"/>
  <c r="B71" i="13"/>
  <c r="A71" i="13"/>
  <c r="B70" i="13"/>
  <c r="A70" i="13"/>
  <c r="B69" i="13"/>
  <c r="C69" i="13"/>
  <c r="A69" i="13"/>
  <c r="B68" i="13"/>
  <c r="C68" i="13"/>
  <c r="A68" i="13"/>
  <c r="B67" i="13"/>
  <c r="D67" i="13" s="1"/>
  <c r="A67" i="13"/>
  <c r="B66" i="13"/>
  <c r="D66" i="13"/>
  <c r="A66" i="13"/>
  <c r="B65" i="13"/>
  <c r="C65" i="13" s="1"/>
  <c r="A65" i="13"/>
  <c r="B64" i="13"/>
  <c r="C64" i="13" s="1"/>
  <c r="A64" i="13"/>
  <c r="B63" i="13"/>
  <c r="D63" i="13" s="1"/>
  <c r="A63" i="13"/>
  <c r="B62" i="13"/>
  <c r="C62" i="13" s="1"/>
  <c r="A62" i="13"/>
  <c r="B61" i="13"/>
  <c r="C61" i="13"/>
  <c r="A61" i="13"/>
  <c r="B60" i="13"/>
  <c r="C60" i="13"/>
  <c r="A60" i="13"/>
  <c r="B59" i="13"/>
  <c r="C59" i="13"/>
  <c r="A59" i="13"/>
  <c r="B58" i="13"/>
  <c r="C58" i="13" s="1"/>
  <c r="A58" i="13"/>
  <c r="B57" i="13"/>
  <c r="C57" i="13" s="1"/>
  <c r="B1238" i="18" s="1"/>
  <c r="A57" i="13"/>
  <c r="B56" i="13"/>
  <c r="C56" i="13"/>
  <c r="B1215" i="18" s="1"/>
  <c r="A56" i="13"/>
  <c r="B55" i="13"/>
  <c r="A55" i="13"/>
  <c r="B54" i="13"/>
  <c r="A54" i="13"/>
  <c r="B53" i="13"/>
  <c r="A53" i="13"/>
  <c r="B52" i="13"/>
  <c r="D52" i="13" s="1"/>
  <c r="D1123" i="18" s="1"/>
  <c r="A52" i="13"/>
  <c r="B51" i="13"/>
  <c r="A51" i="13"/>
  <c r="B50" i="13"/>
  <c r="A50" i="13"/>
  <c r="B49" i="13"/>
  <c r="A49" i="13"/>
  <c r="B48" i="13"/>
  <c r="D48" i="13" s="1"/>
  <c r="D1031" i="18" s="1"/>
  <c r="A48" i="13"/>
  <c r="B47" i="13"/>
  <c r="C47" i="13"/>
  <c r="B1008" i="18" s="1"/>
  <c r="A47" i="13"/>
  <c r="B46" i="13"/>
  <c r="C46" i="13" s="1"/>
  <c r="B985" i="18" s="1"/>
  <c r="A46" i="13"/>
  <c r="B45" i="13"/>
  <c r="D45" i="13" s="1"/>
  <c r="D962" i="18" s="1"/>
  <c r="A45" i="13"/>
  <c r="B44" i="13"/>
  <c r="C44" i="13" s="1"/>
  <c r="B939" i="18" s="1"/>
  <c r="A44" i="13"/>
  <c r="B43" i="13"/>
  <c r="A43" i="13"/>
  <c r="B42" i="13"/>
  <c r="A42" i="13"/>
  <c r="B41" i="13"/>
  <c r="D41" i="13" s="1"/>
  <c r="D870" i="18" s="1"/>
  <c r="A41" i="13"/>
  <c r="B40" i="13"/>
  <c r="A40" i="13"/>
  <c r="B39" i="13"/>
  <c r="A39" i="13"/>
  <c r="B38" i="13"/>
  <c r="C38" i="13" s="1"/>
  <c r="B801" i="18" s="1"/>
  <c r="A38" i="13"/>
  <c r="B37" i="13"/>
  <c r="D37" i="13"/>
  <c r="D778" i="18" s="1"/>
  <c r="A37" i="13"/>
  <c r="B36" i="13"/>
  <c r="D36" i="13" s="1"/>
  <c r="D755" i="18" s="1"/>
  <c r="A36" i="13"/>
  <c r="B35" i="13"/>
  <c r="D35" i="13" s="1"/>
  <c r="D732" i="18" s="1"/>
  <c r="A35" i="13"/>
  <c r="B34" i="13"/>
  <c r="D34" i="13" s="1"/>
  <c r="D709" i="18" s="1"/>
  <c r="A34" i="13"/>
  <c r="B33" i="13"/>
  <c r="A33" i="13"/>
  <c r="B32" i="13"/>
  <c r="D32" i="13" s="1"/>
  <c r="D663" i="18" s="1"/>
  <c r="A32" i="13"/>
  <c r="B31" i="13"/>
  <c r="D31" i="13"/>
  <c r="D640" i="18" s="1"/>
  <c r="A31" i="13"/>
  <c r="B30" i="13"/>
  <c r="A30" i="13"/>
  <c r="B29" i="13"/>
  <c r="D29" i="13" s="1"/>
  <c r="D594" i="18" s="1"/>
  <c r="A29" i="13"/>
  <c r="B28" i="13"/>
  <c r="D28" i="13" s="1"/>
  <c r="D571" i="18" s="1"/>
  <c r="A28" i="13"/>
  <c r="B27" i="13"/>
  <c r="D27" i="13" s="1"/>
  <c r="D548" i="18" s="1"/>
  <c r="A27" i="13"/>
  <c r="B26" i="13"/>
  <c r="A26" i="13"/>
  <c r="B25" i="13"/>
  <c r="A25" i="13"/>
  <c r="B24" i="13"/>
  <c r="D24" i="13" s="1"/>
  <c r="D479" i="18" s="1"/>
  <c r="A24" i="13"/>
  <c r="B23" i="13"/>
  <c r="D23" i="13" s="1"/>
  <c r="D456" i="18" s="1"/>
  <c r="A23" i="13"/>
  <c r="B22" i="13"/>
  <c r="C22" i="13" s="1"/>
  <c r="B433" i="18" s="1"/>
  <c r="A22" i="13"/>
  <c r="B21" i="13"/>
  <c r="D21" i="13" s="1"/>
  <c r="D410" i="18" s="1"/>
  <c r="A21" i="13"/>
  <c r="B20" i="13"/>
  <c r="C20" i="13" s="1"/>
  <c r="B387" i="18" s="1"/>
  <c r="A20" i="13"/>
  <c r="B19" i="13"/>
  <c r="D19" i="13" s="1"/>
  <c r="D364" i="18" s="1"/>
  <c r="A19" i="13"/>
  <c r="B18" i="13"/>
  <c r="C18" i="13" s="1"/>
  <c r="B341" i="18" s="1"/>
  <c r="A18" i="13"/>
  <c r="B17" i="13"/>
  <c r="D17" i="13"/>
  <c r="D318" i="18" s="1"/>
  <c r="A17" i="13"/>
  <c r="B16" i="13"/>
  <c r="C16" i="13" s="1"/>
  <c r="B295" i="18" s="1"/>
  <c r="A16" i="13"/>
  <c r="B15" i="13"/>
  <c r="A15" i="13"/>
  <c r="B14" i="13"/>
  <c r="C14" i="13" s="1"/>
  <c r="B249" i="18" s="1"/>
  <c r="A14" i="13"/>
  <c r="B13" i="13"/>
  <c r="D13" i="13" s="1"/>
  <c r="D226" i="18" s="1"/>
  <c r="A13" i="13"/>
  <c r="B12" i="13"/>
  <c r="D12" i="13" s="1"/>
  <c r="D203" i="18" s="1"/>
  <c r="A12" i="13"/>
  <c r="B11" i="13"/>
  <c r="D11" i="13"/>
  <c r="D180" i="18" s="1"/>
  <c r="A11" i="13"/>
  <c r="B10" i="13"/>
  <c r="C10" i="13" s="1"/>
  <c r="B157" i="18" s="1"/>
  <c r="A10" i="13"/>
  <c r="B9" i="13"/>
  <c r="D9" i="13" s="1"/>
  <c r="D134" i="18" s="1"/>
  <c r="A9" i="13"/>
  <c r="B8" i="13"/>
  <c r="D8" i="13" s="1"/>
  <c r="D111" i="18" s="1"/>
  <c r="A8" i="13"/>
  <c r="A7" i="13"/>
  <c r="A6" i="13"/>
  <c r="F100" i="6"/>
  <c r="E100" i="6"/>
  <c r="G100" i="6" s="1"/>
  <c r="F99" i="6"/>
  <c r="E99" i="6"/>
  <c r="J99" i="6" s="1"/>
  <c r="M99" i="6" s="1"/>
  <c r="F98" i="6"/>
  <c r="E98" i="6"/>
  <c r="J98" i="6"/>
  <c r="K98" i="6" s="1"/>
  <c r="D98" i="6"/>
  <c r="F97" i="6"/>
  <c r="I97" i="6" s="1"/>
  <c r="E97" i="6"/>
  <c r="J97" i="6"/>
  <c r="K97" i="6" s="1"/>
  <c r="D97" i="6"/>
  <c r="F96" i="6"/>
  <c r="E96" i="6"/>
  <c r="D96" i="6"/>
  <c r="F95" i="6"/>
  <c r="E95" i="6"/>
  <c r="I95" i="6" s="1"/>
  <c r="D95" i="6"/>
  <c r="F94" i="6"/>
  <c r="G94" i="6" s="1"/>
  <c r="E94" i="6"/>
  <c r="D94" i="6"/>
  <c r="F93" i="6"/>
  <c r="E93" i="6"/>
  <c r="J93" i="6" s="1"/>
  <c r="D93" i="6"/>
  <c r="F92" i="6"/>
  <c r="E92" i="6"/>
  <c r="J92" i="6" s="1"/>
  <c r="D92" i="6"/>
  <c r="F91" i="6"/>
  <c r="E91" i="6"/>
  <c r="J91" i="6"/>
  <c r="D91" i="6"/>
  <c r="F90" i="6"/>
  <c r="E90" i="6"/>
  <c r="D90" i="6"/>
  <c r="F89" i="6"/>
  <c r="E89" i="6"/>
  <c r="J89" i="6" s="1"/>
  <c r="M89" i="6" s="1"/>
  <c r="D89" i="6"/>
  <c r="F88" i="6"/>
  <c r="E88" i="6"/>
  <c r="J88" i="6" s="1"/>
  <c r="D88" i="6"/>
  <c r="F87" i="6"/>
  <c r="G87" i="6" s="1"/>
  <c r="E87" i="6"/>
  <c r="J87" i="6" s="1"/>
  <c r="D87" i="6"/>
  <c r="F86" i="6"/>
  <c r="E86" i="6"/>
  <c r="D86" i="6"/>
  <c r="F85" i="6"/>
  <c r="E85" i="6"/>
  <c r="J85" i="6" s="1"/>
  <c r="D85" i="6"/>
  <c r="F84" i="6"/>
  <c r="E84" i="6"/>
  <c r="D84" i="6"/>
  <c r="F83" i="6"/>
  <c r="E83" i="6"/>
  <c r="J83" i="6"/>
  <c r="D83" i="6"/>
  <c r="F82" i="6"/>
  <c r="H82" i="6" s="1"/>
  <c r="E82" i="6"/>
  <c r="D82" i="6"/>
  <c r="F81" i="6"/>
  <c r="H81" i="6" s="1"/>
  <c r="E81" i="6"/>
  <c r="J81" i="6" s="1"/>
  <c r="D81" i="6"/>
  <c r="F80" i="6"/>
  <c r="E80" i="6"/>
  <c r="J80" i="6" s="1"/>
  <c r="K80" i="6" s="1"/>
  <c r="D80" i="6"/>
  <c r="F79" i="6"/>
  <c r="E79" i="6"/>
  <c r="J79" i="6" s="1"/>
  <c r="D79" i="6"/>
  <c r="F78" i="6"/>
  <c r="E78" i="6"/>
  <c r="D78" i="6"/>
  <c r="F77" i="6"/>
  <c r="E77" i="6"/>
  <c r="J77" i="6"/>
  <c r="D77" i="6"/>
  <c r="F76" i="6"/>
  <c r="E76" i="6"/>
  <c r="I76" i="6" s="1"/>
  <c r="D76" i="6"/>
  <c r="F75" i="6"/>
  <c r="E75" i="6"/>
  <c r="J75" i="6"/>
  <c r="D75" i="6"/>
  <c r="F74" i="6"/>
  <c r="E74" i="6"/>
  <c r="D74" i="6"/>
  <c r="F73" i="6"/>
  <c r="E73" i="6"/>
  <c r="D73" i="6"/>
  <c r="F72" i="6"/>
  <c r="E72" i="6"/>
  <c r="J72" i="6" s="1"/>
  <c r="K72" i="6" s="1"/>
  <c r="D72" i="6"/>
  <c r="F71" i="6"/>
  <c r="E71" i="6"/>
  <c r="J71" i="6" s="1"/>
  <c r="D71" i="6"/>
  <c r="F70" i="6"/>
  <c r="E70" i="6"/>
  <c r="J70" i="6" s="1"/>
  <c r="D70" i="6"/>
  <c r="F69" i="6"/>
  <c r="E69" i="6"/>
  <c r="J69" i="6" s="1"/>
  <c r="K69" i="6" s="1"/>
  <c r="I69" i="6"/>
  <c r="D69" i="6"/>
  <c r="F68" i="6"/>
  <c r="E68" i="6"/>
  <c r="D68" i="6"/>
  <c r="F67" i="6"/>
  <c r="E67" i="6"/>
  <c r="J67" i="6" s="1"/>
  <c r="L67" i="6" s="1"/>
  <c r="D67" i="6"/>
  <c r="F66" i="6"/>
  <c r="E66" i="6"/>
  <c r="J66" i="6" s="1"/>
  <c r="D66" i="6"/>
  <c r="F65" i="6"/>
  <c r="E65" i="6"/>
  <c r="J65" i="6"/>
  <c r="D65" i="6"/>
  <c r="F64" i="6"/>
  <c r="E64" i="6"/>
  <c r="J64" i="6" s="1"/>
  <c r="D64" i="6"/>
  <c r="F63" i="6"/>
  <c r="H63" i="6" s="1"/>
  <c r="E63" i="6"/>
  <c r="J63" i="6"/>
  <c r="M63" i="6" s="1"/>
  <c r="D63" i="6"/>
  <c r="F62" i="6"/>
  <c r="E62" i="6"/>
  <c r="D62" i="6"/>
  <c r="F61" i="6"/>
  <c r="G61" i="6" s="1"/>
  <c r="E61" i="6"/>
  <c r="J61" i="6" s="1"/>
  <c r="D61" i="6"/>
  <c r="F60" i="6"/>
  <c r="E60" i="6"/>
  <c r="J60" i="6" s="1"/>
  <c r="K60" i="6" s="1"/>
  <c r="D60" i="6"/>
  <c r="F59" i="6"/>
  <c r="E59" i="6"/>
  <c r="J59" i="6" s="1"/>
  <c r="L59" i="6"/>
  <c r="D59" i="6"/>
  <c r="F58" i="6"/>
  <c r="E58" i="6"/>
  <c r="D58" i="6"/>
  <c r="F57" i="6"/>
  <c r="E57" i="6"/>
  <c r="J57" i="6" s="1"/>
  <c r="D57" i="6"/>
  <c r="F56" i="6"/>
  <c r="E56" i="6"/>
  <c r="H56" i="6" s="1"/>
  <c r="D56" i="6"/>
  <c r="F55" i="6"/>
  <c r="E55" i="6"/>
  <c r="J55" i="6" s="1"/>
  <c r="L55" i="6" s="1"/>
  <c r="D55" i="6"/>
  <c r="F54" i="6"/>
  <c r="E54" i="6"/>
  <c r="J54" i="6" s="1"/>
  <c r="L54" i="6" s="1"/>
  <c r="D54" i="6"/>
  <c r="F53" i="6"/>
  <c r="E53" i="6"/>
  <c r="J53" i="6" s="1"/>
  <c r="D53" i="6"/>
  <c r="F52" i="6"/>
  <c r="E52" i="6"/>
  <c r="D52" i="6"/>
  <c r="F51" i="6"/>
  <c r="H51" i="6" s="1"/>
  <c r="E51" i="6"/>
  <c r="D51" i="6"/>
  <c r="F50" i="6"/>
  <c r="E50" i="6"/>
  <c r="D50" i="6"/>
  <c r="F49" i="6"/>
  <c r="E49" i="6"/>
  <c r="J49" i="6" s="1"/>
  <c r="L49" i="6" s="1"/>
  <c r="D49" i="6"/>
  <c r="F48" i="6"/>
  <c r="E48" i="6"/>
  <c r="D48" i="6"/>
  <c r="D47" i="13"/>
  <c r="D1008" i="18" s="1"/>
  <c r="D100" i="2"/>
  <c r="F100" i="2" s="1"/>
  <c r="D99" i="2"/>
  <c r="F99" i="2" s="1"/>
  <c r="D98" i="2"/>
  <c r="F98" i="2" s="1"/>
  <c r="D97" i="2"/>
  <c r="F97" i="2" s="1"/>
  <c r="D96" i="2"/>
  <c r="F96" i="2" s="1"/>
  <c r="D95" i="2"/>
  <c r="F95" i="2" s="1"/>
  <c r="D94" i="2"/>
  <c r="F94" i="2" s="1"/>
  <c r="D93" i="2"/>
  <c r="F93" i="2" s="1"/>
  <c r="D92" i="2"/>
  <c r="F92" i="2" s="1"/>
  <c r="D91" i="2"/>
  <c r="F91" i="2" s="1"/>
  <c r="D90" i="2"/>
  <c r="F90" i="2" s="1"/>
  <c r="D89" i="2"/>
  <c r="F89" i="2" s="1"/>
  <c r="D88" i="2"/>
  <c r="F88" i="2" s="1"/>
  <c r="D87" i="2"/>
  <c r="F87" i="2" s="1"/>
  <c r="D86" i="2"/>
  <c r="F86" i="2" s="1"/>
  <c r="D85" i="2"/>
  <c r="F85" i="2" s="1"/>
  <c r="D84" i="2"/>
  <c r="F84" i="2" s="1"/>
  <c r="D83" i="2"/>
  <c r="F83" i="2" s="1"/>
  <c r="D82" i="2"/>
  <c r="F82" i="2" s="1"/>
  <c r="D81" i="2"/>
  <c r="F81" i="2" s="1"/>
  <c r="D80" i="2"/>
  <c r="F80" i="2" s="1"/>
  <c r="D79" i="2"/>
  <c r="F79" i="2" s="1"/>
  <c r="D78" i="2"/>
  <c r="F78" i="2" s="1"/>
  <c r="D77" i="2"/>
  <c r="F77" i="2" s="1"/>
  <c r="D76" i="2"/>
  <c r="F76" i="2" s="1"/>
  <c r="D75" i="2"/>
  <c r="F75" i="2" s="1"/>
  <c r="D74" i="2"/>
  <c r="F74" i="2" s="1"/>
  <c r="D73" i="2"/>
  <c r="F73" i="2" s="1"/>
  <c r="D72" i="2"/>
  <c r="F72" i="2" s="1"/>
  <c r="D71" i="2"/>
  <c r="F71" i="2" s="1"/>
  <c r="D70" i="2"/>
  <c r="F70" i="2" s="1"/>
  <c r="D69" i="2"/>
  <c r="F69" i="2" s="1"/>
  <c r="D68" i="2"/>
  <c r="F68" i="2" s="1"/>
  <c r="D67" i="2"/>
  <c r="F67" i="2" s="1"/>
  <c r="D66" i="2"/>
  <c r="F66" i="2" s="1"/>
  <c r="D65" i="2"/>
  <c r="F65" i="2" s="1"/>
  <c r="D64" i="2"/>
  <c r="F64" i="2" s="1"/>
  <c r="D63" i="2"/>
  <c r="F63" i="2" s="1"/>
  <c r="D62" i="2"/>
  <c r="F62" i="2" s="1"/>
  <c r="D61" i="2"/>
  <c r="D60" i="2"/>
  <c r="F60" i="2" s="1"/>
  <c r="D59" i="2"/>
  <c r="F59" i="2" s="1"/>
  <c r="D58" i="2"/>
  <c r="F58" i="2" s="1"/>
  <c r="D57" i="2"/>
  <c r="F57" i="2" s="1"/>
  <c r="D56" i="2"/>
  <c r="F56" i="2" s="1"/>
  <c r="D55" i="2"/>
  <c r="F55" i="2" s="1"/>
  <c r="D54" i="2"/>
  <c r="F54" i="2" s="1"/>
  <c r="D53" i="2"/>
  <c r="F53" i="2" s="1"/>
  <c r="D52" i="2"/>
  <c r="F52" i="2" s="1"/>
  <c r="D51" i="2"/>
  <c r="F51" i="2" s="1"/>
  <c r="D50" i="2"/>
  <c r="F50" i="2" s="1"/>
  <c r="D49" i="2"/>
  <c r="F49" i="2" s="1"/>
  <c r="D48" i="2"/>
  <c r="F48" i="2" s="1"/>
  <c r="D47" i="2"/>
  <c r="F47" i="2" s="1"/>
  <c r="D46" i="2"/>
  <c r="F46" i="2" s="1"/>
  <c r="D45" i="2"/>
  <c r="F45" i="2" s="1"/>
  <c r="D44" i="2"/>
  <c r="F44" i="2" s="1"/>
  <c r="D43" i="2"/>
  <c r="F43" i="2" s="1"/>
  <c r="D42" i="2"/>
  <c r="F42" i="2" s="1"/>
  <c r="D41" i="2"/>
  <c r="F41" i="2" s="1"/>
  <c r="D40" i="2"/>
  <c r="F40" i="2" s="1"/>
  <c r="D39" i="2"/>
  <c r="F39" i="2" s="1"/>
  <c r="D38" i="2"/>
  <c r="F38" i="2" s="1"/>
  <c r="D37" i="2"/>
  <c r="F37" i="2" s="1"/>
  <c r="D36" i="2"/>
  <c r="F36" i="2" s="1"/>
  <c r="D35" i="2"/>
  <c r="F35" i="2" s="1"/>
  <c r="D34" i="2"/>
  <c r="F34" i="2" s="1"/>
  <c r="D33" i="2"/>
  <c r="F33" i="2" s="1"/>
  <c r="D32" i="2"/>
  <c r="F32" i="2" s="1"/>
  <c r="D31" i="2"/>
  <c r="F31" i="2" s="1"/>
  <c r="D30" i="2"/>
  <c r="F30" i="2" s="1"/>
  <c r="D29" i="2"/>
  <c r="F29" i="2" s="1"/>
  <c r="D28" i="2"/>
  <c r="F28" i="2" s="1"/>
  <c r="D27" i="2"/>
  <c r="F27" i="2" s="1"/>
  <c r="D26" i="2"/>
  <c r="F26" i="2" s="1"/>
  <c r="D25" i="2"/>
  <c r="F25" i="2" s="1"/>
  <c r="D24" i="2"/>
  <c r="F24" i="2" s="1"/>
  <c r="D23" i="2"/>
  <c r="F23" i="2" s="1"/>
  <c r="D22" i="2"/>
  <c r="F22" i="2" s="1"/>
  <c r="D21" i="2"/>
  <c r="F21" i="2" s="1"/>
  <c r="D20" i="2"/>
  <c r="F20" i="2" s="1"/>
  <c r="D19" i="2"/>
  <c r="F19" i="2" s="1"/>
  <c r="D18" i="2"/>
  <c r="F18" i="2" s="1"/>
  <c r="D17" i="2"/>
  <c r="F17" i="2" s="1"/>
  <c r="D16" i="2"/>
  <c r="F16" i="2" s="1"/>
  <c r="D15" i="2"/>
  <c r="F15" i="2" s="1"/>
  <c r="C32" i="2"/>
  <c r="C31" i="2"/>
  <c r="C30" i="2"/>
  <c r="C29" i="2"/>
  <c r="C28" i="2"/>
  <c r="C27" i="2"/>
  <c r="C26" i="2"/>
  <c r="C25" i="2"/>
  <c r="C24" i="2"/>
  <c r="C23" i="2"/>
  <c r="C22" i="2"/>
  <c r="C21" i="2"/>
  <c r="C20" i="2"/>
  <c r="C19" i="2"/>
  <c r="C18" i="2"/>
  <c r="C17" i="2"/>
  <c r="C16" i="2"/>
  <c r="C15" i="2"/>
  <c r="B32" i="2"/>
  <c r="B31" i="2"/>
  <c r="B30" i="2"/>
  <c r="B29" i="2"/>
  <c r="B28" i="2"/>
  <c r="B27" i="2"/>
  <c r="B26" i="2"/>
  <c r="B25" i="2"/>
  <c r="B24" i="2"/>
  <c r="B23" i="2"/>
  <c r="B22" i="2"/>
  <c r="B21" i="2"/>
  <c r="B20" i="2"/>
  <c r="B19" i="2"/>
  <c r="B18" i="2"/>
  <c r="B17" i="2"/>
  <c r="B16" i="2"/>
  <c r="B15" i="2"/>
  <c r="A36" i="2"/>
  <c r="A35" i="2"/>
  <c r="A34" i="2"/>
  <c r="A33" i="2"/>
  <c r="A32" i="2"/>
  <c r="A31" i="2"/>
  <c r="A30" i="2"/>
  <c r="A29" i="2"/>
  <c r="A28" i="2"/>
  <c r="A27" i="2"/>
  <c r="A26" i="2"/>
  <c r="A25" i="2"/>
  <c r="A24" i="2"/>
  <c r="A23" i="2"/>
  <c r="A22" i="2"/>
  <c r="A21" i="2"/>
  <c r="A20" i="2"/>
  <c r="A19" i="2"/>
  <c r="A18" i="2"/>
  <c r="A17" i="2"/>
  <c r="A16" i="2"/>
  <c r="A15" i="2"/>
  <c r="H1225" i="18"/>
  <c r="H1179" i="18"/>
  <c r="H1041" i="18"/>
  <c r="H949" i="18"/>
  <c r="B100" i="11"/>
  <c r="C100" i="11" s="1"/>
  <c r="B99" i="11"/>
  <c r="D99" i="11" s="1"/>
  <c r="A99" i="11"/>
  <c r="B98" i="11"/>
  <c r="C98" i="11" s="1"/>
  <c r="A98" i="11"/>
  <c r="B97" i="11"/>
  <c r="C97" i="11" s="1"/>
  <c r="A97" i="11"/>
  <c r="B96" i="11"/>
  <c r="C96" i="11"/>
  <c r="A96" i="11"/>
  <c r="B95" i="11"/>
  <c r="A95" i="11"/>
  <c r="B94" i="11"/>
  <c r="A94" i="11"/>
  <c r="B93" i="11"/>
  <c r="E93" i="11" s="1"/>
  <c r="A93" i="11"/>
  <c r="B92" i="11"/>
  <c r="A92" i="11"/>
  <c r="B91" i="11"/>
  <c r="E91" i="11" s="1"/>
  <c r="A91" i="11"/>
  <c r="B90" i="11"/>
  <c r="A90" i="11"/>
  <c r="B89" i="11"/>
  <c r="C89" i="11" s="1"/>
  <c r="A89" i="11"/>
  <c r="B88" i="11"/>
  <c r="D88" i="11" s="1"/>
  <c r="A88" i="11"/>
  <c r="B87" i="11"/>
  <c r="A87" i="11"/>
  <c r="B86" i="11"/>
  <c r="A86" i="11"/>
  <c r="B85" i="11"/>
  <c r="E85" i="11" s="1"/>
  <c r="A85" i="11"/>
  <c r="B84" i="11"/>
  <c r="C84" i="11" s="1"/>
  <c r="A84" i="11"/>
  <c r="B83" i="11"/>
  <c r="C83" i="11" s="1"/>
  <c r="A83" i="11"/>
  <c r="B82" i="11"/>
  <c r="D82" i="11" s="1"/>
  <c r="A82" i="11"/>
  <c r="B81" i="11"/>
  <c r="C81" i="11" s="1"/>
  <c r="A81" i="11"/>
  <c r="B80" i="11"/>
  <c r="A80" i="11"/>
  <c r="B79" i="11"/>
  <c r="C79" i="11" s="1"/>
  <c r="A79" i="11"/>
  <c r="B78" i="11"/>
  <c r="D78" i="11" s="1"/>
  <c r="A78" i="11"/>
  <c r="B77" i="11"/>
  <c r="E77" i="11" s="1"/>
  <c r="A77" i="11"/>
  <c r="B76" i="11"/>
  <c r="A76" i="11"/>
  <c r="B75" i="11"/>
  <c r="C75" i="11" s="1"/>
  <c r="A75" i="11"/>
  <c r="B74" i="11"/>
  <c r="E74" i="11" s="1"/>
  <c r="A74" i="11"/>
  <c r="B73" i="11"/>
  <c r="D73" i="11" s="1"/>
  <c r="A73" i="11"/>
  <c r="B72" i="11"/>
  <c r="A72" i="11"/>
  <c r="B71" i="11"/>
  <c r="C71" i="11" s="1"/>
  <c r="A71" i="11"/>
  <c r="B70" i="11"/>
  <c r="D70" i="11" s="1"/>
  <c r="A70" i="11"/>
  <c r="B69" i="11"/>
  <c r="E69" i="11" s="1"/>
  <c r="A69" i="11"/>
  <c r="B68" i="11"/>
  <c r="D68" i="11" s="1"/>
  <c r="A68" i="11"/>
  <c r="B67" i="11"/>
  <c r="A67" i="11"/>
  <c r="B66" i="11"/>
  <c r="A66" i="11"/>
  <c r="B65" i="11"/>
  <c r="D65" i="11" s="1"/>
  <c r="A65" i="11"/>
  <c r="B64" i="11"/>
  <c r="E64" i="11" s="1"/>
  <c r="A64" i="11"/>
  <c r="B63" i="11"/>
  <c r="D63" i="11" s="1"/>
  <c r="A63" i="11"/>
  <c r="B62" i="11"/>
  <c r="D62" i="11" s="1"/>
  <c r="A62" i="11"/>
  <c r="B61" i="11"/>
  <c r="E61" i="11" s="1"/>
  <c r="A61" i="11"/>
  <c r="B60" i="11"/>
  <c r="E60" i="11" s="1"/>
  <c r="A60" i="11"/>
  <c r="B59" i="11"/>
  <c r="E59" i="11" s="1"/>
  <c r="A59" i="11"/>
  <c r="B58" i="11"/>
  <c r="A58" i="11"/>
  <c r="B57" i="11"/>
  <c r="D57" i="11" s="1"/>
  <c r="D1234" i="18" s="1"/>
  <c r="A57" i="11"/>
  <c r="B56" i="11"/>
  <c r="C56" i="11" s="1"/>
  <c r="B1211" i="18" s="1"/>
  <c r="A56" i="11"/>
  <c r="B55" i="11"/>
  <c r="D55" i="11" s="1"/>
  <c r="D1188" i="18" s="1"/>
  <c r="A55" i="11"/>
  <c r="B54" i="11"/>
  <c r="D54" i="11"/>
  <c r="D1165" i="18" s="1"/>
  <c r="A54" i="11"/>
  <c r="B53" i="11"/>
  <c r="C53" i="11" s="1"/>
  <c r="B1142" i="18" s="1"/>
  <c r="A53" i="11"/>
  <c r="B52" i="11"/>
  <c r="C52" i="11" s="1"/>
  <c r="B1119" i="18" s="1"/>
  <c r="A52" i="11"/>
  <c r="B51" i="11"/>
  <c r="A51" i="11"/>
  <c r="B50" i="11"/>
  <c r="E50" i="11" s="1"/>
  <c r="F1073" i="18" s="1"/>
  <c r="A50" i="11"/>
  <c r="B49" i="11"/>
  <c r="E49" i="11" s="1"/>
  <c r="F1050" i="18" s="1"/>
  <c r="A49" i="11"/>
  <c r="B48" i="11"/>
  <c r="A48" i="11"/>
  <c r="B47" i="11"/>
  <c r="E47" i="11" s="1"/>
  <c r="F1004" i="18" s="1"/>
  <c r="A47" i="11"/>
  <c r="B46" i="11"/>
  <c r="C46" i="11" s="1"/>
  <c r="B981" i="18"/>
  <c r="A46" i="11"/>
  <c r="B45" i="11"/>
  <c r="A45" i="11"/>
  <c r="B44" i="11"/>
  <c r="A44" i="11"/>
  <c r="R100" i="2"/>
  <c r="U100" i="2" s="1"/>
  <c r="B100" i="2"/>
  <c r="R99" i="2"/>
  <c r="B99" i="2"/>
  <c r="A99" i="2"/>
  <c r="R98" i="2"/>
  <c r="B98" i="2"/>
  <c r="A98" i="2"/>
  <c r="R97" i="2"/>
  <c r="S97" i="2" s="1"/>
  <c r="B97" i="2"/>
  <c r="A97" i="2"/>
  <c r="R96" i="2"/>
  <c r="B96" i="2"/>
  <c r="A96" i="2"/>
  <c r="R95" i="2"/>
  <c r="B95" i="2"/>
  <c r="A95" i="2"/>
  <c r="R94" i="2"/>
  <c r="U94" i="2" s="1"/>
  <c r="B94" i="2"/>
  <c r="A94" i="2"/>
  <c r="R93" i="2"/>
  <c r="B93" i="2"/>
  <c r="A93" i="2"/>
  <c r="R92" i="2"/>
  <c r="B92" i="2"/>
  <c r="A92" i="2"/>
  <c r="R91" i="2"/>
  <c r="B91" i="2"/>
  <c r="A91" i="2"/>
  <c r="R90" i="2"/>
  <c r="B90" i="2"/>
  <c r="A90" i="2"/>
  <c r="R89" i="2"/>
  <c r="T89" i="2" s="1"/>
  <c r="B89" i="2"/>
  <c r="A89" i="2"/>
  <c r="R88" i="2"/>
  <c r="B88" i="2"/>
  <c r="A88" i="2"/>
  <c r="R87" i="2"/>
  <c r="B87" i="2"/>
  <c r="A87" i="2"/>
  <c r="R86" i="2"/>
  <c r="T86" i="2" s="1"/>
  <c r="B86" i="2"/>
  <c r="A86" i="2"/>
  <c r="R85" i="2"/>
  <c r="B85" i="2"/>
  <c r="A85" i="2"/>
  <c r="R84" i="2"/>
  <c r="B84" i="2"/>
  <c r="A84" i="2"/>
  <c r="R83" i="2"/>
  <c r="B83" i="2"/>
  <c r="A83" i="2"/>
  <c r="R82" i="2"/>
  <c r="B82" i="2"/>
  <c r="A82" i="2"/>
  <c r="R81" i="2"/>
  <c r="S81" i="2" s="1"/>
  <c r="B81" i="2"/>
  <c r="A81" i="2"/>
  <c r="R80" i="2"/>
  <c r="B80" i="2"/>
  <c r="A80" i="2"/>
  <c r="R79" i="2"/>
  <c r="B79" i="2"/>
  <c r="A79" i="2"/>
  <c r="R78" i="2"/>
  <c r="T78" i="2" s="1"/>
  <c r="B78" i="2"/>
  <c r="A78" i="2"/>
  <c r="R77" i="2"/>
  <c r="B77" i="2"/>
  <c r="A77" i="2"/>
  <c r="R76" i="2"/>
  <c r="B76" i="2"/>
  <c r="A76" i="2"/>
  <c r="R75" i="2"/>
  <c r="B75" i="2"/>
  <c r="A75" i="2"/>
  <c r="R74" i="2"/>
  <c r="B74" i="2"/>
  <c r="A74" i="2"/>
  <c r="R73" i="2"/>
  <c r="T73" i="2" s="1"/>
  <c r="B73" i="2"/>
  <c r="A73" i="2"/>
  <c r="R72" i="2"/>
  <c r="B72" i="2"/>
  <c r="A72" i="2"/>
  <c r="R71" i="2"/>
  <c r="B71" i="2"/>
  <c r="A71" i="2"/>
  <c r="R70" i="2"/>
  <c r="T70" i="2" s="1"/>
  <c r="B70" i="2"/>
  <c r="A70" i="2"/>
  <c r="R69" i="2"/>
  <c r="B69" i="2"/>
  <c r="A69" i="2"/>
  <c r="R68" i="2"/>
  <c r="B68" i="2"/>
  <c r="A68" i="2"/>
  <c r="R67" i="2"/>
  <c r="B67" i="2"/>
  <c r="A67" i="2"/>
  <c r="R66" i="2"/>
  <c r="B66" i="2"/>
  <c r="A66" i="2"/>
  <c r="R65" i="2"/>
  <c r="S65" i="2" s="1"/>
  <c r="B65" i="2"/>
  <c r="A65" i="2"/>
  <c r="R64" i="2"/>
  <c r="B64" i="2"/>
  <c r="A64" i="2"/>
  <c r="R63" i="2"/>
  <c r="B63" i="2"/>
  <c r="A63" i="2"/>
  <c r="R62" i="2"/>
  <c r="B62" i="2"/>
  <c r="A62" i="2"/>
  <c r="R61" i="2"/>
  <c r="B61" i="2"/>
  <c r="A61" i="2"/>
  <c r="R60" i="2"/>
  <c r="B60" i="2"/>
  <c r="A60" i="2"/>
  <c r="R59" i="2"/>
  <c r="B59" i="2"/>
  <c r="A59" i="2"/>
  <c r="R58" i="2"/>
  <c r="B58" i="2"/>
  <c r="A58" i="2"/>
  <c r="R57" i="2"/>
  <c r="T57" i="2" s="1"/>
  <c r="B57" i="2"/>
  <c r="A57" i="2"/>
  <c r="R56" i="2"/>
  <c r="A1232" i="18" s="1"/>
  <c r="B56" i="2"/>
  <c r="A56" i="2"/>
  <c r="R55" i="2"/>
  <c r="B55" i="2"/>
  <c r="A55" i="2"/>
  <c r="R54" i="2"/>
  <c r="B54" i="2"/>
  <c r="A54" i="2"/>
  <c r="R53" i="2"/>
  <c r="B53" i="2"/>
  <c r="A53" i="2"/>
  <c r="R52" i="2"/>
  <c r="T52" i="2" s="1"/>
  <c r="C1140" i="18" s="1"/>
  <c r="B52" i="2"/>
  <c r="A52" i="2"/>
  <c r="R51" i="2"/>
  <c r="B51" i="2"/>
  <c r="A51" i="2"/>
  <c r="R50" i="2"/>
  <c r="B50" i="2"/>
  <c r="A50" i="2"/>
  <c r="R49" i="2"/>
  <c r="B49" i="2"/>
  <c r="A49" i="2"/>
  <c r="R48" i="2"/>
  <c r="B48" i="2"/>
  <c r="A48" i="2"/>
  <c r="R47" i="2"/>
  <c r="B47" i="2"/>
  <c r="A47" i="2"/>
  <c r="Q1" i="1"/>
  <c r="P1" i="1"/>
  <c r="O1" i="1"/>
  <c r="N1" i="1"/>
  <c r="M1" i="1"/>
  <c r="L1" i="1"/>
  <c r="K1" i="1"/>
  <c r="J1" i="1"/>
  <c r="I1" i="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B43" i="11"/>
  <c r="B42" i="11"/>
  <c r="B41" i="11"/>
  <c r="D41" i="11" s="1"/>
  <c r="D866" i="18" s="1"/>
  <c r="B40" i="11"/>
  <c r="D40" i="11" s="1"/>
  <c r="D843" i="18" s="1"/>
  <c r="B39" i="11"/>
  <c r="E39" i="11" s="1"/>
  <c r="F820" i="18" s="1"/>
  <c r="B38" i="11"/>
  <c r="B37" i="11"/>
  <c r="B36" i="11"/>
  <c r="D36" i="11" s="1"/>
  <c r="D751" i="18" s="1"/>
  <c r="B35" i="11"/>
  <c r="C35" i="11" s="1"/>
  <c r="B728" i="18" s="1"/>
  <c r="B34" i="11"/>
  <c r="D34" i="11" s="1"/>
  <c r="D705" i="18" s="1"/>
  <c r="B33" i="11"/>
  <c r="E33" i="11" s="1"/>
  <c r="F682" i="18" s="1"/>
  <c r="B32" i="11"/>
  <c r="C32" i="11"/>
  <c r="B659" i="18" s="1"/>
  <c r="B31" i="11"/>
  <c r="E31" i="11" s="1"/>
  <c r="F636" i="18" s="1"/>
  <c r="B30" i="11"/>
  <c r="C30" i="11" s="1"/>
  <c r="B613" i="18" s="1"/>
  <c r="B29" i="11"/>
  <c r="B28" i="11"/>
  <c r="D28" i="11" s="1"/>
  <c r="D567" i="18" s="1"/>
  <c r="B27" i="11"/>
  <c r="B26" i="11"/>
  <c r="E26" i="11" s="1"/>
  <c r="F521" i="18" s="1"/>
  <c r="B25" i="11"/>
  <c r="E25" i="11" s="1"/>
  <c r="F498" i="18"/>
  <c r="B24" i="11"/>
  <c r="E24" i="11" s="1"/>
  <c r="F475" i="18" s="1"/>
  <c r="B23" i="11"/>
  <c r="C23" i="11" s="1"/>
  <c r="B452" i="18"/>
  <c r="B22" i="11"/>
  <c r="E22" i="11" s="1"/>
  <c r="F429" i="18" s="1"/>
  <c r="B21" i="11"/>
  <c r="D21" i="11" s="1"/>
  <c r="D406" i="18" s="1"/>
  <c r="B20" i="11"/>
  <c r="E20" i="11"/>
  <c r="F383" i="18" s="1"/>
  <c r="B19" i="11"/>
  <c r="C19" i="11" s="1"/>
  <c r="B360" i="18" s="1"/>
  <c r="B18" i="11"/>
  <c r="D18" i="11"/>
  <c r="D337" i="18" s="1"/>
  <c r="B17" i="11"/>
  <c r="E17" i="11" s="1"/>
  <c r="F314" i="18" s="1"/>
  <c r="B16" i="11"/>
  <c r="D16" i="11"/>
  <c r="D291" i="18" s="1"/>
  <c r="B15" i="11"/>
  <c r="C15" i="11" s="1"/>
  <c r="B268" i="18" s="1"/>
  <c r="B14" i="11"/>
  <c r="C14" i="11" s="1"/>
  <c r="B245" i="18" s="1"/>
  <c r="B13" i="11"/>
  <c r="B12" i="11"/>
  <c r="E12" i="11" s="1"/>
  <c r="F199" i="18" s="1"/>
  <c r="B11" i="11"/>
  <c r="D11" i="11" s="1"/>
  <c r="D176" i="18" s="1"/>
  <c r="B10" i="11"/>
  <c r="E10" i="11"/>
  <c r="B9" i="11"/>
  <c r="D9" i="11"/>
  <c r="D130" i="18" s="1"/>
  <c r="B8" i="11"/>
  <c r="C8" i="11" s="1"/>
  <c r="B107" i="18" s="1"/>
  <c r="F47" i="6"/>
  <c r="F46" i="6"/>
  <c r="F45" i="6"/>
  <c r="F44" i="6"/>
  <c r="F43" i="6"/>
  <c r="H43" i="6" s="1"/>
  <c r="F42" i="6"/>
  <c r="E42" i="6"/>
  <c r="F41" i="6"/>
  <c r="F40" i="6"/>
  <c r="F39" i="6"/>
  <c r="F38" i="6"/>
  <c r="F37" i="6"/>
  <c r="F36" i="6"/>
  <c r="G36" i="6" s="1"/>
  <c r="F35" i="6"/>
  <c r="F34" i="6"/>
  <c r="F33" i="6"/>
  <c r="F32" i="6"/>
  <c r="F31" i="6"/>
  <c r="F30" i="6"/>
  <c r="F29" i="6"/>
  <c r="F28" i="6"/>
  <c r="H28" i="6" s="1"/>
  <c r="F27" i="6"/>
  <c r="F26" i="6"/>
  <c r="F25" i="6"/>
  <c r="F24" i="6"/>
  <c r="F23" i="6"/>
  <c r="F22" i="6"/>
  <c r="F21" i="6"/>
  <c r="F20" i="6"/>
  <c r="G20" i="6" s="1"/>
  <c r="F19" i="6"/>
  <c r="F18" i="6"/>
  <c r="F17" i="6"/>
  <c r="F16" i="6"/>
  <c r="F15" i="6"/>
  <c r="F14" i="6"/>
  <c r="F13" i="6"/>
  <c r="F12" i="6"/>
  <c r="G12" i="6" s="1"/>
  <c r="F11" i="6"/>
  <c r="E47" i="6"/>
  <c r="J47" i="6" s="1"/>
  <c r="L47" i="6" s="1"/>
  <c r="E46" i="6"/>
  <c r="J46" i="6" s="1"/>
  <c r="E45" i="6"/>
  <c r="J45" i="6" s="1"/>
  <c r="E44" i="6"/>
  <c r="J44" i="6" s="1"/>
  <c r="E43" i="6"/>
  <c r="E41" i="6"/>
  <c r="J41" i="6" s="1"/>
  <c r="L41" i="6" s="1"/>
  <c r="E40" i="6"/>
  <c r="J40" i="6" s="1"/>
  <c r="E39" i="6"/>
  <c r="J39" i="6" s="1"/>
  <c r="E38" i="6"/>
  <c r="J38" i="6" s="1"/>
  <c r="E37" i="6"/>
  <c r="E36" i="6"/>
  <c r="E35" i="6"/>
  <c r="H35" i="6"/>
  <c r="E34" i="6"/>
  <c r="J34" i="6"/>
  <c r="L34" i="6" s="1"/>
  <c r="E33" i="6"/>
  <c r="J33" i="6"/>
  <c r="E32" i="6"/>
  <c r="E31" i="6"/>
  <c r="J31" i="6"/>
  <c r="L31" i="6" s="1"/>
  <c r="E30" i="6"/>
  <c r="J30" i="6"/>
  <c r="K30" i="6" s="1"/>
  <c r="E29" i="6"/>
  <c r="J29" i="6"/>
  <c r="E28" i="6"/>
  <c r="J28" i="6" s="1"/>
  <c r="E27" i="6"/>
  <c r="J27" i="6" s="1"/>
  <c r="L27" i="6" s="1"/>
  <c r="E26" i="6"/>
  <c r="J26" i="6" s="1"/>
  <c r="E25" i="6"/>
  <c r="J25" i="6" s="1"/>
  <c r="E24" i="6"/>
  <c r="E23" i="6"/>
  <c r="E22" i="6"/>
  <c r="E21" i="6"/>
  <c r="J21" i="6" s="1"/>
  <c r="E20" i="6"/>
  <c r="J20" i="6"/>
  <c r="L20" i="6" s="1"/>
  <c r="E19" i="6"/>
  <c r="J19" i="6"/>
  <c r="E18" i="6"/>
  <c r="E17" i="6"/>
  <c r="E16" i="6"/>
  <c r="E15" i="6"/>
  <c r="E14" i="6"/>
  <c r="E13" i="6"/>
  <c r="G13" i="6" s="1"/>
  <c r="E12" i="6"/>
  <c r="J12" i="6"/>
  <c r="L12" i="6" s="1"/>
  <c r="E11" i="6"/>
  <c r="J11" i="6" s="1"/>
  <c r="K11"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C17" i="6"/>
  <c r="C16" i="6"/>
  <c r="C15" i="6"/>
  <c r="C14" i="6"/>
  <c r="C13" i="6"/>
  <c r="C12" i="6"/>
  <c r="C11" i="6"/>
  <c r="B17" i="6"/>
  <c r="B16" i="6"/>
  <c r="B15" i="6"/>
  <c r="B14" i="6"/>
  <c r="B13" i="6"/>
  <c r="B12" i="6"/>
  <c r="B11" i="6"/>
  <c r="A17" i="6"/>
  <c r="A16" i="6"/>
  <c r="A15" i="6"/>
  <c r="A14" i="6"/>
  <c r="A13" i="6"/>
  <c r="A12" i="6"/>
  <c r="A11" i="6"/>
  <c r="B381" i="18"/>
  <c r="B335" i="18"/>
  <c r="B289" i="18"/>
  <c r="R14" i="2"/>
  <c r="R13" i="2"/>
  <c r="R12" i="2"/>
  <c r="U12" i="2" s="1"/>
  <c r="D220" i="18" s="1"/>
  <c r="R11" i="2"/>
  <c r="U11" i="2" s="1"/>
  <c r="D197" i="18" s="1"/>
  <c r="R10" i="2"/>
  <c r="C14" i="2"/>
  <c r="D14" i="2"/>
  <c r="F14" i="2" s="1"/>
  <c r="D13" i="2"/>
  <c r="F13" i="2" s="1"/>
  <c r="D12" i="2"/>
  <c r="F12" i="2" s="1"/>
  <c r="D11" i="2"/>
  <c r="F11" i="2" s="1"/>
  <c r="D10" i="2"/>
  <c r="F10" i="2" s="1"/>
  <c r="C13" i="2"/>
  <c r="C12" i="2"/>
  <c r="C11" i="2"/>
  <c r="Z11" i="2" s="1"/>
  <c r="C10" i="2"/>
  <c r="B14" i="2"/>
  <c r="B13" i="2"/>
  <c r="B12" i="2"/>
  <c r="B11" i="2"/>
  <c r="B10" i="2"/>
  <c r="A14" i="2"/>
  <c r="A13" i="2"/>
  <c r="A12" i="2"/>
  <c r="A11" i="2"/>
  <c r="A10" i="2"/>
  <c r="D82" i="18"/>
  <c r="R7" i="2"/>
  <c r="U7" i="2" s="1"/>
  <c r="D105" i="18" s="1"/>
  <c r="R8" i="2"/>
  <c r="U8" i="2" s="1"/>
  <c r="D128" i="18" s="1"/>
  <c r="R9" i="2"/>
  <c r="A358" i="18"/>
  <c r="A381" i="18"/>
  <c r="R20" i="2"/>
  <c r="S20" i="2" s="1"/>
  <c r="B404" i="18" s="1"/>
  <c r="R21" i="2"/>
  <c r="R22" i="2"/>
  <c r="R23" i="2"/>
  <c r="U23" i="2" s="1"/>
  <c r="D473" i="18" s="1"/>
  <c r="R24" i="2"/>
  <c r="U24" i="2" s="1"/>
  <c r="D496" i="18" s="1"/>
  <c r="R25" i="2"/>
  <c r="R26" i="2"/>
  <c r="U26" i="2" s="1"/>
  <c r="D542" i="18" s="1"/>
  <c r="R27" i="2"/>
  <c r="R28" i="2"/>
  <c r="A588" i="18" s="1"/>
  <c r="R29" i="2"/>
  <c r="R30" i="2"/>
  <c r="R31" i="2"/>
  <c r="S31" i="2" s="1"/>
  <c r="B657" i="18" s="1"/>
  <c r="R32" i="2"/>
  <c r="U32" i="2" s="1"/>
  <c r="D680" i="18" s="1"/>
  <c r="R33" i="2"/>
  <c r="S33" i="2" s="1"/>
  <c r="B703" i="18" s="1"/>
  <c r="R34" i="2"/>
  <c r="S34" i="2" s="1"/>
  <c r="B726" i="18" s="1"/>
  <c r="R35" i="2"/>
  <c r="R36" i="2"/>
  <c r="S36" i="2" s="1"/>
  <c r="B772" i="18" s="1"/>
  <c r="R37" i="2"/>
  <c r="R38" i="2"/>
  <c r="R39" i="2"/>
  <c r="S39" i="2" s="1"/>
  <c r="B841" i="18" s="1"/>
  <c r="R40" i="2"/>
  <c r="S40" i="2" s="1"/>
  <c r="B864" i="18" s="1"/>
  <c r="R41" i="2"/>
  <c r="S41" i="2" s="1"/>
  <c r="B887" i="18" s="1"/>
  <c r="R42" i="2"/>
  <c r="T42" i="2" s="1"/>
  <c r="R43" i="2"/>
  <c r="T43" i="2"/>
  <c r="C933" i="18" s="1"/>
  <c r="R44" i="2"/>
  <c r="R45" i="2"/>
  <c r="R46" i="2"/>
  <c r="T46" i="2" s="1"/>
  <c r="B46" i="2"/>
  <c r="A46" i="2"/>
  <c r="B45" i="2"/>
  <c r="A45" i="2"/>
  <c r="B44" i="2"/>
  <c r="A44" i="2"/>
  <c r="B43" i="2"/>
  <c r="A43" i="2"/>
  <c r="B42" i="2"/>
  <c r="A42" i="2"/>
  <c r="F10" i="6"/>
  <c r="I10" i="6" s="1"/>
  <c r="B159" i="18" s="1"/>
  <c r="E10" i="6"/>
  <c r="J10" i="6"/>
  <c r="F9" i="6"/>
  <c r="F8" i="6"/>
  <c r="D9" i="2"/>
  <c r="F9" i="2" s="1"/>
  <c r="D8" i="2"/>
  <c r="F8" i="2" s="1"/>
  <c r="D7" i="2"/>
  <c r="F7" i="2" s="1"/>
  <c r="B41" i="2"/>
  <c r="B40" i="2"/>
  <c r="B39" i="2"/>
  <c r="B38" i="2"/>
  <c r="B37" i="2"/>
  <c r="B36" i="2"/>
  <c r="B35" i="2"/>
  <c r="B34" i="2"/>
  <c r="B33" i="2"/>
  <c r="B9" i="2"/>
  <c r="B8" i="2"/>
  <c r="B7" i="2"/>
  <c r="A41" i="2"/>
  <c r="A40" i="2"/>
  <c r="A39" i="2"/>
  <c r="A38" i="2"/>
  <c r="A37" i="2"/>
  <c r="A9" i="2"/>
  <c r="A8" i="2"/>
  <c r="A7" i="2"/>
  <c r="A6" i="2"/>
  <c r="A5" i="2"/>
  <c r="C41" i="2"/>
  <c r="G41" i="2" s="1"/>
  <c r="B885" i="18" s="1"/>
  <c r="C40" i="2"/>
  <c r="C39" i="2"/>
  <c r="C38" i="2"/>
  <c r="C37" i="2"/>
  <c r="C36" i="2"/>
  <c r="Z36" i="2" s="1"/>
  <c r="C35" i="2"/>
  <c r="C34" i="2"/>
  <c r="G34" i="2" s="1"/>
  <c r="B724" i="18" s="1"/>
  <c r="C33" i="2"/>
  <c r="G33" i="2" s="1"/>
  <c r="B701" i="18" s="1"/>
  <c r="C9" i="2"/>
  <c r="C7" i="2"/>
  <c r="E9" i="6"/>
  <c r="J9" i="6"/>
  <c r="E8" i="6"/>
  <c r="D10" i="6"/>
  <c r="C10" i="6"/>
  <c r="B10" i="6"/>
  <c r="A10" i="6"/>
  <c r="D9" i="6"/>
  <c r="A9" i="6"/>
  <c r="D8" i="6"/>
  <c r="C8" i="6"/>
  <c r="B8" i="6"/>
  <c r="A8" i="6"/>
  <c r="B7" i="6"/>
  <c r="A7" i="6"/>
  <c r="B6" i="6"/>
  <c r="A6" i="6"/>
  <c r="C37" i="13"/>
  <c r="B778" i="18" s="1"/>
  <c r="C41" i="13"/>
  <c r="B870" i="18" s="1"/>
  <c r="D60" i="13"/>
  <c r="D61" i="13"/>
  <c r="D65" i="13"/>
  <c r="C67" i="13"/>
  <c r="J51" i="6"/>
  <c r="L51" i="6"/>
  <c r="D59" i="13"/>
  <c r="D64" i="13"/>
  <c r="T19" i="2"/>
  <c r="D381" i="18"/>
  <c r="K81" i="6"/>
  <c r="D42" i="11"/>
  <c r="D889" i="18" s="1"/>
  <c r="C97" i="13"/>
  <c r="C87" i="13"/>
  <c r="L89" i="6"/>
  <c r="K89" i="6"/>
  <c r="K59" i="6"/>
  <c r="H19" i="6"/>
  <c r="E44" i="11"/>
  <c r="F935" i="18" s="1"/>
  <c r="D48" i="11"/>
  <c r="D1027" i="18" s="1"/>
  <c r="C50" i="11"/>
  <c r="B1073" i="18" s="1"/>
  <c r="D60" i="11"/>
  <c r="E75" i="11"/>
  <c r="C80" i="11"/>
  <c r="D84" i="11"/>
  <c r="E86" i="11"/>
  <c r="D91" i="11"/>
  <c r="D94" i="11"/>
  <c r="E96" i="11"/>
  <c r="D100" i="11"/>
  <c r="D47" i="11"/>
  <c r="D1004" i="18" s="1"/>
  <c r="C76" i="11"/>
  <c r="E87" i="11"/>
  <c r="H36" i="6"/>
  <c r="C99" i="11"/>
  <c r="E15" i="11"/>
  <c r="F268" i="18" s="1"/>
  <c r="C21" i="11"/>
  <c r="B406" i="18" s="1"/>
  <c r="E27" i="11"/>
  <c r="F544" i="18"/>
  <c r="C41" i="11"/>
  <c r="B866" i="18" s="1"/>
  <c r="J82" i="6"/>
  <c r="L82" i="6" s="1"/>
  <c r="K49" i="6"/>
  <c r="K63" i="6"/>
  <c r="L65" i="6"/>
  <c r="K65" i="6"/>
  <c r="M67" i="6"/>
  <c r="L69" i="6"/>
  <c r="M69" i="6"/>
  <c r="G78" i="6"/>
  <c r="H86" i="6"/>
  <c r="G91" i="6"/>
  <c r="J50" i="6"/>
  <c r="L50" i="6" s="1"/>
  <c r="J62" i="6"/>
  <c r="L62" i="6" s="1"/>
  <c r="H74" i="6"/>
  <c r="H90" i="6"/>
  <c r="D71" i="13"/>
  <c r="C71" i="13"/>
  <c r="C11" i="18"/>
  <c r="M51" i="6"/>
  <c r="D1102" i="18" s="1"/>
  <c r="M65" i="6"/>
  <c r="L98" i="6"/>
  <c r="G57" i="2"/>
  <c r="G59" i="2"/>
  <c r="G65" i="2"/>
  <c r="G67" i="2"/>
  <c r="G71" i="2"/>
  <c r="G73" i="2"/>
  <c r="G75" i="2"/>
  <c r="G79" i="2"/>
  <c r="G81" i="2"/>
  <c r="G83" i="2"/>
  <c r="G87" i="2"/>
  <c r="G89" i="2"/>
  <c r="G91" i="2"/>
  <c r="G97" i="2"/>
  <c r="G99" i="2"/>
  <c r="K51" i="6"/>
  <c r="J35" i="6"/>
  <c r="G42" i="6"/>
  <c r="D44" i="11"/>
  <c r="D935" i="18" s="1"/>
  <c r="C44" i="11"/>
  <c r="B935" i="18" s="1"/>
  <c r="C45" i="11"/>
  <c r="B958" i="18" s="1"/>
  <c r="E45" i="11"/>
  <c r="F958" i="18" s="1"/>
  <c r="E48" i="11"/>
  <c r="F1027" i="18" s="1"/>
  <c r="C48" i="11"/>
  <c r="B1027" i="18" s="1"/>
  <c r="C51" i="11"/>
  <c r="B1096" i="18"/>
  <c r="E51" i="11"/>
  <c r="F1096" i="18" s="1"/>
  <c r="E52" i="11"/>
  <c r="F1119" i="18" s="1"/>
  <c r="E58" i="11"/>
  <c r="C58" i="11"/>
  <c r="C60" i="11"/>
  <c r="E62" i="11"/>
  <c r="E66" i="11"/>
  <c r="D66" i="11"/>
  <c r="C68" i="11"/>
  <c r="E68" i="11"/>
  <c r="D72" i="11"/>
  <c r="C72" i="11"/>
  <c r="D76" i="11"/>
  <c r="E76" i="11"/>
  <c r="D80" i="11"/>
  <c r="E80" i="11"/>
  <c r="C82" i="11"/>
  <c r="E83" i="11"/>
  <c r="D86" i="11"/>
  <c r="C86" i="11"/>
  <c r="D87" i="11"/>
  <c r="C87" i="11"/>
  <c r="E90" i="11"/>
  <c r="D90" i="11"/>
  <c r="D92" i="11"/>
  <c r="E92" i="11"/>
  <c r="E94" i="11"/>
  <c r="C94" i="11"/>
  <c r="C95" i="11"/>
  <c r="E95" i="11"/>
  <c r="D97" i="11"/>
  <c r="E98" i="11"/>
  <c r="C54" i="11"/>
  <c r="B1165" i="18" s="1"/>
  <c r="C90" i="11"/>
  <c r="E79" i="11"/>
  <c r="E100" i="11"/>
  <c r="D96" i="11"/>
  <c r="C92" i="11"/>
  <c r="C88" i="11"/>
  <c r="E84" i="11"/>
  <c r="E70" i="11"/>
  <c r="C57" i="11"/>
  <c r="B1234" i="18" s="1"/>
  <c r="E54" i="11"/>
  <c r="F1165" i="18" s="1"/>
  <c r="D52" i="11"/>
  <c r="D1119" i="18" s="1"/>
  <c r="D50" i="11"/>
  <c r="D1073" i="18"/>
  <c r="E46" i="11"/>
  <c r="F981" i="18"/>
  <c r="C27" i="11"/>
  <c r="B544" i="18" s="1"/>
  <c r="D27" i="11"/>
  <c r="D544" i="18"/>
  <c r="C31" i="11"/>
  <c r="B636" i="18" s="1"/>
  <c r="D31" i="11"/>
  <c r="D636" i="18" s="1"/>
  <c r="D37" i="11"/>
  <c r="D774" i="18" s="1"/>
  <c r="C37" i="11"/>
  <c r="B774" i="18" s="1"/>
  <c r="G52" i="6"/>
  <c r="J52" i="6"/>
  <c r="K52" i="6" s="1"/>
  <c r="I65" i="6"/>
  <c r="H65" i="6"/>
  <c r="J78" i="6"/>
  <c r="H78" i="6"/>
  <c r="J86" i="6"/>
  <c r="I86" i="6"/>
  <c r="J94" i="6"/>
  <c r="J100" i="6"/>
  <c r="D15" i="13"/>
  <c r="D272" i="18" s="1"/>
  <c r="C15" i="13"/>
  <c r="B272" i="18" s="1"/>
  <c r="C26" i="13"/>
  <c r="B525" i="18" s="1"/>
  <c r="D26" i="13"/>
  <c r="D525" i="18" s="1"/>
  <c r="D39" i="13"/>
  <c r="D824" i="18"/>
  <c r="C39" i="13"/>
  <c r="B824" i="18" s="1"/>
  <c r="D43" i="13"/>
  <c r="D916" i="18" s="1"/>
  <c r="C43" i="13"/>
  <c r="B916" i="18" s="1"/>
  <c r="C53" i="13"/>
  <c r="B1146" i="18"/>
  <c r="D53" i="13"/>
  <c r="D1146" i="18"/>
  <c r="I12" i="2"/>
  <c r="D218" i="18" s="1"/>
  <c r="J12" i="2"/>
  <c r="I14" i="2"/>
  <c r="J14" i="2"/>
  <c r="I20" i="2"/>
  <c r="C402" i="18"/>
  <c r="E4" i="11"/>
  <c r="F15" i="18" s="1"/>
  <c r="C4" i="11"/>
  <c r="B15" i="18" s="1"/>
  <c r="D4" i="11"/>
  <c r="J15" i="6"/>
  <c r="L15" i="6" s="1"/>
  <c r="H34" i="6"/>
  <c r="B38" i="18"/>
  <c r="D89" i="13"/>
  <c r="C85" i="13"/>
  <c r="C83" i="13"/>
  <c r="E931" i="18"/>
  <c r="I4" i="2"/>
  <c r="D34" i="18" s="1"/>
  <c r="J16" i="2"/>
  <c r="J40" i="2"/>
  <c r="C632" i="18"/>
  <c r="U46" i="2"/>
  <c r="D1002" i="18" s="1"/>
  <c r="S44" i="2"/>
  <c r="B956" i="18" s="1"/>
  <c r="U44" i="2"/>
  <c r="D956" i="18" s="1"/>
  <c r="U40" i="2"/>
  <c r="D864" i="18" s="1"/>
  <c r="T38" i="2"/>
  <c r="S38" i="2"/>
  <c r="B818" i="18" s="1"/>
  <c r="U38" i="2"/>
  <c r="D818" i="18" s="1"/>
  <c r="T32" i="2"/>
  <c r="S32" i="2"/>
  <c r="B680" i="18" s="1"/>
  <c r="T30" i="2"/>
  <c r="C634" i="18" s="1"/>
  <c r="S30" i="2"/>
  <c r="B634" i="18"/>
  <c r="U30" i="2"/>
  <c r="D634" i="18" s="1"/>
  <c r="S24" i="2"/>
  <c r="B496" i="18" s="1"/>
  <c r="U22" i="2"/>
  <c r="D450" i="18"/>
  <c r="S22" i="2"/>
  <c r="B450" i="18" s="1"/>
  <c r="U20" i="2"/>
  <c r="D404" i="18" s="1"/>
  <c r="A128" i="18"/>
  <c r="S8" i="2"/>
  <c r="B128" i="18" s="1"/>
  <c r="S11" i="2"/>
  <c r="B197" i="18" s="1"/>
  <c r="T13" i="2"/>
  <c r="S13" i="2"/>
  <c r="B243" i="18"/>
  <c r="U13" i="2"/>
  <c r="D243" i="18" s="1"/>
  <c r="S58" i="2"/>
  <c r="U58" i="2"/>
  <c r="S60" i="2"/>
  <c r="U60" i="2"/>
  <c r="T62" i="2"/>
  <c r="S62" i="2"/>
  <c r="U62" i="2"/>
  <c r="S64" i="2"/>
  <c r="U64" i="2"/>
  <c r="T66" i="2"/>
  <c r="S66" i="2"/>
  <c r="U66" i="2"/>
  <c r="S68" i="2"/>
  <c r="U68" i="2"/>
  <c r="S72" i="2"/>
  <c r="U72" i="2"/>
  <c r="S74" i="2"/>
  <c r="U74" i="2"/>
  <c r="S76" i="2"/>
  <c r="U76" i="2"/>
  <c r="S78" i="2"/>
  <c r="U78" i="2"/>
  <c r="T80" i="2"/>
  <c r="S80" i="2"/>
  <c r="U80" i="2"/>
  <c r="T82" i="2"/>
  <c r="S82" i="2"/>
  <c r="U82" i="2"/>
  <c r="T84" i="2"/>
  <c r="S84" i="2"/>
  <c r="U84" i="2"/>
  <c r="S86" i="2"/>
  <c r="U86" i="2"/>
  <c r="T88" i="2"/>
  <c r="S88" i="2"/>
  <c r="U88" i="2"/>
  <c r="S90" i="2"/>
  <c r="U90" i="2"/>
  <c r="S92" i="2"/>
  <c r="U92" i="2"/>
  <c r="S94" i="2"/>
  <c r="T96" i="2"/>
  <c r="S96" i="2"/>
  <c r="U96" i="2"/>
  <c r="S98" i="2"/>
  <c r="U98" i="2"/>
  <c r="S100" i="2"/>
  <c r="K8" i="2"/>
  <c r="F126" i="18" s="1"/>
  <c r="I8" i="2"/>
  <c r="D126" i="18" s="1"/>
  <c r="K26" i="2"/>
  <c r="I26" i="2"/>
  <c r="D540" i="18" s="1"/>
  <c r="K28" i="2"/>
  <c r="I28" i="2"/>
  <c r="D586" i="18" s="1"/>
  <c r="K36" i="2"/>
  <c r="F770" i="18" s="1"/>
  <c r="I36" i="2"/>
  <c r="D770" i="18" s="1"/>
  <c r="K44" i="2"/>
  <c r="F954" i="18" s="1"/>
  <c r="I44" i="2"/>
  <c r="D954" i="18" s="1"/>
  <c r="K48" i="2"/>
  <c r="I48" i="2"/>
  <c r="D1046" i="18" s="1"/>
  <c r="K56" i="2"/>
  <c r="I56" i="2"/>
  <c r="D1230" i="18" s="1"/>
  <c r="K58" i="2"/>
  <c r="I58" i="2"/>
  <c r="K60" i="2"/>
  <c r="I60" i="2"/>
  <c r="K62" i="2"/>
  <c r="I62" i="2"/>
  <c r="K64" i="2"/>
  <c r="I64" i="2"/>
  <c r="K68" i="2"/>
  <c r="I68" i="2"/>
  <c r="K70" i="2"/>
  <c r="I70" i="2"/>
  <c r="K72" i="2"/>
  <c r="I72" i="2"/>
  <c r="K76" i="2"/>
  <c r="I76" i="2"/>
  <c r="K80" i="2"/>
  <c r="I80" i="2"/>
  <c r="K84" i="2"/>
  <c r="I84" i="2"/>
  <c r="K100" i="2"/>
  <c r="I100" i="2"/>
  <c r="C381" i="18"/>
  <c r="J96" i="2"/>
  <c r="J82" i="2"/>
  <c r="J68" i="2"/>
  <c r="C816" i="18"/>
  <c r="C678" i="18"/>
  <c r="C494" i="18"/>
  <c r="U4" i="2"/>
  <c r="D36" i="18" s="1"/>
  <c r="B36" i="18"/>
  <c r="S45" i="2"/>
  <c r="B979" i="18" s="1"/>
  <c r="U45" i="2"/>
  <c r="D979" i="18" s="1"/>
  <c r="S43" i="2"/>
  <c r="B933" i="18" s="1"/>
  <c r="U43" i="2"/>
  <c r="U41" i="2"/>
  <c r="D887" i="18" s="1"/>
  <c r="U39" i="2"/>
  <c r="D841" i="18" s="1"/>
  <c r="T37" i="2"/>
  <c r="S37" i="2"/>
  <c r="B795" i="18" s="1"/>
  <c r="U37" i="2"/>
  <c r="S35" i="2"/>
  <c r="B749" i="18" s="1"/>
  <c r="U35" i="2"/>
  <c r="D749" i="18"/>
  <c r="S29" i="2"/>
  <c r="B611" i="18" s="1"/>
  <c r="U29" i="2"/>
  <c r="A565" i="18"/>
  <c r="S27" i="2"/>
  <c r="B565" i="18" s="1"/>
  <c r="U27" i="2"/>
  <c r="D565" i="18" s="1"/>
  <c r="S25" i="2"/>
  <c r="B519" i="18" s="1"/>
  <c r="S23" i="2"/>
  <c r="B473" i="18" s="1"/>
  <c r="T21" i="2"/>
  <c r="S21" i="2"/>
  <c r="B427" i="18" s="1"/>
  <c r="U21" i="2"/>
  <c r="S7" i="2"/>
  <c r="B105" i="18" s="1"/>
  <c r="U10" i="2"/>
  <c r="D174" i="18" s="1"/>
  <c r="S10" i="2"/>
  <c r="B174" i="18"/>
  <c r="T14" i="2"/>
  <c r="U14" i="2"/>
  <c r="D266" i="18" s="1"/>
  <c r="S14" i="2"/>
  <c r="B266" i="18" s="1"/>
  <c r="S47" i="2"/>
  <c r="B1025" i="18" s="1"/>
  <c r="U47" i="2"/>
  <c r="D1025" i="18" s="1"/>
  <c r="T48" i="2"/>
  <c r="S48" i="2"/>
  <c r="B1048" i="18" s="1"/>
  <c r="U48" i="2"/>
  <c r="D1048" i="18"/>
  <c r="T49" i="2"/>
  <c r="S49" i="2"/>
  <c r="B1071" i="18" s="1"/>
  <c r="U49" i="2"/>
  <c r="D1071" i="18"/>
  <c r="A1094" i="18"/>
  <c r="S50" i="2"/>
  <c r="B1094" i="18"/>
  <c r="U50" i="2"/>
  <c r="D1094" i="18" s="1"/>
  <c r="A1117" i="18"/>
  <c r="S51" i="2"/>
  <c r="B1117" i="18" s="1"/>
  <c r="U51" i="2"/>
  <c r="D1117" i="18" s="1"/>
  <c r="U52" i="2"/>
  <c r="D1140" i="18" s="1"/>
  <c r="S53" i="2"/>
  <c r="B1163" i="18" s="1"/>
  <c r="U53" i="2"/>
  <c r="D1163" i="18" s="1"/>
  <c r="A1186" i="18"/>
  <c r="S54" i="2"/>
  <c r="B1186" i="18" s="1"/>
  <c r="U54" i="2"/>
  <c r="D1186" i="18" s="1"/>
  <c r="S55" i="2"/>
  <c r="B1209" i="18" s="1"/>
  <c r="U55" i="2"/>
  <c r="D1209" i="18" s="1"/>
  <c r="S56" i="2"/>
  <c r="B1232" i="18" s="1"/>
  <c r="U56" i="2"/>
  <c r="D1232" i="18" s="1"/>
  <c r="S59" i="2"/>
  <c r="U59" i="2"/>
  <c r="S61" i="2"/>
  <c r="U61" i="2"/>
  <c r="S63" i="2"/>
  <c r="U63" i="2"/>
  <c r="S67" i="2"/>
  <c r="U67" i="2"/>
  <c r="S69" i="2"/>
  <c r="U69" i="2"/>
  <c r="S75" i="2"/>
  <c r="U75" i="2"/>
  <c r="S77" i="2"/>
  <c r="U77" i="2"/>
  <c r="T83" i="2"/>
  <c r="S83" i="2"/>
  <c r="U83" i="2"/>
  <c r="S85" i="2"/>
  <c r="U85" i="2"/>
  <c r="D588" i="18" s="1"/>
  <c r="S87" i="2"/>
  <c r="T91" i="2"/>
  <c r="S91" i="2"/>
  <c r="U91" i="2"/>
  <c r="S93" i="2"/>
  <c r="U93" i="2"/>
  <c r="T99" i="2"/>
  <c r="S99" i="2"/>
  <c r="U99" i="2"/>
  <c r="K9" i="2"/>
  <c r="F149" i="18" s="1"/>
  <c r="I9" i="2"/>
  <c r="D149" i="18" s="1"/>
  <c r="K17" i="2"/>
  <c r="F333" i="18" s="1"/>
  <c r="I17" i="2"/>
  <c r="K19" i="2"/>
  <c r="F379" i="18" s="1"/>
  <c r="I19" i="2"/>
  <c r="D379" i="18" s="1"/>
  <c r="K21" i="2"/>
  <c r="F425" i="18" s="1"/>
  <c r="I21" i="2"/>
  <c r="D425" i="18" s="1"/>
  <c r="K23" i="2"/>
  <c r="I23" i="2"/>
  <c r="D471" i="18" s="1"/>
  <c r="K25" i="2"/>
  <c r="F517" i="18" s="1"/>
  <c r="I25" i="2"/>
  <c r="K29" i="2"/>
  <c r="I29" i="2"/>
  <c r="D609" i="18"/>
  <c r="K35" i="2"/>
  <c r="I35" i="2"/>
  <c r="D747" i="18" s="1"/>
  <c r="K37" i="2"/>
  <c r="I37" i="2"/>
  <c r="K39" i="2"/>
  <c r="I39" i="2"/>
  <c r="D839" i="18"/>
  <c r="K41" i="2"/>
  <c r="I41" i="2"/>
  <c r="D885" i="18" s="1"/>
  <c r="K43" i="2"/>
  <c r="F931" i="18" s="1"/>
  <c r="I43" i="2"/>
  <c r="D931" i="18"/>
  <c r="I47" i="2"/>
  <c r="D1023" i="18" s="1"/>
  <c r="I51" i="2"/>
  <c r="D1115" i="18" s="1"/>
  <c r="I55" i="2"/>
  <c r="D1207" i="18" s="1"/>
  <c r="K59" i="2"/>
  <c r="I59" i="2"/>
  <c r="K63" i="2"/>
  <c r="I63" i="2"/>
  <c r="K67" i="2"/>
  <c r="I67" i="2"/>
  <c r="K69" i="2"/>
  <c r="I69" i="2"/>
  <c r="K71" i="2"/>
  <c r="I71" i="2"/>
  <c r="K73" i="2"/>
  <c r="I73" i="2"/>
  <c r="K75" i="2"/>
  <c r="I75" i="2"/>
  <c r="K77" i="2"/>
  <c r="I77" i="2"/>
  <c r="K79" i="2"/>
  <c r="I79" i="2"/>
  <c r="K81" i="2"/>
  <c r="I81" i="2"/>
  <c r="K83" i="2"/>
  <c r="I83" i="2"/>
  <c r="K85" i="2"/>
  <c r="I85" i="2"/>
  <c r="K87" i="2"/>
  <c r="I87" i="2"/>
  <c r="K89" i="2"/>
  <c r="I89" i="2"/>
  <c r="K97" i="2"/>
  <c r="I97" i="2"/>
  <c r="J59" i="2"/>
  <c r="T58" i="2"/>
  <c r="T77" i="2"/>
  <c r="J79" i="2"/>
  <c r="A174" i="18"/>
  <c r="T27" i="2"/>
  <c r="J83" i="2"/>
  <c r="J63" i="2"/>
  <c r="Z3" i="2"/>
  <c r="Z4" i="2"/>
  <c r="Z35" i="2"/>
  <c r="Z37" i="2"/>
  <c r="A126" i="18"/>
  <c r="Z13" i="2"/>
  <c r="A195" i="18"/>
  <c r="A241" i="18"/>
  <c r="G13" i="2"/>
  <c r="B241" i="18" s="1"/>
  <c r="Z14" i="2"/>
  <c r="Z15" i="2"/>
  <c r="Z17" i="2"/>
  <c r="Z19" i="2"/>
  <c r="Z21" i="2"/>
  <c r="Z23" i="2"/>
  <c r="Z25" i="2"/>
  <c r="Z27" i="2"/>
  <c r="Z29" i="2"/>
  <c r="Z31" i="2"/>
  <c r="A287" i="18"/>
  <c r="G15" i="2"/>
  <c r="B287" i="18" s="1"/>
  <c r="A333" i="18"/>
  <c r="G17" i="2"/>
  <c r="B333" i="18" s="1"/>
  <c r="G19" i="2"/>
  <c r="B379" i="18" s="1"/>
  <c r="A425" i="18"/>
  <c r="G21" i="2"/>
  <c r="B425" i="18" s="1"/>
  <c r="A471" i="18"/>
  <c r="G23" i="2"/>
  <c r="B471" i="18" s="1"/>
  <c r="A517" i="18"/>
  <c r="G25" i="2"/>
  <c r="B517" i="18" s="1"/>
  <c r="A563" i="18"/>
  <c r="G27" i="2"/>
  <c r="A609" i="18"/>
  <c r="G29" i="2"/>
  <c r="B609" i="18" s="1"/>
  <c r="A655" i="18"/>
  <c r="G31" i="2"/>
  <c r="B655" i="18" s="1"/>
  <c r="A701" i="18"/>
  <c r="A747" i="18"/>
  <c r="G35" i="2"/>
  <c r="B747" i="18" s="1"/>
  <c r="A793" i="18"/>
  <c r="G37" i="2"/>
  <c r="A839" i="18"/>
  <c r="A885" i="18"/>
  <c r="A931" i="18"/>
  <c r="G43" i="2"/>
  <c r="B931" i="18" s="1"/>
  <c r="A977" i="18"/>
  <c r="G45" i="2"/>
  <c r="B977" i="18" s="1"/>
  <c r="A1023" i="18"/>
  <c r="G47" i="2"/>
  <c r="B1023" i="18" s="1"/>
  <c r="A1069" i="18"/>
  <c r="G49" i="2"/>
  <c r="B1069" i="18" s="1"/>
  <c r="A1115" i="18"/>
  <c r="G51" i="2"/>
  <c r="B1115" i="18" s="1"/>
  <c r="A1161" i="18"/>
  <c r="G53" i="2"/>
  <c r="B1161" i="18" s="1"/>
  <c r="A1207" i="18"/>
  <c r="G55" i="2"/>
  <c r="B1207" i="18" s="1"/>
  <c r="Z8" i="2"/>
  <c r="K7" i="2"/>
  <c r="F103" i="18" s="1"/>
  <c r="J11" i="2"/>
  <c r="K11" i="2"/>
  <c r="D241" i="18"/>
  <c r="K13" i="2"/>
  <c r="F241" i="18" s="1"/>
  <c r="K15" i="2"/>
  <c r="J27" i="2"/>
  <c r="E563" i="18" s="1"/>
  <c r="K27" i="2"/>
  <c r="F563" i="18" s="1"/>
  <c r="C655" i="18"/>
  <c r="K31" i="2"/>
  <c r="K33" i="2"/>
  <c r="C977" i="18"/>
  <c r="K45" i="2"/>
  <c r="F977" i="18" s="1"/>
  <c r="C1023" i="18"/>
  <c r="K47" i="2"/>
  <c r="F1023" i="18" s="1"/>
  <c r="J49" i="2"/>
  <c r="K49" i="2"/>
  <c r="F1069" i="18" s="1"/>
  <c r="C1115" i="18"/>
  <c r="K51" i="2"/>
  <c r="J53" i="2"/>
  <c r="K53" i="2"/>
  <c r="C1207" i="18"/>
  <c r="K55" i="2"/>
  <c r="K57" i="2"/>
  <c r="J61" i="2"/>
  <c r="K61" i="2"/>
  <c r="K65" i="2"/>
  <c r="J91" i="2"/>
  <c r="K91" i="2"/>
  <c r="K93" i="2"/>
  <c r="J95" i="2"/>
  <c r="K95" i="2"/>
  <c r="J99" i="2"/>
  <c r="K99" i="2"/>
  <c r="Z42" i="2"/>
  <c r="Z44" i="2"/>
  <c r="Z46" i="2"/>
  <c r="Z48" i="2"/>
  <c r="Z50" i="2"/>
  <c r="Z52" i="2"/>
  <c r="Z54" i="2"/>
  <c r="Z56" i="2"/>
  <c r="Z58" i="2"/>
  <c r="Z60" i="2"/>
  <c r="Z62" i="2"/>
  <c r="Z64" i="2"/>
  <c r="Z66" i="2"/>
  <c r="Z68" i="2"/>
  <c r="Z70" i="2"/>
  <c r="Z72" i="2"/>
  <c r="Z74" i="2"/>
  <c r="Z76" i="2"/>
  <c r="Z78" i="2"/>
  <c r="Z80" i="2"/>
  <c r="Z82" i="2"/>
  <c r="Z84" i="2"/>
  <c r="Z86" i="2"/>
  <c r="Z88" i="2"/>
  <c r="Z90" i="2"/>
  <c r="Z92" i="2"/>
  <c r="Z94" i="2"/>
  <c r="Z96" i="2"/>
  <c r="Z98" i="2"/>
  <c r="Z100" i="2"/>
  <c r="T56" i="2"/>
  <c r="T61" i="2"/>
  <c r="T67" i="2"/>
  <c r="T68" i="2"/>
  <c r="A379" i="18"/>
  <c r="Z9" i="2"/>
  <c r="Z34" i="2"/>
  <c r="Z38" i="2"/>
  <c r="Z40" i="2"/>
  <c r="A103" i="18"/>
  <c r="A149" i="18"/>
  <c r="G9" i="2"/>
  <c r="B149" i="18" s="1"/>
  <c r="Z10" i="2"/>
  <c r="Z12" i="2"/>
  <c r="G10" i="2"/>
  <c r="B172" i="18" s="1"/>
  <c r="A218" i="18"/>
  <c r="G12" i="2"/>
  <c r="B218" i="18" s="1"/>
  <c r="Z16" i="2"/>
  <c r="Z18" i="2"/>
  <c r="Z20" i="2"/>
  <c r="Z22" i="2"/>
  <c r="Z24" i="2"/>
  <c r="Z26" i="2"/>
  <c r="Z28" i="2"/>
  <c r="Z30" i="2"/>
  <c r="Z32" i="2"/>
  <c r="A310" i="18"/>
  <c r="G16" i="2"/>
  <c r="B310" i="18" s="1"/>
  <c r="A356" i="18"/>
  <c r="G18" i="2"/>
  <c r="B356" i="18" s="1"/>
  <c r="A402" i="18"/>
  <c r="G20" i="2"/>
  <c r="B402" i="18" s="1"/>
  <c r="A448" i="18"/>
  <c r="G22" i="2"/>
  <c r="B448" i="18" s="1"/>
  <c r="A494" i="18"/>
  <c r="G24" i="2"/>
  <c r="B494" i="18" s="1"/>
  <c r="A540" i="18"/>
  <c r="G26" i="2"/>
  <c r="B540" i="18" s="1"/>
  <c r="A586" i="18"/>
  <c r="G28" i="2"/>
  <c r="B586" i="18" s="1"/>
  <c r="A632" i="18"/>
  <c r="G30" i="2"/>
  <c r="B632" i="18" s="1"/>
  <c r="A678" i="18"/>
  <c r="G32" i="2"/>
  <c r="B678" i="18" s="1"/>
  <c r="A724" i="18"/>
  <c r="A770" i="18"/>
  <c r="A816" i="18"/>
  <c r="G38" i="2"/>
  <c r="B816" i="18" s="1"/>
  <c r="A862" i="18"/>
  <c r="G40" i="2"/>
  <c r="B862" i="18" s="1"/>
  <c r="A908" i="18"/>
  <c r="G42" i="2"/>
  <c r="B908" i="18" s="1"/>
  <c r="A954" i="18"/>
  <c r="G44" i="2"/>
  <c r="B954" i="18" s="1"/>
  <c r="A1000" i="18"/>
  <c r="G46" i="2"/>
  <c r="B1000" i="18" s="1"/>
  <c r="A1046" i="18"/>
  <c r="G48" i="2"/>
  <c r="B1046" i="18" s="1"/>
  <c r="A1092" i="18"/>
  <c r="G50" i="2"/>
  <c r="B1092" i="18" s="1"/>
  <c r="A1138" i="18"/>
  <c r="G52" i="2"/>
  <c r="B1138" i="18" s="1"/>
  <c r="A1184" i="18"/>
  <c r="G54" i="2"/>
  <c r="B1184" i="18" s="1"/>
  <c r="A1230" i="18"/>
  <c r="G56" i="2"/>
  <c r="B1230" i="18" s="1"/>
  <c r="G58" i="2"/>
  <c r="G60" i="2"/>
  <c r="G62" i="2"/>
  <c r="G64" i="2"/>
  <c r="G66" i="2"/>
  <c r="G68" i="2"/>
  <c r="G70" i="2"/>
  <c r="G72" i="2"/>
  <c r="G74" i="2"/>
  <c r="G76" i="2"/>
  <c r="G78" i="2"/>
  <c r="G80" i="2"/>
  <c r="G82" i="2"/>
  <c r="G84" i="2"/>
  <c r="G86" i="2"/>
  <c r="G88" i="2"/>
  <c r="G90" i="2"/>
  <c r="G92" i="2"/>
  <c r="G94" i="2"/>
  <c r="G96" i="2"/>
  <c r="G98" i="2"/>
  <c r="G100" i="2"/>
  <c r="D655" i="18"/>
  <c r="J57" i="2"/>
  <c r="J55" i="2"/>
  <c r="J51" i="2"/>
  <c r="E1115" i="18" s="1"/>
  <c r="J47" i="2"/>
  <c r="C172" i="18"/>
  <c r="K10" i="2"/>
  <c r="K12" i="2"/>
  <c r="D264" i="18"/>
  <c r="K14" i="2"/>
  <c r="F264" i="18" s="1"/>
  <c r="K16" i="2"/>
  <c r="J18" i="2"/>
  <c r="K18" i="2"/>
  <c r="F356" i="18" s="1"/>
  <c r="D402" i="18"/>
  <c r="K20" i="2"/>
  <c r="K22" i="2"/>
  <c r="D494" i="18"/>
  <c r="K24" i="2"/>
  <c r="J30" i="2"/>
  <c r="K30" i="2"/>
  <c r="D678" i="18"/>
  <c r="K32" i="2"/>
  <c r="F678" i="18" s="1"/>
  <c r="J34" i="2"/>
  <c r="K34" i="2"/>
  <c r="D816" i="18"/>
  <c r="K38" i="2"/>
  <c r="C862" i="18"/>
  <c r="K40" i="2"/>
  <c r="F862" i="18" s="1"/>
  <c r="C908" i="18"/>
  <c r="K42" i="2"/>
  <c r="F908" i="18" s="1"/>
  <c r="C1000" i="18"/>
  <c r="K46" i="2"/>
  <c r="D1092" i="18"/>
  <c r="K50" i="2"/>
  <c r="F1092" i="18" s="1"/>
  <c r="K52" i="2"/>
  <c r="F1138" i="18" s="1"/>
  <c r="J54" i="2"/>
  <c r="E1184" i="18" s="1"/>
  <c r="K54" i="2"/>
  <c r="F1184" i="18" s="1"/>
  <c r="J66" i="2"/>
  <c r="K66" i="2"/>
  <c r="J74" i="2"/>
  <c r="K74" i="2"/>
  <c r="K78" i="2"/>
  <c r="K82" i="2"/>
  <c r="K86" i="2"/>
  <c r="J88" i="2"/>
  <c r="K88" i="2"/>
  <c r="J90" i="2"/>
  <c r="K90" i="2"/>
  <c r="J92" i="2"/>
  <c r="K92" i="2"/>
  <c r="J94" i="2"/>
  <c r="K94" i="2"/>
  <c r="K96" i="2"/>
  <c r="K98" i="2"/>
  <c r="Z43" i="2"/>
  <c r="Z45" i="2"/>
  <c r="Z47" i="2"/>
  <c r="Z49" i="2"/>
  <c r="Z51" i="2"/>
  <c r="Z53" i="2"/>
  <c r="Z55" i="2"/>
  <c r="Z57" i="2"/>
  <c r="Z59" i="2"/>
  <c r="Z61" i="2"/>
  <c r="Z63" i="2"/>
  <c r="Z65" i="2"/>
  <c r="Z67" i="2"/>
  <c r="Z69" i="2"/>
  <c r="Z71" i="2"/>
  <c r="Z73" i="2"/>
  <c r="Z75" i="2"/>
  <c r="Z77" i="2"/>
  <c r="Z79" i="2"/>
  <c r="Z81" i="2"/>
  <c r="Z83" i="2"/>
  <c r="Z85" i="2"/>
  <c r="Z87" i="2"/>
  <c r="Z89" i="2"/>
  <c r="Z91" i="2"/>
  <c r="Z93" i="2"/>
  <c r="Z95" i="2"/>
  <c r="Z97" i="2"/>
  <c r="Z99" i="2"/>
  <c r="K50" i="6"/>
  <c r="T47" i="2"/>
  <c r="A1025" i="18"/>
  <c r="T51" i="2"/>
  <c r="A1163" i="18"/>
  <c r="T53" i="2"/>
  <c r="T54" i="2"/>
  <c r="C1186" i="18" s="1"/>
  <c r="A1209" i="18"/>
  <c r="T55" i="2"/>
  <c r="T60" i="2"/>
  <c r="T74" i="2"/>
  <c r="T75" i="2"/>
  <c r="T93" i="2"/>
  <c r="T97" i="2"/>
  <c r="T98" i="2"/>
  <c r="T40" i="2"/>
  <c r="T24" i="2"/>
  <c r="G30" i="6"/>
  <c r="H30" i="6"/>
  <c r="G38" i="6"/>
  <c r="C13" i="11"/>
  <c r="B222" i="18" s="1"/>
  <c r="E13" i="11"/>
  <c r="F222" i="18"/>
  <c r="E19" i="11"/>
  <c r="F360" i="18" s="1"/>
  <c r="D19" i="11"/>
  <c r="D360" i="18" s="1"/>
  <c r="E23" i="11"/>
  <c r="F452" i="18" s="1"/>
  <c r="D23" i="11"/>
  <c r="D452" i="18" s="1"/>
  <c r="D29" i="11"/>
  <c r="D590" i="18"/>
  <c r="C29" i="11"/>
  <c r="B590" i="18" s="1"/>
  <c r="E35" i="11"/>
  <c r="F728" i="18" s="1"/>
  <c r="D35" i="11"/>
  <c r="D728" i="18" s="1"/>
  <c r="E43" i="11"/>
  <c r="F912" i="18" s="1"/>
  <c r="C43" i="11"/>
  <c r="B912" i="18" s="1"/>
  <c r="G86" i="6"/>
  <c r="K94" i="6"/>
  <c r="G89" i="6"/>
  <c r="C31" i="13"/>
  <c r="B640" i="18" s="1"/>
  <c r="C27" i="13"/>
  <c r="B548" i="18" s="1"/>
  <c r="H25" i="6"/>
  <c r="G33" i="6"/>
  <c r="D57" i="13"/>
  <c r="D1238" i="18" s="1"/>
  <c r="D69" i="13"/>
  <c r="C91" i="13"/>
  <c r="D79" i="13"/>
  <c r="H68" i="6"/>
  <c r="I90" i="6"/>
  <c r="G98" i="6"/>
  <c r="K53" i="6"/>
  <c r="L53" i="6"/>
  <c r="K64" i="6"/>
  <c r="L64" i="6"/>
  <c r="G93" i="6"/>
  <c r="G64" i="6"/>
  <c r="I72" i="6"/>
  <c r="I85" i="6"/>
  <c r="I93" i="6"/>
  <c r="M52" i="6"/>
  <c r="D1125" i="18" s="1"/>
  <c r="H93" i="6"/>
  <c r="H77" i="6"/>
  <c r="I53" i="6"/>
  <c r="B1148" i="18" s="1"/>
  <c r="H54" i="6"/>
  <c r="I62" i="6"/>
  <c r="I75" i="6"/>
  <c r="H96" i="6"/>
  <c r="H99" i="6"/>
  <c r="L52" i="6"/>
  <c r="I98" i="6"/>
  <c r="M72" i="6"/>
  <c r="H98" i="6"/>
  <c r="L72" i="6"/>
  <c r="L99" i="6"/>
  <c r="G69" i="6"/>
  <c r="J37" i="6"/>
  <c r="K37" i="6" s="1"/>
  <c r="H17" i="6"/>
  <c r="G21" i="6"/>
  <c r="H44" i="6"/>
  <c r="H85" i="6"/>
  <c r="I55" i="6"/>
  <c r="B1194" i="18" s="1"/>
  <c r="I58" i="6"/>
  <c r="I74" i="6"/>
  <c r="M98" i="6"/>
  <c r="G47" i="6"/>
  <c r="D42" i="18"/>
  <c r="B42" i="18"/>
  <c r="K83" i="6"/>
  <c r="L83" i="6"/>
  <c r="K87" i="6"/>
  <c r="M87" i="6"/>
  <c r="M91" i="6"/>
  <c r="K91" i="6"/>
  <c r="L91" i="6"/>
  <c r="K47" i="6"/>
  <c r="M62" i="6"/>
  <c r="J95" i="6"/>
  <c r="I91" i="6"/>
  <c r="E81" i="11"/>
  <c r="C91" i="11"/>
  <c r="A818" i="18"/>
  <c r="D95" i="11"/>
  <c r="D83" i="11"/>
  <c r="D79" i="11"/>
  <c r="C55" i="11"/>
  <c r="B1188" i="18" s="1"/>
  <c r="C47" i="11"/>
  <c r="B1004" i="18" s="1"/>
  <c r="D75" i="11"/>
  <c r="D69" i="11"/>
  <c r="C65" i="11"/>
  <c r="C1184" i="18"/>
  <c r="A1002" i="18"/>
  <c r="J42" i="2"/>
  <c r="G66" i="6"/>
  <c r="D724" i="18"/>
  <c r="D56" i="13"/>
  <c r="D1215" i="18" s="1"/>
  <c r="J98" i="2"/>
  <c r="C356" i="18"/>
  <c r="D92" i="13"/>
  <c r="M47" i="6"/>
  <c r="D1010" i="18" s="1"/>
  <c r="K62" i="6"/>
  <c r="I66" i="6"/>
  <c r="H58" i="6"/>
  <c r="I70" i="6"/>
  <c r="E73" i="11"/>
  <c r="H46" i="6"/>
  <c r="A634" i="18"/>
  <c r="E99" i="11"/>
  <c r="D81" i="11"/>
  <c r="D61" i="11"/>
  <c r="D51" i="11"/>
  <c r="D1096" i="18" s="1"/>
  <c r="D77" i="11"/>
  <c r="C73" i="11"/>
  <c r="D53" i="11"/>
  <c r="D1142" i="18" s="1"/>
  <c r="T4" i="2"/>
  <c r="D448" i="18"/>
  <c r="J86" i="2"/>
  <c r="J78" i="2"/>
  <c r="C724" i="18"/>
  <c r="C448" i="18"/>
  <c r="D88" i="13"/>
  <c r="I54" i="6"/>
  <c r="B1171" i="18" s="1"/>
  <c r="J48" i="6"/>
  <c r="L48" i="6" s="1"/>
  <c r="M53" i="6"/>
  <c r="D1148" i="18" s="1"/>
  <c r="E57" i="11"/>
  <c r="F1234" i="18" s="1"/>
  <c r="E97" i="11"/>
  <c r="E71" i="11"/>
  <c r="D45" i="11"/>
  <c r="D958" i="18" s="1"/>
  <c r="C93" i="11"/>
  <c r="C77" i="11"/>
  <c r="C18" i="11"/>
  <c r="B337" i="18"/>
  <c r="D98" i="13"/>
  <c r="J50" i="2"/>
  <c r="C66" i="13"/>
  <c r="D58" i="13"/>
  <c r="D908" i="18"/>
  <c r="H24" i="6"/>
  <c r="H32" i="6"/>
  <c r="G40" i="6"/>
  <c r="I84" i="6"/>
  <c r="I96" i="6"/>
  <c r="G99" i="6"/>
  <c r="C52" i="13"/>
  <c r="B1123" i="18" s="1"/>
  <c r="D15" i="11"/>
  <c r="D268" i="18" s="1"/>
  <c r="C11" i="11"/>
  <c r="B199" i="18" s="1"/>
  <c r="H9" i="6"/>
  <c r="E11" i="11"/>
  <c r="F176" i="18" s="1"/>
  <c r="C264" i="18"/>
  <c r="T12" i="2"/>
  <c r="D12" i="11"/>
  <c r="D199" i="18" s="1"/>
  <c r="C11" i="13"/>
  <c r="B180" i="18" s="1"/>
  <c r="M71" i="6"/>
  <c r="L75" i="6"/>
  <c r="M75" i="6"/>
  <c r="K75" i="6"/>
  <c r="L88" i="6"/>
  <c r="K88" i="6"/>
  <c r="M88" i="6"/>
  <c r="A519" i="18"/>
  <c r="D40" i="13"/>
  <c r="D847" i="18" s="1"/>
  <c r="C40" i="13"/>
  <c r="B847" i="18" s="1"/>
  <c r="L63" i="6"/>
  <c r="M55" i="6"/>
  <c r="D1194" i="18" s="1"/>
  <c r="E41" i="11"/>
  <c r="F866" i="18" s="1"/>
  <c r="E29" i="11"/>
  <c r="F590" i="18"/>
  <c r="D25" i="11"/>
  <c r="D498" i="18"/>
  <c r="D13" i="11"/>
  <c r="D222" i="18" s="1"/>
  <c r="I59" i="6"/>
  <c r="I63" i="6"/>
  <c r="G97" i="6"/>
  <c r="H88" i="6"/>
  <c r="G72" i="6"/>
  <c r="T36" i="2"/>
  <c r="C772" i="18" s="1"/>
  <c r="A772" i="18"/>
  <c r="T50" i="2"/>
  <c r="C32" i="13"/>
  <c r="B663" i="18" s="1"/>
  <c r="D20" i="13"/>
  <c r="D387" i="18" s="1"/>
  <c r="D22" i="13"/>
  <c r="D433" i="18" s="1"/>
  <c r="I49" i="6"/>
  <c r="B1056" i="18" s="1"/>
  <c r="G55" i="6"/>
  <c r="H67" i="6"/>
  <c r="H71" i="6"/>
  <c r="H75" i="6"/>
  <c r="H79" i="6"/>
  <c r="G79" i="6"/>
  <c r="I80" i="6"/>
  <c r="C70" i="13"/>
  <c r="D70" i="13"/>
  <c r="C78" i="13"/>
  <c r="D78" i="13"/>
  <c r="C80" i="13"/>
  <c r="D80" i="13"/>
  <c r="C84" i="13"/>
  <c r="D84" i="13"/>
  <c r="C30" i="13"/>
  <c r="B617" i="18" s="1"/>
  <c r="D30" i="13"/>
  <c r="D617" i="18" s="1"/>
  <c r="I89" i="6"/>
  <c r="K67" i="6"/>
  <c r="E37" i="11"/>
  <c r="F774" i="18" s="1"/>
  <c r="E21" i="11"/>
  <c r="F406" i="18" s="1"/>
  <c r="D17" i="11"/>
  <c r="D314" i="18" s="1"/>
  <c r="C9" i="11"/>
  <c r="B130" i="18" s="1"/>
  <c r="I47" i="6"/>
  <c r="B1010" i="18" s="1"/>
  <c r="K54" i="6"/>
  <c r="K12" i="6"/>
  <c r="G85" i="6"/>
  <c r="M80" i="6"/>
  <c r="G63" i="6"/>
  <c r="K55" i="6"/>
  <c r="C25" i="11"/>
  <c r="B498" i="18" s="1"/>
  <c r="C17" i="11"/>
  <c r="B314" i="18" s="1"/>
  <c r="E9" i="11"/>
  <c r="F130" i="18" s="1"/>
  <c r="H47" i="6"/>
  <c r="G45" i="6"/>
  <c r="A1071" i="18"/>
  <c r="A427" i="18"/>
  <c r="A703" i="18"/>
  <c r="C28" i="13"/>
  <c r="B571" i="18" s="1"/>
  <c r="C100" i="13"/>
  <c r="D62" i="13"/>
  <c r="T65" i="2"/>
  <c r="T69" i="2"/>
  <c r="T76" i="2"/>
  <c r="T85" i="2"/>
  <c r="D90" i="13"/>
  <c r="D68" i="13"/>
  <c r="D18" i="13"/>
  <c r="D341" i="18" s="1"/>
  <c r="J65" i="2"/>
  <c r="J8" i="2"/>
  <c r="C586" i="18"/>
  <c r="C770" i="18"/>
  <c r="J36" i="2"/>
  <c r="J44" i="2"/>
  <c r="C954" i="18"/>
  <c r="J48" i="2"/>
  <c r="J76" i="2"/>
  <c r="J80" i="2"/>
  <c r="J84" i="2"/>
  <c r="J100" i="2"/>
  <c r="M83" i="6"/>
  <c r="K99" i="6"/>
  <c r="H45" i="6"/>
  <c r="D38" i="13"/>
  <c r="D801" i="18" s="1"/>
  <c r="A864" i="18"/>
  <c r="A979" i="18"/>
  <c r="H92" i="6"/>
  <c r="H23" i="6"/>
  <c r="H31" i="6"/>
  <c r="D82" i="13"/>
  <c r="C34" i="18"/>
  <c r="C425" i="18"/>
  <c r="C517" i="18"/>
  <c r="D517" i="18"/>
  <c r="C1069" i="18"/>
  <c r="D1069" i="18"/>
  <c r="C1161" i="18"/>
  <c r="D1161" i="18"/>
  <c r="J73" i="2"/>
  <c r="J81" i="2"/>
  <c r="J85" i="2"/>
  <c r="J89" i="2"/>
  <c r="J93" i="2"/>
  <c r="J97" i="2"/>
  <c r="G17" i="6"/>
  <c r="I50" i="6"/>
  <c r="B1079" i="18"/>
  <c r="H52" i="6"/>
  <c r="H53" i="6"/>
  <c r="G56" i="6"/>
  <c r="G57" i="6"/>
  <c r="I60" i="6"/>
  <c r="I61" i="6"/>
  <c r="H64" i="6"/>
  <c r="G65" i="6"/>
  <c r="G68" i="6"/>
  <c r="H69" i="6"/>
  <c r="G73" i="6"/>
  <c r="I77" i="6"/>
  <c r="I78" i="6"/>
  <c r="G82" i="6"/>
  <c r="K10" i="6"/>
  <c r="L10" i="6"/>
  <c r="M10" i="6"/>
  <c r="D159" i="18" s="1"/>
  <c r="L25" i="6"/>
  <c r="K25" i="6"/>
  <c r="K15" i="6"/>
  <c r="B19" i="18"/>
  <c r="J13" i="6"/>
  <c r="K13" i="6" s="1"/>
  <c r="C16" i="11"/>
  <c r="B291" i="18"/>
  <c r="A680" i="18"/>
  <c r="C310" i="18"/>
  <c r="C218" i="18"/>
  <c r="T10" i="2"/>
  <c r="D632" i="18"/>
  <c r="F494" i="18"/>
  <c r="J32" i="2"/>
  <c r="J28" i="2"/>
  <c r="J24" i="2"/>
  <c r="J22" i="2"/>
  <c r="J20" i="2"/>
  <c r="D356" i="18"/>
  <c r="C126" i="18"/>
  <c r="G9" i="6"/>
  <c r="T28" i="2"/>
  <c r="C588" i="18" s="1"/>
  <c r="J10" i="2"/>
  <c r="K19" i="6"/>
  <c r="L19" i="6"/>
  <c r="M19" i="6"/>
  <c r="D366" i="18" s="1"/>
  <c r="L21" i="6"/>
  <c r="K21" i="6"/>
  <c r="H21" i="6"/>
  <c r="J17" i="6"/>
  <c r="G23" i="6"/>
  <c r="I23" i="6"/>
  <c r="B458" i="18" s="1"/>
  <c r="J23" i="6"/>
  <c r="C13" i="13"/>
  <c r="B226" i="18" s="1"/>
  <c r="E16" i="11"/>
  <c r="F291" i="18"/>
  <c r="E18" i="11"/>
  <c r="F337" i="18" s="1"/>
  <c r="E28" i="11"/>
  <c r="F567" i="18"/>
  <c r="G29" i="6"/>
  <c r="B44" i="18"/>
  <c r="A36" i="18"/>
  <c r="A266" i="18"/>
  <c r="A220" i="18"/>
  <c r="D427" i="18"/>
  <c r="M35" i="6"/>
  <c r="D734" i="18" s="1"/>
  <c r="T23" i="2"/>
  <c r="C473" i="18" s="1"/>
  <c r="C23" i="13"/>
  <c r="B456" i="18" s="1"/>
  <c r="C24" i="13"/>
  <c r="B479" i="18" s="1"/>
  <c r="A749" i="18"/>
  <c r="T33" i="2"/>
  <c r="C34" i="13"/>
  <c r="B709" i="18" s="1"/>
  <c r="H12" i="6"/>
  <c r="G16" i="6"/>
  <c r="I16" i="6"/>
  <c r="B297" i="18" s="1"/>
  <c r="G24" i="6"/>
  <c r="G26" i="6"/>
  <c r="I26" i="6"/>
  <c r="B527" i="18" s="1"/>
  <c r="I30" i="6"/>
  <c r="B619" i="18" s="1"/>
  <c r="G32" i="6"/>
  <c r="I32" i="6"/>
  <c r="B665" i="18" s="1"/>
  <c r="J15" i="2"/>
  <c r="D16" i="13"/>
  <c r="D295" i="18" s="1"/>
  <c r="C36" i="13"/>
  <c r="B755" i="18" s="1"/>
  <c r="D10" i="13"/>
  <c r="D157" i="18" s="1"/>
  <c r="H26" i="6"/>
  <c r="K92" i="6"/>
  <c r="L92" i="6"/>
  <c r="M92" i="6"/>
  <c r="K82" i="6"/>
  <c r="M50" i="6"/>
  <c r="D1079" i="18"/>
  <c r="M54" i="6"/>
  <c r="D1171" i="18" s="1"/>
  <c r="L60" i="6"/>
  <c r="L87" i="6"/>
  <c r="A956" i="18"/>
  <c r="A473" i="18"/>
  <c r="T44" i="2"/>
  <c r="C956" i="18" s="1"/>
  <c r="G90" i="6"/>
  <c r="I99" i="6"/>
  <c r="T41" i="2"/>
  <c r="A795" i="18"/>
  <c r="D795" i="18"/>
  <c r="T31" i="2"/>
  <c r="A450" i="18"/>
  <c r="T16" i="2"/>
  <c r="C540" i="18"/>
  <c r="L39" i="6"/>
  <c r="A496" i="18"/>
  <c r="D358" i="18"/>
  <c r="T18" i="2"/>
  <c r="C358" i="18" s="1"/>
  <c r="A657" i="18"/>
  <c r="A312" i="18"/>
  <c r="T35" i="2"/>
  <c r="J26" i="2"/>
  <c r="L37" i="6"/>
  <c r="L30" i="6"/>
  <c r="M30" i="6"/>
  <c r="D619" i="18"/>
  <c r="G14" i="6"/>
  <c r="H14" i="6"/>
  <c r="H18" i="6"/>
  <c r="H22" i="6"/>
  <c r="G34" i="6"/>
  <c r="I34" i="6"/>
  <c r="B711" i="18" s="1"/>
  <c r="I38" i="6"/>
  <c r="B803" i="18" s="1"/>
  <c r="H38" i="6"/>
  <c r="I40" i="6"/>
  <c r="B849" i="18" s="1"/>
  <c r="E14" i="11"/>
  <c r="F245" i="18" s="1"/>
  <c r="D14" i="11"/>
  <c r="D245" i="18" s="1"/>
  <c r="D20" i="11"/>
  <c r="D383" i="18" s="1"/>
  <c r="C20" i="11"/>
  <c r="B383" i="18" s="1"/>
  <c r="D22" i="11"/>
  <c r="D429" i="18"/>
  <c r="C22" i="11"/>
  <c r="B429" i="18" s="1"/>
  <c r="D24" i="11"/>
  <c r="D475" i="18" s="1"/>
  <c r="C24" i="11"/>
  <c r="B475" i="18" s="1"/>
  <c r="D26" i="11"/>
  <c r="D521" i="18"/>
  <c r="C26" i="11"/>
  <c r="B521" i="18" s="1"/>
  <c r="D30" i="11"/>
  <c r="D613" i="18" s="1"/>
  <c r="E30" i="11"/>
  <c r="F613" i="18" s="1"/>
  <c r="D32" i="11"/>
  <c r="D659" i="18"/>
  <c r="E32" i="11"/>
  <c r="F659" i="18" s="1"/>
  <c r="C103" i="18"/>
  <c r="J7" i="2"/>
  <c r="C149" i="18"/>
  <c r="J9" i="2"/>
  <c r="C195" i="18"/>
  <c r="C241" i="18"/>
  <c r="J13" i="2"/>
  <c r="J17" i="2"/>
  <c r="C379" i="18"/>
  <c r="J19" i="2"/>
  <c r="C471" i="18"/>
  <c r="J23" i="2"/>
  <c r="C563" i="18"/>
  <c r="D563" i="18"/>
  <c r="C609" i="18"/>
  <c r="C701" i="18"/>
  <c r="J33" i="2"/>
  <c r="E701" i="18" s="1"/>
  <c r="T39" i="2"/>
  <c r="A841" i="18"/>
  <c r="A611" i="18"/>
  <c r="D611" i="18"/>
  <c r="A404" i="18"/>
  <c r="T20" i="2"/>
  <c r="T9" i="2"/>
  <c r="C151" i="18" s="1"/>
  <c r="H11" i="6"/>
  <c r="G44" i="6"/>
  <c r="D46" i="11"/>
  <c r="D981" i="18"/>
  <c r="G46" i="6"/>
  <c r="D46" i="13"/>
  <c r="D985" i="18" s="1"/>
  <c r="I44" i="6"/>
  <c r="B941" i="18"/>
  <c r="D44" i="13"/>
  <c r="D939" i="18"/>
  <c r="J45" i="2"/>
  <c r="D977" i="18"/>
  <c r="L45" i="6"/>
  <c r="M45" i="6"/>
  <c r="D964" i="18" s="1"/>
  <c r="K45" i="6"/>
  <c r="I45" i="6"/>
  <c r="B964" i="18" s="1"/>
  <c r="C45" i="13"/>
  <c r="B962" i="18" s="1"/>
  <c r="D43" i="11"/>
  <c r="D912" i="18" s="1"/>
  <c r="H40" i="6"/>
  <c r="J38" i="2"/>
  <c r="G37" i="6"/>
  <c r="M34" i="6"/>
  <c r="D711" i="18" s="1"/>
  <c r="D701" i="18"/>
  <c r="J31" i="2"/>
  <c r="T29" i="2"/>
  <c r="C611" i="18" s="1"/>
  <c r="J29" i="2"/>
  <c r="C28" i="11"/>
  <c r="B567" i="18" s="1"/>
  <c r="I28" i="6"/>
  <c r="B573" i="18" s="1"/>
  <c r="J25" i="2"/>
  <c r="G25" i="6"/>
  <c r="J21" i="2"/>
  <c r="E425" i="18" s="1"/>
  <c r="I21" i="6"/>
  <c r="B412" i="18" s="1"/>
  <c r="C17" i="13"/>
  <c r="B318" i="18" s="1"/>
  <c r="I17" i="6"/>
  <c r="B320" i="18" s="1"/>
  <c r="I15" i="6"/>
  <c r="B274" i="18" s="1"/>
  <c r="M15" i="6"/>
  <c r="D274" i="18" s="1"/>
  <c r="G11" i="6"/>
  <c r="T3" i="2"/>
  <c r="A13" i="18"/>
  <c r="C12" i="13"/>
  <c r="B203" i="18" s="1"/>
  <c r="D14" i="13"/>
  <c r="D249" i="18" s="1"/>
  <c r="L66" i="6"/>
  <c r="M66" i="6"/>
  <c r="K66" i="6"/>
  <c r="J8" i="6"/>
  <c r="K8" i="6" s="1"/>
  <c r="T17" i="2"/>
  <c r="D335" i="18"/>
  <c r="A289" i="18"/>
  <c r="D289" i="18"/>
  <c r="T15" i="2"/>
  <c r="T8" i="2"/>
  <c r="L29" i="6"/>
  <c r="M29" i="6"/>
  <c r="D596" i="18" s="1"/>
  <c r="K29" i="6"/>
  <c r="G43" i="6"/>
  <c r="T63" i="2"/>
  <c r="T64" i="2"/>
  <c r="T90" i="2"/>
  <c r="I51" i="6"/>
  <c r="B1102" i="18" s="1"/>
  <c r="G51" i="6"/>
  <c r="H59" i="6"/>
  <c r="G59" i="6"/>
  <c r="J76" i="6"/>
  <c r="K76" i="6" s="1"/>
  <c r="G76" i="6"/>
  <c r="L78" i="6"/>
  <c r="K78" i="6"/>
  <c r="L81" i="6"/>
  <c r="M81" i="6"/>
  <c r="G83" i="6"/>
  <c r="H83" i="6"/>
  <c r="D33" i="13"/>
  <c r="D686" i="18" s="1"/>
  <c r="C33" i="13"/>
  <c r="B686" i="18"/>
  <c r="D49" i="13"/>
  <c r="D1054" i="18" s="1"/>
  <c r="C49" i="13"/>
  <c r="B1054" i="18" s="1"/>
  <c r="C50" i="13"/>
  <c r="B1077" i="18" s="1"/>
  <c r="D50" i="13"/>
  <c r="D1077" i="18" s="1"/>
  <c r="D51" i="13"/>
  <c r="D1100" i="18" s="1"/>
  <c r="C51" i="13"/>
  <c r="B1100" i="18"/>
  <c r="C72" i="13"/>
  <c r="D72" i="13"/>
  <c r="C74" i="13"/>
  <c r="D74" i="13"/>
  <c r="C93" i="13"/>
  <c r="D93" i="13"/>
  <c r="C94" i="13"/>
  <c r="D94" i="13"/>
  <c r="C747" i="18"/>
  <c r="J35" i="2"/>
  <c r="C793" i="18"/>
  <c r="J37" i="2"/>
  <c r="C839" i="18"/>
  <c r="C885" i="18"/>
  <c r="J41" i="2"/>
  <c r="C931" i="18"/>
  <c r="D1000" i="18"/>
  <c r="J46" i="2"/>
  <c r="E1000" i="18" s="1"/>
  <c r="C1092" i="18"/>
  <c r="J52" i="2"/>
  <c r="C1138" i="18"/>
  <c r="J56" i="2"/>
  <c r="J58" i="2"/>
  <c r="J62" i="2"/>
  <c r="J67" i="2"/>
  <c r="J71" i="2"/>
  <c r="J75" i="2"/>
  <c r="M25" i="6"/>
  <c r="D504" i="18"/>
  <c r="L11" i="6"/>
  <c r="M11" i="6"/>
  <c r="D182" i="18" s="1"/>
  <c r="M27" i="6"/>
  <c r="D550" i="18" s="1"/>
  <c r="M82" i="6"/>
  <c r="M60" i="6"/>
  <c r="M64" i="6"/>
  <c r="I82" i="6"/>
  <c r="I81" i="6"/>
  <c r="I79" i="6"/>
  <c r="I73" i="6"/>
  <c r="I71" i="6"/>
  <c r="I68" i="6"/>
  <c r="J68" i="6"/>
  <c r="G62" i="6"/>
  <c r="G60" i="6"/>
  <c r="G58" i="6"/>
  <c r="J58" i="6"/>
  <c r="I52" i="6"/>
  <c r="B1125" i="18" s="1"/>
  <c r="H50" i="6"/>
  <c r="C75" i="13"/>
  <c r="I83" i="6"/>
  <c r="G75" i="6"/>
  <c r="G70" i="6"/>
  <c r="H70" i="6"/>
  <c r="H61" i="6"/>
  <c r="I57" i="6"/>
  <c r="B1240" i="18" s="1"/>
  <c r="H55" i="6"/>
  <c r="G49" i="6"/>
  <c r="M49" i="6"/>
  <c r="D1056" i="18" s="1"/>
  <c r="H100" i="6"/>
  <c r="E65" i="11"/>
  <c r="C70" i="11"/>
  <c r="J43" i="6"/>
  <c r="D71" i="11"/>
  <c r="C63" i="11"/>
  <c r="C61" i="11"/>
  <c r="D58" i="11"/>
  <c r="E72" i="11"/>
  <c r="C69" i="11"/>
  <c r="C66" i="11"/>
  <c r="D64" i="11"/>
  <c r="G67" i="6"/>
  <c r="G80" i="6"/>
  <c r="M59" i="6"/>
  <c r="I67" i="6"/>
  <c r="D1184" i="18"/>
  <c r="I8" i="6"/>
  <c r="B113" i="18" s="1"/>
  <c r="H80" i="6"/>
  <c r="H76" i="6"/>
  <c r="H62" i="6"/>
  <c r="G50" i="6"/>
  <c r="A335" i="18"/>
  <c r="D95" i="13"/>
  <c r="D96" i="13"/>
  <c r="H60" i="6"/>
  <c r="G71" i="6"/>
  <c r="I29" i="6"/>
  <c r="B596" i="18" s="1"/>
  <c r="T92" i="2"/>
  <c r="G81" i="6"/>
  <c r="J60" i="2"/>
  <c r="D1138" i="18"/>
  <c r="H72" i="6"/>
  <c r="C48" i="13"/>
  <c r="B1031" i="18" s="1"/>
  <c r="A933" i="18"/>
  <c r="D933" i="18"/>
  <c r="T34" i="2"/>
  <c r="C726" i="18" s="1"/>
  <c r="A197" i="18"/>
  <c r="T11" i="2"/>
  <c r="A243" i="18"/>
  <c r="I14" i="6"/>
  <c r="B251" i="18" s="1"/>
  <c r="J14" i="6"/>
  <c r="L14" i="6" s="1"/>
  <c r="J18" i="6"/>
  <c r="K18" i="6"/>
  <c r="G18" i="6"/>
  <c r="J22" i="6"/>
  <c r="L22" i="6" s="1"/>
  <c r="G22" i="6"/>
  <c r="J24" i="6"/>
  <c r="M24" i="6" s="1"/>
  <c r="D481" i="18" s="1"/>
  <c r="I24" i="6"/>
  <c r="B481" i="18" s="1"/>
  <c r="J32" i="6"/>
  <c r="K32" i="6" s="1"/>
  <c r="L32" i="6"/>
  <c r="J36" i="6"/>
  <c r="L36" i="6" s="1"/>
  <c r="I25" i="6"/>
  <c r="B504" i="18"/>
  <c r="G31" i="6"/>
  <c r="I31" i="6"/>
  <c r="B642" i="18"/>
  <c r="H33" i="6"/>
  <c r="I33" i="6"/>
  <c r="B688" i="18"/>
  <c r="D38" i="18"/>
  <c r="D8" i="11"/>
  <c r="D107" i="18" s="1"/>
  <c r="C10" i="11"/>
  <c r="B153" i="18" s="1"/>
  <c r="D10" i="11"/>
  <c r="D153" i="18" s="1"/>
  <c r="E34" i="11"/>
  <c r="F705" i="18" s="1"/>
  <c r="C34" i="11"/>
  <c r="B705" i="18"/>
  <c r="E36" i="11"/>
  <c r="F751" i="18" s="1"/>
  <c r="C36" i="11"/>
  <c r="B751" i="18" s="1"/>
  <c r="D38" i="11"/>
  <c r="D797" i="18" s="1"/>
  <c r="E38" i="11"/>
  <c r="F797" i="18"/>
  <c r="C40" i="11"/>
  <c r="B843" i="18" s="1"/>
  <c r="E40" i="11"/>
  <c r="F843" i="18" s="1"/>
  <c r="E42" i="11"/>
  <c r="F889" i="18" s="1"/>
  <c r="C42" i="11"/>
  <c r="B889" i="18"/>
  <c r="A1048" i="18"/>
  <c r="A1140" i="18"/>
  <c r="T59" i="2"/>
  <c r="T71" i="2"/>
  <c r="T72" i="2"/>
  <c r="D76" i="13"/>
  <c r="D73" i="13"/>
  <c r="C35" i="13"/>
  <c r="B732" i="18" s="1"/>
  <c r="C77" i="13"/>
  <c r="C21" i="13"/>
  <c r="B410" i="18" s="1"/>
  <c r="D793" i="18"/>
  <c r="J77" i="2"/>
  <c r="J69" i="2"/>
  <c r="J39" i="2"/>
  <c r="H42" i="6"/>
  <c r="I42" i="6"/>
  <c r="B895" i="18" s="1"/>
  <c r="H84" i="6"/>
  <c r="J84" i="6"/>
  <c r="D25" i="13"/>
  <c r="D502" i="18" s="1"/>
  <c r="C25" i="13"/>
  <c r="B502" i="18"/>
  <c r="C42" i="13"/>
  <c r="B893" i="18" s="1"/>
  <c r="D42" i="13"/>
  <c r="D893" i="18" s="1"/>
  <c r="C54" i="13"/>
  <c r="B1169" i="18" s="1"/>
  <c r="D54" i="13"/>
  <c r="D1169" i="18" s="1"/>
  <c r="C55" i="13"/>
  <c r="B1192" i="18" s="1"/>
  <c r="D55" i="13"/>
  <c r="D1192" i="18" s="1"/>
  <c r="C86" i="13"/>
  <c r="D86" i="13"/>
  <c r="C287" i="18"/>
  <c r="D287" i="18"/>
  <c r="C333" i="18"/>
  <c r="D333" i="18"/>
  <c r="H87" i="6"/>
  <c r="I92" i="6"/>
  <c r="G96" i="6"/>
  <c r="M12" i="6"/>
  <c r="D205" i="18" s="1"/>
  <c r="L40" i="6"/>
  <c r="M40" i="6"/>
  <c r="D849" i="18" s="1"/>
  <c r="K40" i="6"/>
  <c r="L57" i="6"/>
  <c r="M57" i="6"/>
  <c r="D1240" i="18" s="1"/>
  <c r="K57" i="6"/>
  <c r="K61" i="6"/>
  <c r="L61" i="6"/>
  <c r="M61" i="6"/>
  <c r="K77" i="6"/>
  <c r="L77" i="6"/>
  <c r="M77" i="6"/>
  <c r="L85" i="6"/>
  <c r="M85" i="6"/>
  <c r="K85" i="6"/>
  <c r="L9" i="6"/>
  <c r="K9" i="6"/>
  <c r="M32" i="6"/>
  <c r="D665" i="18" s="1"/>
  <c r="L70" i="6"/>
  <c r="K70" i="6"/>
  <c r="M70" i="6"/>
  <c r="M76" i="6"/>
  <c r="K93" i="6"/>
  <c r="L93" i="6"/>
  <c r="M93" i="6"/>
  <c r="A34" i="18"/>
  <c r="A11" i="18"/>
  <c r="T22" i="2"/>
  <c r="C450" i="18" s="1"/>
  <c r="G19" i="6"/>
  <c r="I19" i="6"/>
  <c r="B366" i="18" s="1"/>
  <c r="H29" i="6"/>
  <c r="G35" i="6"/>
  <c r="I35" i="6"/>
  <c r="B734" i="18" s="1"/>
  <c r="H37" i="6"/>
  <c r="I41" i="6"/>
  <c r="B872" i="18" s="1"/>
  <c r="I64" i="6"/>
  <c r="H66" i="6"/>
  <c r="M78" i="6"/>
  <c r="G84" i="6"/>
  <c r="I88" i="6"/>
  <c r="J90" i="6"/>
  <c r="H91" i="6"/>
  <c r="J96" i="6"/>
  <c r="L96" i="6" s="1"/>
  <c r="K20" i="6"/>
  <c r="K33" i="6"/>
  <c r="L33" i="6"/>
  <c r="K46" i="6"/>
  <c r="L46" i="6"/>
  <c r="M46" i="6"/>
  <c r="D987" i="18" s="1"/>
  <c r="K26" i="6"/>
  <c r="L26" i="6"/>
  <c r="M26" i="6"/>
  <c r="D527" i="18" s="1"/>
  <c r="K28" i="6"/>
  <c r="K31" i="6"/>
  <c r="M31" i="6"/>
  <c r="D642" i="18" s="1"/>
  <c r="J74" i="6"/>
  <c r="G74" i="6"/>
  <c r="K86" i="6"/>
  <c r="M86" i="6"/>
  <c r="L86" i="6"/>
  <c r="T45" i="2"/>
  <c r="C979" i="18" s="1"/>
  <c r="J42" i="6"/>
  <c r="K42" i="6" s="1"/>
  <c r="C12" i="11"/>
  <c r="C38" i="11"/>
  <c r="B797" i="18"/>
  <c r="G88" i="6"/>
  <c r="E264" i="18"/>
  <c r="E218" i="18"/>
  <c r="L94" i="6"/>
  <c r="M94" i="6"/>
  <c r="E724" i="18"/>
  <c r="E632" i="18"/>
  <c r="F402" i="18"/>
  <c r="F310" i="18"/>
  <c r="E1161" i="18"/>
  <c r="E1069" i="18"/>
  <c r="F655" i="18"/>
  <c r="F287" i="18"/>
  <c r="E195" i="18"/>
  <c r="F885" i="18"/>
  <c r="F839" i="18"/>
  <c r="F793" i="18"/>
  <c r="F747" i="18"/>
  <c r="F609" i="18"/>
  <c r="F471" i="18"/>
  <c r="F1230" i="18"/>
  <c r="F1046" i="18"/>
  <c r="F586" i="18"/>
  <c r="F540" i="18"/>
  <c r="E862" i="18"/>
  <c r="E1230" i="18"/>
  <c r="E1138" i="18"/>
  <c r="E747" i="18"/>
  <c r="E609" i="18"/>
  <c r="E655" i="18"/>
  <c r="E241" i="18"/>
  <c r="E149" i="18"/>
  <c r="E287" i="18"/>
  <c r="E586" i="18"/>
  <c r="E1046" i="18"/>
  <c r="E954" i="18"/>
  <c r="E126" i="18"/>
  <c r="E1092" i="18"/>
  <c r="E908" i="18"/>
  <c r="E839" i="18"/>
  <c r="E793" i="18"/>
  <c r="E517" i="18"/>
  <c r="E816" i="18"/>
  <c r="E379" i="18"/>
  <c r="E333" i="18"/>
  <c r="E540" i="18"/>
  <c r="E172" i="18"/>
  <c r="E402" i="18"/>
  <c r="E494" i="18"/>
  <c r="E678" i="18"/>
  <c r="E770" i="18"/>
  <c r="F1000" i="18"/>
  <c r="F816" i="18"/>
  <c r="F724" i="18"/>
  <c r="F632" i="18"/>
  <c r="F448" i="18"/>
  <c r="E356" i="18"/>
  <c r="F218" i="18"/>
  <c r="F172" i="18"/>
  <c r="E1023" i="18"/>
  <c r="E1207" i="18"/>
  <c r="F1207" i="18"/>
  <c r="F1161" i="18"/>
  <c r="F1115" i="18"/>
  <c r="F701" i="18"/>
  <c r="F195" i="18"/>
  <c r="E34" i="18"/>
  <c r="E310" i="18"/>
  <c r="C197" i="18"/>
  <c r="C128" i="18"/>
  <c r="C174" i="18"/>
  <c r="C565" i="18"/>
  <c r="C1048" i="18"/>
  <c r="C795" i="18"/>
  <c r="C818" i="18"/>
  <c r="C404" i="18"/>
  <c r="C657" i="18"/>
  <c r="C703" i="18"/>
  <c r="C1232" i="18"/>
  <c r="C289" i="18"/>
  <c r="C335" i="18"/>
  <c r="C841" i="18"/>
  <c r="C749" i="18"/>
  <c r="C312" i="18"/>
  <c r="C887" i="18"/>
  <c r="C1094" i="18"/>
  <c r="C220" i="18"/>
  <c r="C36" i="18"/>
  <c r="C496" i="18"/>
  <c r="C864" i="18"/>
  <c r="C1209" i="18"/>
  <c r="C1163" i="18"/>
  <c r="C1117" i="18"/>
  <c r="C1025" i="18"/>
  <c r="C1071" i="18"/>
  <c r="C266" i="18"/>
  <c r="C427" i="18"/>
  <c r="C243" i="18"/>
  <c r="C680" i="18"/>
  <c r="C910" i="18"/>
  <c r="C1002" i="18"/>
  <c r="F153" i="18"/>
  <c r="B176" i="18"/>
  <c r="I9" i="6"/>
  <c r="B136" i="18" s="1"/>
  <c r="K95" i="6"/>
  <c r="K48" i="6"/>
  <c r="M48" i="6"/>
  <c r="D1033" i="18"/>
  <c r="I11" i="6"/>
  <c r="B182" i="18" s="1"/>
  <c r="I22" i="6"/>
  <c r="B435" i="18" s="1"/>
  <c r="I18" i="6"/>
  <c r="B343" i="18" s="1"/>
  <c r="L23" i="6"/>
  <c r="K23" i="6"/>
  <c r="L17" i="6"/>
  <c r="K17" i="6"/>
  <c r="M21" i="6"/>
  <c r="D412" i="18"/>
  <c r="L18" i="6"/>
  <c r="M33" i="6"/>
  <c r="D688" i="18" s="1"/>
  <c r="M20" i="6"/>
  <c r="D389" i="18" s="1"/>
  <c r="B21" i="18"/>
  <c r="L84" i="6"/>
  <c r="M84" i="6"/>
  <c r="K84" i="6"/>
  <c r="L24" i="6"/>
  <c r="K24" i="6"/>
  <c r="L58" i="6"/>
  <c r="K68" i="6"/>
  <c r="L68" i="6"/>
  <c r="M68" i="6"/>
  <c r="K22" i="6"/>
  <c r="M22" i="6"/>
  <c r="D435" i="18"/>
  <c r="M18" i="6"/>
  <c r="D343" i="18"/>
  <c r="F38" i="18"/>
  <c r="K14" i="6"/>
  <c r="L43" i="6"/>
  <c r="K43" i="6"/>
  <c r="M9" i="6"/>
  <c r="D136" i="18" s="1"/>
  <c r="L90" i="6"/>
  <c r="K90" i="6"/>
  <c r="M90" i="6"/>
  <c r="B563" i="18"/>
  <c r="B793" i="18"/>
  <c r="L74" i="6"/>
  <c r="K74" i="6"/>
  <c r="M74" i="6"/>
  <c r="D44" i="18"/>
  <c r="M17" i="6"/>
  <c r="D320" i="18" s="1"/>
  <c r="M23" i="6"/>
  <c r="D458" i="18" s="1"/>
  <c r="M43" i="6"/>
  <c r="D918" i="18" s="1"/>
  <c r="L8" i="6" l="1"/>
  <c r="D7" i="11"/>
  <c r="D84" i="18" s="1"/>
  <c r="E8" i="11"/>
  <c r="F107" i="18" s="1"/>
  <c r="E7" i="11"/>
  <c r="F84" i="18" s="1"/>
  <c r="C8" i="13"/>
  <c r="B111" i="18" s="1"/>
  <c r="L44" i="6"/>
  <c r="K44" i="6"/>
  <c r="M44" i="6"/>
  <c r="D941" i="18" s="1"/>
  <c r="M95" i="6"/>
  <c r="L95" i="6"/>
  <c r="K71" i="6"/>
  <c r="L71" i="6"/>
  <c r="M58" i="6"/>
  <c r="K58" i="6"/>
  <c r="X7" i="2"/>
  <c r="G7" i="2"/>
  <c r="B103" i="18" s="1"/>
  <c r="Z7" i="2"/>
  <c r="G39" i="2"/>
  <c r="B839" i="18" s="1"/>
  <c r="Z39" i="2"/>
  <c r="L28" i="6"/>
  <c r="M28" i="6"/>
  <c r="D573" i="18" s="1"/>
  <c r="L38" i="6"/>
  <c r="K38" i="6"/>
  <c r="M38" i="6"/>
  <c r="D803" i="18" s="1"/>
  <c r="L79" i="6"/>
  <c r="K79" i="6"/>
  <c r="M79" i="6"/>
  <c r="M100" i="6"/>
  <c r="L100" i="6"/>
  <c r="K100" i="6"/>
  <c r="K177" i="6"/>
  <c r="L177" i="6"/>
  <c r="L102" i="6"/>
  <c r="M102" i="6"/>
  <c r="L111" i="6"/>
  <c r="M111" i="6"/>
  <c r="J129" i="6"/>
  <c r="H129" i="6"/>
  <c r="L167" i="6"/>
  <c r="M167" i="6"/>
  <c r="H172" i="6"/>
  <c r="J172" i="6"/>
  <c r="K172" i="6" s="1"/>
  <c r="G172" i="6"/>
  <c r="H187" i="6"/>
  <c r="I187" i="6"/>
  <c r="G187" i="6"/>
  <c r="I36" i="6"/>
  <c r="B757" i="18" s="1"/>
  <c r="D59" i="11"/>
  <c r="T26" i="2"/>
  <c r="C542" i="18" s="1"/>
  <c r="D39" i="11"/>
  <c r="D820" i="18" s="1"/>
  <c r="I20" i="6"/>
  <c r="B389" i="18" s="1"/>
  <c r="M37" i="6"/>
  <c r="D780" i="18" s="1"/>
  <c r="H49" i="6"/>
  <c r="D33" i="11"/>
  <c r="D682" i="18" s="1"/>
  <c r="C59" i="11"/>
  <c r="D89" i="11"/>
  <c r="I56" i="6"/>
  <c r="B1217" i="18" s="1"/>
  <c r="U65" i="2"/>
  <c r="U57" i="2"/>
  <c r="E78" i="11"/>
  <c r="C74" i="11"/>
  <c r="E82" i="11"/>
  <c r="I100" i="6"/>
  <c r="E53" i="11"/>
  <c r="F1142" i="18" s="1"/>
  <c r="I37" i="6"/>
  <c r="B780" i="18" s="1"/>
  <c r="M177" i="6"/>
  <c r="M186" i="6"/>
  <c r="C111" i="13"/>
  <c r="G101" i="6"/>
  <c r="I110" i="6"/>
  <c r="J110" i="6"/>
  <c r="L110" i="6" s="1"/>
  <c r="I122" i="6"/>
  <c r="H122" i="6"/>
  <c r="I127" i="6"/>
  <c r="H127" i="6"/>
  <c r="G127" i="6"/>
  <c r="J161" i="6"/>
  <c r="H161" i="6"/>
  <c r="G161" i="6"/>
  <c r="H171" i="6"/>
  <c r="I175" i="6"/>
  <c r="G175" i="6"/>
  <c r="H175" i="6"/>
  <c r="I176" i="6"/>
  <c r="M187" i="6"/>
  <c r="L187" i="6"/>
  <c r="D192" i="13"/>
  <c r="C192" i="13"/>
  <c r="H10" i="6"/>
  <c r="A726" i="18"/>
  <c r="H27" i="6"/>
  <c r="H20" i="6"/>
  <c r="G10" i="6"/>
  <c r="C85" i="11"/>
  <c r="D85" i="11"/>
  <c r="H95" i="6"/>
  <c r="T81" i="2"/>
  <c r="S57" i="2"/>
  <c r="S52" i="2"/>
  <c r="B1140" i="18" s="1"/>
  <c r="I87" i="6"/>
  <c r="I121" i="6"/>
  <c r="G121" i="6"/>
  <c r="L127" i="6"/>
  <c r="M127" i="6"/>
  <c r="G128" i="6"/>
  <c r="I128" i="6"/>
  <c r="J138" i="6"/>
  <c r="K138" i="6" s="1"/>
  <c r="H138" i="6"/>
  <c r="I138" i="6"/>
  <c r="G144" i="6"/>
  <c r="I144" i="6"/>
  <c r="J145" i="6"/>
  <c r="K145" i="6" s="1"/>
  <c r="I145" i="6"/>
  <c r="G145" i="6"/>
  <c r="H145" i="6"/>
  <c r="I165" i="6"/>
  <c r="G165" i="6"/>
  <c r="H165" i="6"/>
  <c r="G166" i="6"/>
  <c r="I166" i="6"/>
  <c r="J171" i="6"/>
  <c r="G171" i="6"/>
  <c r="D144" i="13"/>
  <c r="C144" i="13"/>
  <c r="C154" i="13"/>
  <c r="D154" i="13"/>
  <c r="K41" i="6"/>
  <c r="G11" i="2"/>
  <c r="B195" i="18" s="1"/>
  <c r="U89" i="2"/>
  <c r="U73" i="2"/>
  <c r="S26" i="2"/>
  <c r="B542" i="18" s="1"/>
  <c r="G61" i="2"/>
  <c r="F61" i="2"/>
  <c r="H121" i="6"/>
  <c r="L114" i="6"/>
  <c r="K114" i="6"/>
  <c r="J142" i="6"/>
  <c r="I142" i="6"/>
  <c r="L143" i="6"/>
  <c r="M143" i="6"/>
  <c r="K143" i="6"/>
  <c r="M155" i="6"/>
  <c r="K155" i="6"/>
  <c r="H159" i="6"/>
  <c r="I159" i="6"/>
  <c r="G159" i="6"/>
  <c r="M160" i="6"/>
  <c r="K160" i="6"/>
  <c r="I180" i="6"/>
  <c r="G180" i="6"/>
  <c r="H180" i="6"/>
  <c r="C109" i="13"/>
  <c r="D109" i="13"/>
  <c r="M96" i="6"/>
  <c r="I43" i="6"/>
  <c r="B918" i="18" s="1"/>
  <c r="M41" i="6"/>
  <c r="D872" i="18" s="1"/>
  <c r="I12" i="6"/>
  <c r="B205" i="18" s="1"/>
  <c r="D93" i="11"/>
  <c r="D49" i="11"/>
  <c r="D1050" i="18" s="1"/>
  <c r="C39" i="11"/>
  <c r="B820" i="18" s="1"/>
  <c r="A542" i="18"/>
  <c r="U97" i="2"/>
  <c r="S89" i="2"/>
  <c r="S73" i="2"/>
  <c r="U31" i="2"/>
  <c r="D657" i="18" s="1"/>
  <c r="E89" i="11"/>
  <c r="D56" i="11"/>
  <c r="D1211" i="18" s="1"/>
  <c r="C99" i="13"/>
  <c r="H8" i="6"/>
  <c r="H57" i="6"/>
  <c r="G69" i="2"/>
  <c r="G77" i="2"/>
  <c r="G85" i="2"/>
  <c r="G93" i="2"/>
  <c r="G138" i="6"/>
  <c r="M114" i="6"/>
  <c r="G126" i="6"/>
  <c r="H142" i="6"/>
  <c r="H150" i="6"/>
  <c r="G150" i="6"/>
  <c r="I150" i="6"/>
  <c r="I179" i="6"/>
  <c r="H179" i="6"/>
  <c r="M180" i="6"/>
  <c r="K180" i="6"/>
  <c r="L180" i="6"/>
  <c r="I185" i="6"/>
  <c r="H185" i="6"/>
  <c r="G185" i="6"/>
  <c r="D176" i="13"/>
  <c r="C176" i="13"/>
  <c r="I13" i="6"/>
  <c r="B228" i="18" s="1"/>
  <c r="G27" i="6"/>
  <c r="G28" i="6"/>
  <c r="C9" i="13"/>
  <c r="B134" i="18" s="1"/>
  <c r="C33" i="11"/>
  <c r="B682" i="18" s="1"/>
  <c r="H13" i="6"/>
  <c r="G95" i="6"/>
  <c r="G41" i="6"/>
  <c r="U81" i="2"/>
  <c r="S12" i="2"/>
  <c r="B220" i="18" s="1"/>
  <c r="U34" i="2"/>
  <c r="D726" i="18" s="1"/>
  <c r="U42" i="2"/>
  <c r="D910" i="18" s="1"/>
  <c r="S46" i="2"/>
  <c r="B1002" i="18" s="1"/>
  <c r="C29" i="13"/>
  <c r="B594" i="18" s="1"/>
  <c r="K34" i="6"/>
  <c r="G53" i="6"/>
  <c r="C6" i="13"/>
  <c r="B65" i="18" s="1"/>
  <c r="D6" i="13"/>
  <c r="D65" i="18" s="1"/>
  <c r="K176" i="6"/>
  <c r="I171" i="6"/>
  <c r="K127" i="6"/>
  <c r="I112" i="6"/>
  <c r="H113" i="6"/>
  <c r="M118" i="6"/>
  <c r="K118" i="6"/>
  <c r="I119" i="6"/>
  <c r="H119" i="6"/>
  <c r="G119" i="6"/>
  <c r="H120" i="6"/>
  <c r="G120" i="6"/>
  <c r="I120" i="6"/>
  <c r="K130" i="6"/>
  <c r="L130" i="6"/>
  <c r="H136" i="6"/>
  <c r="J136" i="6"/>
  <c r="J137" i="6"/>
  <c r="H137" i="6"/>
  <c r="I148" i="6"/>
  <c r="H148" i="6"/>
  <c r="G148" i="6"/>
  <c r="H153" i="6"/>
  <c r="I153" i="6"/>
  <c r="G153" i="6"/>
  <c r="L179" i="6"/>
  <c r="M179" i="6"/>
  <c r="J194" i="6"/>
  <c r="I194" i="6"/>
  <c r="G194" i="6"/>
  <c r="I200" i="6"/>
  <c r="G200" i="6"/>
  <c r="C49" i="11"/>
  <c r="B1050" i="18" s="1"/>
  <c r="T100" i="2"/>
  <c r="S42" i="2"/>
  <c r="B910" i="18" s="1"/>
  <c r="D74" i="11"/>
  <c r="E56" i="11"/>
  <c r="F1211" i="18" s="1"/>
  <c r="H97" i="6"/>
  <c r="C63" i="13"/>
  <c r="C78" i="11"/>
  <c r="K101" i="6"/>
  <c r="L176" i="6"/>
  <c r="K111" i="6"/>
  <c r="H112" i="6"/>
  <c r="G135" i="6"/>
  <c r="I135" i="6"/>
  <c r="L148" i="6"/>
  <c r="M148" i="6"/>
  <c r="L162" i="6"/>
  <c r="K162" i="6"/>
  <c r="M162" i="6"/>
  <c r="H168" i="6"/>
  <c r="I168" i="6"/>
  <c r="G168" i="6"/>
  <c r="I177" i="6"/>
  <c r="G177" i="6"/>
  <c r="L178" i="6"/>
  <c r="M178" i="6"/>
  <c r="K178" i="6"/>
  <c r="K27" i="6"/>
  <c r="J56" i="6"/>
  <c r="C19" i="13"/>
  <c r="B364" i="18" s="1"/>
  <c r="I27" i="6"/>
  <c r="B550" i="18" s="1"/>
  <c r="E63" i="11"/>
  <c r="H41" i="6"/>
  <c r="A910" i="18"/>
  <c r="A172" i="18"/>
  <c r="G8" i="2"/>
  <c r="B126" i="18" s="1"/>
  <c r="C64" i="11"/>
  <c r="D98" i="11"/>
  <c r="L101" i="6"/>
  <c r="K166" i="6"/>
  <c r="H102" i="6"/>
  <c r="I111" i="6"/>
  <c r="H111" i="6"/>
  <c r="G111" i="6"/>
  <c r="G129" i="6"/>
  <c r="J146" i="6"/>
  <c r="G146" i="6"/>
  <c r="I146" i="6"/>
  <c r="L147" i="6"/>
  <c r="M147" i="6"/>
  <c r="K147" i="6"/>
  <c r="M157" i="6"/>
  <c r="K157" i="6"/>
  <c r="M168" i="6"/>
  <c r="L168" i="6"/>
  <c r="K168" i="6"/>
  <c r="I172" i="6"/>
  <c r="J188" i="6"/>
  <c r="I188" i="6"/>
  <c r="G188" i="6"/>
  <c r="D160" i="13"/>
  <c r="C160" i="13"/>
  <c r="C170" i="13"/>
  <c r="D170" i="13"/>
  <c r="G77" i="6"/>
  <c r="G176" i="6"/>
  <c r="I174" i="6"/>
  <c r="K159" i="6"/>
  <c r="K174" i="6"/>
  <c r="K153" i="6"/>
  <c r="G142" i="6"/>
  <c r="G102" i="6"/>
  <c r="K103" i="6"/>
  <c r="C148" i="13"/>
  <c r="H110" i="6"/>
  <c r="H176" i="6"/>
  <c r="D21" i="19"/>
  <c r="K144" i="6"/>
  <c r="H132" i="6"/>
  <c r="H134" i="6"/>
  <c r="H191" i="6"/>
  <c r="G7" i="6"/>
  <c r="M175" i="6"/>
  <c r="M158" i="6"/>
  <c r="G117" i="6"/>
  <c r="I140" i="6"/>
  <c r="I136" i="6"/>
  <c r="L123" i="6"/>
  <c r="L119" i="6"/>
  <c r="L115" i="6"/>
  <c r="L107" i="6"/>
  <c r="L122" i="6"/>
  <c r="C180" i="13"/>
  <c r="H103" i="6"/>
  <c r="H124" i="6"/>
  <c r="H197" i="6"/>
  <c r="H199" i="6"/>
  <c r="K124" i="6"/>
  <c r="G110" i="6"/>
  <c r="L135" i="6"/>
  <c r="M124" i="6"/>
  <c r="M105" i="6"/>
  <c r="H114" i="6"/>
  <c r="H130" i="6"/>
  <c r="F12" i="19"/>
  <c r="B1" i="19" s="1"/>
  <c r="M8" i="6"/>
  <c r="D113" i="18" s="1"/>
  <c r="G8" i="6"/>
  <c r="T7" i="2"/>
  <c r="C105" i="18" s="1"/>
  <c r="A105" i="18"/>
  <c r="H6" i="6"/>
  <c r="I5" i="2"/>
  <c r="D57" i="18" s="1"/>
  <c r="J5" i="2"/>
  <c r="E57" i="18" s="1"/>
  <c r="C57" i="18"/>
  <c r="C1" i="16"/>
  <c r="D1" i="16"/>
  <c r="B178" i="18"/>
  <c r="A59" i="18"/>
  <c r="U5" i="2"/>
  <c r="D59" i="18" s="1"/>
  <c r="T5" i="2"/>
  <c r="C59" i="18" s="1"/>
  <c r="T6" i="2"/>
  <c r="C82" i="18" s="1"/>
  <c r="A82" i="18"/>
  <c r="M4" i="2"/>
  <c r="N4" i="2"/>
  <c r="S1" i="1"/>
  <c r="P3" i="2"/>
  <c r="O3" i="2"/>
  <c r="F155" i="18"/>
  <c r="G5" i="2"/>
  <c r="B57" i="18" s="1"/>
  <c r="A57" i="18"/>
  <c r="G6" i="2"/>
  <c r="B80" i="18" s="1"/>
  <c r="F6" i="2"/>
  <c r="A80" i="18"/>
  <c r="M6" i="2"/>
  <c r="N6" i="2"/>
  <c r="K6" i="2"/>
  <c r="F80" i="18" s="1"/>
  <c r="J6" i="2"/>
  <c r="E80" i="18" s="1"/>
  <c r="Y6" i="2"/>
  <c r="X6" i="2"/>
  <c r="G6" i="6"/>
  <c r="J6" i="6"/>
  <c r="D6" i="11"/>
  <c r="D61" i="18" s="1"/>
  <c r="K5" i="2"/>
  <c r="F57" i="18" s="1"/>
  <c r="M5" i="2"/>
  <c r="N5" i="2"/>
  <c r="D19" i="18"/>
  <c r="D15" i="18"/>
  <c r="C13" i="18"/>
  <c r="F34" i="18"/>
  <c r="E471" i="18"/>
  <c r="M42" i="6"/>
  <c r="D895" i="18" s="1"/>
  <c r="K96" i="6"/>
  <c r="E977" i="18"/>
  <c r="L76" i="6"/>
  <c r="U33" i="2"/>
  <c r="D703" i="18" s="1"/>
  <c r="L42" i="6"/>
  <c r="M14" i="6"/>
  <c r="D251" i="18" s="1"/>
  <c r="L13" i="6"/>
  <c r="E448" i="18"/>
  <c r="G39" i="6"/>
  <c r="M36" i="6"/>
  <c r="D757" i="18" s="1"/>
  <c r="E885" i="18"/>
  <c r="K36" i="6"/>
  <c r="E103" i="18"/>
  <c r="I46" i="6"/>
  <c r="B987" i="18" s="1"/>
  <c r="G36" i="2"/>
  <c r="B770" i="18" s="1"/>
  <c r="A887" i="18"/>
  <c r="J16" i="6"/>
  <c r="H16" i="6"/>
  <c r="H15" i="6"/>
  <c r="G15" i="6"/>
  <c r="H39" i="6"/>
  <c r="I39" i="6"/>
  <c r="B826" i="18" s="1"/>
  <c r="M13" i="6"/>
  <c r="D228" i="18" s="1"/>
  <c r="K35" i="6"/>
  <c r="L35" i="6"/>
  <c r="B13" i="18"/>
  <c r="U3" i="2"/>
  <c r="D13" i="18" s="1"/>
  <c r="T25" i="2"/>
  <c r="U25" i="2"/>
  <c r="D519" i="18" s="1"/>
  <c r="A151" i="18"/>
  <c r="S9" i="2"/>
  <c r="B151" i="18" s="1"/>
  <c r="U9" i="2"/>
  <c r="D151" i="18" s="1"/>
  <c r="A264" i="18"/>
  <c r="G14" i="2"/>
  <c r="B264" i="18" s="1"/>
  <c r="M39" i="6"/>
  <c r="D826" i="18" s="1"/>
  <c r="K39" i="6"/>
  <c r="S71" i="2"/>
  <c r="U71" i="2"/>
  <c r="T79" i="2"/>
  <c r="S79" i="2"/>
  <c r="U79" i="2"/>
  <c r="U87" i="2"/>
  <c r="T87" i="2"/>
  <c r="T95" i="2"/>
  <c r="S95" i="2"/>
  <c r="U95" i="2"/>
  <c r="D67" i="11"/>
  <c r="C67" i="11"/>
  <c r="E67" i="11"/>
  <c r="G63" i="2"/>
  <c r="G95" i="2"/>
  <c r="H48" i="6"/>
  <c r="I48" i="6"/>
  <c r="B1033" i="18" s="1"/>
  <c r="G48" i="6"/>
  <c r="H73" i="6"/>
  <c r="J73" i="6"/>
  <c r="H94" i="6"/>
  <c r="E55" i="11"/>
  <c r="F1188" i="18" s="1"/>
  <c r="L97" i="6"/>
  <c r="G54" i="6"/>
  <c r="L181" i="6"/>
  <c r="K181" i="6"/>
  <c r="Z41" i="2"/>
  <c r="T94" i="2"/>
  <c r="C62" i="11"/>
  <c r="H89" i="6"/>
  <c r="H7" i="6"/>
  <c r="I7" i="6"/>
  <c r="B90" i="18" s="1"/>
  <c r="D7" i="13"/>
  <c r="D88" i="18" s="1"/>
  <c r="C7" i="13"/>
  <c r="M113" i="6"/>
  <c r="L113" i="6"/>
  <c r="K113" i="6"/>
  <c r="M129" i="6"/>
  <c r="L129" i="6"/>
  <c r="K129" i="6"/>
  <c r="K120" i="6"/>
  <c r="L120" i="6"/>
  <c r="M120" i="6"/>
  <c r="S28" i="2"/>
  <c r="B588" i="18" s="1"/>
  <c r="E88" i="11"/>
  <c r="U16" i="2"/>
  <c r="D312" i="18" s="1"/>
  <c r="S16" i="2"/>
  <c r="B312" i="18" s="1"/>
  <c r="M145" i="6"/>
  <c r="L145" i="6"/>
  <c r="G92" i="6"/>
  <c r="U70" i="2"/>
  <c r="U28" i="2"/>
  <c r="U36" i="2"/>
  <c r="D772" i="18" s="1"/>
  <c r="I94" i="6"/>
  <c r="Z33" i="2"/>
  <c r="S70" i="2"/>
  <c r="L80" i="6"/>
  <c r="M97" i="6"/>
  <c r="I182" i="6"/>
  <c r="K192" i="6"/>
  <c r="H170" i="6"/>
  <c r="G155" i="6"/>
  <c r="K154" i="6"/>
  <c r="K110" i="6"/>
  <c r="I105" i="6"/>
  <c r="M138" i="6"/>
  <c r="H109" i="6"/>
  <c r="G109" i="6"/>
  <c r="D134" i="13"/>
  <c r="C134" i="13"/>
  <c r="D150" i="13"/>
  <c r="C150" i="13"/>
  <c r="D166" i="13"/>
  <c r="C166" i="13"/>
  <c r="D182" i="13"/>
  <c r="C182" i="13"/>
  <c r="D198" i="13"/>
  <c r="C198" i="13"/>
  <c r="K7" i="6"/>
  <c r="M7" i="6" s="1"/>
  <c r="D90" i="18" s="1"/>
  <c r="C6" i="11"/>
  <c r="B61" i="18" s="1"/>
  <c r="S18" i="2"/>
  <c r="B358" i="18" s="1"/>
  <c r="K197" i="6"/>
  <c r="H181" i="6"/>
  <c r="M192" i="6"/>
  <c r="L169" i="6"/>
  <c r="M166" i="6"/>
  <c r="I155" i="6"/>
  <c r="G197" i="6"/>
  <c r="G181" i="6"/>
  <c r="G170" i="6"/>
  <c r="G154" i="6"/>
  <c r="L138" i="6"/>
  <c r="I129" i="6"/>
  <c r="I141" i="6"/>
  <c r="M152" i="6"/>
  <c r="H164" i="6"/>
  <c r="I164" i="6"/>
  <c r="I195" i="6"/>
  <c r="H195" i="6"/>
  <c r="H169" i="6"/>
  <c r="M154" i="6"/>
  <c r="I197" i="6"/>
  <c r="I181" i="6"/>
  <c r="K169" i="6"/>
  <c r="M110" i="6"/>
  <c r="I104" i="6"/>
  <c r="K134" i="6"/>
  <c r="G103" i="6"/>
  <c r="M144" i="6"/>
  <c r="H163" i="6"/>
  <c r="H194" i="6"/>
  <c r="C115" i="13"/>
  <c r="D115" i="13"/>
  <c r="I154" i="6"/>
  <c r="G113" i="6"/>
  <c r="H104" i="6"/>
  <c r="L134" i="6"/>
  <c r="I103" i="6"/>
  <c r="L106" i="6"/>
  <c r="S6" i="2"/>
  <c r="B82" i="18" s="1"/>
  <c r="H154" i="6"/>
  <c r="G169" i="6"/>
  <c r="K106" i="6"/>
  <c r="H105" i="6"/>
  <c r="I113" i="6"/>
  <c r="J126" i="6"/>
  <c r="H126" i="6"/>
  <c r="I139" i="6"/>
  <c r="H155" i="6"/>
  <c r="I156" i="6"/>
  <c r="H182" i="6"/>
  <c r="I183" i="6"/>
  <c r="C106" i="13"/>
  <c r="D106" i="13"/>
  <c r="D142" i="13"/>
  <c r="C142" i="13"/>
  <c r="D158" i="13"/>
  <c r="C158" i="13"/>
  <c r="D174" i="13"/>
  <c r="C174" i="13"/>
  <c r="D190" i="13"/>
  <c r="C190" i="13"/>
  <c r="K182" i="6"/>
  <c r="K167" i="6"/>
  <c r="I169" i="6"/>
  <c r="L125" i="6"/>
  <c r="K136" i="6"/>
  <c r="K105" i="6"/>
  <c r="C107" i="13"/>
  <c r="J104" i="6"/>
  <c r="I106" i="6"/>
  <c r="G106" i="6"/>
  <c r="L155" i="6"/>
  <c r="M156" i="6"/>
  <c r="L156" i="6"/>
  <c r="L172" i="6"/>
  <c r="M172" i="6"/>
  <c r="M183" i="6"/>
  <c r="L183" i="6"/>
  <c r="D81" i="13"/>
  <c r="G182" i="6"/>
  <c r="L161" i="6"/>
  <c r="G105" i="6"/>
  <c r="I101" i="6"/>
  <c r="I102" i="6"/>
  <c r="I123" i="6"/>
  <c r="I133" i="6"/>
  <c r="H152" i="6"/>
  <c r="I160" i="6"/>
  <c r="H160" i="6"/>
  <c r="M191" i="6"/>
  <c r="M199" i="6"/>
  <c r="C118" i="13"/>
  <c r="C120" i="13"/>
  <c r="C122" i="13"/>
  <c r="C124" i="13"/>
  <c r="C126" i="13"/>
  <c r="C128" i="13"/>
  <c r="C130" i="13"/>
  <c r="E1" i="16"/>
  <c r="I6" i="6" l="1"/>
  <c r="B67" i="18" s="1"/>
  <c r="E1" i="11"/>
  <c r="L194" i="6"/>
  <c r="M194" i="6"/>
  <c r="K194" i="6"/>
  <c r="M161" i="6"/>
  <c r="K161" i="6"/>
  <c r="L188" i="6"/>
  <c r="M188" i="6"/>
  <c r="K188" i="6"/>
  <c r="M137" i="6"/>
  <c r="L137" i="6"/>
  <c r="K137" i="6"/>
  <c r="L136" i="6"/>
  <c r="M136" i="6"/>
  <c r="L142" i="6"/>
  <c r="K142" i="6"/>
  <c r="M142" i="6"/>
  <c r="L171" i="6"/>
  <c r="K171" i="6"/>
  <c r="M171" i="6"/>
  <c r="L146" i="6"/>
  <c r="K146" i="6"/>
  <c r="M146" i="6"/>
  <c r="K56" i="6"/>
  <c r="L56" i="6"/>
  <c r="M56" i="6"/>
  <c r="D1217" i="18" s="1"/>
  <c r="E3" i="22"/>
  <c r="F1" i="22" s="1"/>
  <c r="F1" i="16"/>
  <c r="D1" i="11"/>
  <c r="C1" i="11"/>
  <c r="B88" i="18"/>
  <c r="C1" i="13"/>
  <c r="D1" i="6"/>
  <c r="D1" i="13"/>
  <c r="Q4" i="2"/>
  <c r="P4" i="2"/>
  <c r="O4" i="2"/>
  <c r="G3" i="19"/>
  <c r="F1" i="19" s="1"/>
  <c r="Q6" i="2"/>
  <c r="P6" i="2"/>
  <c r="O6" i="2"/>
  <c r="K6" i="6"/>
  <c r="L6" i="6"/>
  <c r="Q5" i="2"/>
  <c r="P5" i="2"/>
  <c r="O5" i="2"/>
  <c r="D21" i="18"/>
  <c r="M16" i="6"/>
  <c r="D297" i="18" s="1"/>
  <c r="K16" i="6"/>
  <c r="L16" i="6"/>
  <c r="L104" i="6"/>
  <c r="K104" i="6"/>
  <c r="M104" i="6"/>
  <c r="K126" i="6"/>
  <c r="L126" i="6"/>
  <c r="M126" i="6"/>
  <c r="C519" i="18"/>
  <c r="K73" i="6"/>
  <c r="L73" i="6"/>
  <c r="M73" i="6"/>
  <c r="M6" i="6" l="1"/>
  <c r="D67" i="18" s="1"/>
  <c r="F1" i="11"/>
  <c r="E1" i="13"/>
  <c r="K1" i="6" l="1"/>
  <c r="G1" i="6" s="1"/>
  <c r="L1" i="6" s="1"/>
</calcChain>
</file>

<file path=xl/sharedStrings.xml><?xml version="1.0" encoding="utf-8"?>
<sst xmlns="http://schemas.openxmlformats.org/spreadsheetml/2006/main" count="2788" uniqueCount="259">
  <si>
    <t>VERSION 3.0 BETA</t>
  </si>
  <si>
    <r>
      <rPr>
        <b/>
        <sz val="11"/>
        <color rgb="FFFF0000"/>
        <rFont val="Calibri"/>
        <family val="2"/>
        <scheme val="minor"/>
      </rPr>
      <t>NOTE:</t>
    </r>
    <r>
      <rPr>
        <sz val="11"/>
        <rFont val="Calibri"/>
        <family val="2"/>
        <scheme val="minor"/>
      </rPr>
      <t xml:space="preserve"> Designed for Excel 2016, some functions may not work properly in  earlier versions.</t>
    </r>
  </si>
  <si>
    <t>DATE OF CLINIC / CLIENT MEETING</t>
  </si>
  <si>
    <t>PREPARER NAME</t>
  </si>
  <si>
    <t>CLIENT NAME</t>
  </si>
  <si>
    <t>CLIENT DOB</t>
  </si>
  <si>
    <t>CHECKED BY</t>
  </si>
  <si>
    <t>CHECK DATE</t>
  </si>
  <si>
    <r>
      <rPr>
        <b/>
        <sz val="16"/>
        <color rgb="FFFF0000"/>
        <rFont val="Calibri"/>
        <family val="2"/>
        <scheme val="minor"/>
      </rPr>
      <t xml:space="preserve">DISCLAIMER: </t>
    </r>
    <r>
      <rPr>
        <sz val="16"/>
        <color theme="1"/>
        <rFont val="Calibri"/>
        <family val="2"/>
        <scheme val="minor"/>
      </rPr>
      <t xml:space="preserve">This spreadsheet is intended to be a tool to assist with the gathering and analysis of criminal record information. It is </t>
    </r>
    <r>
      <rPr>
        <b/>
        <sz val="16"/>
        <color theme="1"/>
        <rFont val="Calibri"/>
        <family val="2"/>
        <scheme val="minor"/>
      </rPr>
      <t xml:space="preserve">NOT </t>
    </r>
    <r>
      <rPr>
        <sz val="16"/>
        <color theme="1"/>
        <rFont val="Calibri"/>
        <family val="2"/>
        <scheme val="minor"/>
      </rPr>
      <t xml:space="preserve">meant to constitute legal advice in any way, and there cannot and should not be relied upon. If you are seeking analysis of your legal rights and responsibilities, you are urged to contact an attorney. </t>
    </r>
  </si>
  <si>
    <t>TOTALS</t>
  </si>
  <si>
    <t>NOTES</t>
  </si>
  <si>
    <t>CASE#</t>
  </si>
  <si>
    <t>COUNTY</t>
  </si>
  <si>
    <t>DISP DATE</t>
  </si>
  <si>
    <t>DISPO</t>
  </si>
  <si>
    <t>VEH?</t>
  </si>
  <si>
    <t>SUPERVISION</t>
  </si>
  <si>
    <t>TYPE OF COURT DEBT</t>
  </si>
  <si>
    <t>FINES</t>
  </si>
  <si>
    <t>FILING FEES / COURT COSTS</t>
  </si>
  <si>
    <t>INDIGENT DEFENSE</t>
  </si>
  <si>
    <t>SURCHARGE</t>
  </si>
  <si>
    <t>JAIL / ROOM &amp; BOARD</t>
  </si>
  <si>
    <t>RESTITUTION</t>
  </si>
  <si>
    <t>3D PARTY COLLECTION</t>
  </si>
  <si>
    <t>SHERIFF'S FEES</t>
  </si>
  <si>
    <t>MISCELLANEOUS</t>
  </si>
  <si>
    <t>OTHER</t>
  </si>
  <si>
    <t>TOTAL</t>
  </si>
  <si>
    <t>YES</t>
  </si>
  <si>
    <t>Black Hawk</t>
  </si>
  <si>
    <t>ADJUDICATED CHARGE</t>
  </si>
  <si>
    <t>YEAR</t>
  </si>
  <si>
    <t>JUVENILE (232.150)</t>
  </si>
  <si>
    <t>DISMISSAL / ACQUITTAL (901C.2)</t>
  </si>
  <si>
    <t>MISDEMEANOR CONVICTION (901C.3)</t>
  </si>
  <si>
    <t>DEFERRED (907)</t>
  </si>
  <si>
    <t>PUB INTX &amp; PAULA (123.46 &amp; 123.47)</t>
  </si>
  <si>
    <t>PROSTITUTION (725.1)</t>
  </si>
  <si>
    <t>JUV?</t>
  </si>
  <si>
    <t>SUBSEQUENT CHARGES</t>
  </si>
  <si>
    <t xml:space="preserve"> POSSIBLE PENDING CHARGES</t>
  </si>
  <si>
    <t>2 YRS AFT LAST CASE ACT &amp; AGE 18 ?</t>
  </si>
  <si>
    <t>DISM ACQ?</t>
  </si>
  <si>
    <t>ATT'Y DEBT</t>
  </si>
  <si>
    <t>OTH DEBT</t>
  </si>
  <si>
    <t>TIME ELAPSED?</t>
  </si>
  <si>
    <t>MISD CONVICTION</t>
  </si>
  <si>
    <t>ELIGIBLE ADJ (EXCEPT CDL)</t>
  </si>
  <si>
    <t>ATTY DEBT</t>
  </si>
  <si>
    <t>TIME ELAPSED</t>
  </si>
  <si>
    <t>DEF JMT?</t>
  </si>
  <si>
    <t>PUB INTX  OR PAULA?</t>
  </si>
  <si>
    <t>2 YRS?</t>
  </si>
  <si>
    <t>&lt; 18 YRS AT TIME OF CHG?</t>
  </si>
  <si>
    <t>DISCHARGABLE?</t>
  </si>
  <si>
    <t>MAYBE</t>
  </si>
  <si>
    <t>NO</t>
  </si>
  <si>
    <t>TOTAL FOR LICENSURE</t>
  </si>
  <si>
    <t>OTHER DEBT</t>
  </si>
  <si>
    <t>TOTAL FOR REGISTRATION</t>
  </si>
  <si>
    <t>CHARGE</t>
  </si>
  <si>
    <t>LICENSURE</t>
  </si>
  <si>
    <t>REGISTRATION</t>
  </si>
  <si>
    <t>VEHICULAR?</t>
  </si>
  <si>
    <t>CRIM CONV?</t>
  </si>
  <si>
    <t>WHICH EXEMPTIONS APPLY?</t>
  </si>
  <si>
    <t>ALL</t>
  </si>
  <si>
    <t>FEDERAL ONLY</t>
  </si>
  <si>
    <t>TIME BARRED?</t>
  </si>
  <si>
    <t>BARRED</t>
  </si>
  <si>
    <t>MAYBE BARRED</t>
  </si>
  <si>
    <t>NOT BARRED</t>
  </si>
  <si>
    <t>CHG DATE</t>
  </si>
  <si>
    <t>UNKNOWN</t>
  </si>
  <si>
    <t>FILING FEES</t>
  </si>
  <si>
    <t>EXPUNGEMENT</t>
  </si>
  <si>
    <t>2 YRS PASSED &amp; AGE 18 ?</t>
  </si>
  <si>
    <t>PUB INTOX</t>
  </si>
  <si>
    <t>ON PROB?</t>
  </si>
  <si>
    <t>BANKRUPTCY</t>
  </si>
  <si>
    <t>STATUTE OF LIMITATIONS</t>
  </si>
  <si>
    <t>EXEMPTIONS</t>
  </si>
  <si>
    <t>LICENSURE &amp; REGISTRATION</t>
  </si>
  <si>
    <t>INSTALLMENT RAP</t>
  </si>
  <si>
    <t>OVERALL RAP (IMPOSITION / REMISSION)</t>
  </si>
  <si>
    <t>BASIC INFO</t>
  </si>
  <si>
    <t>Name</t>
  </si>
  <si>
    <t>County</t>
  </si>
  <si>
    <t>BALANCE</t>
  </si>
  <si>
    <t>Household size</t>
  </si>
  <si>
    <t># of Cars</t>
  </si>
  <si>
    <t>MONTHLY HOUSEHOLD INCOME</t>
  </si>
  <si>
    <t>Unemployment</t>
  </si>
  <si>
    <t>Gross salary (monthly)</t>
  </si>
  <si>
    <t>HOURLY WAGES</t>
  </si>
  <si>
    <t>SSI/SSD</t>
  </si>
  <si>
    <t>Hourly rate</t>
  </si>
  <si>
    <t>VA Benefits</t>
  </si>
  <si>
    <t>Hours / wk</t>
  </si>
  <si>
    <t>TANF</t>
  </si>
  <si>
    <t>DISP</t>
  </si>
  <si>
    <t>Monthly</t>
  </si>
  <si>
    <t>TOTAL INCOME</t>
  </si>
  <si>
    <t>TOTAL EXPENSES</t>
  </si>
  <si>
    <t>MONTHLY LIVING EXPENSES</t>
  </si>
  <si>
    <t>1. Food /Personal care</t>
  </si>
  <si>
    <t>4. Medical</t>
  </si>
  <si>
    <t>Actual</t>
  </si>
  <si>
    <t>Allowance</t>
  </si>
  <si>
    <t>Food</t>
  </si>
  <si>
    <t>Health insurance</t>
  </si>
  <si>
    <t>Housekeeping supplies</t>
  </si>
  <si>
    <t>Out of pocket health care</t>
  </si>
  <si>
    <t>Clothing and Clothing Services</t>
  </si>
  <si>
    <t>Expenses</t>
  </si>
  <si>
    <t>Personal Care Products &amp; Services</t>
  </si>
  <si>
    <t>Total</t>
  </si>
  <si>
    <t>Miscellaneous</t>
  </si>
  <si>
    <t>5. Other</t>
  </si>
  <si>
    <t>2. Transportation</t>
  </si>
  <si>
    <t>Child / dependent care</t>
  </si>
  <si>
    <t>Estimated tax payments</t>
  </si>
  <si>
    <t>Term life insurance</t>
  </si>
  <si>
    <r>
      <t xml:space="preserve">Retirement </t>
    </r>
    <r>
      <rPr>
        <i/>
        <sz val="11"/>
        <color theme="1"/>
        <rFont val="Calibri"/>
        <family val="2"/>
        <scheme val="minor"/>
      </rPr>
      <t>(employer required)</t>
    </r>
  </si>
  <si>
    <t>Public transportation</t>
  </si>
  <si>
    <r>
      <t xml:space="preserve">Retirement </t>
    </r>
    <r>
      <rPr>
        <i/>
        <sz val="11"/>
        <color theme="1"/>
        <rFont val="Calibri"/>
        <family val="2"/>
        <scheme val="minor"/>
      </rPr>
      <t>(voluntary)</t>
    </r>
  </si>
  <si>
    <t>Union dues</t>
  </si>
  <si>
    <t>3. Housing &amp; Utilities</t>
  </si>
  <si>
    <t>Delinquent taxes</t>
  </si>
  <si>
    <r>
      <t xml:space="preserve">Student loans </t>
    </r>
    <r>
      <rPr>
        <i/>
        <sz val="11"/>
        <color theme="1"/>
        <rFont val="Calibri"/>
        <family val="2"/>
        <scheme val="minor"/>
      </rPr>
      <t>(minimum payment)</t>
    </r>
  </si>
  <si>
    <t>Rent/mortgage/housing payment</t>
  </si>
  <si>
    <t>Court ordered child support</t>
  </si>
  <si>
    <t>Electric, oil/gas, Water/Trash</t>
  </si>
  <si>
    <t>Court ordered spousal support</t>
  </si>
  <si>
    <t>Phone/cell/cable/internet</t>
  </si>
  <si>
    <t>Other county court debt</t>
  </si>
  <si>
    <t>Real estate taxes &amp; insurance</t>
  </si>
  <si>
    <t>Other court ordered payments</t>
  </si>
  <si>
    <t>Maintenance &amp; repairs</t>
  </si>
  <si>
    <t>Other</t>
  </si>
  <si>
    <t>Balance</t>
  </si>
  <si>
    <t>TOTAL DISCRETIONARY INCOME</t>
  </si>
  <si>
    <t>IRS LOCAL COLLECTION STANDARDS - HOUSING</t>
  </si>
  <si>
    <t>2018 Fed pov guidelines</t>
  </si>
  <si>
    <t>Calibration</t>
  </si>
  <si>
    <t xml:space="preserve">Adair </t>
  </si>
  <si>
    <t># in household</t>
  </si>
  <si>
    <t>Amount</t>
  </si>
  <si>
    <t>Min payment</t>
  </si>
  <si>
    <t xml:space="preserve">Adams </t>
  </si>
  <si>
    <t>Max % payment</t>
  </si>
  <si>
    <t xml:space="preserve">Allamakee </t>
  </si>
  <si>
    <t>Max # payments (mos)</t>
  </si>
  <si>
    <t xml:space="preserve">Appanoose </t>
  </si>
  <si>
    <t xml:space="preserve">Audubon </t>
  </si>
  <si>
    <t xml:space="preserve">Benton </t>
  </si>
  <si>
    <t xml:space="preserve">Black Hawk </t>
  </si>
  <si>
    <t xml:space="preserve">Boone </t>
  </si>
  <si>
    <t xml:space="preserve">Bremer </t>
  </si>
  <si>
    <t xml:space="preserve">Buchanan </t>
  </si>
  <si>
    <t>Add'l</t>
  </si>
  <si>
    <t xml:space="preserve">Buena Vista </t>
  </si>
  <si>
    <t xml:space="preserve">Butler </t>
  </si>
  <si>
    <t xml:space="preserve">Calhoun </t>
  </si>
  <si>
    <t xml:space="preserve">Carroll </t>
  </si>
  <si>
    <t xml:space="preserve">Cass </t>
  </si>
  <si>
    <t xml:space="preserve">Cedar </t>
  </si>
  <si>
    <t xml:space="preserve">Cerro Gordo </t>
  </si>
  <si>
    <t xml:space="preserve">Cherokee </t>
  </si>
  <si>
    <t xml:space="preserve">Chickasaw </t>
  </si>
  <si>
    <t xml:space="preserve">Clarke </t>
  </si>
  <si>
    <t xml:space="preserve">Clay </t>
  </si>
  <si>
    <t xml:space="preserve">Clayton </t>
  </si>
  <si>
    <t xml:space="preserve">Clinton </t>
  </si>
  <si>
    <t xml:space="preserve">Crawford </t>
  </si>
  <si>
    <t xml:space="preserve">Dallas </t>
  </si>
  <si>
    <t xml:space="preserve">Davis </t>
  </si>
  <si>
    <t xml:space="preserve">Decatur </t>
  </si>
  <si>
    <t xml:space="preserve">Delaware </t>
  </si>
  <si>
    <t xml:space="preserve">Des Moines </t>
  </si>
  <si>
    <t xml:space="preserve">Dickinson </t>
  </si>
  <si>
    <t xml:space="preserve">Dubuque </t>
  </si>
  <si>
    <t xml:space="preserve">Emmet </t>
  </si>
  <si>
    <t xml:space="preserve">Fayette </t>
  </si>
  <si>
    <t xml:space="preserve">Floyd </t>
  </si>
  <si>
    <t xml:space="preserve">Franklin </t>
  </si>
  <si>
    <t xml:space="preserve">Fremont </t>
  </si>
  <si>
    <t xml:space="preserve">Greene </t>
  </si>
  <si>
    <t xml:space="preserve">Grundy </t>
  </si>
  <si>
    <t xml:space="preserve">Guthrie </t>
  </si>
  <si>
    <t xml:space="preserve">Hamilton </t>
  </si>
  <si>
    <t xml:space="preserve">Hancock </t>
  </si>
  <si>
    <t xml:space="preserve">Hardin </t>
  </si>
  <si>
    <t xml:space="preserve">Harrison </t>
  </si>
  <si>
    <t xml:space="preserve">Henry </t>
  </si>
  <si>
    <t xml:space="preserve">Howard </t>
  </si>
  <si>
    <t xml:space="preserve">Humboldt </t>
  </si>
  <si>
    <t xml:space="preserve">Ida </t>
  </si>
  <si>
    <t xml:space="preserve">Iowa </t>
  </si>
  <si>
    <t xml:space="preserve">Jackson </t>
  </si>
  <si>
    <t xml:space="preserve">Jasper </t>
  </si>
  <si>
    <t xml:space="preserve">Jefferson </t>
  </si>
  <si>
    <t xml:space="preserve">Johnson </t>
  </si>
  <si>
    <t xml:space="preserve">Jones </t>
  </si>
  <si>
    <t xml:space="preserve">Keokuk </t>
  </si>
  <si>
    <t xml:space="preserve">Kossuth </t>
  </si>
  <si>
    <t xml:space="preserve">Lee </t>
  </si>
  <si>
    <t xml:space="preserve">Linn </t>
  </si>
  <si>
    <t xml:space="preserve">Louisa </t>
  </si>
  <si>
    <t xml:space="preserve">Lucas </t>
  </si>
  <si>
    <t xml:space="preserve">Lyon </t>
  </si>
  <si>
    <t xml:space="preserve">Madison </t>
  </si>
  <si>
    <t xml:space="preserve">Mahaska </t>
  </si>
  <si>
    <t xml:space="preserve">Marion </t>
  </si>
  <si>
    <t xml:space="preserve">Marshall </t>
  </si>
  <si>
    <t xml:space="preserve">Mills </t>
  </si>
  <si>
    <t xml:space="preserve">Mitchell </t>
  </si>
  <si>
    <t xml:space="preserve">Monona </t>
  </si>
  <si>
    <t xml:space="preserve">Monroe </t>
  </si>
  <si>
    <t xml:space="preserve">Montgomery </t>
  </si>
  <si>
    <t xml:space="preserve">Muscatine </t>
  </si>
  <si>
    <t xml:space="preserve">O'Brien </t>
  </si>
  <si>
    <t xml:space="preserve">Osceola </t>
  </si>
  <si>
    <t xml:space="preserve">Page </t>
  </si>
  <si>
    <t xml:space="preserve">Palo Alto </t>
  </si>
  <si>
    <t xml:space="preserve">Plymouth </t>
  </si>
  <si>
    <t xml:space="preserve">Pocahontas </t>
  </si>
  <si>
    <t xml:space="preserve">Polk </t>
  </si>
  <si>
    <t xml:space="preserve">Pottawattamie </t>
  </si>
  <si>
    <t xml:space="preserve">Poweshiek </t>
  </si>
  <si>
    <t xml:space="preserve">Ringgold </t>
  </si>
  <si>
    <t xml:space="preserve">Sac </t>
  </si>
  <si>
    <t xml:space="preserve">Scott </t>
  </si>
  <si>
    <t xml:space="preserve">Shelby </t>
  </si>
  <si>
    <t xml:space="preserve">Sioux </t>
  </si>
  <si>
    <t xml:space="preserve">Story </t>
  </si>
  <si>
    <t xml:space="preserve">Tama </t>
  </si>
  <si>
    <t xml:space="preserve">Taylor </t>
  </si>
  <si>
    <t xml:space="preserve">Union </t>
  </si>
  <si>
    <t xml:space="preserve">Van Buren </t>
  </si>
  <si>
    <t xml:space="preserve">Wapello </t>
  </si>
  <si>
    <t xml:space="preserve">Warren </t>
  </si>
  <si>
    <t xml:space="preserve">Washington </t>
  </si>
  <si>
    <t xml:space="preserve">Wayne </t>
  </si>
  <si>
    <t xml:space="preserve">Webster </t>
  </si>
  <si>
    <t xml:space="preserve">Winnebago </t>
  </si>
  <si>
    <t xml:space="preserve">Winneshiek </t>
  </si>
  <si>
    <t xml:space="preserve">Woodbury </t>
  </si>
  <si>
    <t xml:space="preserve">Worth </t>
  </si>
  <si>
    <t xml:space="preserve">Wright </t>
  </si>
  <si>
    <t>ADJUDICATED CHARGE DESCRIPTIONS (Concatenation of Adjucation &gt; Description for each count)</t>
  </si>
  <si>
    <t>ADJUDICATED CHARGE STATUTORY REFERENCE (Concatenation of Adjucation &gt; Charge for each count [citation to the Iowa Code section someone was charged under])</t>
  </si>
  <si>
    <t>Operating costs</t>
  </si>
  <si>
    <t>Ownership costs</t>
  </si>
  <si>
    <t>IOWA CRIMINAL RECORD SPREADSHEET, (CRS) © 2019 ALEX KORNYA, ALL RIGHTS RESERVED</t>
  </si>
  <si>
    <t>ALEX KORNYA</t>
  </si>
  <si>
    <t>SOMEBODY JOHNSON</t>
  </si>
  <si>
    <t>ROB POGGENKLASS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</si>
</sst>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quot;$&quot;#,##0.00"/>
    <numFmt numFmtId="165" formatCode="_([$$-409]* #,##0.00_);_([$$-409]* \(#,##0.00\);_([$$-409]* &quot;-&quot;??_);_(@_)"/>
    <numFmt numFmtId="166" formatCode="_(&quot;$&quot;* #,##0_);_(&quot;$&quot;* \(#,##0\);_(&quot;$&quot;* &quot;-&quot;??_);_(@_)"/>
  </numFmts>
  <fonts count="18"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6"/>
      <color rgb="FFFF0000"/>
      <name val="Calibri"/>
      <family val="2"/>
      <scheme val="minor"/>
    </font>
    <font>
      <sz val="16"/>
      <color theme="1"/>
      <name val="Calibri"/>
      <family val="2"/>
      <scheme val="minor"/>
    </font>
    <font>
      <b/>
      <sz val="16"/>
      <color theme="1"/>
      <name val="Calibri"/>
      <family val="2"/>
      <scheme val="minor"/>
    </font>
    <font>
      <sz val="11"/>
      <color rgb="FFFF0000"/>
      <name val="Calibri"/>
      <family val="2"/>
      <scheme val="minor"/>
    </font>
    <font>
      <sz val="13"/>
      <color theme="1"/>
      <name val="Calibri"/>
      <family val="2"/>
      <scheme val="minor"/>
    </font>
    <font>
      <b/>
      <sz val="11"/>
      <name val="Calibri"/>
      <family val="2"/>
      <scheme val="minor"/>
    </font>
    <font>
      <b/>
      <sz val="14"/>
      <color theme="0"/>
      <name val="Calibri"/>
      <family val="2"/>
      <scheme val="minor"/>
    </font>
    <font>
      <b/>
      <sz val="60"/>
      <color theme="0"/>
      <name val="Calibri"/>
      <family val="2"/>
      <scheme val="minor"/>
    </font>
    <font>
      <sz val="11"/>
      <color theme="1"/>
      <name val="Calibri"/>
      <family val="2"/>
      <scheme val="minor"/>
    </font>
    <font>
      <i/>
      <sz val="11"/>
      <color theme="1"/>
      <name val="Calibri"/>
      <family val="2"/>
      <scheme val="minor"/>
    </font>
    <font>
      <sz val="11"/>
      <color rgb="FF00B0F0"/>
      <name val="Calibri"/>
      <family val="2"/>
      <scheme val="minor"/>
    </font>
    <font>
      <b/>
      <sz val="11"/>
      <color rgb="FFFF0000"/>
      <name val="Calibri"/>
      <family val="2"/>
      <scheme val="minor"/>
    </font>
    <font>
      <sz val="11"/>
      <color rgb="FF000000"/>
      <name val="Calibri"/>
      <family val="2"/>
      <scheme val="minor"/>
    </font>
  </fonts>
  <fills count="31">
    <fill>
      <patternFill patternType="none"/>
    </fill>
    <fill>
      <patternFill patternType="gray125"/>
    </fill>
    <fill>
      <patternFill patternType="solid">
        <fgColor theme="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C00000"/>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6600FF"/>
        <bgColor indexed="64"/>
      </patternFill>
    </fill>
    <fill>
      <patternFill patternType="solid">
        <fgColor rgb="FFCC99FF"/>
        <bgColor indexed="64"/>
      </patternFill>
    </fill>
    <fill>
      <patternFill patternType="solid">
        <fgColor rgb="FF00B0F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rgb="FF000000"/>
      </left>
      <right style="thin">
        <color rgb="FF000000"/>
      </right>
      <top style="thin">
        <color rgb="FF000000"/>
      </top>
      <bottom style="thin">
        <color rgb="FF000000"/>
      </bottom>
      <diagonal/>
    </border>
    <border>
      <left style="thin">
        <color rgb="FFFF0000"/>
      </left>
      <right/>
      <top/>
      <bottom style="thin">
        <color rgb="FFFF0000"/>
      </bottom>
      <diagonal/>
    </border>
    <border>
      <left/>
      <right style="thin">
        <color rgb="FFFF0000"/>
      </right>
      <top/>
      <bottom style="thin">
        <color rgb="FFFF0000"/>
      </bottom>
      <diagonal/>
    </border>
  </borders>
  <cellStyleXfs count="3">
    <xf numFmtId="0" fontId="0" fillId="0" borderId="0"/>
    <xf numFmtId="44" fontId="13" fillId="0" borderId="0" applyFont="0" applyFill="0" applyBorder="0" applyAlignment="0" applyProtection="0"/>
    <xf numFmtId="9" fontId="13" fillId="0" borderId="0" applyFont="0" applyFill="0" applyBorder="0" applyAlignment="0" applyProtection="0"/>
  </cellStyleXfs>
  <cellXfs count="340">
    <xf numFmtId="0" fontId="0" fillId="0" borderId="0" xfId="0"/>
    <xf numFmtId="0" fontId="0" fillId="0" borderId="1" xfId="0" applyBorder="1"/>
    <xf numFmtId="0" fontId="0" fillId="0" borderId="0" xfId="0" applyFill="1" applyBorder="1" applyAlignment="1">
      <alignment horizontal="center"/>
    </xf>
    <xf numFmtId="164" fontId="0" fillId="0" borderId="0" xfId="0" applyNumberFormat="1" applyFill="1" applyBorder="1"/>
    <xf numFmtId="0" fontId="1" fillId="0" borderId="0" xfId="0" applyFont="1" applyFill="1" applyBorder="1" applyAlignment="1">
      <alignment horizontal="center"/>
    </xf>
    <xf numFmtId="164" fontId="0" fillId="0" borderId="0" xfId="0" applyNumberFormat="1" applyBorder="1"/>
    <xf numFmtId="164" fontId="4" fillId="5" borderId="0" xfId="0" applyNumberFormat="1" applyFont="1" applyFill="1" applyBorder="1" applyAlignment="1">
      <alignment horizontal="right"/>
    </xf>
    <xf numFmtId="0" fontId="4" fillId="17" borderId="1" xfId="0" applyFont="1" applyFill="1" applyBorder="1" applyAlignment="1">
      <alignment horizontal="center" wrapText="1"/>
    </xf>
    <xf numFmtId="14" fontId="0" fillId="0" borderId="0" xfId="0" applyNumberFormat="1" applyAlignment="1">
      <alignment horizontal="left"/>
    </xf>
    <xf numFmtId="0" fontId="3" fillId="6" borderId="1" xfId="0" applyFont="1" applyFill="1" applyBorder="1"/>
    <xf numFmtId="0" fontId="4" fillId="17" borderId="3" xfId="0" applyFont="1" applyFill="1" applyBorder="1" applyAlignment="1">
      <alignment horizontal="center" wrapText="1"/>
    </xf>
    <xf numFmtId="0" fontId="4" fillId="5" borderId="0" xfId="0" applyFont="1" applyFill="1" applyBorder="1"/>
    <xf numFmtId="0" fontId="4" fillId="0" borderId="0" xfId="0" applyFont="1" applyFill="1" applyAlignment="1">
      <alignment horizontal="right" wrapText="1"/>
    </xf>
    <xf numFmtId="0" fontId="2" fillId="20" borderId="10" xfId="0" applyFont="1" applyFill="1" applyBorder="1" applyAlignment="1">
      <alignment horizontal="center"/>
    </xf>
    <xf numFmtId="164" fontId="3" fillId="21" borderId="0" xfId="0" applyNumberFormat="1" applyFont="1" applyFill="1"/>
    <xf numFmtId="0" fontId="2" fillId="22" borderId="1" xfId="0" applyFont="1" applyFill="1" applyBorder="1" applyAlignment="1">
      <alignment horizontal="center"/>
    </xf>
    <xf numFmtId="0" fontId="2" fillId="23" borderId="1" xfId="0" applyFont="1" applyFill="1" applyBorder="1" applyAlignment="1">
      <alignment horizontal="center"/>
    </xf>
    <xf numFmtId="0" fontId="2" fillId="24" borderId="1" xfId="0" applyFont="1" applyFill="1" applyBorder="1" applyAlignment="1">
      <alignment horizontal="center"/>
    </xf>
    <xf numFmtId="164" fontId="2" fillId="22" borderId="1" xfId="0" applyNumberFormat="1" applyFont="1" applyFill="1" applyBorder="1"/>
    <xf numFmtId="164" fontId="2" fillId="23" borderId="1" xfId="0" applyNumberFormat="1" applyFont="1" applyFill="1" applyBorder="1"/>
    <xf numFmtId="164" fontId="2" fillId="24" borderId="1" xfId="0" applyNumberFormat="1" applyFont="1" applyFill="1" applyBorder="1"/>
    <xf numFmtId="164" fontId="4" fillId="5" borderId="5" xfId="0" applyNumberFormat="1" applyFont="1" applyFill="1" applyBorder="1" applyAlignment="1">
      <alignment horizontal="right"/>
    </xf>
    <xf numFmtId="0" fontId="0" fillId="0" borderId="0" xfId="0" applyAlignment="1">
      <alignment wrapText="1"/>
    </xf>
    <xf numFmtId="0" fontId="0" fillId="0" borderId="3" xfId="0" applyBorder="1"/>
    <xf numFmtId="0" fontId="9" fillId="0" borderId="15" xfId="0" applyFont="1" applyBorder="1" applyAlignment="1">
      <alignment wrapText="1"/>
    </xf>
    <xf numFmtId="0" fontId="9" fillId="0" borderId="16" xfId="0" applyFont="1" applyBorder="1" applyAlignment="1">
      <alignment wrapText="1"/>
    </xf>
    <xf numFmtId="0" fontId="0" fillId="2" borderId="1" xfId="0" applyFill="1" applyBorder="1" applyAlignment="1">
      <alignment vertical="center"/>
    </xf>
    <xf numFmtId="164" fontId="0" fillId="0" borderId="1" xfId="0" applyNumberFormat="1" applyFill="1" applyBorder="1" applyAlignment="1">
      <alignment horizontal="left"/>
    </xf>
    <xf numFmtId="0" fontId="8" fillId="2" borderId="0" xfId="0" applyFont="1" applyFill="1" applyBorder="1"/>
    <xf numFmtId="0" fontId="0" fillId="2" borderId="0" xfId="0" applyFill="1" applyBorder="1"/>
    <xf numFmtId="164" fontId="0" fillId="0" borderId="1" xfId="0" applyNumberFormat="1" applyFill="1" applyBorder="1"/>
    <xf numFmtId="0" fontId="2" fillId="2" borderId="1" xfId="0" applyFont="1" applyFill="1" applyBorder="1" applyAlignment="1">
      <alignment horizontal="center"/>
    </xf>
    <xf numFmtId="164" fontId="0" fillId="28" borderId="0" xfId="0" applyNumberFormat="1" applyFill="1" applyBorder="1" applyAlignment="1">
      <alignment horizontal="left"/>
    </xf>
    <xf numFmtId="0" fontId="0" fillId="26" borderId="14" xfId="0" applyFill="1" applyBorder="1" applyAlignment="1">
      <alignment horizontal="left"/>
    </xf>
    <xf numFmtId="0" fontId="0" fillId="26" borderId="7" xfId="0" applyFill="1" applyBorder="1" applyAlignment="1">
      <alignment horizontal="left"/>
    </xf>
    <xf numFmtId="0" fontId="0" fillId="26" borderId="9" xfId="0" applyFill="1" applyBorder="1" applyAlignment="1">
      <alignment horizontal="left"/>
    </xf>
    <xf numFmtId="164" fontId="0" fillId="28" borderId="10" xfId="0" applyNumberFormat="1" applyFill="1" applyBorder="1" applyAlignment="1">
      <alignment horizontal="left"/>
    </xf>
    <xf numFmtId="164" fontId="0" fillId="28" borderId="4" xfId="0" applyNumberFormat="1" applyFill="1" applyBorder="1" applyAlignment="1">
      <alignment horizontal="left"/>
    </xf>
    <xf numFmtId="0" fontId="0" fillId="26" borderId="6" xfId="0" applyFill="1" applyBorder="1" applyAlignment="1">
      <alignment horizontal="left"/>
    </xf>
    <xf numFmtId="0" fontId="0" fillId="26" borderId="11" xfId="0" applyFill="1" applyBorder="1" applyAlignment="1">
      <alignment horizontal="left"/>
    </xf>
    <xf numFmtId="0" fontId="0" fillId="26" borderId="12" xfId="0" applyFill="1" applyBorder="1" applyAlignment="1">
      <alignment horizontal="left"/>
    </xf>
    <xf numFmtId="164" fontId="0" fillId="28" borderId="10" xfId="0" applyNumberFormat="1" applyFill="1" applyBorder="1"/>
    <xf numFmtId="164" fontId="0" fillId="28" borderId="4" xfId="0" applyNumberFormat="1" applyFill="1" applyBorder="1"/>
    <xf numFmtId="0" fontId="0" fillId="26" borderId="6" xfId="0" applyFill="1" applyBorder="1" applyAlignment="1">
      <alignment horizontal="center"/>
    </xf>
    <xf numFmtId="0" fontId="2" fillId="26" borderId="11" xfId="0" applyFont="1" applyFill="1" applyBorder="1" applyAlignment="1">
      <alignment horizontal="center"/>
    </xf>
    <xf numFmtId="0" fontId="10" fillId="26" borderId="4" xfId="0" applyFont="1" applyFill="1" applyBorder="1" applyAlignment="1">
      <alignment horizontal="center" vertical="center" wrapText="1"/>
    </xf>
    <xf numFmtId="0" fontId="10" fillId="27" borderId="1" xfId="0" applyFont="1" applyFill="1" applyBorder="1" applyAlignment="1">
      <alignment vertical="center"/>
    </xf>
    <xf numFmtId="0" fontId="10" fillId="27" borderId="1" xfId="0" applyFont="1" applyFill="1" applyBorder="1" applyAlignment="1">
      <alignment vertical="center" wrapText="1"/>
    </xf>
    <xf numFmtId="0" fontId="1" fillId="12" borderId="1" xfId="0" applyFont="1" applyFill="1" applyBorder="1" applyAlignment="1">
      <alignment horizontal="center" vertical="center"/>
    </xf>
    <xf numFmtId="0" fontId="1" fillId="12" borderId="1" xfId="0" applyFont="1" applyFill="1" applyBorder="1" applyAlignment="1">
      <alignment vertical="center"/>
    </xf>
    <xf numFmtId="0" fontId="2" fillId="12" borderId="1" xfId="0" applyFont="1" applyFill="1" applyBorder="1" applyAlignment="1">
      <alignment horizontal="center"/>
    </xf>
    <xf numFmtId="0" fontId="11" fillId="2" borderId="29" xfId="0" applyFont="1" applyFill="1" applyBorder="1" applyAlignment="1">
      <alignment horizontal="center"/>
    </xf>
    <xf numFmtId="0" fontId="11" fillId="2" borderId="11" xfId="0" applyFont="1" applyFill="1" applyBorder="1" applyAlignment="1">
      <alignment horizontal="center"/>
    </xf>
    <xf numFmtId="0" fontId="0" fillId="26" borderId="36" xfId="0" applyFill="1" applyBorder="1" applyAlignment="1">
      <alignment horizontal="left"/>
    </xf>
    <xf numFmtId="164" fontId="0" fillId="28" borderId="35" xfId="0" applyNumberFormat="1" applyFill="1" applyBorder="1"/>
    <xf numFmtId="0" fontId="0" fillId="26" borderId="37" xfId="0" applyFill="1" applyBorder="1" applyAlignment="1">
      <alignment horizontal="left"/>
    </xf>
    <xf numFmtId="0" fontId="0" fillId="26" borderId="34" xfId="0" applyFill="1" applyBorder="1" applyAlignment="1">
      <alignment horizontal="left" vertical="center"/>
    </xf>
    <xf numFmtId="0" fontId="8" fillId="2" borderId="38" xfId="0" applyFont="1" applyFill="1" applyBorder="1"/>
    <xf numFmtId="0" fontId="0" fillId="0" borderId="37" xfId="0" applyBorder="1" applyAlignment="1">
      <alignment horizontal="left"/>
    </xf>
    <xf numFmtId="0" fontId="10" fillId="26" borderId="36" xfId="0" applyFont="1" applyFill="1" applyBorder="1" applyAlignment="1">
      <alignment horizontal="center" vertical="center"/>
    </xf>
    <xf numFmtId="0" fontId="0" fillId="2" borderId="39" xfId="0" applyFill="1" applyBorder="1" applyAlignment="1">
      <alignment vertical="center"/>
    </xf>
    <xf numFmtId="0" fontId="0" fillId="0" borderId="24" xfId="0" applyBorder="1"/>
    <xf numFmtId="0" fontId="0" fillId="2" borderId="25" xfId="0" applyFill="1" applyBorder="1"/>
    <xf numFmtId="0" fontId="1" fillId="12" borderId="37" xfId="0" applyFont="1" applyFill="1" applyBorder="1" applyAlignment="1">
      <alignment horizontal="center" vertical="center"/>
    </xf>
    <xf numFmtId="0" fontId="0" fillId="0" borderId="34" xfId="0" applyBorder="1"/>
    <xf numFmtId="0" fontId="1" fillId="12" borderId="37" xfId="0" applyFont="1" applyFill="1" applyBorder="1" applyAlignment="1">
      <alignment horizontal="center"/>
    </xf>
    <xf numFmtId="0" fontId="1" fillId="12" borderId="42" xfId="0" applyFont="1" applyFill="1" applyBorder="1" applyAlignment="1">
      <alignment horizontal="center"/>
    </xf>
    <xf numFmtId="164" fontId="0" fillId="0" borderId="43" xfId="0" applyNumberFormat="1" applyFill="1" applyBorder="1" applyAlignment="1">
      <alignment horizontal="left"/>
    </xf>
    <xf numFmtId="0" fontId="2" fillId="12" borderId="43" xfId="0" applyFont="1" applyFill="1" applyBorder="1" applyAlignment="1">
      <alignment horizontal="center"/>
    </xf>
    <xf numFmtId="14" fontId="9" fillId="0" borderId="16" xfId="0" applyNumberFormat="1" applyFont="1" applyBorder="1" applyAlignment="1">
      <alignment wrapText="1"/>
    </xf>
    <xf numFmtId="0" fontId="9" fillId="0" borderId="20" xfId="0" applyFont="1" applyBorder="1" applyAlignment="1">
      <alignment wrapText="1"/>
    </xf>
    <xf numFmtId="0" fontId="1"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47" xfId="0" applyFont="1" applyFill="1" applyBorder="1" applyAlignment="1">
      <alignment horizontal="center" vertical="center"/>
    </xf>
    <xf numFmtId="0" fontId="9" fillId="0" borderId="7" xfId="0" applyFont="1" applyBorder="1" applyAlignment="1">
      <alignment wrapText="1"/>
    </xf>
    <xf numFmtId="0" fontId="9" fillId="0" borderId="11" xfId="0" applyFont="1" applyBorder="1" applyAlignment="1">
      <alignment wrapText="1"/>
    </xf>
    <xf numFmtId="0" fontId="9" fillId="0" borderId="29" xfId="0" applyFont="1" applyBorder="1" applyAlignment="1">
      <alignment wrapText="1"/>
    </xf>
    <xf numFmtId="14" fontId="9" fillId="0" borderId="11" xfId="0" applyNumberFormat="1" applyFont="1" applyBorder="1" applyAlignment="1">
      <alignment wrapText="1"/>
    </xf>
    <xf numFmtId="14" fontId="9" fillId="0" borderId="29" xfId="0" applyNumberFormat="1" applyFont="1" applyBorder="1" applyAlignment="1">
      <alignment wrapText="1"/>
    </xf>
    <xf numFmtId="0" fontId="9" fillId="0" borderId="11" xfId="0" applyNumberFormat="1" applyFont="1" applyBorder="1" applyAlignment="1">
      <alignment wrapText="1"/>
    </xf>
    <xf numFmtId="0" fontId="9" fillId="0" borderId="29" xfId="0" applyNumberFormat="1" applyFont="1" applyBorder="1" applyAlignment="1">
      <alignment wrapText="1"/>
    </xf>
    <xf numFmtId="14" fontId="9" fillId="0" borderId="11" xfId="0" applyNumberFormat="1" applyFont="1" applyBorder="1" applyAlignment="1"/>
    <xf numFmtId="0" fontId="9" fillId="0" borderId="16" xfId="0" applyFont="1" applyBorder="1" applyAlignment="1"/>
    <xf numFmtId="0" fontId="1" fillId="12" borderId="34" xfId="0" applyFont="1" applyFill="1" applyBorder="1" applyAlignment="1">
      <alignment horizontal="center"/>
    </xf>
    <xf numFmtId="164" fontId="0" fillId="0" borderId="3" xfId="0" applyNumberFormat="1" applyFill="1" applyBorder="1" applyAlignment="1">
      <alignment horizontal="left"/>
    </xf>
    <xf numFmtId="0" fontId="2" fillId="12" borderId="3" xfId="0" applyFont="1" applyFill="1" applyBorder="1" applyAlignment="1">
      <alignment horizontal="center"/>
    </xf>
    <xf numFmtId="0" fontId="1" fillId="2" borderId="50" xfId="0" applyFont="1" applyFill="1" applyBorder="1" applyAlignment="1">
      <alignment horizontal="center" vertical="center"/>
    </xf>
    <xf numFmtId="0" fontId="1" fillId="2" borderId="35" xfId="0" applyFont="1" applyFill="1" applyBorder="1" applyAlignment="1">
      <alignment horizontal="center" vertical="center"/>
    </xf>
    <xf numFmtId="164" fontId="0" fillId="0" borderId="0" xfId="0" applyNumberFormat="1" applyFill="1" applyBorder="1" applyAlignment="1">
      <alignment horizontal="left"/>
    </xf>
    <xf numFmtId="0" fontId="2" fillId="0" borderId="0" xfId="0" applyFont="1" applyFill="1" applyBorder="1" applyAlignment="1">
      <alignment horizontal="center"/>
    </xf>
    <xf numFmtId="14" fontId="0" fillId="0" borderId="0" xfId="0" applyNumberFormat="1" applyFont="1" applyAlignment="1">
      <alignment wrapText="1"/>
    </xf>
    <xf numFmtId="164" fontId="1" fillId="0" borderId="16" xfId="0" applyNumberFormat="1" applyFont="1" applyFill="1" applyBorder="1" applyAlignment="1">
      <alignment horizontal="center"/>
    </xf>
    <xf numFmtId="0" fontId="3" fillId="0" borderId="0" xfId="0" applyFont="1"/>
    <xf numFmtId="0" fontId="3" fillId="0" borderId="0" xfId="0" applyFont="1" applyBorder="1"/>
    <xf numFmtId="0" fontId="3" fillId="0" borderId="6" xfId="0" applyFont="1" applyBorder="1"/>
    <xf numFmtId="0" fontId="0" fillId="0" borderId="10" xfId="0" applyBorder="1"/>
    <xf numFmtId="0" fontId="0" fillId="0" borderId="4" xfId="0" applyBorder="1"/>
    <xf numFmtId="0" fontId="0" fillId="0" borderId="0" xfId="0" applyFill="1"/>
    <xf numFmtId="0" fontId="1" fillId="0" borderId="0" xfId="0" applyFont="1" applyFill="1" applyBorder="1" applyAlignment="1">
      <alignment vertical="center"/>
    </xf>
    <xf numFmtId="0" fontId="0" fillId="25" borderId="0" xfId="0" applyFill="1"/>
    <xf numFmtId="0" fontId="0" fillId="25" borderId="6" xfId="0" applyFont="1" applyFill="1" applyBorder="1" applyAlignment="1">
      <alignment horizontal="center"/>
    </xf>
    <xf numFmtId="44" fontId="0" fillId="0" borderId="10" xfId="1" applyFont="1" applyBorder="1"/>
    <xf numFmtId="44" fontId="0" fillId="0" borderId="5" xfId="1" applyFont="1" applyBorder="1"/>
    <xf numFmtId="0" fontId="0" fillId="0" borderId="1" xfId="0" applyFont="1" applyFill="1" applyBorder="1" applyAlignment="1">
      <alignment horizontal="left"/>
    </xf>
    <xf numFmtId="0" fontId="0" fillId="25" borderId="3" xfId="0" applyFont="1" applyFill="1" applyBorder="1" applyAlignment="1">
      <alignment vertical="center"/>
    </xf>
    <xf numFmtId="0" fontId="0" fillId="13" borderId="4" xfId="0" applyFont="1" applyFill="1" applyBorder="1" applyAlignment="1">
      <alignment vertical="center"/>
    </xf>
    <xf numFmtId="0" fontId="1" fillId="7" borderId="0" xfId="0" applyFont="1" applyFill="1" applyBorder="1" applyAlignment="1">
      <alignment vertical="center"/>
    </xf>
    <xf numFmtId="0" fontId="1" fillId="2" borderId="2" xfId="0" applyFont="1" applyFill="1" applyBorder="1" applyAlignment="1">
      <alignment vertical="center"/>
    </xf>
    <xf numFmtId="0" fontId="3" fillId="0" borderId="3" xfId="0" applyFont="1" applyFill="1" applyBorder="1" applyAlignment="1">
      <alignment vertical="center"/>
    </xf>
    <xf numFmtId="0" fontId="3" fillId="0" borderId="10" xfId="0" applyFont="1" applyFill="1" applyBorder="1" applyAlignment="1">
      <alignment vertical="center"/>
    </xf>
    <xf numFmtId="44" fontId="3" fillId="0" borderId="3" xfId="1" applyFont="1" applyFill="1" applyBorder="1" applyAlignment="1">
      <alignment vertical="center"/>
    </xf>
    <xf numFmtId="44" fontId="3" fillId="0" borderId="4" xfId="1" applyFont="1" applyFill="1" applyBorder="1" applyAlignment="1">
      <alignment vertical="center"/>
    </xf>
    <xf numFmtId="44" fontId="0" fillId="0" borderId="0" xfId="1" applyFont="1" applyFill="1"/>
    <xf numFmtId="44" fontId="0" fillId="27" borderId="5" xfId="1" applyFont="1" applyFill="1" applyBorder="1"/>
    <xf numFmtId="0" fontId="0" fillId="0" borderId="1" xfId="0" applyBorder="1" applyAlignment="1">
      <alignment wrapText="1"/>
    </xf>
    <xf numFmtId="6" fontId="0" fillId="0" borderId="1" xfId="0" applyNumberFormat="1" applyBorder="1"/>
    <xf numFmtId="0" fontId="3" fillId="0" borderId="0" xfId="0" applyFont="1" applyFill="1" applyBorder="1" applyAlignment="1"/>
    <xf numFmtId="166" fontId="0" fillId="0" borderId="1" xfId="1" applyNumberFormat="1" applyFont="1" applyBorder="1"/>
    <xf numFmtId="44" fontId="0" fillId="27" borderId="8" xfId="1" applyFont="1" applyFill="1" applyBorder="1"/>
    <xf numFmtId="44" fontId="0" fillId="27" borderId="4" xfId="1" applyFont="1" applyFill="1" applyBorder="1"/>
    <xf numFmtId="44" fontId="3" fillId="27" borderId="10" xfId="0" applyNumberFormat="1" applyFont="1" applyFill="1" applyBorder="1" applyAlignment="1">
      <alignment vertical="center"/>
    </xf>
    <xf numFmtId="44" fontId="3" fillId="27" borderId="10" xfId="1" applyFont="1" applyFill="1" applyBorder="1" applyAlignment="1">
      <alignment vertical="center"/>
    </xf>
    <xf numFmtId="0" fontId="2" fillId="2" borderId="0" xfId="0" applyFont="1" applyFill="1"/>
    <xf numFmtId="44" fontId="2" fillId="2" borderId="0" xfId="1" applyFont="1" applyFill="1"/>
    <xf numFmtId="9" fontId="2" fillId="2" borderId="0" xfId="2" applyFont="1" applyFill="1"/>
    <xf numFmtId="0" fontId="2" fillId="2" borderId="0" xfId="0" applyFont="1" applyFill="1" applyAlignment="1"/>
    <xf numFmtId="0" fontId="0" fillId="0" borderId="1" xfId="0" applyBorder="1" applyAlignment="1"/>
    <xf numFmtId="0" fontId="0" fillId="0" borderId="1" xfId="0" applyBorder="1" applyAlignment="1">
      <alignment horizontal="right" vertical="center" wrapText="1"/>
    </xf>
    <xf numFmtId="0" fontId="1" fillId="2" borderId="0" xfId="0" applyFont="1" applyFill="1"/>
    <xf numFmtId="0" fontId="0" fillId="0" borderId="0" xfId="0" applyFill="1" applyBorder="1" applyAlignment="1"/>
    <xf numFmtId="0" fontId="0" fillId="0" borderId="0" xfId="0" applyBorder="1" applyAlignment="1"/>
    <xf numFmtId="44" fontId="0" fillId="0" borderId="0" xfId="1" applyFont="1" applyBorder="1" applyAlignment="1"/>
    <xf numFmtId="165" fontId="0" fillId="0" borderId="0" xfId="0" applyNumberFormat="1" applyBorder="1"/>
    <xf numFmtId="44" fontId="0" fillId="0" borderId="0" xfId="1" applyFont="1" applyBorder="1"/>
    <xf numFmtId="0" fontId="0" fillId="0" borderId="0" xfId="0" applyBorder="1"/>
    <xf numFmtId="0" fontId="4" fillId="0" borderId="0" xfId="0" applyFont="1" applyFill="1" applyAlignment="1">
      <alignment horizontal="left" wrapText="1"/>
    </xf>
    <xf numFmtId="0" fontId="4" fillId="5" borderId="0" xfId="0" applyNumberFormat="1" applyFont="1" applyFill="1" applyBorder="1" applyAlignment="1">
      <alignment horizontal="right"/>
    </xf>
    <xf numFmtId="0" fontId="0" fillId="0" borderId="0" xfId="0" applyFont="1" applyAlignment="1">
      <alignment wrapText="1"/>
    </xf>
    <xf numFmtId="0" fontId="4" fillId="6" borderId="1" xfId="0" applyFont="1" applyFill="1" applyBorder="1" applyAlignment="1">
      <alignment horizontal="center" wrapText="1"/>
    </xf>
    <xf numFmtId="164" fontId="0" fillId="9" borderId="1" xfId="0" applyNumberFormat="1" applyFont="1" applyFill="1" applyBorder="1" applyAlignment="1">
      <alignment horizontal="right"/>
    </xf>
    <xf numFmtId="0" fontId="0" fillId="0" borderId="10" xfId="0" applyFont="1" applyFill="1" applyBorder="1" applyAlignment="1">
      <alignment horizontal="center"/>
    </xf>
    <xf numFmtId="0" fontId="0" fillId="0" borderId="1" xfId="0" applyFont="1" applyBorder="1" applyAlignment="1">
      <alignment horizontal="center"/>
    </xf>
    <xf numFmtId="0" fontId="0" fillId="0" borderId="1" xfId="0" applyFont="1" applyBorder="1" applyAlignment="1">
      <alignment horizontal="center" wrapText="1"/>
    </xf>
    <xf numFmtId="0" fontId="0" fillId="0" borderId="1" xfId="0" applyFont="1" applyBorder="1"/>
    <xf numFmtId="0" fontId="0" fillId="0" borderId="1" xfId="0" applyFont="1" applyFill="1" applyBorder="1" applyAlignment="1">
      <alignment horizontal="center"/>
    </xf>
    <xf numFmtId="0" fontId="0" fillId="0" borderId="0" xfId="0" applyFont="1" applyFill="1" applyBorder="1" applyAlignment="1">
      <alignment horizontal="center"/>
    </xf>
    <xf numFmtId="0" fontId="17" fillId="0" borderId="0" xfId="0" applyFont="1"/>
    <xf numFmtId="14" fontId="0" fillId="0" borderId="0" xfId="0" applyNumberFormat="1" applyFont="1"/>
    <xf numFmtId="164" fontId="0" fillId="0" borderId="0" xfId="0" applyNumberFormat="1" applyFont="1"/>
    <xf numFmtId="14" fontId="17" fillId="0" borderId="0" xfId="0" applyNumberFormat="1" applyFont="1"/>
    <xf numFmtId="8" fontId="0" fillId="0" borderId="0" xfId="0" applyNumberFormat="1" applyFont="1" applyAlignment="1">
      <alignment wrapText="1"/>
    </xf>
    <xf numFmtId="0" fontId="0" fillId="19" borderId="1" xfId="0" applyFont="1" applyFill="1" applyBorder="1" applyAlignment="1">
      <alignment horizontal="center" vertical="center"/>
    </xf>
    <xf numFmtId="0" fontId="0" fillId="19"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10" borderId="1" xfId="0" applyFont="1" applyFill="1" applyBorder="1" applyAlignment="1">
      <alignment vertical="center"/>
    </xf>
    <xf numFmtId="0" fontId="0" fillId="15" borderId="1" xfId="0" applyFont="1" applyFill="1" applyBorder="1" applyAlignment="1">
      <alignment vertical="center" wrapText="1"/>
    </xf>
    <xf numFmtId="0" fontId="0" fillId="15" borderId="1" xfId="0" applyFont="1" applyFill="1" applyBorder="1" applyAlignment="1">
      <alignment vertical="center"/>
    </xf>
    <xf numFmtId="0" fontId="0" fillId="9" borderId="1" xfId="0" applyFont="1" applyFill="1" applyBorder="1" applyAlignment="1">
      <alignment vertical="center"/>
    </xf>
    <xf numFmtId="0" fontId="0" fillId="5" borderId="0" xfId="0" applyFont="1" applyFill="1"/>
    <xf numFmtId="14" fontId="0" fillId="5" borderId="0" xfId="0" applyNumberFormat="1" applyFont="1" applyFill="1"/>
    <xf numFmtId="0" fontId="0" fillId="5" borderId="0" xfId="0" applyNumberFormat="1" applyFont="1" applyFill="1"/>
    <xf numFmtId="0" fontId="0" fillId="5" borderId="9" xfId="0" applyFont="1" applyFill="1" applyBorder="1"/>
    <xf numFmtId="164" fontId="0" fillId="25" borderId="0" xfId="0" applyNumberFormat="1" applyFont="1" applyFill="1"/>
    <xf numFmtId="164" fontId="0" fillId="13" borderId="0" xfId="0" applyNumberFormat="1" applyFont="1" applyFill="1"/>
    <xf numFmtId="164" fontId="0" fillId="9" borderId="0" xfId="0" applyNumberFormat="1" applyFont="1" applyFill="1"/>
    <xf numFmtId="164" fontId="0" fillId="13" borderId="16" xfId="0" applyNumberFormat="1" applyFont="1" applyFill="1" applyBorder="1"/>
    <xf numFmtId="164" fontId="0" fillId="13" borderId="19" xfId="0" applyNumberFormat="1" applyFont="1" applyFill="1" applyBorder="1"/>
    <xf numFmtId="164" fontId="0" fillId="0" borderId="20" xfId="0" applyNumberFormat="1" applyFont="1" applyFill="1" applyBorder="1"/>
    <xf numFmtId="0" fontId="0" fillId="16" borderId="1" xfId="0" applyFont="1" applyFill="1" applyBorder="1" applyAlignment="1">
      <alignment horizontal="center"/>
    </xf>
    <xf numFmtId="0" fontId="0" fillId="16" borderId="1" xfId="0" applyFont="1" applyFill="1" applyBorder="1"/>
    <xf numFmtId="0" fontId="0" fillId="13" borderId="1" xfId="0" applyFont="1" applyFill="1" applyBorder="1" applyAlignment="1">
      <alignment horizontal="center"/>
    </xf>
    <xf numFmtId="0" fontId="0" fillId="13" borderId="1" xfId="0" applyFont="1" applyFill="1" applyBorder="1"/>
    <xf numFmtId="0" fontId="0" fillId="25" borderId="0" xfId="0" applyFont="1" applyFill="1"/>
    <xf numFmtId="0" fontId="0" fillId="0" borderId="0" xfId="0" applyFont="1" applyFill="1"/>
    <xf numFmtId="0" fontId="0" fillId="0" borderId="10" xfId="0" applyFont="1" applyBorder="1"/>
    <xf numFmtId="0" fontId="0" fillId="0" borderId="4" xfId="0" applyFont="1" applyBorder="1"/>
    <xf numFmtId="44" fontId="0" fillId="0" borderId="5" xfId="0" applyNumberFormat="1" applyFont="1" applyBorder="1"/>
    <xf numFmtId="0" fontId="0" fillId="0" borderId="5" xfId="0" applyFont="1" applyBorder="1"/>
    <xf numFmtId="0" fontId="0" fillId="0" borderId="0" xfId="0" applyFont="1" applyBorder="1"/>
    <xf numFmtId="0" fontId="0" fillId="0" borderId="3" xfId="0" applyFont="1" applyBorder="1"/>
    <xf numFmtId="0" fontId="0" fillId="0" borderId="0" xfId="0"/>
    <xf numFmtId="164" fontId="4" fillId="5" borderId="0" xfId="0" applyNumberFormat="1" applyFont="1" applyFill="1"/>
    <xf numFmtId="0" fontId="4" fillId="5" borderId="2" xfId="0" applyFont="1" applyFill="1" applyBorder="1"/>
    <xf numFmtId="0" fontId="0" fillId="0" borderId="0" xfId="0" applyFont="1"/>
    <xf numFmtId="0" fontId="0" fillId="9" borderId="1" xfId="0" applyFont="1" applyFill="1" applyBorder="1" applyAlignment="1">
      <alignment vertical="center" wrapText="1"/>
    </xf>
    <xf numFmtId="0" fontId="0" fillId="5" borderId="0" xfId="0" applyFont="1" applyFill="1" applyBorder="1"/>
    <xf numFmtId="0" fontId="4" fillId="30" borderId="1" xfId="0" applyFont="1" applyFill="1" applyBorder="1" applyAlignment="1">
      <alignment horizontal="center" wrapText="1"/>
    </xf>
    <xf numFmtId="0" fontId="0" fillId="0" borderId="0" xfId="0" applyNumberFormat="1" applyFont="1" applyAlignment="1">
      <alignment wrapText="1"/>
    </xf>
    <xf numFmtId="0" fontId="0" fillId="0" borderId="0" xfId="0" applyNumberFormat="1" applyAlignment="1">
      <alignment wrapText="1"/>
    </xf>
    <xf numFmtId="49" fontId="0" fillId="0" borderId="0" xfId="0" applyNumberFormat="1" applyFont="1" applyAlignment="1">
      <alignment horizontal="left" wrapText="1"/>
    </xf>
    <xf numFmtId="0" fontId="1" fillId="2" borderId="10" xfId="0" applyFont="1" applyFill="1" applyBorder="1" applyAlignment="1">
      <alignment horizontal="center" vertical="center"/>
    </xf>
    <xf numFmtId="0" fontId="1" fillId="2" borderId="16" xfId="0" applyFont="1" applyFill="1" applyBorder="1" applyAlignment="1">
      <alignment horizontal="center"/>
    </xf>
    <xf numFmtId="0" fontId="2" fillId="2" borderId="44"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0" fillId="13" borderId="7" xfId="0" applyFont="1" applyFill="1" applyBorder="1" applyAlignment="1">
      <alignment horizontal="center" vertical="center"/>
    </xf>
    <xf numFmtId="0" fontId="0" fillId="13" borderId="29" xfId="0" applyFont="1" applyFill="1" applyBorder="1" applyAlignment="1">
      <alignment horizontal="center" vertical="center"/>
    </xf>
    <xf numFmtId="14" fontId="0" fillId="0" borderId="0" xfId="0" applyNumberFormat="1"/>
    <xf numFmtId="49" fontId="0" fillId="0" borderId="0" xfId="0" applyNumberFormat="1"/>
    <xf numFmtId="49" fontId="0" fillId="0" borderId="0" xfId="0" applyNumberFormat="1" applyAlignment="1">
      <alignment horizontal="left" wrapText="1"/>
    </xf>
    <xf numFmtId="49" fontId="0" fillId="0" borderId="0" xfId="0" applyNumberFormat="1" applyAlignment="1">
      <alignment wrapText="1"/>
    </xf>
    <xf numFmtId="0" fontId="0" fillId="0" borderId="52" xfId="0" applyFont="1" applyBorder="1" applyAlignment="1">
      <alignment vertical="center" wrapText="1"/>
    </xf>
    <xf numFmtId="3" fontId="0" fillId="0" borderId="52" xfId="0" applyNumberFormat="1" applyFont="1" applyBorder="1" applyAlignment="1">
      <alignment horizontal="right" vertical="center" wrapText="1"/>
    </xf>
    <xf numFmtId="0" fontId="0" fillId="0" borderId="52" xfId="0" applyFont="1" applyBorder="1" applyAlignment="1">
      <alignment horizontal="right" vertical="center" wrapText="1"/>
    </xf>
    <xf numFmtId="0" fontId="0" fillId="0" borderId="52" xfId="0" applyFont="1" applyBorder="1" applyAlignment="1">
      <alignment vertical="center"/>
    </xf>
    <xf numFmtId="0" fontId="0" fillId="0" borderId="52" xfId="0" applyFont="1" applyFill="1" applyBorder="1" applyAlignment="1">
      <alignment vertical="center" wrapText="1"/>
    </xf>
    <xf numFmtId="0" fontId="2" fillId="2" borderId="0" xfId="0" applyFont="1" applyFill="1" applyAlignment="1">
      <alignment horizontal="left" wrapText="1"/>
    </xf>
    <xf numFmtId="0" fontId="6" fillId="0" borderId="21" xfId="0" applyFont="1"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0"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4" fillId="0" borderId="0" xfId="0" applyFont="1" applyFill="1" applyAlignment="1">
      <alignment horizontal="left" vertical="top" wrapText="1"/>
    </xf>
    <xf numFmtId="0" fontId="1" fillId="24" borderId="12" xfId="0" applyFont="1" applyFill="1" applyBorder="1" applyAlignment="1">
      <alignment horizontal="right" vertical="center"/>
    </xf>
    <xf numFmtId="0" fontId="1" fillId="24" borderId="13" xfId="0" applyFont="1" applyFill="1" applyBorder="1" applyAlignment="1">
      <alignment horizontal="right" vertical="center"/>
    </xf>
    <xf numFmtId="0" fontId="1" fillId="2" borderId="2" xfId="0" applyFont="1" applyFill="1" applyBorder="1" applyAlignment="1">
      <alignment horizontal="center"/>
    </xf>
    <xf numFmtId="0" fontId="1" fillId="2" borderId="0" xfId="0" applyFont="1" applyFill="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11" borderId="2" xfId="0" applyFont="1" applyFill="1" applyBorder="1" applyAlignment="1">
      <alignment horizontal="center" wrapText="1"/>
    </xf>
    <xf numFmtId="0" fontId="1" fillId="11" borderId="0" xfId="0" applyFont="1" applyFill="1" applyBorder="1" applyAlignment="1">
      <alignment horizontal="center" wrapText="1"/>
    </xf>
    <xf numFmtId="0" fontId="1" fillId="2" borderId="0" xfId="0" applyFont="1" applyFill="1" applyBorder="1" applyAlignment="1">
      <alignment horizontal="center" vertical="center"/>
    </xf>
    <xf numFmtId="0" fontId="1" fillId="2" borderId="6"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8" xfId="0" applyFont="1" applyFill="1" applyBorder="1" applyAlignment="1">
      <alignment horizontal="center" vertical="center"/>
    </xf>
    <xf numFmtId="0" fontId="2" fillId="4" borderId="14"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8" borderId="14" xfId="0" applyFont="1" applyFill="1" applyBorder="1" applyAlignment="1">
      <alignment horizontal="center" wrapText="1"/>
    </xf>
    <xf numFmtId="0" fontId="2" fillId="8" borderId="6" xfId="0" applyFont="1" applyFill="1" applyBorder="1" applyAlignment="1">
      <alignment horizontal="center" wrapText="1"/>
    </xf>
    <xf numFmtId="0" fontId="2" fillId="8" borderId="8" xfId="0" applyFont="1" applyFill="1" applyBorder="1" applyAlignment="1">
      <alignment horizontal="center" wrapText="1"/>
    </xf>
    <xf numFmtId="0" fontId="0" fillId="0" borderId="1" xfId="0" applyFont="1" applyBorder="1" applyAlignment="1">
      <alignment horizontal="center" vertical="center"/>
    </xf>
    <xf numFmtId="0" fontId="1" fillId="2" borderId="5"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164" fontId="0" fillId="13" borderId="18" xfId="0" applyNumberFormat="1" applyFont="1" applyFill="1" applyBorder="1" applyAlignment="1">
      <alignment horizontal="center"/>
    </xf>
    <xf numFmtId="164" fontId="0" fillId="13" borderId="16" xfId="0" applyNumberFormat="1" applyFont="1" applyFill="1" applyBorder="1" applyAlignment="1">
      <alignment horizontal="center"/>
    </xf>
    <xf numFmtId="0" fontId="1" fillId="14" borderId="2" xfId="0" applyFont="1" applyFill="1" applyBorder="1" applyAlignment="1">
      <alignment horizontal="center"/>
    </xf>
    <xf numFmtId="0" fontId="1" fillId="14" borderId="0" xfId="0" applyFont="1" applyFill="1" applyBorder="1" applyAlignment="1">
      <alignment horizontal="center"/>
    </xf>
    <xf numFmtId="0" fontId="1" fillId="8" borderId="0" xfId="0" applyFont="1" applyFill="1" applyBorder="1" applyAlignment="1">
      <alignment horizont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7"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7" xfId="0" applyFont="1" applyFill="1" applyBorder="1" applyAlignment="1">
      <alignment horizontal="center" vertical="center"/>
    </xf>
    <xf numFmtId="0" fontId="11" fillId="4" borderId="40" xfId="0" applyFont="1" applyFill="1" applyBorder="1" applyAlignment="1">
      <alignment horizontal="center"/>
    </xf>
    <xf numFmtId="0" fontId="11" fillId="4" borderId="11" xfId="0" applyFont="1" applyFill="1" applyBorder="1" applyAlignment="1">
      <alignment horizontal="center"/>
    </xf>
    <xf numFmtId="0" fontId="11" fillId="4" borderId="41" xfId="0" applyFont="1" applyFill="1" applyBorder="1" applyAlignment="1">
      <alignment horizontal="center"/>
    </xf>
    <xf numFmtId="0" fontId="11" fillId="4" borderId="29" xfId="0" applyFont="1" applyFill="1" applyBorder="1" applyAlignment="1">
      <alignment horizontal="center"/>
    </xf>
    <xf numFmtId="0" fontId="12" fillId="2" borderId="12" xfId="0" applyFont="1" applyFill="1" applyBorder="1" applyAlignment="1">
      <alignment horizontal="center" vertical="center"/>
    </xf>
    <xf numFmtId="0" fontId="12" fillId="2" borderId="48"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49" xfId="0" applyFont="1" applyFill="1" applyBorder="1" applyAlignment="1">
      <alignment horizontal="center" vertical="center"/>
    </xf>
    <xf numFmtId="0" fontId="2" fillId="2" borderId="44"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41" xfId="0" applyBorder="1" applyAlignment="1">
      <alignment horizontal="center"/>
    </xf>
    <xf numFmtId="0" fontId="2" fillId="2" borderId="9" xfId="0" applyFont="1" applyFill="1" applyBorder="1" applyAlignment="1">
      <alignment horizontal="center"/>
    </xf>
    <xf numFmtId="0" fontId="2" fillId="2" borderId="12" xfId="0" applyFont="1" applyFill="1" applyBorder="1" applyAlignment="1">
      <alignment horizontal="center"/>
    </xf>
    <xf numFmtId="0" fontId="2" fillId="2" borderId="48" xfId="0" applyFont="1" applyFill="1" applyBorder="1" applyAlignment="1">
      <alignment horizontal="center"/>
    </xf>
    <xf numFmtId="0" fontId="0" fillId="0" borderId="1" xfId="0" applyBorder="1" applyAlignment="1">
      <alignment horizontal="left"/>
    </xf>
    <xf numFmtId="0" fontId="0" fillId="0" borderId="4" xfId="0" applyBorder="1" applyAlignment="1">
      <alignment horizontal="left"/>
    </xf>
    <xf numFmtId="0" fontId="0" fillId="0" borderId="38" xfId="0" applyBorder="1" applyAlignment="1">
      <alignment horizontal="left"/>
    </xf>
    <xf numFmtId="0" fontId="11" fillId="4" borderId="37" xfId="0" applyFont="1" applyFill="1" applyBorder="1" applyAlignment="1">
      <alignment horizontal="center"/>
    </xf>
    <xf numFmtId="0" fontId="11" fillId="4" borderId="1" xfId="0" applyFont="1" applyFill="1" applyBorder="1" applyAlignment="1">
      <alignment horizontal="center"/>
    </xf>
    <xf numFmtId="0" fontId="11" fillId="4" borderId="39" xfId="0" applyFont="1" applyFill="1" applyBorder="1" applyAlignment="1">
      <alignment horizontal="center"/>
    </xf>
    <xf numFmtId="0" fontId="1" fillId="2" borderId="18" xfId="0" applyFont="1" applyFill="1" applyBorder="1" applyAlignment="1">
      <alignment horizontal="center" vertical="center"/>
    </xf>
    <xf numFmtId="0" fontId="1" fillId="2" borderId="17" xfId="0" applyFont="1" applyFill="1" applyBorder="1" applyAlignment="1">
      <alignment horizontal="center" vertical="center"/>
    </xf>
    <xf numFmtId="14" fontId="9" fillId="0" borderId="16" xfId="0" applyNumberFormat="1" applyFont="1" applyBorder="1" applyAlignment="1">
      <alignment horizontal="center" wrapText="1"/>
    </xf>
    <xf numFmtId="0" fontId="0" fillId="0" borderId="7" xfId="0" applyBorder="1" applyAlignment="1">
      <alignment horizontal="left"/>
    </xf>
    <xf numFmtId="0" fontId="0" fillId="0" borderId="11" xfId="0" applyBorder="1" applyAlignment="1">
      <alignment horizontal="left"/>
    </xf>
    <xf numFmtId="0" fontId="0" fillId="0" borderId="41" xfId="0" applyBorder="1" applyAlignment="1">
      <alignment horizontal="left"/>
    </xf>
    <xf numFmtId="165" fontId="3" fillId="0" borderId="0" xfId="1" applyNumberFormat="1" applyFont="1" applyBorder="1" applyAlignment="1">
      <alignment horizontal="center"/>
    </xf>
    <xf numFmtId="165" fontId="3" fillId="0" borderId="5" xfId="1" applyNumberFormat="1" applyFont="1" applyBorder="1" applyAlignment="1">
      <alignment horizontal="center"/>
    </xf>
    <xf numFmtId="165" fontId="0" fillId="0" borderId="2" xfId="0" applyNumberFormat="1" applyFont="1" applyBorder="1" applyAlignment="1">
      <alignment horizontal="center"/>
    </xf>
    <xf numFmtId="0" fontId="0" fillId="0" borderId="0" xfId="0" applyFont="1" applyBorder="1" applyAlignment="1">
      <alignment horizont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13" borderId="7" xfId="0" applyFont="1" applyFill="1" applyBorder="1" applyAlignment="1">
      <alignment horizontal="center" vertical="center"/>
    </xf>
    <xf numFmtId="0" fontId="0" fillId="13" borderId="29" xfId="0" applyFont="1" applyFill="1" applyBorder="1" applyAlignment="1">
      <alignment horizontal="center" vertical="center"/>
    </xf>
    <xf numFmtId="0" fontId="3" fillId="0" borderId="1" xfId="0" applyFont="1" applyFill="1" applyBorder="1" applyAlignment="1">
      <alignment horizontal="left" vertical="center"/>
    </xf>
    <xf numFmtId="0" fontId="1" fillId="14" borderId="0" xfId="0" applyFont="1" applyFill="1" applyBorder="1" applyAlignment="1">
      <alignment horizontal="center" vertical="center"/>
    </xf>
    <xf numFmtId="0" fontId="0" fillId="25" borderId="9" xfId="0" applyFont="1" applyFill="1" applyBorder="1" applyAlignment="1">
      <alignment horizontal="center" vertical="center"/>
    </xf>
    <xf numFmtId="0" fontId="0" fillId="25" borderId="13" xfId="0" applyFont="1" applyFill="1" applyBorder="1" applyAlignment="1">
      <alignment horizontal="center" vertical="center"/>
    </xf>
    <xf numFmtId="0" fontId="1" fillId="7" borderId="51" xfId="0" applyFont="1" applyFill="1" applyBorder="1" applyAlignment="1">
      <alignment horizontal="center"/>
    </xf>
    <xf numFmtId="0" fontId="2" fillId="7" borderId="51" xfId="0" applyFont="1" applyFill="1" applyBorder="1" applyAlignment="1">
      <alignment horizontal="center"/>
    </xf>
    <xf numFmtId="0" fontId="0" fillId="0" borderId="0" xfId="0" applyFont="1" applyBorder="1" applyAlignment="1">
      <alignment horizontal="left"/>
    </xf>
    <xf numFmtId="0" fontId="0" fillId="0" borderId="5" xfId="0" applyFont="1" applyBorder="1" applyAlignment="1">
      <alignment horizontal="left"/>
    </xf>
    <xf numFmtId="0" fontId="3" fillId="0" borderId="0" xfId="0" applyFont="1" applyBorder="1" applyAlignment="1">
      <alignment horizontal="left"/>
    </xf>
    <xf numFmtId="0" fontId="3" fillId="0" borderId="5" xfId="0" applyFont="1" applyBorder="1" applyAlignment="1">
      <alignment horizontal="left"/>
    </xf>
    <xf numFmtId="0" fontId="3" fillId="29" borderId="1" xfId="0" applyFont="1" applyFill="1" applyBorder="1" applyAlignment="1">
      <alignment horizontal="center"/>
    </xf>
    <xf numFmtId="0" fontId="3" fillId="6" borderId="1" xfId="0" applyFont="1" applyFill="1" applyBorder="1" applyAlignment="1">
      <alignment horizontal="center"/>
    </xf>
    <xf numFmtId="0" fontId="3" fillId="29" borderId="11" xfId="0" applyFont="1" applyFill="1" applyBorder="1" applyAlignment="1">
      <alignment horizontal="center"/>
    </xf>
    <xf numFmtId="0" fontId="3" fillId="29" borderId="29" xfId="0" applyFont="1" applyFill="1" applyBorder="1" applyAlignment="1">
      <alignment horizontal="center"/>
    </xf>
    <xf numFmtId="0" fontId="0" fillId="0" borderId="0" xfId="0" applyFont="1" applyAlignment="1">
      <alignment horizontal="center"/>
    </xf>
    <xf numFmtId="0" fontId="0" fillId="0" borderId="5" xfId="0" applyFont="1" applyBorder="1" applyAlignment="1">
      <alignment horizontal="center"/>
    </xf>
    <xf numFmtId="0" fontId="0" fillId="0" borderId="0" xfId="0" applyFont="1" applyBorder="1" applyAlignment="1"/>
    <xf numFmtId="0" fontId="0" fillId="0" borderId="5" xfId="0" applyFont="1" applyBorder="1" applyAlignment="1"/>
    <xf numFmtId="0" fontId="3" fillId="0" borderId="6" xfId="0" applyFont="1" applyBorder="1" applyAlignment="1">
      <alignment horizontal="left"/>
    </xf>
    <xf numFmtId="0" fontId="3" fillId="0" borderId="8" xfId="0" applyFont="1" applyBorder="1" applyAlignment="1">
      <alignment horizontal="left"/>
    </xf>
    <xf numFmtId="0" fontId="3" fillId="15" borderId="7" xfId="0" applyFont="1" applyFill="1" applyBorder="1" applyAlignment="1">
      <alignment horizontal="center" vertical="center"/>
    </xf>
    <xf numFmtId="0" fontId="3" fillId="15" borderId="11" xfId="0" applyFont="1" applyFill="1" applyBorder="1" applyAlignment="1">
      <alignment horizontal="center" vertical="center"/>
    </xf>
    <xf numFmtId="0" fontId="3" fillId="15" borderId="29"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29" xfId="0" applyFont="1" applyFill="1" applyBorder="1" applyAlignment="1">
      <alignment horizontal="center" vertical="center"/>
    </xf>
    <xf numFmtId="44" fontId="10" fillId="27" borderId="7" xfId="0" applyNumberFormat="1" applyFont="1" applyFill="1" applyBorder="1" applyAlignment="1">
      <alignment horizontal="center" vertical="center"/>
    </xf>
    <xf numFmtId="0" fontId="10" fillId="27" borderId="29" xfId="0" applyFont="1" applyFill="1" applyBorder="1" applyAlignment="1">
      <alignment horizontal="center" vertical="center"/>
    </xf>
    <xf numFmtId="0" fontId="0" fillId="0" borderId="12" xfId="0" applyFont="1" applyBorder="1" applyAlignment="1">
      <alignment horizontal="center"/>
    </xf>
    <xf numFmtId="0" fontId="0" fillId="0" borderId="13" xfId="0" applyFont="1" applyBorder="1" applyAlignment="1">
      <alignment horizontal="center"/>
    </xf>
    <xf numFmtId="44" fontId="0" fillId="0" borderId="2" xfId="1" applyFont="1" applyFill="1" applyBorder="1" applyAlignment="1">
      <alignment horizontal="center"/>
    </xf>
    <xf numFmtId="44" fontId="0" fillId="0" borderId="0" xfId="1" applyFont="1" applyFill="1" applyAlignment="1">
      <alignment horizontal="center"/>
    </xf>
    <xf numFmtId="165" fontId="0" fillId="0" borderId="2" xfId="0" applyNumberFormat="1" applyBorder="1" applyAlignment="1">
      <alignment horizontal="center"/>
    </xf>
    <xf numFmtId="0" fontId="0" fillId="0" borderId="0" xfId="0" applyBorder="1" applyAlignment="1">
      <alignment horizontal="center"/>
    </xf>
    <xf numFmtId="0" fontId="15" fillId="2" borderId="53" xfId="0" applyFont="1" applyFill="1" applyBorder="1" applyAlignment="1">
      <alignment horizontal="center"/>
    </xf>
    <xf numFmtId="0" fontId="15" fillId="2" borderId="54" xfId="0" applyFont="1" applyFill="1" applyBorder="1" applyAlignment="1">
      <alignment horizontal="center"/>
    </xf>
  </cellXfs>
  <cellStyles count="3">
    <cellStyle name="Currency" xfId="1" builtinId="4"/>
    <cellStyle name="Normal" xfId="0" builtinId="0"/>
    <cellStyle name="Percent" xfId="2" builtinId="5"/>
  </cellStyles>
  <dxfs count="194">
    <dxf>
      <fill>
        <patternFill>
          <bgColor rgb="FFFFFF00"/>
        </patternFill>
      </fill>
    </dxf>
    <dxf>
      <fill>
        <patternFill>
          <bgColor theme="1"/>
        </patternFill>
      </fill>
    </dxf>
    <dxf>
      <fill>
        <patternFill>
          <bgColor theme="1"/>
        </patternFill>
      </fill>
    </dxf>
    <dxf>
      <fill>
        <patternFill>
          <bgColor rgb="FFFFFF00"/>
        </patternFill>
      </fill>
    </dxf>
    <dxf>
      <fill>
        <patternFill>
          <bgColor theme="1"/>
        </patternFill>
      </fill>
    </dxf>
    <dxf>
      <fill>
        <patternFill>
          <bgColor theme="1"/>
        </patternFill>
      </fill>
    </dxf>
    <dxf>
      <fill>
        <patternFill>
          <bgColor rgb="FFFFFF00"/>
        </patternFill>
      </fill>
    </dxf>
    <dxf>
      <fill>
        <patternFill>
          <bgColor theme="1"/>
        </patternFill>
      </fill>
    </dxf>
    <dxf>
      <fill>
        <patternFill>
          <bgColor theme="1"/>
        </patternFill>
      </fill>
    </dxf>
    <dxf>
      <fill>
        <patternFill>
          <bgColor theme="1"/>
        </patternFill>
      </fill>
    </dxf>
    <dxf>
      <fill>
        <patternFill>
          <bgColor rgb="FFFFFF00"/>
        </patternFill>
      </fill>
    </dxf>
    <dxf>
      <fill>
        <patternFill>
          <bgColor theme="1"/>
        </patternFill>
      </fill>
    </dxf>
    <dxf>
      <fill>
        <patternFill>
          <bgColor theme="1"/>
        </patternFill>
      </fill>
    </dxf>
    <dxf>
      <fill>
        <patternFill>
          <bgColor theme="1"/>
        </patternFill>
      </fill>
    </dxf>
    <dxf>
      <fill>
        <patternFill>
          <bgColor theme="1"/>
        </patternFill>
      </fill>
    </dxf>
    <dxf>
      <font>
        <color theme="0"/>
      </font>
      <fill>
        <patternFill>
          <bgColor rgb="FFFF0000"/>
        </patternFill>
      </fill>
    </dxf>
    <dxf>
      <fill>
        <patternFill>
          <bgColor rgb="FFFFFF00"/>
        </patternFill>
      </fill>
    </dxf>
    <dxf>
      <fill>
        <patternFill>
          <bgColor theme="1"/>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1"/>
      </font>
      <fill>
        <patternFill>
          <bgColor theme="1"/>
        </patternFill>
      </fill>
    </dxf>
    <dxf>
      <fill>
        <patternFill>
          <bgColor rgb="FFFFFF00"/>
        </patternFill>
      </fill>
    </dxf>
    <dxf>
      <fill>
        <patternFill>
          <bgColor theme="1"/>
        </patternFill>
      </fill>
    </dxf>
    <dxf>
      <fill>
        <patternFill>
          <bgColor theme="1"/>
        </patternFill>
      </fill>
    </dxf>
    <dxf>
      <fill>
        <patternFill>
          <bgColor rgb="FFFFFF00"/>
        </patternFill>
      </fill>
    </dxf>
    <dxf>
      <fill>
        <patternFill>
          <bgColor rgb="FFFF0000"/>
        </patternFill>
      </fill>
    </dxf>
    <dxf>
      <fill>
        <patternFill>
          <bgColor theme="1"/>
        </patternFill>
      </fill>
    </dxf>
    <dxf>
      <fill>
        <patternFill>
          <bgColor theme="1"/>
        </patternFill>
      </fill>
    </dxf>
    <dxf>
      <fill>
        <patternFill>
          <bgColor rgb="FFFF0000"/>
        </patternFill>
      </fill>
    </dxf>
    <dxf>
      <fill>
        <patternFill>
          <bgColor rgb="FFFFFF00"/>
        </patternFill>
      </fill>
    </dxf>
    <dxf>
      <fill>
        <patternFill>
          <bgColor rgb="FFFFFF00"/>
        </patternFill>
      </fill>
    </dxf>
    <dxf>
      <font>
        <color theme="0"/>
      </font>
      <fill>
        <patternFill>
          <bgColor rgb="FFFF0000"/>
        </patternFill>
      </fill>
    </dxf>
    <dxf>
      <fill>
        <patternFill>
          <bgColor theme="1"/>
        </patternFill>
      </fill>
    </dxf>
    <dxf>
      <fill>
        <patternFill>
          <bgColor rgb="FFFFFF00"/>
        </patternFill>
      </fill>
    </dxf>
    <dxf>
      <font>
        <color theme="0"/>
      </font>
      <fill>
        <patternFill>
          <bgColor rgb="FFFF0000"/>
        </patternFill>
      </fill>
    </dxf>
    <dxf>
      <fill>
        <patternFill>
          <bgColor theme="1"/>
        </patternFill>
      </fill>
    </dxf>
    <dxf>
      <fill>
        <patternFill>
          <bgColor rgb="FFFFFF00"/>
        </patternFill>
      </fill>
    </dxf>
    <dxf>
      <font>
        <color theme="0"/>
      </font>
      <fill>
        <patternFill>
          <bgColor rgb="FFFF0000"/>
        </patternFill>
      </fill>
    </dxf>
    <dxf>
      <fill>
        <patternFill>
          <bgColor theme="1"/>
        </patternFill>
      </fill>
    </dxf>
    <dxf>
      <fill>
        <patternFill>
          <bgColor theme="1"/>
        </patternFill>
      </fill>
    </dxf>
    <dxf>
      <font>
        <color theme="0"/>
      </font>
      <fill>
        <patternFill>
          <bgColor rgb="FFFF0000"/>
        </patternFill>
      </fill>
    </dxf>
    <dxf>
      <fill>
        <patternFill>
          <bgColor rgb="FFFFFF00"/>
        </patternFill>
      </fill>
    </dxf>
    <dxf>
      <fill>
        <patternFill>
          <bgColor theme="1"/>
        </patternFill>
      </fill>
    </dxf>
    <dxf>
      <fill>
        <patternFill>
          <bgColor rgb="FFFF0000"/>
        </patternFill>
      </fill>
    </dxf>
    <dxf>
      <fill>
        <patternFill>
          <bgColor rgb="FFFFFF00"/>
        </patternFill>
      </fill>
    </dxf>
    <dxf>
      <fill>
        <patternFill>
          <bgColor theme="7"/>
        </patternFill>
      </fill>
    </dxf>
    <dxf>
      <fill>
        <patternFill>
          <bgColor theme="1"/>
        </patternFill>
      </fill>
    </dxf>
    <dxf>
      <font>
        <color theme="1"/>
      </font>
      <fill>
        <patternFill>
          <bgColor theme="1"/>
        </patternFill>
      </fill>
    </dxf>
    <dxf>
      <font>
        <b/>
        <i val="0"/>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b/>
        <i val="0"/>
        <color rgb="FFFFFF00"/>
      </font>
      <fill>
        <patternFill>
          <bgColor theme="2" tint="-0.89996032593768116"/>
        </patternFill>
      </fill>
    </dxf>
    <dxf>
      <font>
        <b/>
        <i val="0"/>
        <color rgb="FFFFFF00"/>
      </font>
      <fill>
        <patternFill>
          <bgColor theme="2" tint="-0.89996032593768116"/>
        </patternFill>
      </fill>
    </dxf>
    <dxf>
      <fill>
        <patternFill>
          <bgColor theme="1"/>
        </patternFill>
      </fill>
    </dxf>
    <dxf>
      <fill>
        <patternFill>
          <bgColor rgb="FFFF0000"/>
        </patternFill>
      </fill>
    </dxf>
    <dxf>
      <fill>
        <patternFill>
          <bgColor rgb="FFFFFF00"/>
        </patternFill>
      </fill>
    </dxf>
    <dxf>
      <fill>
        <patternFill>
          <bgColor theme="7"/>
        </patternFill>
      </fill>
    </dxf>
    <dxf>
      <fill>
        <patternFill>
          <bgColor theme="1"/>
        </patternFill>
      </fill>
    </dxf>
    <dxf>
      <font>
        <color theme="1"/>
      </font>
      <fill>
        <patternFill>
          <bgColor theme="1"/>
        </patternFill>
      </fill>
    </dxf>
    <dxf>
      <font>
        <b/>
        <i val="0"/>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b/>
        <i val="0"/>
        <color rgb="FFFFFF00"/>
      </font>
      <fill>
        <patternFill>
          <bgColor theme="2" tint="-0.89996032593768116"/>
        </patternFill>
      </fill>
    </dxf>
    <dxf>
      <font>
        <b/>
        <i val="0"/>
        <color rgb="FFFFFF00"/>
      </font>
      <fill>
        <patternFill>
          <bgColor theme="2" tint="-0.89996032593768116"/>
        </patternFill>
      </fill>
    </dxf>
    <dxf>
      <fill>
        <patternFill>
          <bgColor theme="1"/>
        </patternFill>
      </fill>
    </dxf>
    <dxf>
      <font>
        <color theme="1"/>
      </font>
      <fill>
        <patternFill>
          <bgColor theme="1"/>
        </patternFill>
      </fill>
    </dxf>
    <dxf>
      <font>
        <b/>
        <i val="0"/>
        <color auto="1"/>
      </font>
      <fill>
        <patternFill>
          <bgColor rgb="FFFFFF00"/>
        </patternFill>
      </fill>
    </dxf>
    <dxf>
      <font>
        <color theme="0"/>
      </font>
      <fill>
        <patternFill>
          <bgColor rgb="FFFF0000"/>
        </patternFill>
      </fill>
    </dxf>
    <dxf>
      <font>
        <color auto="1"/>
      </font>
      <fill>
        <patternFill>
          <bgColor rgb="FFFFFF00"/>
        </patternFill>
      </fill>
    </dxf>
    <dxf>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ill>
        <patternFill>
          <bgColor theme="1"/>
        </patternFill>
      </fill>
    </dxf>
    <dxf>
      <font>
        <color theme="0"/>
      </font>
      <fill>
        <patternFill>
          <bgColor rgb="FFFF0000"/>
        </patternFill>
      </fill>
    </dxf>
    <dxf>
      <font>
        <color rgb="FF9C0006"/>
      </font>
      <fill>
        <patternFill>
          <bgColor rgb="FFFFC7CE"/>
        </patternFill>
      </fill>
    </dxf>
    <dxf>
      <font>
        <b/>
        <i val="0"/>
      </font>
      <fill>
        <patternFill>
          <bgColor rgb="FFFFFF00"/>
        </patternFill>
      </fill>
    </dxf>
    <dxf>
      <fill>
        <patternFill>
          <bgColor theme="1"/>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1"/>
      </font>
      <fill>
        <patternFill>
          <bgColor theme="1"/>
        </patternFill>
      </fill>
    </dxf>
    <dxf>
      <font>
        <b/>
        <i val="0"/>
        <color auto="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ill>
        <patternFill>
          <bgColor theme="1"/>
        </patternFill>
      </fill>
    </dxf>
    <dxf>
      <font>
        <color theme="0"/>
      </font>
      <fill>
        <patternFill>
          <bgColor rgb="FFFF0000"/>
        </patternFill>
      </fill>
    </dxf>
    <dxf>
      <font>
        <color auto="1"/>
      </font>
      <fill>
        <patternFill>
          <bgColor rgb="FFFFFF00"/>
        </patternFill>
      </fill>
    </dxf>
    <dxf>
      <fill>
        <patternFill>
          <bgColor theme="1"/>
        </patternFill>
      </fill>
    </dxf>
    <dxf>
      <fill>
        <patternFill>
          <bgColor theme="1"/>
        </patternFill>
      </fill>
    </dxf>
    <dxf>
      <fill>
        <patternFill>
          <bgColor rgb="FFFF0000"/>
        </patternFill>
      </fill>
    </dxf>
    <dxf>
      <fill>
        <patternFill>
          <bgColor rgb="FFFFFF00"/>
        </patternFill>
      </fill>
    </dxf>
    <dxf>
      <fill>
        <patternFill>
          <bgColor rgb="FFFFFF00"/>
        </patternFill>
      </fill>
    </dxf>
    <dxf>
      <fill>
        <patternFill>
          <bgColor theme="1"/>
        </patternFill>
      </fill>
    </dxf>
    <dxf>
      <fill>
        <patternFill>
          <bgColor theme="1"/>
        </patternFill>
      </fill>
    </dxf>
    <dxf>
      <fill>
        <patternFill>
          <bgColor theme="1"/>
        </patternFill>
      </fill>
    </dxf>
    <dxf>
      <font>
        <color theme="1"/>
      </font>
      <fill>
        <patternFill>
          <bgColor theme="1"/>
        </patternFill>
      </fill>
    </dxf>
    <dxf>
      <font>
        <b/>
        <i val="0"/>
        <color auto="1"/>
      </font>
      <fill>
        <patternFill>
          <bgColor rgb="FFFFFF00"/>
        </patternFill>
      </fill>
    </dxf>
    <dxf>
      <font>
        <color theme="0"/>
      </font>
      <fill>
        <patternFill>
          <bgColor rgb="FFFF0000"/>
        </patternFill>
      </fill>
    </dxf>
    <dxf>
      <font>
        <color auto="1"/>
      </font>
      <fill>
        <patternFill>
          <bgColor rgb="FFFFFF00"/>
        </patternFill>
      </fill>
    </dxf>
    <dxf>
      <fill>
        <patternFill>
          <bgColor theme="1"/>
        </patternFill>
      </fill>
    </dxf>
    <dxf>
      <fill>
        <patternFill>
          <bgColor theme="1"/>
        </patternFill>
      </fill>
    </dxf>
    <dxf>
      <fill>
        <patternFill>
          <bgColor rgb="FFFF0000"/>
        </patternFill>
      </fill>
    </dxf>
    <dxf>
      <fill>
        <patternFill>
          <bgColor rgb="FFFFFF00"/>
        </patternFill>
      </fill>
    </dxf>
    <dxf>
      <fill>
        <patternFill>
          <bgColor theme="1"/>
        </patternFill>
      </fill>
    </dxf>
    <dxf>
      <fill>
        <patternFill>
          <bgColor rgb="FFFF0000"/>
        </patternFill>
      </fill>
    </dxf>
    <dxf>
      <fill>
        <patternFill>
          <bgColor rgb="FFFFFF00"/>
        </patternFill>
      </fill>
    </dxf>
    <dxf>
      <fill>
        <patternFill>
          <bgColor theme="7"/>
        </patternFill>
      </fill>
    </dxf>
    <dxf>
      <fill>
        <patternFill>
          <bgColor theme="1"/>
        </patternFill>
      </fill>
    </dxf>
    <dxf>
      <fill>
        <patternFill>
          <bgColor theme="7"/>
        </patternFill>
      </fill>
    </dxf>
    <dxf>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ill>
        <patternFill>
          <bgColor theme="1"/>
        </patternFill>
      </fill>
    </dxf>
    <dxf>
      <font>
        <color theme="0"/>
      </font>
      <fill>
        <patternFill>
          <bgColor rgb="FFFF0000"/>
        </patternFill>
      </fill>
    </dxf>
    <dxf>
      <font>
        <color rgb="FF9C0006"/>
      </font>
      <fill>
        <patternFill>
          <bgColor rgb="FFFFC7CE"/>
        </patternFill>
      </fill>
    </dxf>
    <dxf>
      <font>
        <b/>
        <i val="0"/>
      </font>
      <fill>
        <patternFill>
          <bgColor rgb="FFFFFF00"/>
        </patternFill>
      </fill>
    </dxf>
    <dxf>
      <fill>
        <patternFill>
          <bgColor theme="1"/>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color auto="1"/>
      </font>
      <fill>
        <patternFill>
          <bgColor theme="1"/>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1"/>
      </font>
      <fill>
        <patternFill>
          <bgColor theme="1"/>
        </patternFill>
      </fill>
    </dxf>
    <dxf>
      <font>
        <b/>
        <i val="0"/>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0"/>
      </font>
      <fill>
        <patternFill>
          <bgColor rgb="FFFF0000"/>
        </patternFill>
      </fill>
    </dxf>
    <dxf>
      <font>
        <color auto="1"/>
      </font>
      <fill>
        <patternFill>
          <bgColor rgb="FFFFFF00"/>
        </patternFill>
      </fill>
    </dxf>
    <dxf>
      <font>
        <color theme="1"/>
      </font>
      <fill>
        <patternFill>
          <bgColor theme="1"/>
        </patternFill>
      </fill>
    </dxf>
    <dxf>
      <font>
        <color theme="1"/>
      </font>
      <fill>
        <patternFill>
          <bgColor theme="1"/>
        </patternFill>
      </fill>
    </dxf>
    <dxf>
      <font>
        <color theme="0"/>
      </font>
      <fill>
        <patternFill>
          <bgColor rgb="FFFF0000"/>
        </patternFill>
      </fill>
    </dxf>
    <dxf>
      <font>
        <color theme="1"/>
      </font>
      <fill>
        <patternFill>
          <bgColor theme="1"/>
        </patternFill>
      </fill>
    </dxf>
    <dxf>
      <font>
        <color theme="1"/>
      </font>
      <fill>
        <patternFill>
          <bgColor rgb="FFFFFF00"/>
        </patternFill>
      </fill>
    </dxf>
    <dxf>
      <font>
        <b/>
        <i val="0"/>
        <color rgb="FFFFFF00"/>
      </font>
      <fill>
        <patternFill>
          <bgColor theme="2" tint="-0.89996032593768116"/>
        </patternFill>
      </fill>
    </dxf>
    <dxf>
      <font>
        <b/>
        <i val="0"/>
        <color rgb="FFFFFF00"/>
      </font>
      <fill>
        <patternFill>
          <bgColor theme="2" tint="-0.89996032593768116"/>
        </patternFill>
      </fill>
    </dxf>
    <dxf>
      <font>
        <b/>
        <i val="0"/>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CurrentDir/2017%2003%2028%20CRS%20V%201.0%20EXAMPL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ardinTABLE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dinTABL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7"/>
  <sheetViews>
    <sheetView zoomScale="85" zoomScaleNormal="85" workbookViewId="0">
      <selection activeCell="B28" sqref="B28"/>
    </sheetView>
  </sheetViews>
  <sheetFormatPr defaultRowHeight="15" x14ac:dyDescent="0.25"/>
  <cols>
    <col min="1" max="1" width="32.28515625" customWidth="1"/>
    <col min="2" max="2" width="29.28515625" customWidth="1"/>
    <col min="4" max="4" width="25.5703125" customWidth="1"/>
  </cols>
  <sheetData>
    <row r="1" spans="1:13" ht="34.5" customHeight="1" x14ac:dyDescent="0.25">
      <c r="A1" s="210" t="s">
        <v>255</v>
      </c>
      <c r="B1" s="210"/>
      <c r="C1" s="210"/>
      <c r="D1" s="12" t="s">
        <v>0</v>
      </c>
      <c r="E1" s="184"/>
      <c r="F1" s="137"/>
      <c r="G1" s="137"/>
      <c r="H1" s="220" t="s">
        <v>1</v>
      </c>
      <c r="I1" s="220"/>
      <c r="J1" s="220"/>
      <c r="K1" s="220"/>
      <c r="L1" s="220"/>
      <c r="M1" s="220"/>
    </row>
    <row r="3" spans="1:13" x14ac:dyDescent="0.25">
      <c r="A3" s="9" t="s">
        <v>2</v>
      </c>
      <c r="B3" s="8">
        <v>43801</v>
      </c>
      <c r="C3" s="184"/>
      <c r="D3" s="184"/>
      <c r="E3" s="184"/>
      <c r="F3" s="184"/>
      <c r="G3" s="184"/>
      <c r="H3" s="184"/>
      <c r="I3" s="184"/>
      <c r="J3" s="184"/>
      <c r="K3" s="184"/>
      <c r="L3" s="184"/>
      <c r="M3" s="184"/>
    </row>
    <row r="4" spans="1:13" x14ac:dyDescent="0.25">
      <c r="A4" s="9" t="s">
        <v>3</v>
      </c>
      <c r="B4" s="184" t="s">
        <v>256</v>
      </c>
      <c r="C4" s="184"/>
      <c r="D4" s="184"/>
      <c r="E4" s="184"/>
      <c r="F4" s="184"/>
      <c r="G4" s="184"/>
      <c r="H4" s="184"/>
      <c r="I4" s="184"/>
      <c r="J4" s="184"/>
      <c r="K4" s="184"/>
      <c r="L4" s="184"/>
      <c r="M4" s="184"/>
    </row>
    <row r="5" spans="1:13" x14ac:dyDescent="0.25">
      <c r="A5" s="9" t="s">
        <v>4</v>
      </c>
      <c r="B5" s="184" t="s">
        <v>257</v>
      </c>
      <c r="C5" s="184"/>
      <c r="D5" s="184"/>
      <c r="E5" s="184"/>
      <c r="F5" s="184"/>
      <c r="G5" s="184"/>
      <c r="H5" s="184"/>
      <c r="I5" s="184"/>
      <c r="J5" s="184"/>
      <c r="K5" s="184"/>
      <c r="L5" s="184"/>
      <c r="M5" s="184"/>
    </row>
    <row r="6" spans="1:13" x14ac:dyDescent="0.25">
      <c r="A6" s="9" t="s">
        <v>5</v>
      </c>
      <c r="B6" s="8">
        <v>25720</v>
      </c>
      <c r="C6" s="184"/>
      <c r="D6" s="184"/>
      <c r="E6" s="184"/>
      <c r="F6" s="184"/>
      <c r="G6" s="184"/>
      <c r="H6" s="184"/>
      <c r="I6" s="184"/>
      <c r="J6" s="184"/>
      <c r="K6" s="184"/>
      <c r="L6" s="184"/>
      <c r="M6" s="184"/>
    </row>
    <row r="7" spans="1:13" x14ac:dyDescent="0.25">
      <c r="A7" s="9" t="s">
        <v>6</v>
      </c>
      <c r="B7" s="184" t="s">
        <v>258</v>
      </c>
      <c r="C7" s="184"/>
      <c r="D7" s="184"/>
      <c r="E7" s="184"/>
      <c r="F7" s="184"/>
      <c r="G7" s="184"/>
      <c r="H7" s="184"/>
      <c r="I7" s="184"/>
      <c r="J7" s="184"/>
      <c r="K7" s="184"/>
      <c r="L7" s="184"/>
      <c r="M7" s="184"/>
    </row>
    <row r="8" spans="1:13" x14ac:dyDescent="0.25">
      <c r="A8" s="9" t="s">
        <v>7</v>
      </c>
      <c r="B8" s="8">
        <v>43801</v>
      </c>
      <c r="C8" s="184"/>
      <c r="D8" s="184"/>
      <c r="E8" s="184"/>
      <c r="F8" s="184"/>
      <c r="G8" s="184"/>
      <c r="H8" s="184"/>
      <c r="I8" s="184"/>
      <c r="J8" s="184"/>
      <c r="K8" s="184"/>
      <c r="L8" s="184"/>
      <c r="M8" s="184"/>
    </row>
    <row r="10" spans="1:13" ht="15.75" thickBot="1" x14ac:dyDescent="0.3">
      <c r="A10" s="184"/>
      <c r="B10" s="184"/>
      <c r="C10" s="184"/>
      <c r="D10" s="184"/>
      <c r="E10" s="184"/>
      <c r="F10" s="184"/>
      <c r="G10" s="184"/>
      <c r="H10" s="184"/>
      <c r="I10" s="184"/>
      <c r="J10" s="184"/>
      <c r="K10" s="184"/>
      <c r="L10" s="184"/>
      <c r="M10" s="184"/>
    </row>
    <row r="11" spans="1:13" x14ac:dyDescent="0.25">
      <c r="A11" s="184"/>
      <c r="B11" s="184"/>
      <c r="C11" s="184"/>
      <c r="D11" s="211" t="s">
        <v>8</v>
      </c>
      <c r="E11" s="212"/>
      <c r="F11" s="212"/>
      <c r="G11" s="212"/>
      <c r="H11" s="212"/>
      <c r="I11" s="212"/>
      <c r="J11" s="212"/>
      <c r="K11" s="212"/>
      <c r="L11" s="213"/>
      <c r="M11" s="184"/>
    </row>
    <row r="12" spans="1:13" x14ac:dyDescent="0.25">
      <c r="A12" s="184"/>
      <c r="B12" s="184"/>
      <c r="C12" s="184"/>
      <c r="D12" s="214"/>
      <c r="E12" s="215"/>
      <c r="F12" s="215"/>
      <c r="G12" s="215"/>
      <c r="H12" s="215"/>
      <c r="I12" s="215"/>
      <c r="J12" s="215"/>
      <c r="K12" s="215"/>
      <c r="L12" s="216"/>
      <c r="M12" s="184"/>
    </row>
    <row r="13" spans="1:13" x14ac:dyDescent="0.25">
      <c r="A13" s="184"/>
      <c r="B13" s="184"/>
      <c r="C13" s="184"/>
      <c r="D13" s="214"/>
      <c r="E13" s="215"/>
      <c r="F13" s="215"/>
      <c r="G13" s="215"/>
      <c r="H13" s="215"/>
      <c r="I13" s="215"/>
      <c r="J13" s="215"/>
      <c r="K13" s="215"/>
      <c r="L13" s="216"/>
      <c r="M13" s="184"/>
    </row>
    <row r="14" spans="1:13" x14ac:dyDescent="0.25">
      <c r="A14" s="184"/>
      <c r="B14" s="184"/>
      <c r="C14" s="184"/>
      <c r="D14" s="214"/>
      <c r="E14" s="215"/>
      <c r="F14" s="215"/>
      <c r="G14" s="215"/>
      <c r="H14" s="215"/>
      <c r="I14" s="215"/>
      <c r="J14" s="215"/>
      <c r="K14" s="215"/>
      <c r="L14" s="216"/>
      <c r="M14" s="184"/>
    </row>
    <row r="15" spans="1:13" x14ac:dyDescent="0.25">
      <c r="A15" s="184"/>
      <c r="B15" s="184"/>
      <c r="C15" s="184"/>
      <c r="D15" s="214"/>
      <c r="E15" s="215"/>
      <c r="F15" s="215"/>
      <c r="G15" s="215"/>
      <c r="H15" s="215"/>
      <c r="I15" s="215"/>
      <c r="J15" s="215"/>
      <c r="K15" s="215"/>
      <c r="L15" s="216"/>
      <c r="M15" s="184"/>
    </row>
    <row r="16" spans="1:13" x14ac:dyDescent="0.25">
      <c r="A16" s="184"/>
      <c r="B16" s="184"/>
      <c r="C16" s="184"/>
      <c r="D16" s="214"/>
      <c r="E16" s="215"/>
      <c r="F16" s="215"/>
      <c r="G16" s="215"/>
      <c r="H16" s="215"/>
      <c r="I16" s="215"/>
      <c r="J16" s="215"/>
      <c r="K16" s="215"/>
      <c r="L16" s="216"/>
      <c r="M16" s="184"/>
    </row>
    <row r="17" spans="4:12" ht="15.75" thickBot="1" x14ac:dyDescent="0.3">
      <c r="D17" s="217"/>
      <c r="E17" s="218"/>
      <c r="F17" s="218"/>
      <c r="G17" s="218"/>
      <c r="H17" s="218"/>
      <c r="I17" s="218"/>
      <c r="J17" s="218"/>
      <c r="K17" s="218"/>
      <c r="L17" s="219"/>
    </row>
  </sheetData>
  <mergeCells count="3">
    <mergeCell ref="A1:C1"/>
    <mergeCell ref="D11:L17"/>
    <mergeCell ref="H1:M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G22"/>
  <sheetViews>
    <sheetView workbookViewId="0">
      <selection activeCell="E7" sqref="E7"/>
    </sheetView>
  </sheetViews>
  <sheetFormatPr defaultRowHeight="15" x14ac:dyDescent="0.25"/>
  <cols>
    <col min="1" max="1" width="35.7109375" customWidth="1"/>
    <col min="2" max="3" width="10.7109375" customWidth="1"/>
    <col min="4" max="4" width="34" customWidth="1"/>
    <col min="5" max="5" width="12.42578125" customWidth="1"/>
    <col min="6" max="6" width="10.7109375" customWidth="1"/>
    <col min="7" max="7" width="10.5703125" bestFit="1" customWidth="1"/>
  </cols>
  <sheetData>
    <row r="1" spans="1:7" ht="15.75" thickBot="1" x14ac:dyDescent="0.3">
      <c r="A1" s="108" t="s">
        <v>84</v>
      </c>
      <c r="B1" s="296">
        <f>IF(0.1*F11&lt;TABLES!L2,TABLES!L2,0.1*F11+TABLES!L2)</f>
        <v>68.875</v>
      </c>
      <c r="C1" s="297"/>
      <c r="D1" s="308" t="s">
        <v>85</v>
      </c>
      <c r="E1" s="309"/>
      <c r="F1" s="336">
        <f>IF(TABLES!L4*B1&lt;E3, TABLES!L4*B1, E3)</f>
        <v>0</v>
      </c>
      <c r="G1" s="337"/>
    </row>
    <row r="2" spans="1:7" ht="15.75" thickTop="1" x14ac:dyDescent="0.25">
      <c r="A2" s="305" t="s">
        <v>86</v>
      </c>
      <c r="B2" s="305"/>
      <c r="C2" s="305"/>
      <c r="D2" s="305"/>
      <c r="E2" s="305"/>
      <c r="F2" s="305"/>
      <c r="G2" s="305"/>
    </row>
    <row r="3" spans="1:7" x14ac:dyDescent="0.25">
      <c r="A3" s="101" t="s">
        <v>87</v>
      </c>
      <c r="B3" s="304" t="str">
        <f>'BASIC INFO'!B5</f>
        <v>SOMEBODY JOHNSON</v>
      </c>
      <c r="C3" s="304"/>
      <c r="D3" s="102" t="s">
        <v>141</v>
      </c>
      <c r="E3" s="334">
        <f>'CASE DATA'!S1</f>
        <v>0</v>
      </c>
      <c r="F3" s="335"/>
      <c r="G3" s="335"/>
    </row>
    <row r="4" spans="1:7" x14ac:dyDescent="0.25">
      <c r="A4" s="106" t="s">
        <v>90</v>
      </c>
      <c r="B4" s="97">
        <v>1</v>
      </c>
      <c r="C4" s="306" t="s">
        <v>91</v>
      </c>
      <c r="D4" s="307"/>
      <c r="E4" s="110"/>
      <c r="F4" s="100"/>
      <c r="G4" s="100"/>
    </row>
    <row r="5" spans="1:7" x14ac:dyDescent="0.25">
      <c r="A5" s="324" t="s">
        <v>92</v>
      </c>
      <c r="B5" s="325"/>
      <c r="C5" s="325"/>
      <c r="D5" s="325"/>
      <c r="E5" s="325"/>
      <c r="F5" s="325"/>
      <c r="G5" s="326"/>
    </row>
    <row r="6" spans="1:7" x14ac:dyDescent="0.25">
      <c r="A6" s="107" t="s">
        <v>93</v>
      </c>
      <c r="B6" s="98"/>
      <c r="C6" s="302" t="s">
        <v>94</v>
      </c>
      <c r="D6" s="303"/>
      <c r="E6" s="113">
        <v>2000</v>
      </c>
      <c r="F6" s="300" t="s">
        <v>95</v>
      </c>
      <c r="G6" s="301"/>
    </row>
    <row r="7" spans="1:7" x14ac:dyDescent="0.25">
      <c r="A7" s="107" t="s">
        <v>96</v>
      </c>
      <c r="B7" s="98"/>
      <c r="C7" s="302"/>
      <c r="D7" s="303"/>
      <c r="E7" s="113"/>
      <c r="F7" s="109" t="s">
        <v>97</v>
      </c>
      <c r="G7" s="112">
        <f>'RAP #1'!G7</f>
        <v>0</v>
      </c>
    </row>
    <row r="8" spans="1:7" x14ac:dyDescent="0.25">
      <c r="A8" s="107" t="s">
        <v>98</v>
      </c>
      <c r="B8" s="98"/>
      <c r="C8" s="302"/>
      <c r="D8" s="303"/>
      <c r="E8" s="113"/>
      <c r="F8" s="109" t="s">
        <v>99</v>
      </c>
      <c r="G8" s="111">
        <f>'RAP #1'!G8</f>
        <v>0</v>
      </c>
    </row>
    <row r="9" spans="1:7" x14ac:dyDescent="0.25">
      <c r="A9" s="107" t="s">
        <v>100</v>
      </c>
      <c r="B9" s="98"/>
      <c r="C9" s="302"/>
      <c r="D9" s="303"/>
      <c r="E9" s="113"/>
      <c r="F9" s="109" t="s">
        <v>102</v>
      </c>
      <c r="G9" s="122">
        <f>(G8*G7)*30/7</f>
        <v>0</v>
      </c>
    </row>
    <row r="10" spans="1:7" x14ac:dyDescent="0.25">
      <c r="A10" s="327" t="s">
        <v>103</v>
      </c>
      <c r="B10" s="328"/>
      <c r="C10" s="328"/>
      <c r="D10" s="328"/>
      <c r="E10" s="329"/>
      <c r="F10" s="330">
        <f>SUM(B6:B9)+SUM(E6:E9)+G9</f>
        <v>2000</v>
      </c>
      <c r="G10" s="331"/>
    </row>
    <row r="11" spans="1:7" x14ac:dyDescent="0.25">
      <c r="A11" s="327" t="s">
        <v>142</v>
      </c>
      <c r="B11" s="328"/>
      <c r="C11" s="328"/>
      <c r="D11" s="328"/>
      <c r="E11" s="329"/>
      <c r="F11" s="330">
        <f>_xlfn.IFS(B4=1,F10-1.5*TABLES!I3/12,B4=2,F10-1.5*TABLES!I4/12,B4=3,F10-1.5*TABLES!I5/12,B4=4,F10-1.5*TABLES!I6/12,B4=5,F10-1.5*TABLES!I7/12,B4=6,F10-1.5*TABLES!I8/12,B4=7,F10-1.5*TABLES!I9/12,B4=8,F10-1.5*TABLES!I10/12,B4&gt;8,F10-1.5*TABLES!I10/12+(B4*(TABLES!I11/12)))</f>
        <v>438.75</v>
      </c>
      <c r="G11" s="331"/>
    </row>
    <row r="14" spans="1:7" x14ac:dyDescent="0.25">
      <c r="A14" s="94"/>
      <c r="B14" s="184"/>
      <c r="C14" s="184"/>
      <c r="D14" s="184"/>
      <c r="E14" s="184"/>
      <c r="F14" s="184"/>
      <c r="G14" s="184"/>
    </row>
    <row r="15" spans="1:7" x14ac:dyDescent="0.25">
      <c r="A15" s="118"/>
      <c r="B15" s="118"/>
      <c r="C15" s="118"/>
      <c r="D15" s="184"/>
      <c r="E15" s="184"/>
      <c r="F15" s="184"/>
      <c r="G15" s="184"/>
    </row>
    <row r="22" spans="1:1" x14ac:dyDescent="0.25">
      <c r="A22" s="94"/>
    </row>
  </sheetData>
  <mergeCells count="17">
    <mergeCell ref="B1:C1"/>
    <mergeCell ref="D1:E1"/>
    <mergeCell ref="F1:G1"/>
    <mergeCell ref="A2:G2"/>
    <mergeCell ref="B3:C3"/>
    <mergeCell ref="A11:E11"/>
    <mergeCell ref="F11:G11"/>
    <mergeCell ref="E3:G3"/>
    <mergeCell ref="C8:D8"/>
    <mergeCell ref="A10:E10"/>
    <mergeCell ref="F10:G10"/>
    <mergeCell ref="A5:G5"/>
    <mergeCell ref="F6:G6"/>
    <mergeCell ref="C9:D9"/>
    <mergeCell ref="C4:D4"/>
    <mergeCell ref="C6:D6"/>
    <mergeCell ref="C7:D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L100"/>
  <sheetViews>
    <sheetView workbookViewId="0">
      <selection activeCell="E11" sqref="E11"/>
    </sheetView>
  </sheetViews>
  <sheetFormatPr defaultRowHeight="15" x14ac:dyDescent="0.25"/>
  <cols>
    <col min="1" max="1" width="14.7109375" customWidth="1"/>
    <col min="8" max="8" width="17.28515625" customWidth="1"/>
    <col min="9" max="9" width="10.7109375" customWidth="1"/>
    <col min="11" max="11" width="20.7109375" customWidth="1"/>
  </cols>
  <sheetData>
    <row r="1" spans="1:12" x14ac:dyDescent="0.25">
      <c r="A1" s="318" t="s">
        <v>143</v>
      </c>
      <c r="B1" s="318"/>
      <c r="C1" s="318"/>
      <c r="D1" s="318"/>
      <c r="E1" s="318"/>
      <c r="F1" s="318"/>
      <c r="G1" s="184"/>
      <c r="H1" s="184" t="s">
        <v>144</v>
      </c>
      <c r="I1" s="184"/>
      <c r="J1" s="184"/>
      <c r="K1" s="338" t="s">
        <v>145</v>
      </c>
      <c r="L1" s="339"/>
    </row>
    <row r="2" spans="1:12" ht="30" customHeight="1" x14ac:dyDescent="0.25">
      <c r="A2" s="205" t="s">
        <v>146</v>
      </c>
      <c r="B2" s="206">
        <v>1125</v>
      </c>
      <c r="C2" s="206">
        <v>1321</v>
      </c>
      <c r="D2" s="206">
        <v>1392</v>
      </c>
      <c r="E2" s="206">
        <v>1552</v>
      </c>
      <c r="F2" s="206">
        <v>1577</v>
      </c>
      <c r="G2" s="184"/>
      <c r="H2" s="128" t="s">
        <v>147</v>
      </c>
      <c r="I2" s="1" t="s">
        <v>148</v>
      </c>
      <c r="J2" s="184"/>
      <c r="K2" s="124" t="s">
        <v>149</v>
      </c>
      <c r="L2" s="125">
        <v>25</v>
      </c>
    </row>
    <row r="3" spans="1:12" x14ac:dyDescent="0.25">
      <c r="A3" s="205" t="s">
        <v>150</v>
      </c>
      <c r="B3" s="206">
        <v>1068</v>
      </c>
      <c r="C3" s="206">
        <v>1255</v>
      </c>
      <c r="D3" s="206">
        <v>1322</v>
      </c>
      <c r="E3" s="206">
        <v>1474</v>
      </c>
      <c r="F3" s="206">
        <v>1498</v>
      </c>
      <c r="G3" s="184"/>
      <c r="H3" s="1">
        <v>1</v>
      </c>
      <c r="I3" s="117">
        <v>12490</v>
      </c>
      <c r="J3" s="184"/>
      <c r="K3" s="124" t="s">
        <v>151</v>
      </c>
      <c r="L3" s="126">
        <v>0.25</v>
      </c>
    </row>
    <row r="4" spans="1:12" x14ac:dyDescent="0.25">
      <c r="A4" s="205" t="s">
        <v>152</v>
      </c>
      <c r="B4" s="206">
        <v>1212</v>
      </c>
      <c r="C4" s="206">
        <v>1424</v>
      </c>
      <c r="D4" s="206">
        <v>1500</v>
      </c>
      <c r="E4" s="206">
        <v>1673</v>
      </c>
      <c r="F4" s="206">
        <v>1700</v>
      </c>
      <c r="G4" s="184"/>
      <c r="H4" s="1">
        <v>2</v>
      </c>
      <c r="I4" s="117">
        <v>16910</v>
      </c>
      <c r="J4" s="184"/>
      <c r="K4" s="127" t="s">
        <v>153</v>
      </c>
      <c r="L4" s="124">
        <v>36</v>
      </c>
    </row>
    <row r="5" spans="1:12" x14ac:dyDescent="0.25">
      <c r="A5" s="205" t="s">
        <v>154</v>
      </c>
      <c r="B5" s="206">
        <v>1067</v>
      </c>
      <c r="C5" s="206">
        <v>1254</v>
      </c>
      <c r="D5" s="206">
        <v>1321</v>
      </c>
      <c r="E5" s="206">
        <v>1473</v>
      </c>
      <c r="F5" s="206">
        <v>1497</v>
      </c>
      <c r="G5" s="184"/>
      <c r="H5" s="1">
        <v>3</v>
      </c>
      <c r="I5" s="117">
        <v>21330</v>
      </c>
      <c r="J5" s="184"/>
      <c r="K5" s="184"/>
      <c r="L5" s="184"/>
    </row>
    <row r="6" spans="1:12" x14ac:dyDescent="0.25">
      <c r="A6" s="205" t="s">
        <v>155</v>
      </c>
      <c r="B6" s="207">
        <v>913</v>
      </c>
      <c r="C6" s="206">
        <v>1072</v>
      </c>
      <c r="D6" s="206">
        <v>1130</v>
      </c>
      <c r="E6" s="206">
        <v>1260</v>
      </c>
      <c r="F6" s="206">
        <v>1280</v>
      </c>
      <c r="G6" s="184"/>
      <c r="H6" s="1">
        <v>4</v>
      </c>
      <c r="I6" s="117">
        <v>25750</v>
      </c>
      <c r="J6" s="184"/>
      <c r="K6" s="22"/>
      <c r="L6" s="184"/>
    </row>
    <row r="7" spans="1:12" x14ac:dyDescent="0.25">
      <c r="A7" s="205" t="s">
        <v>156</v>
      </c>
      <c r="B7" s="206">
        <v>1371</v>
      </c>
      <c r="C7" s="206">
        <v>1610</v>
      </c>
      <c r="D7" s="206">
        <v>1697</v>
      </c>
      <c r="E7" s="206">
        <v>1892</v>
      </c>
      <c r="F7" s="206">
        <v>1923</v>
      </c>
      <c r="G7" s="184"/>
      <c r="H7" s="1">
        <v>5</v>
      </c>
      <c r="I7" s="117">
        <v>30170</v>
      </c>
      <c r="J7" s="184"/>
      <c r="K7" s="22"/>
      <c r="L7" s="184"/>
    </row>
    <row r="8" spans="1:12" x14ac:dyDescent="0.25">
      <c r="A8" s="205" t="s">
        <v>157</v>
      </c>
      <c r="B8" s="206">
        <v>1197</v>
      </c>
      <c r="C8" s="206">
        <v>1406</v>
      </c>
      <c r="D8" s="206">
        <v>1482</v>
      </c>
      <c r="E8" s="206">
        <v>1652</v>
      </c>
      <c r="F8" s="206">
        <v>1679</v>
      </c>
      <c r="G8" s="184"/>
      <c r="H8" s="1">
        <v>6</v>
      </c>
      <c r="I8" s="117">
        <v>34590</v>
      </c>
      <c r="J8" s="184"/>
      <c r="K8" s="184"/>
      <c r="L8" s="184"/>
    </row>
    <row r="9" spans="1:12" x14ac:dyDescent="0.25">
      <c r="A9" s="205" t="s">
        <v>158</v>
      </c>
      <c r="B9" s="206">
        <v>1239</v>
      </c>
      <c r="C9" s="206">
        <v>1455</v>
      </c>
      <c r="D9" s="206">
        <v>1533</v>
      </c>
      <c r="E9" s="206">
        <v>1709</v>
      </c>
      <c r="F9" s="206">
        <v>1737</v>
      </c>
      <c r="G9" s="184"/>
      <c r="H9" s="116">
        <v>7</v>
      </c>
      <c r="I9" s="117">
        <v>39010</v>
      </c>
      <c r="J9" s="184"/>
      <c r="K9" s="184"/>
      <c r="L9" s="184"/>
    </row>
    <row r="10" spans="1:12" x14ac:dyDescent="0.25">
      <c r="A10" s="209" t="s">
        <v>159</v>
      </c>
      <c r="B10" s="206">
        <v>1304</v>
      </c>
      <c r="C10" s="206">
        <v>1532</v>
      </c>
      <c r="D10" s="206">
        <v>1614</v>
      </c>
      <c r="E10" s="206">
        <v>1800</v>
      </c>
      <c r="F10" s="206">
        <v>1829</v>
      </c>
      <c r="G10" s="184"/>
      <c r="H10" s="1">
        <v>8</v>
      </c>
      <c r="I10" s="117">
        <v>43430</v>
      </c>
      <c r="J10" s="184"/>
      <c r="K10" s="184"/>
      <c r="L10" s="184"/>
    </row>
    <row r="11" spans="1:12" ht="30" customHeight="1" x14ac:dyDescent="0.25">
      <c r="A11" s="205" t="s">
        <v>160</v>
      </c>
      <c r="B11" s="206">
        <v>1229</v>
      </c>
      <c r="C11" s="206">
        <v>1443</v>
      </c>
      <c r="D11" s="206">
        <v>1521</v>
      </c>
      <c r="E11" s="206">
        <v>1696</v>
      </c>
      <c r="F11" s="206">
        <v>1723</v>
      </c>
      <c r="G11" s="184"/>
      <c r="H11" s="129" t="s">
        <v>161</v>
      </c>
      <c r="I11" s="119">
        <v>4420</v>
      </c>
      <c r="J11" s="184"/>
      <c r="K11" s="184"/>
      <c r="L11" s="184"/>
    </row>
    <row r="12" spans="1:12" x14ac:dyDescent="0.25">
      <c r="A12" s="205" t="s">
        <v>162</v>
      </c>
      <c r="B12" s="206">
        <v>1084</v>
      </c>
      <c r="C12" s="206">
        <v>1273</v>
      </c>
      <c r="D12" s="206">
        <v>1341</v>
      </c>
      <c r="E12" s="206">
        <v>1495</v>
      </c>
      <c r="F12" s="206">
        <v>1519</v>
      </c>
      <c r="G12" s="184"/>
      <c r="H12" s="184"/>
      <c r="I12" s="184"/>
      <c r="J12" s="184"/>
      <c r="K12" s="184"/>
      <c r="L12" s="184"/>
    </row>
    <row r="13" spans="1:12" x14ac:dyDescent="0.25">
      <c r="A13" s="205" t="s">
        <v>163</v>
      </c>
      <c r="B13" s="206">
        <v>1107</v>
      </c>
      <c r="C13" s="206">
        <v>1300</v>
      </c>
      <c r="D13" s="206">
        <v>1370</v>
      </c>
      <c r="E13" s="206">
        <v>1528</v>
      </c>
      <c r="F13" s="206">
        <v>1552</v>
      </c>
      <c r="G13" s="184"/>
      <c r="H13" s="184"/>
      <c r="I13" s="184"/>
      <c r="J13" s="184"/>
      <c r="K13" s="184"/>
      <c r="L13" s="184"/>
    </row>
    <row r="14" spans="1:12" x14ac:dyDescent="0.25">
      <c r="A14" s="205" t="s">
        <v>164</v>
      </c>
      <c r="B14" s="207">
        <v>969</v>
      </c>
      <c r="C14" s="206">
        <v>1138</v>
      </c>
      <c r="D14" s="206">
        <v>1199</v>
      </c>
      <c r="E14" s="206">
        <v>1337</v>
      </c>
      <c r="F14" s="206">
        <v>1358</v>
      </c>
      <c r="G14" s="184"/>
      <c r="H14" s="184"/>
      <c r="I14" s="184"/>
      <c r="J14" s="184"/>
      <c r="K14" s="184"/>
      <c r="L14" s="184"/>
    </row>
    <row r="15" spans="1:12" x14ac:dyDescent="0.25">
      <c r="A15" s="208" t="s">
        <v>165</v>
      </c>
      <c r="B15" s="206">
        <v>1105</v>
      </c>
      <c r="C15" s="206">
        <v>1297</v>
      </c>
      <c r="D15" s="206">
        <v>1367</v>
      </c>
      <c r="E15" s="206">
        <v>1524</v>
      </c>
      <c r="F15" s="206">
        <v>1549</v>
      </c>
      <c r="G15" s="184"/>
      <c r="H15" s="184"/>
      <c r="I15" s="184"/>
      <c r="J15" s="184"/>
      <c r="K15" s="184"/>
      <c r="L15" s="184"/>
    </row>
    <row r="16" spans="1:12" x14ac:dyDescent="0.25">
      <c r="A16" s="205" t="s">
        <v>166</v>
      </c>
      <c r="B16" s="207">
        <v>983</v>
      </c>
      <c r="C16" s="206">
        <v>1155</v>
      </c>
      <c r="D16" s="206">
        <v>1217</v>
      </c>
      <c r="E16" s="206">
        <v>1357</v>
      </c>
      <c r="F16" s="206">
        <v>1379</v>
      </c>
      <c r="G16" s="184"/>
      <c r="H16" s="184"/>
      <c r="I16" s="184"/>
      <c r="J16" s="184"/>
      <c r="K16" s="184"/>
      <c r="L16" s="184"/>
    </row>
    <row r="17" spans="1:6" x14ac:dyDescent="0.25">
      <c r="A17" s="205" t="s">
        <v>167</v>
      </c>
      <c r="B17" s="206">
        <v>1236</v>
      </c>
      <c r="C17" s="206">
        <v>1452</v>
      </c>
      <c r="D17" s="206">
        <v>1530</v>
      </c>
      <c r="E17" s="206">
        <v>1706</v>
      </c>
      <c r="F17" s="206">
        <v>1733</v>
      </c>
    </row>
    <row r="18" spans="1:6" x14ac:dyDescent="0.25">
      <c r="A18" s="205" t="s">
        <v>168</v>
      </c>
      <c r="B18" s="206">
        <v>1148</v>
      </c>
      <c r="C18" s="206">
        <v>1349</v>
      </c>
      <c r="D18" s="206">
        <v>1421</v>
      </c>
      <c r="E18" s="206">
        <v>1584</v>
      </c>
      <c r="F18" s="206">
        <v>1610</v>
      </c>
    </row>
    <row r="19" spans="1:6" x14ac:dyDescent="0.25">
      <c r="A19" s="205" t="s">
        <v>169</v>
      </c>
      <c r="B19" s="206">
        <v>1013</v>
      </c>
      <c r="C19" s="206">
        <v>1190</v>
      </c>
      <c r="D19" s="206">
        <v>1254</v>
      </c>
      <c r="E19" s="206">
        <v>1398</v>
      </c>
      <c r="F19" s="206">
        <v>1421</v>
      </c>
    </row>
    <row r="20" spans="1:6" x14ac:dyDescent="0.25">
      <c r="A20" s="205" t="s">
        <v>170</v>
      </c>
      <c r="B20" s="206">
        <v>1087</v>
      </c>
      <c r="C20" s="206">
        <v>1276</v>
      </c>
      <c r="D20" s="206">
        <v>1345</v>
      </c>
      <c r="E20" s="206">
        <v>1500</v>
      </c>
      <c r="F20" s="206">
        <v>1524</v>
      </c>
    </row>
    <row r="21" spans="1:6" x14ac:dyDescent="0.25">
      <c r="A21" s="205" t="s">
        <v>171</v>
      </c>
      <c r="B21" s="206">
        <v>1155</v>
      </c>
      <c r="C21" s="206">
        <v>1357</v>
      </c>
      <c r="D21" s="206">
        <v>1430</v>
      </c>
      <c r="E21" s="206">
        <v>1594</v>
      </c>
      <c r="F21" s="206">
        <v>1620</v>
      </c>
    </row>
    <row r="22" spans="1:6" x14ac:dyDescent="0.25">
      <c r="A22" s="205" t="s">
        <v>172</v>
      </c>
      <c r="B22" s="206">
        <v>1099</v>
      </c>
      <c r="C22" s="206">
        <v>1291</v>
      </c>
      <c r="D22" s="206">
        <v>1360</v>
      </c>
      <c r="E22" s="206">
        <v>1516</v>
      </c>
      <c r="F22" s="206">
        <v>1541</v>
      </c>
    </row>
    <row r="23" spans="1:6" x14ac:dyDescent="0.25">
      <c r="A23" s="205" t="s">
        <v>173</v>
      </c>
      <c r="B23" s="206">
        <v>1176</v>
      </c>
      <c r="C23" s="206">
        <v>1381</v>
      </c>
      <c r="D23" s="206">
        <v>1455</v>
      </c>
      <c r="E23" s="206">
        <v>1622</v>
      </c>
      <c r="F23" s="206">
        <v>1649</v>
      </c>
    </row>
    <row r="24" spans="1:6" x14ac:dyDescent="0.25">
      <c r="A24" s="205" t="s">
        <v>174</v>
      </c>
      <c r="B24" s="206">
        <v>1168</v>
      </c>
      <c r="C24" s="206">
        <v>1372</v>
      </c>
      <c r="D24" s="206">
        <v>1446</v>
      </c>
      <c r="E24" s="206">
        <v>1612</v>
      </c>
      <c r="F24" s="206">
        <v>1638</v>
      </c>
    </row>
    <row r="25" spans="1:6" x14ac:dyDescent="0.25">
      <c r="A25" s="205" t="s">
        <v>175</v>
      </c>
      <c r="B25" s="206">
        <v>1087</v>
      </c>
      <c r="C25" s="206">
        <v>1276</v>
      </c>
      <c r="D25" s="206">
        <v>1345</v>
      </c>
      <c r="E25" s="206">
        <v>1500</v>
      </c>
      <c r="F25" s="206">
        <v>1524</v>
      </c>
    </row>
    <row r="26" spans="1:6" x14ac:dyDescent="0.25">
      <c r="A26" s="205" t="s">
        <v>176</v>
      </c>
      <c r="B26" s="206">
        <v>1563</v>
      </c>
      <c r="C26" s="206">
        <v>1836</v>
      </c>
      <c r="D26" s="206">
        <v>1935</v>
      </c>
      <c r="E26" s="206">
        <v>2158</v>
      </c>
      <c r="F26" s="206">
        <v>2192</v>
      </c>
    </row>
    <row r="27" spans="1:6" x14ac:dyDescent="0.25">
      <c r="A27" s="205" t="s">
        <v>177</v>
      </c>
      <c r="B27" s="206">
        <v>1205</v>
      </c>
      <c r="C27" s="206">
        <v>1415</v>
      </c>
      <c r="D27" s="206">
        <v>1491</v>
      </c>
      <c r="E27" s="206">
        <v>1662</v>
      </c>
      <c r="F27" s="206">
        <v>1689</v>
      </c>
    </row>
    <row r="28" spans="1:6" x14ac:dyDescent="0.25">
      <c r="A28" s="205" t="s">
        <v>178</v>
      </c>
      <c r="B28" s="206">
        <v>1109</v>
      </c>
      <c r="C28" s="206">
        <v>1302</v>
      </c>
      <c r="D28" s="206">
        <v>1372</v>
      </c>
      <c r="E28" s="206">
        <v>1530</v>
      </c>
      <c r="F28" s="206">
        <v>1554</v>
      </c>
    </row>
    <row r="29" spans="1:6" x14ac:dyDescent="0.25">
      <c r="A29" s="205" t="s">
        <v>179</v>
      </c>
      <c r="B29" s="206">
        <v>1185</v>
      </c>
      <c r="C29" s="206">
        <v>1392</v>
      </c>
      <c r="D29" s="206">
        <v>1467</v>
      </c>
      <c r="E29" s="206">
        <v>1636</v>
      </c>
      <c r="F29" s="206">
        <v>1662</v>
      </c>
    </row>
    <row r="30" spans="1:6" x14ac:dyDescent="0.25">
      <c r="A30" s="205" t="s">
        <v>180</v>
      </c>
      <c r="B30" s="206">
        <v>1130</v>
      </c>
      <c r="C30" s="206">
        <v>1327</v>
      </c>
      <c r="D30" s="206">
        <v>1398</v>
      </c>
      <c r="E30" s="206">
        <v>1559</v>
      </c>
      <c r="F30" s="206">
        <v>1584</v>
      </c>
    </row>
    <row r="31" spans="1:6" x14ac:dyDescent="0.25">
      <c r="A31" s="205" t="s">
        <v>181</v>
      </c>
      <c r="B31" s="206">
        <v>1267</v>
      </c>
      <c r="C31" s="206">
        <v>1488</v>
      </c>
      <c r="D31" s="206">
        <v>1568</v>
      </c>
      <c r="E31" s="206">
        <v>1748</v>
      </c>
      <c r="F31" s="206">
        <v>1777</v>
      </c>
    </row>
    <row r="32" spans="1:6" x14ac:dyDescent="0.25">
      <c r="A32" s="205" t="s">
        <v>182</v>
      </c>
      <c r="B32" s="206">
        <v>1283</v>
      </c>
      <c r="C32" s="206">
        <v>1507</v>
      </c>
      <c r="D32" s="206">
        <v>1588</v>
      </c>
      <c r="E32" s="206">
        <v>1771</v>
      </c>
      <c r="F32" s="206">
        <v>1799</v>
      </c>
    </row>
    <row r="33" spans="1:6" x14ac:dyDescent="0.25">
      <c r="A33" s="205" t="s">
        <v>183</v>
      </c>
      <c r="B33" s="206">
        <v>1078</v>
      </c>
      <c r="C33" s="206">
        <v>1266</v>
      </c>
      <c r="D33" s="206">
        <v>1334</v>
      </c>
      <c r="E33" s="206">
        <v>1487</v>
      </c>
      <c r="F33" s="206">
        <v>1511</v>
      </c>
    </row>
    <row r="34" spans="1:6" x14ac:dyDescent="0.25">
      <c r="A34" s="205" t="s">
        <v>184</v>
      </c>
      <c r="B34" s="206">
        <v>1046</v>
      </c>
      <c r="C34" s="206">
        <v>1229</v>
      </c>
      <c r="D34" s="206">
        <v>1295</v>
      </c>
      <c r="E34" s="206">
        <v>1444</v>
      </c>
      <c r="F34" s="206">
        <v>1467</v>
      </c>
    </row>
    <row r="35" spans="1:6" x14ac:dyDescent="0.25">
      <c r="A35" s="205" t="s">
        <v>185</v>
      </c>
      <c r="B35" s="206">
        <v>1068</v>
      </c>
      <c r="C35" s="206">
        <v>1255</v>
      </c>
      <c r="D35" s="206">
        <v>1322</v>
      </c>
      <c r="E35" s="206">
        <v>1474</v>
      </c>
      <c r="F35" s="206">
        <v>1498</v>
      </c>
    </row>
    <row r="36" spans="1:6" x14ac:dyDescent="0.25">
      <c r="A36" s="205" t="s">
        <v>186</v>
      </c>
      <c r="B36" s="206">
        <v>1071</v>
      </c>
      <c r="C36" s="206">
        <v>1258</v>
      </c>
      <c r="D36" s="206">
        <v>1326</v>
      </c>
      <c r="E36" s="206">
        <v>1478</v>
      </c>
      <c r="F36" s="206">
        <v>1502</v>
      </c>
    </row>
    <row r="37" spans="1:6" x14ac:dyDescent="0.25">
      <c r="A37" s="205" t="s">
        <v>187</v>
      </c>
      <c r="B37" s="206">
        <v>1063</v>
      </c>
      <c r="C37" s="206">
        <v>1248</v>
      </c>
      <c r="D37" s="206">
        <v>1315</v>
      </c>
      <c r="E37" s="206">
        <v>1466</v>
      </c>
      <c r="F37" s="206">
        <v>1490</v>
      </c>
    </row>
    <row r="38" spans="1:6" x14ac:dyDescent="0.25">
      <c r="A38" s="205" t="s">
        <v>188</v>
      </c>
      <c r="B38" s="206">
        <v>1064</v>
      </c>
      <c r="C38" s="206">
        <v>1250</v>
      </c>
      <c r="D38" s="206">
        <v>1317</v>
      </c>
      <c r="E38" s="206">
        <v>1468</v>
      </c>
      <c r="F38" s="206">
        <v>1492</v>
      </c>
    </row>
    <row r="39" spans="1:6" x14ac:dyDescent="0.25">
      <c r="A39" s="205" t="s">
        <v>189</v>
      </c>
      <c r="B39" s="206">
        <v>1178</v>
      </c>
      <c r="C39" s="206">
        <v>1384</v>
      </c>
      <c r="D39" s="206">
        <v>1458</v>
      </c>
      <c r="E39" s="206">
        <v>1626</v>
      </c>
      <c r="F39" s="206">
        <v>1652</v>
      </c>
    </row>
    <row r="40" spans="1:6" x14ac:dyDescent="0.25">
      <c r="A40" s="205" t="s">
        <v>190</v>
      </c>
      <c r="B40" s="206">
        <v>1213</v>
      </c>
      <c r="C40" s="206">
        <v>1424</v>
      </c>
      <c r="D40" s="206">
        <v>1501</v>
      </c>
      <c r="E40" s="206">
        <v>1674</v>
      </c>
      <c r="F40" s="206">
        <v>1701</v>
      </c>
    </row>
    <row r="41" spans="1:6" x14ac:dyDescent="0.25">
      <c r="A41" s="205" t="s">
        <v>191</v>
      </c>
      <c r="B41" s="206">
        <v>1134</v>
      </c>
      <c r="C41" s="206">
        <v>1331</v>
      </c>
      <c r="D41" s="206">
        <v>1403</v>
      </c>
      <c r="E41" s="206">
        <v>1564</v>
      </c>
      <c r="F41" s="206">
        <v>1590</v>
      </c>
    </row>
    <row r="42" spans="1:6" x14ac:dyDescent="0.25">
      <c r="A42" s="205" t="s">
        <v>192</v>
      </c>
      <c r="B42" s="206">
        <v>1096</v>
      </c>
      <c r="C42" s="206">
        <v>1287</v>
      </c>
      <c r="D42" s="206">
        <v>1356</v>
      </c>
      <c r="E42" s="206">
        <v>1512</v>
      </c>
      <c r="F42" s="206">
        <v>1536</v>
      </c>
    </row>
    <row r="43" spans="1:6" x14ac:dyDescent="0.25">
      <c r="A43" s="205" t="s">
        <v>193</v>
      </c>
      <c r="B43" s="206">
        <v>1054</v>
      </c>
      <c r="C43" s="206">
        <v>1237</v>
      </c>
      <c r="D43" s="206">
        <v>1304</v>
      </c>
      <c r="E43" s="206">
        <v>1454</v>
      </c>
      <c r="F43" s="206">
        <v>1477</v>
      </c>
    </row>
    <row r="44" spans="1:6" x14ac:dyDescent="0.25">
      <c r="A44" s="205" t="s">
        <v>194</v>
      </c>
      <c r="B44" s="206">
        <v>1194</v>
      </c>
      <c r="C44" s="206">
        <v>1403</v>
      </c>
      <c r="D44" s="206">
        <v>1478</v>
      </c>
      <c r="E44" s="206">
        <v>1648</v>
      </c>
      <c r="F44" s="206">
        <v>1675</v>
      </c>
    </row>
    <row r="45" spans="1:6" x14ac:dyDescent="0.25">
      <c r="A45" s="205" t="s">
        <v>195</v>
      </c>
      <c r="B45" s="206">
        <v>1116</v>
      </c>
      <c r="C45" s="206">
        <v>1311</v>
      </c>
      <c r="D45" s="206">
        <v>1381</v>
      </c>
      <c r="E45" s="206">
        <v>1540</v>
      </c>
      <c r="F45" s="206">
        <v>1565</v>
      </c>
    </row>
    <row r="46" spans="1:6" x14ac:dyDescent="0.25">
      <c r="A46" s="205" t="s">
        <v>196</v>
      </c>
      <c r="B46" s="206">
        <v>1130</v>
      </c>
      <c r="C46" s="206">
        <v>1328</v>
      </c>
      <c r="D46" s="206">
        <v>1399</v>
      </c>
      <c r="E46" s="206">
        <v>1560</v>
      </c>
      <c r="F46" s="206">
        <v>1585</v>
      </c>
    </row>
    <row r="47" spans="1:6" x14ac:dyDescent="0.25">
      <c r="A47" s="205" t="s">
        <v>197</v>
      </c>
      <c r="B47" s="206">
        <v>1097</v>
      </c>
      <c r="C47" s="206">
        <v>1289</v>
      </c>
      <c r="D47" s="206">
        <v>1358</v>
      </c>
      <c r="E47" s="206">
        <v>1514</v>
      </c>
      <c r="F47" s="206">
        <v>1539</v>
      </c>
    </row>
    <row r="48" spans="1:6" x14ac:dyDescent="0.25">
      <c r="A48" s="205" t="s">
        <v>198</v>
      </c>
      <c r="B48" s="207">
        <v>945</v>
      </c>
      <c r="C48" s="206">
        <v>1109</v>
      </c>
      <c r="D48" s="206">
        <v>1169</v>
      </c>
      <c r="E48" s="206">
        <v>1303</v>
      </c>
      <c r="F48" s="206">
        <v>1324</v>
      </c>
    </row>
    <row r="49" spans="1:6" x14ac:dyDescent="0.25">
      <c r="A49" s="205" t="s">
        <v>199</v>
      </c>
      <c r="B49" s="206">
        <v>1283</v>
      </c>
      <c r="C49" s="206">
        <v>1507</v>
      </c>
      <c r="D49" s="206">
        <v>1588</v>
      </c>
      <c r="E49" s="206">
        <v>1771</v>
      </c>
      <c r="F49" s="206">
        <v>1799</v>
      </c>
    </row>
    <row r="50" spans="1:6" x14ac:dyDescent="0.25">
      <c r="A50" s="205" t="s">
        <v>200</v>
      </c>
      <c r="B50" s="206">
        <v>1135</v>
      </c>
      <c r="C50" s="206">
        <v>1333</v>
      </c>
      <c r="D50" s="206">
        <v>1405</v>
      </c>
      <c r="E50" s="206">
        <v>1567</v>
      </c>
      <c r="F50" s="206">
        <v>1592</v>
      </c>
    </row>
    <row r="51" spans="1:6" x14ac:dyDescent="0.25">
      <c r="A51" s="205" t="s">
        <v>201</v>
      </c>
      <c r="B51" s="206">
        <v>1208</v>
      </c>
      <c r="C51" s="206">
        <v>1419</v>
      </c>
      <c r="D51" s="206">
        <v>1495</v>
      </c>
      <c r="E51" s="206">
        <v>1667</v>
      </c>
      <c r="F51" s="206">
        <v>1694</v>
      </c>
    </row>
    <row r="52" spans="1:6" x14ac:dyDescent="0.25">
      <c r="A52" s="205" t="s">
        <v>202</v>
      </c>
      <c r="B52" s="206">
        <v>1191</v>
      </c>
      <c r="C52" s="206">
        <v>1399</v>
      </c>
      <c r="D52" s="206">
        <v>1474</v>
      </c>
      <c r="E52" s="206">
        <v>1644</v>
      </c>
      <c r="F52" s="206">
        <v>1670</v>
      </c>
    </row>
    <row r="53" spans="1:6" x14ac:dyDescent="0.25">
      <c r="A53" s="205" t="s">
        <v>203</v>
      </c>
      <c r="B53" s="206">
        <v>1545</v>
      </c>
      <c r="C53" s="206">
        <v>1814</v>
      </c>
      <c r="D53" s="206">
        <v>1912</v>
      </c>
      <c r="E53" s="206">
        <v>2132</v>
      </c>
      <c r="F53" s="206">
        <v>2166</v>
      </c>
    </row>
    <row r="54" spans="1:6" x14ac:dyDescent="0.25">
      <c r="A54" s="205" t="s">
        <v>204</v>
      </c>
      <c r="B54" s="206">
        <v>1240</v>
      </c>
      <c r="C54" s="206">
        <v>1457</v>
      </c>
      <c r="D54" s="206">
        <v>1535</v>
      </c>
      <c r="E54" s="206">
        <v>1712</v>
      </c>
      <c r="F54" s="206">
        <v>1739</v>
      </c>
    </row>
    <row r="55" spans="1:6" x14ac:dyDescent="0.25">
      <c r="A55" s="205" t="s">
        <v>205</v>
      </c>
      <c r="B55" s="206">
        <v>1119</v>
      </c>
      <c r="C55" s="206">
        <v>1314</v>
      </c>
      <c r="D55" s="206">
        <v>1385</v>
      </c>
      <c r="E55" s="206">
        <v>1544</v>
      </c>
      <c r="F55" s="206">
        <v>1569</v>
      </c>
    </row>
    <row r="56" spans="1:6" x14ac:dyDescent="0.25">
      <c r="A56" s="205" t="s">
        <v>206</v>
      </c>
      <c r="B56" s="206">
        <v>1097</v>
      </c>
      <c r="C56" s="206">
        <v>1289</v>
      </c>
      <c r="D56" s="206">
        <v>1358</v>
      </c>
      <c r="E56" s="206">
        <v>1514</v>
      </c>
      <c r="F56" s="206">
        <v>1539</v>
      </c>
    </row>
    <row r="57" spans="1:6" x14ac:dyDescent="0.25">
      <c r="A57" s="205" t="s">
        <v>207</v>
      </c>
      <c r="B57" s="206">
        <v>1058</v>
      </c>
      <c r="C57" s="206">
        <v>1243</v>
      </c>
      <c r="D57" s="206">
        <v>1310</v>
      </c>
      <c r="E57" s="206">
        <v>1461</v>
      </c>
      <c r="F57" s="206">
        <v>1484</v>
      </c>
    </row>
    <row r="58" spans="1:6" x14ac:dyDescent="0.25">
      <c r="A58" s="205" t="s">
        <v>208</v>
      </c>
      <c r="B58" s="206">
        <v>1347</v>
      </c>
      <c r="C58" s="206">
        <v>1582</v>
      </c>
      <c r="D58" s="206">
        <v>1667</v>
      </c>
      <c r="E58" s="206">
        <v>1859</v>
      </c>
      <c r="F58" s="206">
        <v>1889</v>
      </c>
    </row>
    <row r="59" spans="1:6" x14ac:dyDescent="0.25">
      <c r="A59" s="205" t="s">
        <v>209</v>
      </c>
      <c r="B59" s="206">
        <v>1151</v>
      </c>
      <c r="C59" s="206">
        <v>1352</v>
      </c>
      <c r="D59" s="206">
        <v>1425</v>
      </c>
      <c r="E59" s="206">
        <v>1589</v>
      </c>
      <c r="F59" s="206">
        <v>1615</v>
      </c>
    </row>
    <row r="60" spans="1:6" x14ac:dyDescent="0.25">
      <c r="A60" s="205" t="s">
        <v>210</v>
      </c>
      <c r="B60" s="206">
        <v>1071</v>
      </c>
      <c r="C60" s="206">
        <v>1257</v>
      </c>
      <c r="D60" s="206">
        <v>1325</v>
      </c>
      <c r="E60" s="206">
        <v>1477</v>
      </c>
      <c r="F60" s="206">
        <v>1501</v>
      </c>
    </row>
    <row r="61" spans="1:6" x14ac:dyDescent="0.25">
      <c r="A61" s="205" t="s">
        <v>211</v>
      </c>
      <c r="B61" s="206">
        <v>1143</v>
      </c>
      <c r="C61" s="206">
        <v>1342</v>
      </c>
      <c r="D61" s="206">
        <v>1414</v>
      </c>
      <c r="E61" s="206">
        <v>1577</v>
      </c>
      <c r="F61" s="206">
        <v>1602</v>
      </c>
    </row>
    <row r="62" spans="1:6" x14ac:dyDescent="0.25">
      <c r="A62" s="205" t="s">
        <v>212</v>
      </c>
      <c r="B62" s="206">
        <v>1425</v>
      </c>
      <c r="C62" s="206">
        <v>1673</v>
      </c>
      <c r="D62" s="206">
        <v>1763</v>
      </c>
      <c r="E62" s="206">
        <v>1966</v>
      </c>
      <c r="F62" s="206">
        <v>1997</v>
      </c>
    </row>
    <row r="63" spans="1:6" x14ac:dyDescent="0.25">
      <c r="A63" s="205" t="s">
        <v>213</v>
      </c>
      <c r="B63" s="206">
        <v>1139</v>
      </c>
      <c r="C63" s="206">
        <v>1338</v>
      </c>
      <c r="D63" s="206">
        <v>1410</v>
      </c>
      <c r="E63" s="206">
        <v>1572</v>
      </c>
      <c r="F63" s="206">
        <v>1598</v>
      </c>
    </row>
    <row r="64" spans="1:6" x14ac:dyDescent="0.25">
      <c r="A64" s="205" t="s">
        <v>214</v>
      </c>
      <c r="B64" s="206">
        <v>1238</v>
      </c>
      <c r="C64" s="206">
        <v>1454</v>
      </c>
      <c r="D64" s="206">
        <v>1532</v>
      </c>
      <c r="E64" s="206">
        <v>1708</v>
      </c>
      <c r="F64" s="206">
        <v>1736</v>
      </c>
    </row>
    <row r="65" spans="1:6" x14ac:dyDescent="0.25">
      <c r="A65" s="205" t="s">
        <v>215</v>
      </c>
      <c r="B65" s="206">
        <v>1161</v>
      </c>
      <c r="C65" s="206">
        <v>1364</v>
      </c>
      <c r="D65" s="206">
        <v>1437</v>
      </c>
      <c r="E65" s="206">
        <v>1602</v>
      </c>
      <c r="F65" s="206">
        <v>1628</v>
      </c>
    </row>
    <row r="66" spans="1:6" x14ac:dyDescent="0.25">
      <c r="A66" s="205" t="s">
        <v>216</v>
      </c>
      <c r="B66" s="206">
        <v>1432</v>
      </c>
      <c r="C66" s="206">
        <v>1682</v>
      </c>
      <c r="D66" s="206">
        <v>1772</v>
      </c>
      <c r="E66" s="206">
        <v>1976</v>
      </c>
      <c r="F66" s="206">
        <v>2008</v>
      </c>
    </row>
    <row r="67" spans="1:6" x14ac:dyDescent="0.25">
      <c r="A67" s="205" t="s">
        <v>217</v>
      </c>
      <c r="B67" s="206">
        <v>1133</v>
      </c>
      <c r="C67" s="206">
        <v>1330</v>
      </c>
      <c r="D67" s="206">
        <v>1402</v>
      </c>
      <c r="E67" s="206">
        <v>1563</v>
      </c>
      <c r="F67" s="206">
        <v>1588</v>
      </c>
    </row>
    <row r="68" spans="1:6" x14ac:dyDescent="0.25">
      <c r="A68" s="205" t="s">
        <v>218</v>
      </c>
      <c r="B68" s="207">
        <v>987</v>
      </c>
      <c r="C68" s="206">
        <v>1159</v>
      </c>
      <c r="D68" s="206">
        <v>1221</v>
      </c>
      <c r="E68" s="206">
        <v>1361</v>
      </c>
      <c r="F68" s="206">
        <v>1383</v>
      </c>
    </row>
    <row r="69" spans="1:6" x14ac:dyDescent="0.25">
      <c r="A69" s="205" t="s">
        <v>219</v>
      </c>
      <c r="B69" s="206">
        <v>1134</v>
      </c>
      <c r="C69" s="206">
        <v>1332</v>
      </c>
      <c r="D69" s="206">
        <v>1404</v>
      </c>
      <c r="E69" s="206">
        <v>1565</v>
      </c>
      <c r="F69" s="206">
        <v>1591</v>
      </c>
    </row>
    <row r="70" spans="1:6" x14ac:dyDescent="0.25">
      <c r="A70" s="205" t="s">
        <v>220</v>
      </c>
      <c r="B70" s="206">
        <v>1029</v>
      </c>
      <c r="C70" s="206">
        <v>1208</v>
      </c>
      <c r="D70" s="206">
        <v>1273</v>
      </c>
      <c r="E70" s="206">
        <v>1419</v>
      </c>
      <c r="F70" s="206">
        <v>1442</v>
      </c>
    </row>
    <row r="71" spans="1:6" x14ac:dyDescent="0.25">
      <c r="A71" s="205" t="s">
        <v>221</v>
      </c>
      <c r="B71" s="206">
        <v>1271</v>
      </c>
      <c r="C71" s="206">
        <v>1493</v>
      </c>
      <c r="D71" s="206">
        <v>1573</v>
      </c>
      <c r="E71" s="206">
        <v>1754</v>
      </c>
      <c r="F71" s="206">
        <v>1782</v>
      </c>
    </row>
    <row r="72" spans="1:6" x14ac:dyDescent="0.25">
      <c r="A72" s="205" t="s">
        <v>222</v>
      </c>
      <c r="B72" s="206">
        <v>1095</v>
      </c>
      <c r="C72" s="206">
        <v>1286</v>
      </c>
      <c r="D72" s="206">
        <v>1355</v>
      </c>
      <c r="E72" s="206">
        <v>1511</v>
      </c>
      <c r="F72" s="206">
        <v>1535</v>
      </c>
    </row>
    <row r="73" spans="1:6" x14ac:dyDescent="0.25">
      <c r="A73" s="205" t="s">
        <v>223</v>
      </c>
      <c r="B73" s="206">
        <v>1037</v>
      </c>
      <c r="C73" s="206">
        <v>1219</v>
      </c>
      <c r="D73" s="206">
        <v>1284</v>
      </c>
      <c r="E73" s="206">
        <v>1432</v>
      </c>
      <c r="F73" s="206">
        <v>1455</v>
      </c>
    </row>
    <row r="74" spans="1:6" x14ac:dyDescent="0.25">
      <c r="A74" s="205" t="s">
        <v>224</v>
      </c>
      <c r="B74" s="206">
        <v>1066</v>
      </c>
      <c r="C74" s="206">
        <v>1252</v>
      </c>
      <c r="D74" s="206">
        <v>1319</v>
      </c>
      <c r="E74" s="206">
        <v>1471</v>
      </c>
      <c r="F74" s="206">
        <v>1494</v>
      </c>
    </row>
    <row r="75" spans="1:6" x14ac:dyDescent="0.25">
      <c r="A75" s="205" t="s">
        <v>225</v>
      </c>
      <c r="B75" s="206">
        <v>1004</v>
      </c>
      <c r="C75" s="206">
        <v>1179</v>
      </c>
      <c r="D75" s="206">
        <v>1242</v>
      </c>
      <c r="E75" s="206">
        <v>1385</v>
      </c>
      <c r="F75" s="206">
        <v>1407</v>
      </c>
    </row>
    <row r="76" spans="1:6" x14ac:dyDescent="0.25">
      <c r="A76" s="205" t="s">
        <v>226</v>
      </c>
      <c r="B76" s="206">
        <v>1223</v>
      </c>
      <c r="C76" s="206">
        <v>1436</v>
      </c>
      <c r="D76" s="206">
        <v>1513</v>
      </c>
      <c r="E76" s="206">
        <v>1687</v>
      </c>
      <c r="F76" s="206">
        <v>1714</v>
      </c>
    </row>
    <row r="77" spans="1:6" x14ac:dyDescent="0.25">
      <c r="A77" s="205" t="s">
        <v>227</v>
      </c>
      <c r="B77" s="207">
        <v>943</v>
      </c>
      <c r="C77" s="206">
        <v>1107</v>
      </c>
      <c r="D77" s="206">
        <v>1167</v>
      </c>
      <c r="E77" s="206">
        <v>1301</v>
      </c>
      <c r="F77" s="206">
        <v>1322</v>
      </c>
    </row>
    <row r="78" spans="1:6" x14ac:dyDescent="0.25">
      <c r="A78" s="205" t="s">
        <v>228</v>
      </c>
      <c r="B78" s="206">
        <v>1416</v>
      </c>
      <c r="C78" s="206">
        <v>1663</v>
      </c>
      <c r="D78" s="206">
        <v>1752</v>
      </c>
      <c r="E78" s="206">
        <v>1953</v>
      </c>
      <c r="F78" s="206">
        <v>1985</v>
      </c>
    </row>
    <row r="79" spans="1:6" x14ac:dyDescent="0.25">
      <c r="A79" s="205" t="s">
        <v>229</v>
      </c>
      <c r="B79" s="206">
        <v>1268</v>
      </c>
      <c r="C79" s="206">
        <v>1489</v>
      </c>
      <c r="D79" s="206">
        <v>1569</v>
      </c>
      <c r="E79" s="206">
        <v>1749</v>
      </c>
      <c r="F79" s="206">
        <v>1778</v>
      </c>
    </row>
    <row r="80" spans="1:6" x14ac:dyDescent="0.25">
      <c r="A80" s="205" t="s">
        <v>230</v>
      </c>
      <c r="B80" s="206">
        <v>1227</v>
      </c>
      <c r="C80" s="206">
        <v>1441</v>
      </c>
      <c r="D80" s="206">
        <v>1518</v>
      </c>
      <c r="E80" s="206">
        <v>1693</v>
      </c>
      <c r="F80" s="206">
        <v>1720</v>
      </c>
    </row>
    <row r="81" spans="1:6" x14ac:dyDescent="0.25">
      <c r="A81" s="205" t="s">
        <v>231</v>
      </c>
      <c r="B81" s="206">
        <v>1155</v>
      </c>
      <c r="C81" s="206">
        <v>1356</v>
      </c>
      <c r="D81" s="206">
        <v>1429</v>
      </c>
      <c r="E81" s="206">
        <v>1593</v>
      </c>
      <c r="F81" s="206">
        <v>1619</v>
      </c>
    </row>
    <row r="82" spans="1:6" x14ac:dyDescent="0.25">
      <c r="A82" s="205" t="s">
        <v>232</v>
      </c>
      <c r="B82" s="206">
        <v>1017</v>
      </c>
      <c r="C82" s="206">
        <v>1195</v>
      </c>
      <c r="D82" s="206">
        <v>1259</v>
      </c>
      <c r="E82" s="206">
        <v>1404</v>
      </c>
      <c r="F82" s="206">
        <v>1426</v>
      </c>
    </row>
    <row r="83" spans="1:6" x14ac:dyDescent="0.25">
      <c r="A83" s="205" t="s">
        <v>233</v>
      </c>
      <c r="B83" s="206">
        <v>1297</v>
      </c>
      <c r="C83" s="206">
        <v>1523</v>
      </c>
      <c r="D83" s="206">
        <v>1605</v>
      </c>
      <c r="E83" s="206">
        <v>1790</v>
      </c>
      <c r="F83" s="206">
        <v>1818</v>
      </c>
    </row>
    <row r="84" spans="1:6" x14ac:dyDescent="0.25">
      <c r="A84" s="205" t="s">
        <v>234</v>
      </c>
      <c r="B84" s="206">
        <v>1150</v>
      </c>
      <c r="C84" s="206">
        <v>1350</v>
      </c>
      <c r="D84" s="206">
        <v>1423</v>
      </c>
      <c r="E84" s="206">
        <v>1587</v>
      </c>
      <c r="F84" s="206">
        <v>1612</v>
      </c>
    </row>
    <row r="85" spans="1:6" x14ac:dyDescent="0.25">
      <c r="A85" s="205" t="s">
        <v>235</v>
      </c>
      <c r="B85" s="206">
        <v>1226</v>
      </c>
      <c r="C85" s="206">
        <v>1440</v>
      </c>
      <c r="D85" s="206">
        <v>1517</v>
      </c>
      <c r="E85" s="206">
        <v>1691</v>
      </c>
      <c r="F85" s="206">
        <v>1719</v>
      </c>
    </row>
    <row r="86" spans="1:6" x14ac:dyDescent="0.25">
      <c r="A86" s="205" t="s">
        <v>236</v>
      </c>
      <c r="B86" s="206">
        <v>1394</v>
      </c>
      <c r="C86" s="206">
        <v>1637</v>
      </c>
      <c r="D86" s="206">
        <v>1725</v>
      </c>
      <c r="E86" s="206">
        <v>1923</v>
      </c>
      <c r="F86" s="206">
        <v>1954</v>
      </c>
    </row>
    <row r="87" spans="1:6" x14ac:dyDescent="0.25">
      <c r="A87" s="205" t="s">
        <v>237</v>
      </c>
      <c r="B87" s="206">
        <v>1130</v>
      </c>
      <c r="C87" s="206">
        <v>1327</v>
      </c>
      <c r="D87" s="206">
        <v>1398</v>
      </c>
      <c r="E87" s="206">
        <v>1559</v>
      </c>
      <c r="F87" s="206">
        <v>1584</v>
      </c>
    </row>
    <row r="88" spans="1:6" x14ac:dyDescent="0.25">
      <c r="A88" s="205" t="s">
        <v>238</v>
      </c>
      <c r="B88" s="206">
        <v>1045</v>
      </c>
      <c r="C88" s="206">
        <v>1227</v>
      </c>
      <c r="D88" s="206">
        <v>1293</v>
      </c>
      <c r="E88" s="206">
        <v>1442</v>
      </c>
      <c r="F88" s="206">
        <v>1465</v>
      </c>
    </row>
    <row r="89" spans="1:6" x14ac:dyDescent="0.25">
      <c r="A89" s="205" t="s">
        <v>239</v>
      </c>
      <c r="B89" s="206">
        <v>1084</v>
      </c>
      <c r="C89" s="206">
        <v>1274</v>
      </c>
      <c r="D89" s="206">
        <v>1342</v>
      </c>
      <c r="E89" s="206">
        <v>1496</v>
      </c>
      <c r="F89" s="206">
        <v>1520</v>
      </c>
    </row>
    <row r="90" spans="1:6" x14ac:dyDescent="0.25">
      <c r="A90" s="205" t="s">
        <v>240</v>
      </c>
      <c r="B90" s="206">
        <v>1097</v>
      </c>
      <c r="C90" s="206">
        <v>1289</v>
      </c>
      <c r="D90" s="206">
        <v>1358</v>
      </c>
      <c r="E90" s="206">
        <v>1514</v>
      </c>
      <c r="F90" s="206">
        <v>1539</v>
      </c>
    </row>
    <row r="91" spans="1:6" x14ac:dyDescent="0.25">
      <c r="A91" s="205" t="s">
        <v>241</v>
      </c>
      <c r="B91" s="206">
        <v>1042</v>
      </c>
      <c r="C91" s="206">
        <v>1224</v>
      </c>
      <c r="D91" s="206">
        <v>1290</v>
      </c>
      <c r="E91" s="206">
        <v>1438</v>
      </c>
      <c r="F91" s="206">
        <v>1462</v>
      </c>
    </row>
    <row r="92" spans="1:6" x14ac:dyDescent="0.25">
      <c r="A92" s="205" t="s">
        <v>242</v>
      </c>
      <c r="B92" s="206">
        <v>1446</v>
      </c>
      <c r="C92" s="206">
        <v>1698</v>
      </c>
      <c r="D92" s="206">
        <v>1789</v>
      </c>
      <c r="E92" s="206">
        <v>1995</v>
      </c>
      <c r="F92" s="206">
        <v>2027</v>
      </c>
    </row>
    <row r="93" spans="1:6" x14ac:dyDescent="0.25">
      <c r="A93" s="205" t="s">
        <v>243</v>
      </c>
      <c r="B93" s="206">
        <v>1253</v>
      </c>
      <c r="C93" s="206">
        <v>1472</v>
      </c>
      <c r="D93" s="206">
        <v>1551</v>
      </c>
      <c r="E93" s="206">
        <v>1729</v>
      </c>
      <c r="F93" s="206">
        <v>1757</v>
      </c>
    </row>
    <row r="94" spans="1:6" x14ac:dyDescent="0.25">
      <c r="A94" s="205" t="s">
        <v>244</v>
      </c>
      <c r="B94" s="206">
        <v>1113</v>
      </c>
      <c r="C94" s="206">
        <v>1307</v>
      </c>
      <c r="D94" s="206">
        <v>1377</v>
      </c>
      <c r="E94" s="206">
        <v>1535</v>
      </c>
      <c r="F94" s="206">
        <v>1560</v>
      </c>
    </row>
    <row r="95" spans="1:6" x14ac:dyDescent="0.25">
      <c r="A95" s="205" t="s">
        <v>245</v>
      </c>
      <c r="B95" s="206">
        <v>1097</v>
      </c>
      <c r="C95" s="206">
        <v>1289</v>
      </c>
      <c r="D95" s="206">
        <v>1358</v>
      </c>
      <c r="E95" s="206">
        <v>1514</v>
      </c>
      <c r="F95" s="206">
        <v>1539</v>
      </c>
    </row>
    <row r="96" spans="1:6" x14ac:dyDescent="0.25">
      <c r="A96" s="205" t="s">
        <v>246</v>
      </c>
      <c r="B96" s="206">
        <v>1068</v>
      </c>
      <c r="C96" s="206">
        <v>1255</v>
      </c>
      <c r="D96" s="206">
        <v>1322</v>
      </c>
      <c r="E96" s="206">
        <v>1474</v>
      </c>
      <c r="F96" s="206">
        <v>1498</v>
      </c>
    </row>
    <row r="97" spans="1:6" x14ac:dyDescent="0.25">
      <c r="A97" s="205" t="s">
        <v>247</v>
      </c>
      <c r="B97" s="206">
        <v>1290</v>
      </c>
      <c r="C97" s="206">
        <v>1515</v>
      </c>
      <c r="D97" s="206">
        <v>1596</v>
      </c>
      <c r="E97" s="206">
        <v>1780</v>
      </c>
      <c r="F97" s="206">
        <v>1808</v>
      </c>
    </row>
    <row r="98" spans="1:6" x14ac:dyDescent="0.25">
      <c r="A98" s="205" t="s">
        <v>248</v>
      </c>
      <c r="B98" s="206">
        <v>1149</v>
      </c>
      <c r="C98" s="206">
        <v>1349</v>
      </c>
      <c r="D98" s="206">
        <v>1422</v>
      </c>
      <c r="E98" s="206">
        <v>1586</v>
      </c>
      <c r="F98" s="206">
        <v>1611</v>
      </c>
    </row>
    <row r="99" spans="1:6" x14ac:dyDescent="0.25">
      <c r="A99" s="205" t="s">
        <v>249</v>
      </c>
      <c r="B99" s="207">
        <v>988</v>
      </c>
      <c r="C99" s="206">
        <v>1161</v>
      </c>
      <c r="D99" s="206">
        <v>1223</v>
      </c>
      <c r="E99" s="206">
        <v>1364</v>
      </c>
      <c r="F99" s="206">
        <v>1386</v>
      </c>
    </row>
    <row r="100" spans="1:6" x14ac:dyDescent="0.25">
      <c r="A100" s="205" t="s">
        <v>250</v>
      </c>
      <c r="B100" s="206">
        <v>1004</v>
      </c>
      <c r="C100" s="206">
        <v>1179</v>
      </c>
      <c r="D100" s="206">
        <v>1242</v>
      </c>
      <c r="E100" s="206">
        <v>1385</v>
      </c>
      <c r="F100" s="206">
        <v>1407</v>
      </c>
    </row>
  </sheetData>
  <mergeCells count="2">
    <mergeCell ref="A1:F1"/>
    <mergeCell ref="K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1048576"/>
  <sheetViews>
    <sheetView tabSelected="1" topLeftCell="D1" zoomScale="70" zoomScaleNormal="70" workbookViewId="0">
      <pane ySplit="1" topLeftCell="A2" activePane="bottomLeft" state="frozen"/>
      <selection pane="bottomLeft" activeCell="D11" sqref="D11"/>
    </sheetView>
  </sheetViews>
  <sheetFormatPr defaultRowHeight="15" x14ac:dyDescent="0.25"/>
  <cols>
    <col min="1" max="1" width="24.7109375" customWidth="1"/>
    <col min="2" max="2" width="14.7109375" customWidth="1"/>
    <col min="3" max="3" width="13.28515625" customWidth="1"/>
    <col min="4" max="4" width="59.42578125" customWidth="1"/>
    <col min="5" max="5" width="37.5703125" customWidth="1"/>
    <col min="6" max="7" width="9.42578125" customWidth="1"/>
    <col min="8" max="18" width="20.7109375" customWidth="1"/>
    <col min="19" max="19" width="16" customWidth="1"/>
    <col min="20" max="20" width="47.7109375" customWidth="1"/>
  </cols>
  <sheetData>
    <row r="1" spans="1:20" x14ac:dyDescent="0.25">
      <c r="A1" s="221" t="s">
        <v>9</v>
      </c>
      <c r="B1" s="221"/>
      <c r="C1" s="221"/>
      <c r="D1" s="221"/>
      <c r="E1" s="221"/>
      <c r="F1" s="221"/>
      <c r="G1" s="221"/>
      <c r="H1" s="222"/>
      <c r="I1" s="141">
        <f>SUM(I4:I100)</f>
        <v>0</v>
      </c>
      <c r="J1" s="141">
        <f t="shared" ref="J1:S1" si="0">SUM(J4:J100)</f>
        <v>0</v>
      </c>
      <c r="K1" s="141">
        <f t="shared" si="0"/>
        <v>0</v>
      </c>
      <c r="L1" s="141">
        <f t="shared" si="0"/>
        <v>0</v>
      </c>
      <c r="M1" s="141">
        <f>SUM(M4:M100)</f>
        <v>0</v>
      </c>
      <c r="N1" s="141">
        <f t="shared" si="0"/>
        <v>0</v>
      </c>
      <c r="O1" s="141">
        <f t="shared" si="0"/>
        <v>0</v>
      </c>
      <c r="P1" s="141">
        <f t="shared" si="0"/>
        <v>0</v>
      </c>
      <c r="Q1" s="141">
        <f t="shared" si="0"/>
        <v>0</v>
      </c>
      <c r="R1" s="141">
        <f>SUM(R4:R100)</f>
        <v>0</v>
      </c>
      <c r="S1" s="141">
        <f t="shared" si="0"/>
        <v>0</v>
      </c>
      <c r="T1" s="187" t="s">
        <v>10</v>
      </c>
    </row>
    <row r="2" spans="1:20" x14ac:dyDescent="0.25">
      <c r="A2" s="228" t="s">
        <v>11</v>
      </c>
      <c r="B2" s="225" t="s">
        <v>12</v>
      </c>
      <c r="C2" s="228" t="s">
        <v>13</v>
      </c>
      <c r="D2" s="229" t="s">
        <v>251</v>
      </c>
      <c r="E2" s="229" t="s">
        <v>252</v>
      </c>
      <c r="F2" s="228" t="s">
        <v>14</v>
      </c>
      <c r="G2" s="227" t="s">
        <v>15</v>
      </c>
      <c r="H2" s="227" t="s">
        <v>16</v>
      </c>
      <c r="I2" s="223" t="s">
        <v>17</v>
      </c>
      <c r="J2" s="224"/>
      <c r="K2" s="224"/>
      <c r="L2" s="224"/>
      <c r="M2" s="224"/>
      <c r="N2" s="224"/>
      <c r="O2" s="224"/>
      <c r="P2" s="224"/>
      <c r="Q2" s="224"/>
      <c r="R2" s="224"/>
      <c r="S2" s="187"/>
      <c r="T2" s="142"/>
    </row>
    <row r="3" spans="1:20" ht="30" x14ac:dyDescent="0.25">
      <c r="A3" s="228"/>
      <c r="B3" s="226"/>
      <c r="C3" s="228"/>
      <c r="D3" s="230"/>
      <c r="E3" s="230"/>
      <c r="F3" s="228"/>
      <c r="G3" s="226"/>
      <c r="H3" s="226"/>
      <c r="I3" s="143" t="s">
        <v>18</v>
      </c>
      <c r="J3" s="144" t="s">
        <v>19</v>
      </c>
      <c r="K3" s="145" t="s">
        <v>20</v>
      </c>
      <c r="L3" s="143" t="s">
        <v>21</v>
      </c>
      <c r="M3" s="146" t="s">
        <v>22</v>
      </c>
      <c r="N3" s="146" t="s">
        <v>23</v>
      </c>
      <c r="O3" s="146" t="s">
        <v>24</v>
      </c>
      <c r="P3" s="146" t="s">
        <v>25</v>
      </c>
      <c r="Q3" s="146" t="s">
        <v>26</v>
      </c>
      <c r="R3" s="146" t="s">
        <v>27</v>
      </c>
      <c r="S3" s="13" t="s">
        <v>28</v>
      </c>
      <c r="T3" s="147"/>
    </row>
    <row r="4" spans="1:20" x14ac:dyDescent="0.25">
      <c r="C4" s="201"/>
      <c r="E4" s="202"/>
      <c r="I4" s="150"/>
      <c r="J4" s="150"/>
      <c r="K4" s="150"/>
      <c r="L4" s="150"/>
      <c r="M4" s="150"/>
      <c r="N4" s="150"/>
      <c r="O4" s="150"/>
      <c r="P4" s="150"/>
      <c r="Q4" s="150"/>
      <c r="R4" s="150"/>
      <c r="S4" s="14"/>
      <c r="T4" s="187"/>
    </row>
    <row r="5" spans="1:20" x14ac:dyDescent="0.25">
      <c r="A5" s="148"/>
      <c r="B5" s="187"/>
      <c r="C5" s="149"/>
      <c r="D5" s="139"/>
      <c r="E5" s="202"/>
      <c r="F5" s="187"/>
      <c r="G5" s="187"/>
      <c r="H5" s="187"/>
      <c r="I5" s="150"/>
      <c r="J5" s="150"/>
      <c r="K5" s="150"/>
      <c r="L5" s="150"/>
      <c r="M5" s="187"/>
      <c r="N5" s="150"/>
      <c r="O5" s="150"/>
      <c r="P5" s="150"/>
      <c r="Q5" s="150"/>
      <c r="R5" s="150"/>
      <c r="S5" s="14"/>
      <c r="T5" s="187"/>
    </row>
    <row r="6" spans="1:20" x14ac:dyDescent="0.25">
      <c r="A6" s="148"/>
      <c r="B6" s="187"/>
      <c r="C6" s="149"/>
      <c r="D6" s="139"/>
      <c r="E6" s="202"/>
      <c r="F6" s="187"/>
      <c r="G6" s="187"/>
      <c r="H6" s="187"/>
      <c r="I6" s="150"/>
      <c r="J6" s="187"/>
      <c r="K6" s="187"/>
      <c r="L6" s="187"/>
      <c r="M6" s="187"/>
      <c r="N6" s="187"/>
      <c r="O6" s="187"/>
      <c r="P6" s="187"/>
      <c r="Q6" s="187"/>
      <c r="R6" s="187"/>
      <c r="S6" s="14"/>
      <c r="T6" s="187"/>
    </row>
    <row r="7" spans="1:20" x14ac:dyDescent="0.25">
      <c r="A7" s="148"/>
      <c r="B7" s="187"/>
      <c r="C7" s="151"/>
      <c r="D7" s="191"/>
      <c r="E7" s="193"/>
      <c r="F7" s="187"/>
      <c r="G7" s="187"/>
      <c r="H7" s="187"/>
      <c r="I7" s="150"/>
      <c r="J7" s="150"/>
      <c r="K7" s="150"/>
      <c r="L7" s="150"/>
      <c r="M7" s="150"/>
      <c r="N7" s="150"/>
      <c r="O7" s="150"/>
      <c r="P7" s="150"/>
      <c r="Q7" s="150"/>
      <c r="R7" s="150"/>
      <c r="S7" s="14"/>
      <c r="T7" s="187"/>
    </row>
    <row r="8" spans="1:20" x14ac:dyDescent="0.25">
      <c r="A8" s="148"/>
      <c r="B8" s="187"/>
      <c r="C8" s="151"/>
      <c r="D8" s="191"/>
      <c r="E8" s="193"/>
      <c r="F8" s="149"/>
      <c r="G8" s="149"/>
      <c r="H8" s="149"/>
      <c r="I8" s="150"/>
      <c r="J8" s="150"/>
      <c r="K8" s="150"/>
      <c r="L8" s="150"/>
      <c r="M8" s="150"/>
      <c r="N8" s="150"/>
      <c r="O8" s="150"/>
      <c r="P8" s="150"/>
      <c r="Q8" s="150"/>
      <c r="R8" s="150"/>
      <c r="S8" s="14"/>
      <c r="T8" s="187"/>
    </row>
    <row r="9" spans="1:20" x14ac:dyDescent="0.25">
      <c r="A9" s="148"/>
      <c r="B9" s="187"/>
      <c r="C9" s="151"/>
      <c r="D9" s="191"/>
      <c r="E9" s="193"/>
      <c r="F9" s="187"/>
      <c r="G9" s="187"/>
      <c r="H9" s="187"/>
      <c r="I9" s="150"/>
      <c r="J9" s="150"/>
      <c r="K9" s="150"/>
      <c r="L9" s="150"/>
      <c r="M9" s="150"/>
      <c r="N9" s="150"/>
      <c r="O9" s="150"/>
      <c r="P9" s="150"/>
      <c r="Q9" s="150"/>
      <c r="R9" s="150"/>
      <c r="S9" s="14">
        <f t="shared" ref="S5:S68" si="1">SUM(I9:R9)</f>
        <v>0</v>
      </c>
      <c r="T9" s="187"/>
    </row>
    <row r="10" spans="1:20" x14ac:dyDescent="0.25">
      <c r="A10" s="148"/>
      <c r="B10" s="187"/>
      <c r="C10" s="151"/>
      <c r="D10" s="191"/>
      <c r="E10" s="193"/>
      <c r="F10" s="187"/>
      <c r="G10" s="187"/>
      <c r="H10" s="187"/>
      <c r="I10" s="150"/>
      <c r="J10" s="150"/>
      <c r="K10" s="150"/>
      <c r="L10" s="150"/>
      <c r="M10" s="150"/>
      <c r="N10" s="150"/>
      <c r="O10" s="150"/>
      <c r="P10" s="150"/>
      <c r="Q10" s="150"/>
      <c r="R10" s="150"/>
      <c r="S10" s="14">
        <f t="shared" si="1"/>
        <v>0</v>
      </c>
      <c r="T10" s="187"/>
    </row>
    <row r="11" spans="1:20" x14ac:dyDescent="0.25">
      <c r="A11" s="148"/>
      <c r="B11" s="187"/>
      <c r="C11" s="151"/>
      <c r="D11" s="191"/>
      <c r="E11" s="193"/>
      <c r="F11" s="187"/>
      <c r="G11" s="187"/>
      <c r="H11" s="187"/>
      <c r="I11" s="150"/>
      <c r="J11" s="150"/>
      <c r="K11" s="150"/>
      <c r="L11" s="150"/>
      <c r="M11" s="150"/>
      <c r="N11" s="150"/>
      <c r="O11" s="150"/>
      <c r="P11" s="150"/>
      <c r="Q11" s="150"/>
      <c r="R11" s="150"/>
      <c r="S11" s="14">
        <f t="shared" si="1"/>
        <v>0</v>
      </c>
      <c r="T11" s="187"/>
    </row>
    <row r="12" spans="1:20" x14ac:dyDescent="0.25">
      <c r="A12" s="148"/>
      <c r="B12" s="149"/>
      <c r="C12" s="151"/>
      <c r="D12" s="191"/>
      <c r="E12" s="193"/>
      <c r="F12" s="187"/>
      <c r="G12" s="187"/>
      <c r="H12" s="149"/>
      <c r="I12" s="150"/>
      <c r="J12" s="150"/>
      <c r="K12" s="150"/>
      <c r="L12" s="150"/>
      <c r="M12" s="150"/>
      <c r="N12" s="150"/>
      <c r="O12" s="150"/>
      <c r="P12" s="150"/>
      <c r="Q12" s="150"/>
      <c r="R12" s="150"/>
      <c r="S12" s="14">
        <f t="shared" si="1"/>
        <v>0</v>
      </c>
      <c r="T12" s="187"/>
    </row>
    <row r="13" spans="1:20" x14ac:dyDescent="0.25">
      <c r="A13" s="148"/>
      <c r="B13" s="187"/>
      <c r="C13" s="151"/>
      <c r="D13" s="191"/>
      <c r="E13" s="193"/>
      <c r="F13" s="187"/>
      <c r="G13" s="187"/>
      <c r="H13" s="187"/>
      <c r="I13" s="150"/>
      <c r="J13" s="150"/>
      <c r="K13" s="150"/>
      <c r="L13" s="150"/>
      <c r="M13" s="139"/>
      <c r="N13" s="150"/>
      <c r="O13" s="150"/>
      <c r="P13" s="150"/>
      <c r="Q13" s="150"/>
      <c r="R13" s="150"/>
      <c r="S13" s="14">
        <f t="shared" si="1"/>
        <v>0</v>
      </c>
      <c r="T13" s="187"/>
    </row>
    <row r="14" spans="1:20" x14ac:dyDescent="0.25">
      <c r="A14" s="148"/>
      <c r="B14" s="187"/>
      <c r="C14" s="149"/>
      <c r="D14" s="191"/>
      <c r="E14" s="193"/>
      <c r="F14" s="187"/>
      <c r="G14" s="187"/>
      <c r="H14" s="187"/>
      <c r="I14" s="150"/>
      <c r="J14" s="150"/>
      <c r="K14" s="150"/>
      <c r="L14" s="150"/>
      <c r="M14" s="150"/>
      <c r="N14" s="150"/>
      <c r="O14" s="150"/>
      <c r="P14" s="150"/>
      <c r="Q14" s="150"/>
      <c r="R14" s="150"/>
      <c r="S14" s="14">
        <f t="shared" si="1"/>
        <v>0</v>
      </c>
      <c r="T14" s="187"/>
    </row>
    <row r="15" spans="1:20" x14ac:dyDescent="0.25">
      <c r="A15" s="148"/>
      <c r="B15" s="187"/>
      <c r="C15" s="151"/>
      <c r="D15" s="191"/>
      <c r="E15" s="193"/>
      <c r="F15" s="187"/>
      <c r="G15" s="187"/>
      <c r="H15" s="187"/>
      <c r="I15" s="150"/>
      <c r="J15" s="150"/>
      <c r="K15" s="150"/>
      <c r="L15" s="150"/>
      <c r="M15" s="139"/>
      <c r="N15" s="150"/>
      <c r="O15" s="150"/>
      <c r="P15" s="150"/>
      <c r="Q15" s="150"/>
      <c r="R15" s="150"/>
      <c r="S15" s="14">
        <f t="shared" si="1"/>
        <v>0</v>
      </c>
      <c r="T15" s="187"/>
    </row>
    <row r="16" spans="1:20" x14ac:dyDescent="0.25">
      <c r="A16" s="139"/>
      <c r="B16" s="187"/>
      <c r="C16" s="149"/>
      <c r="D16" s="191"/>
      <c r="E16" s="193"/>
      <c r="F16" s="187"/>
      <c r="G16" s="187"/>
      <c r="H16" s="187"/>
      <c r="I16" s="150"/>
      <c r="J16" s="150"/>
      <c r="K16" s="150"/>
      <c r="L16" s="150"/>
      <c r="M16" s="150"/>
      <c r="N16" s="150"/>
      <c r="O16" s="150"/>
      <c r="P16" s="150"/>
      <c r="Q16" s="150"/>
      <c r="R16" s="150"/>
      <c r="S16" s="14">
        <f t="shared" si="1"/>
        <v>0</v>
      </c>
      <c r="T16" s="187"/>
    </row>
    <row r="17" spans="1:20" x14ac:dyDescent="0.25">
      <c r="A17" s="139"/>
      <c r="B17" s="187"/>
      <c r="C17" s="149"/>
      <c r="D17" s="191"/>
      <c r="E17" s="193"/>
      <c r="F17" s="187"/>
      <c r="G17" s="187"/>
      <c r="H17" s="187"/>
      <c r="I17" s="150"/>
      <c r="J17" s="150"/>
      <c r="K17" s="150"/>
      <c r="L17" s="150"/>
      <c r="M17" s="150"/>
      <c r="N17" s="150"/>
      <c r="O17" s="150"/>
      <c r="P17" s="150"/>
      <c r="Q17" s="150"/>
      <c r="R17" s="150"/>
      <c r="S17" s="14">
        <f t="shared" si="1"/>
        <v>0</v>
      </c>
      <c r="T17" s="187"/>
    </row>
    <row r="18" spans="1:20" x14ac:dyDescent="0.25">
      <c r="A18" s="139"/>
      <c r="B18" s="187"/>
      <c r="C18" s="149"/>
      <c r="D18" s="191"/>
      <c r="E18" s="193"/>
      <c r="F18" s="187"/>
      <c r="G18" s="187"/>
      <c r="H18" s="187"/>
      <c r="I18" s="150"/>
      <c r="J18" s="150"/>
      <c r="K18" s="150"/>
      <c r="L18" s="150"/>
      <c r="M18" s="150"/>
      <c r="N18" s="150"/>
      <c r="O18" s="150"/>
      <c r="P18" s="150"/>
      <c r="Q18" s="150"/>
      <c r="R18" s="150"/>
      <c r="S18" s="14">
        <f t="shared" si="1"/>
        <v>0</v>
      </c>
      <c r="T18" s="187"/>
    </row>
    <row r="19" spans="1:20" x14ac:dyDescent="0.25">
      <c r="A19" s="139"/>
      <c r="B19" s="187"/>
      <c r="C19" s="149"/>
      <c r="D19" s="191"/>
      <c r="E19" s="193"/>
      <c r="F19" s="187"/>
      <c r="G19" s="187"/>
      <c r="H19" s="187"/>
      <c r="I19" s="150"/>
      <c r="J19" s="150"/>
      <c r="K19" s="150"/>
      <c r="L19" s="150"/>
      <c r="M19" s="150"/>
      <c r="N19" s="150"/>
      <c r="O19" s="150"/>
      <c r="P19" s="150"/>
      <c r="Q19" s="150"/>
      <c r="R19" s="150"/>
      <c r="S19" s="14">
        <f t="shared" si="1"/>
        <v>0</v>
      </c>
      <c r="T19" s="187"/>
    </row>
    <row r="20" spans="1:20" x14ac:dyDescent="0.25">
      <c r="A20" s="139"/>
      <c r="B20" s="187"/>
      <c r="C20" s="149"/>
      <c r="D20" s="191"/>
      <c r="E20" s="193"/>
      <c r="F20" s="187"/>
      <c r="G20" s="187"/>
      <c r="H20" s="187"/>
      <c r="I20" s="150"/>
      <c r="J20" s="150"/>
      <c r="K20" s="150"/>
      <c r="L20" s="150"/>
      <c r="M20" s="150"/>
      <c r="N20" s="150"/>
      <c r="O20" s="150"/>
      <c r="P20" s="150"/>
      <c r="Q20" s="150"/>
      <c r="R20" s="150"/>
      <c r="S20" s="14">
        <f t="shared" si="1"/>
        <v>0</v>
      </c>
      <c r="T20" s="187"/>
    </row>
    <row r="21" spans="1:20" x14ac:dyDescent="0.25">
      <c r="A21" s="139"/>
      <c r="B21" s="187"/>
      <c r="C21" s="149"/>
      <c r="D21" s="191"/>
      <c r="E21" s="193"/>
      <c r="F21" s="187"/>
      <c r="G21" s="187"/>
      <c r="H21" s="187"/>
      <c r="I21" s="150"/>
      <c r="J21" s="150"/>
      <c r="K21" s="150"/>
      <c r="L21" s="150"/>
      <c r="M21" s="150"/>
      <c r="N21" s="150"/>
      <c r="O21" s="150"/>
      <c r="P21" s="150"/>
      <c r="Q21" s="150"/>
      <c r="R21" s="150"/>
      <c r="S21" s="14">
        <f t="shared" si="1"/>
        <v>0</v>
      </c>
      <c r="T21" s="187"/>
    </row>
    <row r="22" spans="1:20" x14ac:dyDescent="0.25">
      <c r="A22" s="139"/>
      <c r="B22" s="187"/>
      <c r="C22" s="149"/>
      <c r="D22" s="191"/>
      <c r="E22" s="193"/>
      <c r="F22" s="187"/>
      <c r="G22" s="187"/>
      <c r="H22" s="187"/>
      <c r="I22" s="150"/>
      <c r="J22" s="150"/>
      <c r="K22" s="150"/>
      <c r="L22" s="150"/>
      <c r="M22" s="150"/>
      <c r="N22" s="150"/>
      <c r="O22" s="150"/>
      <c r="P22" s="150"/>
      <c r="Q22" s="150"/>
      <c r="R22" s="150"/>
      <c r="S22" s="14">
        <f t="shared" si="1"/>
        <v>0</v>
      </c>
      <c r="T22" s="187"/>
    </row>
    <row r="23" spans="1:20" x14ac:dyDescent="0.25">
      <c r="A23" s="139"/>
      <c r="B23" s="187"/>
      <c r="C23" s="149"/>
      <c r="D23" s="191"/>
      <c r="E23" s="193"/>
      <c r="F23" s="187"/>
      <c r="G23" s="187"/>
      <c r="H23" s="187"/>
      <c r="I23" s="150"/>
      <c r="J23" s="150"/>
      <c r="K23" s="150"/>
      <c r="L23" s="150"/>
      <c r="M23" s="150"/>
      <c r="N23" s="150"/>
      <c r="O23" s="150"/>
      <c r="P23" s="150"/>
      <c r="Q23" s="150"/>
      <c r="R23" s="150"/>
      <c r="S23" s="14">
        <f t="shared" si="1"/>
        <v>0</v>
      </c>
      <c r="T23" s="150"/>
    </row>
    <row r="24" spans="1:20" x14ac:dyDescent="0.25">
      <c r="A24" s="139"/>
      <c r="B24" s="187"/>
      <c r="C24" s="149"/>
      <c r="D24" s="191"/>
      <c r="E24" s="193"/>
      <c r="F24" s="187"/>
      <c r="G24" s="187"/>
      <c r="H24" s="187"/>
      <c r="I24" s="150"/>
      <c r="J24" s="150"/>
      <c r="K24" s="150"/>
      <c r="L24" s="150"/>
      <c r="M24" s="150"/>
      <c r="N24" s="150"/>
      <c r="O24" s="150"/>
      <c r="P24" s="150"/>
      <c r="Q24" s="150"/>
      <c r="R24" s="150"/>
      <c r="S24" s="14">
        <f t="shared" si="1"/>
        <v>0</v>
      </c>
      <c r="T24" s="187"/>
    </row>
    <row r="25" spans="1:20" x14ac:dyDescent="0.25">
      <c r="A25" s="139"/>
      <c r="B25" s="187"/>
      <c r="C25" s="149"/>
      <c r="D25" s="191"/>
      <c r="E25" s="193"/>
      <c r="F25" s="187"/>
      <c r="G25" s="187"/>
      <c r="H25" s="187"/>
      <c r="I25" s="150"/>
      <c r="J25" s="150"/>
      <c r="K25" s="150"/>
      <c r="L25" s="150"/>
      <c r="M25" s="150"/>
      <c r="N25" s="150"/>
      <c r="O25" s="150"/>
      <c r="P25" s="150"/>
      <c r="Q25" s="150"/>
      <c r="R25" s="150"/>
      <c r="S25" s="14">
        <f t="shared" si="1"/>
        <v>0</v>
      </c>
      <c r="T25" s="187"/>
    </row>
    <row r="26" spans="1:20" x14ac:dyDescent="0.25">
      <c r="A26" s="139"/>
      <c r="B26" s="187"/>
      <c r="C26" s="149"/>
      <c r="D26" s="191"/>
      <c r="E26" s="193"/>
      <c r="F26" s="187"/>
      <c r="G26" s="187"/>
      <c r="H26" s="187"/>
      <c r="I26" s="150"/>
      <c r="J26" s="150"/>
      <c r="K26" s="150"/>
      <c r="L26" s="150"/>
      <c r="M26" s="150"/>
      <c r="N26" s="150"/>
      <c r="O26" s="150"/>
      <c r="P26" s="150"/>
      <c r="Q26" s="150"/>
      <c r="R26" s="150"/>
      <c r="S26" s="14">
        <f t="shared" si="1"/>
        <v>0</v>
      </c>
      <c r="T26" s="187"/>
    </row>
    <row r="27" spans="1:20" x14ac:dyDescent="0.25">
      <c r="A27" s="139"/>
      <c r="B27" s="187"/>
      <c r="C27" s="149"/>
      <c r="D27" s="191"/>
      <c r="E27" s="193"/>
      <c r="F27" s="187"/>
      <c r="G27" s="187"/>
      <c r="H27" s="187"/>
      <c r="I27" s="150"/>
      <c r="J27" s="150"/>
      <c r="K27" s="150"/>
      <c r="L27" s="150"/>
      <c r="M27" s="150"/>
      <c r="N27" s="150"/>
      <c r="O27" s="150"/>
      <c r="P27" s="150"/>
      <c r="Q27" s="150"/>
      <c r="R27" s="150"/>
      <c r="S27" s="14">
        <f t="shared" si="1"/>
        <v>0</v>
      </c>
      <c r="T27" s="187"/>
    </row>
    <row r="28" spans="1:20" x14ac:dyDescent="0.25">
      <c r="A28" s="139"/>
      <c r="B28" s="187"/>
      <c r="C28" s="92"/>
      <c r="D28" s="191"/>
      <c r="E28" s="193"/>
      <c r="F28" s="187"/>
      <c r="G28" s="187"/>
      <c r="H28" s="187"/>
      <c r="I28" s="150"/>
      <c r="J28" s="150"/>
      <c r="K28" s="150"/>
      <c r="L28" s="150"/>
      <c r="M28" s="150"/>
      <c r="N28" s="150"/>
      <c r="O28" s="150"/>
      <c r="P28" s="152"/>
      <c r="Q28" s="150"/>
      <c r="R28" s="150"/>
      <c r="S28" s="14">
        <f t="shared" si="1"/>
        <v>0</v>
      </c>
      <c r="T28" s="187"/>
    </row>
    <row r="29" spans="1:20" x14ac:dyDescent="0.25">
      <c r="A29" s="139"/>
      <c r="B29" s="187"/>
      <c r="C29" s="149"/>
      <c r="D29" s="191"/>
      <c r="E29" s="193"/>
      <c r="F29" s="187"/>
      <c r="G29" s="187"/>
      <c r="H29" s="187"/>
      <c r="I29" s="150"/>
      <c r="J29" s="150"/>
      <c r="K29" s="150"/>
      <c r="L29" s="150"/>
      <c r="M29" s="150"/>
      <c r="N29" s="150"/>
      <c r="O29" s="150"/>
      <c r="P29" s="150"/>
      <c r="Q29" s="150"/>
      <c r="R29" s="150"/>
      <c r="S29" s="14">
        <f t="shared" si="1"/>
        <v>0</v>
      </c>
      <c r="T29" s="187"/>
    </row>
    <row r="30" spans="1:20" x14ac:dyDescent="0.25">
      <c r="A30" s="139"/>
      <c r="B30" s="187"/>
      <c r="C30" s="149"/>
      <c r="D30" s="191"/>
      <c r="E30" s="193"/>
      <c r="F30" s="187"/>
      <c r="G30" s="187"/>
      <c r="H30" s="187"/>
      <c r="I30" s="150"/>
      <c r="J30" s="150"/>
      <c r="K30" s="150"/>
      <c r="L30" s="150"/>
      <c r="M30" s="150"/>
      <c r="N30" s="150"/>
      <c r="O30" s="150"/>
      <c r="P30" s="150"/>
      <c r="Q30" s="150"/>
      <c r="R30" s="150"/>
      <c r="S30" s="14">
        <f t="shared" si="1"/>
        <v>0</v>
      </c>
      <c r="T30" s="187"/>
    </row>
    <row r="31" spans="1:20" x14ac:dyDescent="0.25">
      <c r="A31" s="139"/>
      <c r="B31" s="187"/>
      <c r="C31" s="149"/>
      <c r="D31" s="191"/>
      <c r="E31" s="193"/>
      <c r="F31" s="187"/>
      <c r="G31" s="187"/>
      <c r="H31" s="187"/>
      <c r="I31" s="150"/>
      <c r="J31" s="150"/>
      <c r="K31" s="150"/>
      <c r="L31" s="150"/>
      <c r="M31" s="150"/>
      <c r="N31" s="150"/>
      <c r="O31" s="150"/>
      <c r="P31" s="150"/>
      <c r="Q31" s="150"/>
      <c r="R31" s="150"/>
      <c r="S31" s="14">
        <f t="shared" si="1"/>
        <v>0</v>
      </c>
      <c r="T31" s="187"/>
    </row>
    <row r="32" spans="1:20" x14ac:dyDescent="0.25">
      <c r="A32" s="139"/>
      <c r="B32" s="187"/>
      <c r="C32" s="92"/>
      <c r="D32" s="191"/>
      <c r="E32" s="193"/>
      <c r="F32" s="187"/>
      <c r="G32" s="187"/>
      <c r="H32" s="187"/>
      <c r="I32" s="150"/>
      <c r="J32" s="150"/>
      <c r="K32" s="150"/>
      <c r="L32" s="150"/>
      <c r="M32" s="150"/>
      <c r="N32" s="150"/>
      <c r="O32" s="150"/>
      <c r="P32" s="150"/>
      <c r="Q32" s="150"/>
      <c r="R32" s="150"/>
      <c r="S32" s="14">
        <f t="shared" si="1"/>
        <v>0</v>
      </c>
      <c r="T32" s="187"/>
    </row>
    <row r="33" spans="1:20" x14ac:dyDescent="0.25">
      <c r="A33" s="139"/>
      <c r="B33" s="187"/>
      <c r="C33" s="149"/>
      <c r="D33" s="191"/>
      <c r="E33" s="193"/>
      <c r="F33" s="187"/>
      <c r="G33" s="187"/>
      <c r="H33" s="187"/>
      <c r="I33" s="150"/>
      <c r="J33" s="150"/>
      <c r="K33" s="150"/>
      <c r="L33" s="150"/>
      <c r="M33" s="150"/>
      <c r="N33" s="150"/>
      <c r="O33" s="150"/>
      <c r="P33" s="150"/>
      <c r="Q33" s="150"/>
      <c r="R33" s="150"/>
      <c r="S33" s="14">
        <f t="shared" si="1"/>
        <v>0</v>
      </c>
      <c r="T33" s="150"/>
    </row>
    <row r="34" spans="1:20" x14ac:dyDescent="0.25">
      <c r="A34" s="139"/>
      <c r="B34" s="187"/>
      <c r="C34" s="149"/>
      <c r="D34" s="191"/>
      <c r="E34" s="193"/>
      <c r="F34" s="187"/>
      <c r="G34" s="187"/>
      <c r="H34" s="187"/>
      <c r="I34" s="150"/>
      <c r="J34" s="150"/>
      <c r="K34" s="150"/>
      <c r="L34" s="150"/>
      <c r="M34" s="150"/>
      <c r="N34" s="150"/>
      <c r="O34" s="150"/>
      <c r="P34" s="150"/>
      <c r="Q34" s="150"/>
      <c r="R34" s="150"/>
      <c r="S34" s="14">
        <f t="shared" si="1"/>
        <v>0</v>
      </c>
      <c r="T34" s="187"/>
    </row>
    <row r="35" spans="1:20" x14ac:dyDescent="0.25">
      <c r="A35" s="139"/>
      <c r="B35" s="187"/>
      <c r="C35" s="92"/>
      <c r="D35" s="191"/>
      <c r="E35" s="193"/>
      <c r="F35" s="187"/>
      <c r="G35" s="187"/>
      <c r="H35" s="187"/>
      <c r="I35" s="150"/>
      <c r="J35" s="150"/>
      <c r="K35" s="150"/>
      <c r="L35" s="150"/>
      <c r="M35" s="150"/>
      <c r="N35" s="150"/>
      <c r="O35" s="150"/>
      <c r="P35" s="150"/>
      <c r="Q35" s="150"/>
      <c r="R35" s="150"/>
      <c r="S35" s="14">
        <f t="shared" si="1"/>
        <v>0</v>
      </c>
      <c r="T35" s="187"/>
    </row>
    <row r="36" spans="1:20" x14ac:dyDescent="0.25">
      <c r="A36" s="139"/>
      <c r="B36" s="187"/>
      <c r="C36" s="149"/>
      <c r="D36" s="191"/>
      <c r="E36" s="193"/>
      <c r="F36" s="187"/>
      <c r="G36" s="187"/>
      <c r="H36" s="187"/>
      <c r="I36" s="150"/>
      <c r="J36" s="150"/>
      <c r="K36" s="150"/>
      <c r="L36" s="150"/>
      <c r="M36" s="150"/>
      <c r="N36" s="150"/>
      <c r="O36" s="150"/>
      <c r="P36" s="150"/>
      <c r="Q36" s="150"/>
      <c r="R36" s="150"/>
      <c r="S36" s="14">
        <f t="shared" si="1"/>
        <v>0</v>
      </c>
      <c r="T36" s="187"/>
    </row>
    <row r="37" spans="1:20" x14ac:dyDescent="0.25">
      <c r="A37" s="139"/>
      <c r="B37" s="187"/>
      <c r="C37" s="149"/>
      <c r="D37" s="191"/>
      <c r="E37" s="193"/>
      <c r="F37" s="187"/>
      <c r="G37" s="187"/>
      <c r="H37" s="187"/>
      <c r="I37" s="150"/>
      <c r="J37" s="150"/>
      <c r="K37" s="150"/>
      <c r="L37" s="150"/>
      <c r="M37" s="150"/>
      <c r="N37" s="150"/>
      <c r="O37" s="150"/>
      <c r="P37" s="150"/>
      <c r="Q37" s="150"/>
      <c r="R37" s="150"/>
      <c r="S37" s="14">
        <f t="shared" si="1"/>
        <v>0</v>
      </c>
      <c r="T37" s="187"/>
    </row>
    <row r="38" spans="1:20" x14ac:dyDescent="0.25">
      <c r="A38" s="139"/>
      <c r="B38" s="187"/>
      <c r="C38" s="149"/>
      <c r="D38" s="191"/>
      <c r="E38" s="193"/>
      <c r="F38" s="187"/>
      <c r="G38" s="187"/>
      <c r="H38" s="187"/>
      <c r="I38" s="150"/>
      <c r="J38" s="150"/>
      <c r="K38" s="150"/>
      <c r="L38" s="150"/>
      <c r="M38" s="150"/>
      <c r="N38" s="150"/>
      <c r="O38" s="150"/>
      <c r="P38" s="150"/>
      <c r="Q38" s="150"/>
      <c r="R38" s="150"/>
      <c r="S38" s="14">
        <f t="shared" si="1"/>
        <v>0</v>
      </c>
      <c r="T38" s="187"/>
    </row>
    <row r="39" spans="1:20" x14ac:dyDescent="0.25">
      <c r="A39" s="139"/>
      <c r="B39" s="187"/>
      <c r="C39" s="149"/>
      <c r="D39" s="191"/>
      <c r="E39" s="193"/>
      <c r="F39" s="187"/>
      <c r="G39" s="187"/>
      <c r="H39" s="187"/>
      <c r="I39" s="150"/>
      <c r="J39" s="150"/>
      <c r="K39" s="150"/>
      <c r="L39" s="150"/>
      <c r="M39" s="150"/>
      <c r="N39" s="150"/>
      <c r="O39" s="150"/>
      <c r="P39" s="150"/>
      <c r="Q39" s="150"/>
      <c r="R39" s="150"/>
      <c r="S39" s="14">
        <f t="shared" si="1"/>
        <v>0</v>
      </c>
      <c r="T39" s="187"/>
    </row>
    <row r="40" spans="1:20" x14ac:dyDescent="0.25">
      <c r="A40" s="139"/>
      <c r="B40" s="187"/>
      <c r="C40" s="149"/>
      <c r="D40" s="191"/>
      <c r="E40" s="193"/>
      <c r="F40" s="187"/>
      <c r="G40" s="187"/>
      <c r="H40" s="187"/>
      <c r="I40" s="150"/>
      <c r="J40" s="150"/>
      <c r="K40" s="150"/>
      <c r="L40" s="150"/>
      <c r="M40" s="150"/>
      <c r="N40" s="150"/>
      <c r="O40" s="150"/>
      <c r="P40" s="150"/>
      <c r="Q40" s="150"/>
      <c r="R40" s="150"/>
      <c r="S40" s="14">
        <f t="shared" si="1"/>
        <v>0</v>
      </c>
      <c r="T40" s="187"/>
    </row>
    <row r="41" spans="1:20" x14ac:dyDescent="0.25">
      <c r="A41" s="139"/>
      <c r="B41" s="187"/>
      <c r="C41" s="149"/>
      <c r="D41" s="191"/>
      <c r="E41" s="193"/>
      <c r="F41" s="187"/>
      <c r="G41" s="187"/>
      <c r="H41" s="187"/>
      <c r="I41" s="150"/>
      <c r="J41" s="150"/>
      <c r="K41" s="150"/>
      <c r="L41" s="150"/>
      <c r="M41" s="150"/>
      <c r="N41" s="150"/>
      <c r="O41" s="150"/>
      <c r="P41" s="150"/>
      <c r="Q41" s="150"/>
      <c r="R41" s="150"/>
      <c r="S41" s="14">
        <f t="shared" si="1"/>
        <v>0</v>
      </c>
      <c r="T41" s="187"/>
    </row>
    <row r="42" spans="1:20" x14ac:dyDescent="0.25">
      <c r="A42" s="139"/>
      <c r="B42" s="187"/>
      <c r="C42" s="149"/>
      <c r="D42" s="191"/>
      <c r="E42" s="193"/>
      <c r="F42" s="187"/>
      <c r="G42" s="187"/>
      <c r="H42" s="187"/>
      <c r="I42" s="150"/>
      <c r="J42" s="150"/>
      <c r="K42" s="150"/>
      <c r="L42" s="150"/>
      <c r="M42" s="150"/>
      <c r="N42" s="150"/>
      <c r="O42" s="150"/>
      <c r="P42" s="150"/>
      <c r="Q42" s="150"/>
      <c r="R42" s="150"/>
      <c r="S42" s="14">
        <f t="shared" si="1"/>
        <v>0</v>
      </c>
      <c r="T42" s="187"/>
    </row>
    <row r="43" spans="1:20" x14ac:dyDescent="0.25">
      <c r="A43" s="139"/>
      <c r="B43" s="187"/>
      <c r="C43" s="149"/>
      <c r="D43" s="191"/>
      <c r="E43" s="193"/>
      <c r="F43" s="187"/>
      <c r="G43" s="187"/>
      <c r="H43" s="187"/>
      <c r="I43" s="150"/>
      <c r="J43" s="150"/>
      <c r="K43" s="150"/>
      <c r="L43" s="150"/>
      <c r="M43" s="150"/>
      <c r="N43" s="150"/>
      <c r="O43" s="150"/>
      <c r="P43" s="150"/>
      <c r="Q43" s="150"/>
      <c r="R43" s="150"/>
      <c r="S43" s="14">
        <f t="shared" si="1"/>
        <v>0</v>
      </c>
      <c r="T43" s="187"/>
    </row>
    <row r="44" spans="1:20" x14ac:dyDescent="0.25">
      <c r="A44" s="139"/>
      <c r="B44" s="187"/>
      <c r="C44" s="149"/>
      <c r="D44" s="191"/>
      <c r="E44" s="193"/>
      <c r="F44" s="187"/>
      <c r="G44" s="187"/>
      <c r="H44" s="187"/>
      <c r="I44" s="150"/>
      <c r="J44" s="150"/>
      <c r="K44" s="150"/>
      <c r="L44" s="150"/>
      <c r="M44" s="150"/>
      <c r="N44" s="150"/>
      <c r="O44" s="150"/>
      <c r="P44" s="150"/>
      <c r="Q44" s="150"/>
      <c r="R44" s="150"/>
      <c r="S44" s="14">
        <f t="shared" si="1"/>
        <v>0</v>
      </c>
      <c r="T44" s="187"/>
    </row>
    <row r="45" spans="1:20" x14ac:dyDescent="0.25">
      <c r="A45" s="139"/>
      <c r="B45" s="187"/>
      <c r="C45" s="149"/>
      <c r="D45" s="191"/>
      <c r="E45" s="193"/>
      <c r="F45" s="187"/>
      <c r="G45" s="187"/>
      <c r="H45" s="187"/>
      <c r="I45" s="150"/>
      <c r="J45" s="150"/>
      <c r="K45" s="150"/>
      <c r="L45" s="150"/>
      <c r="M45" s="150"/>
      <c r="N45" s="150"/>
      <c r="O45" s="150"/>
      <c r="P45" s="150"/>
      <c r="Q45" s="150"/>
      <c r="R45" s="150"/>
      <c r="S45" s="14">
        <f t="shared" si="1"/>
        <v>0</v>
      </c>
      <c r="T45" s="187"/>
    </row>
    <row r="46" spans="1:20" x14ac:dyDescent="0.25">
      <c r="A46" s="139"/>
      <c r="B46" s="187"/>
      <c r="C46" s="149"/>
      <c r="D46" s="191"/>
      <c r="E46" s="193"/>
      <c r="F46" s="187"/>
      <c r="G46" s="187"/>
      <c r="H46" s="187"/>
      <c r="I46" s="150"/>
      <c r="J46" s="150"/>
      <c r="K46" s="150"/>
      <c r="L46" s="150"/>
      <c r="M46" s="150"/>
      <c r="N46" s="150"/>
      <c r="O46" s="150"/>
      <c r="P46" s="150"/>
      <c r="Q46" s="150"/>
      <c r="R46" s="150"/>
      <c r="S46" s="14">
        <f t="shared" si="1"/>
        <v>0</v>
      </c>
      <c r="T46" s="187"/>
    </row>
    <row r="47" spans="1:20" x14ac:dyDescent="0.25">
      <c r="A47" s="139"/>
      <c r="B47" s="187"/>
      <c r="C47" s="149"/>
      <c r="D47" s="191"/>
      <c r="E47" s="193"/>
      <c r="F47" s="187"/>
      <c r="G47" s="187"/>
      <c r="H47" s="187"/>
      <c r="I47" s="150"/>
      <c r="J47" s="150"/>
      <c r="K47" s="150"/>
      <c r="L47" s="150"/>
      <c r="M47" s="150"/>
      <c r="N47" s="150"/>
      <c r="O47" s="150"/>
      <c r="P47" s="150"/>
      <c r="Q47" s="150"/>
      <c r="R47" s="150"/>
      <c r="S47" s="14">
        <f t="shared" si="1"/>
        <v>0</v>
      </c>
      <c r="T47" s="187"/>
    </row>
    <row r="48" spans="1:20" ht="18.75" customHeight="1" x14ac:dyDescent="0.25">
      <c r="A48" s="139"/>
      <c r="B48" s="187"/>
      <c r="C48" s="149"/>
      <c r="D48" s="191"/>
      <c r="E48" s="193"/>
      <c r="F48" s="187"/>
      <c r="G48" s="187"/>
      <c r="H48" s="187"/>
      <c r="I48" s="150"/>
      <c r="J48" s="150"/>
      <c r="K48" s="150"/>
      <c r="L48" s="150"/>
      <c r="M48" s="150"/>
      <c r="N48" s="150"/>
      <c r="O48" s="150"/>
      <c r="P48" s="150"/>
      <c r="Q48" s="150"/>
      <c r="R48" s="150"/>
      <c r="S48" s="14">
        <f t="shared" si="1"/>
        <v>0</v>
      </c>
      <c r="T48" s="187"/>
    </row>
    <row r="49" spans="1:20" x14ac:dyDescent="0.25">
      <c r="A49" s="139"/>
      <c r="B49" s="187"/>
      <c r="C49" s="149"/>
      <c r="D49" s="191"/>
      <c r="E49" s="193"/>
      <c r="F49" s="187"/>
      <c r="G49" s="187"/>
      <c r="H49" s="187"/>
      <c r="I49" s="150"/>
      <c r="J49" s="150"/>
      <c r="K49" s="150"/>
      <c r="L49" s="150"/>
      <c r="M49" s="150"/>
      <c r="N49" s="150"/>
      <c r="O49" s="150"/>
      <c r="P49" s="150"/>
      <c r="Q49" s="150"/>
      <c r="R49" s="150"/>
      <c r="S49" s="14">
        <f t="shared" si="1"/>
        <v>0</v>
      </c>
      <c r="T49" s="187"/>
    </row>
    <row r="50" spans="1:20" x14ac:dyDescent="0.25">
      <c r="A50" s="139"/>
      <c r="B50" s="187"/>
      <c r="C50" s="149"/>
      <c r="D50" s="191"/>
      <c r="E50" s="193"/>
      <c r="F50" s="187"/>
      <c r="G50" s="187"/>
      <c r="H50" s="187"/>
      <c r="I50" s="150"/>
      <c r="J50" s="150"/>
      <c r="K50" s="150"/>
      <c r="L50" s="150"/>
      <c r="M50" s="150"/>
      <c r="N50" s="150"/>
      <c r="O50" s="150"/>
      <c r="P50" s="150"/>
      <c r="Q50" s="150"/>
      <c r="R50" s="150"/>
      <c r="S50" s="14">
        <f t="shared" si="1"/>
        <v>0</v>
      </c>
      <c r="T50" s="187"/>
    </row>
    <row r="51" spans="1:20" x14ac:dyDescent="0.25">
      <c r="A51" s="139"/>
      <c r="B51" s="187"/>
      <c r="C51" s="149"/>
      <c r="D51" s="191"/>
      <c r="E51" s="193"/>
      <c r="F51" s="187"/>
      <c r="G51" s="187"/>
      <c r="H51" s="187"/>
      <c r="I51" s="150"/>
      <c r="J51" s="150"/>
      <c r="K51" s="150"/>
      <c r="L51" s="150"/>
      <c r="M51" s="150"/>
      <c r="N51" s="150"/>
      <c r="O51" s="150"/>
      <c r="P51" s="150"/>
      <c r="Q51" s="150"/>
      <c r="R51" s="150"/>
      <c r="S51" s="14">
        <f t="shared" si="1"/>
        <v>0</v>
      </c>
      <c r="T51" s="187"/>
    </row>
    <row r="52" spans="1:20" x14ac:dyDescent="0.25">
      <c r="A52" s="139"/>
      <c r="B52" s="187"/>
      <c r="C52" s="149"/>
      <c r="D52" s="191"/>
      <c r="E52" s="193"/>
      <c r="F52" s="187"/>
      <c r="G52" s="187"/>
      <c r="H52" s="187"/>
      <c r="I52" s="150"/>
      <c r="J52" s="150"/>
      <c r="K52" s="150"/>
      <c r="L52" s="150"/>
      <c r="M52" s="150"/>
      <c r="N52" s="150"/>
      <c r="O52" s="150"/>
      <c r="P52" s="150"/>
      <c r="Q52" s="150"/>
      <c r="R52" s="150"/>
      <c r="S52" s="14">
        <f t="shared" si="1"/>
        <v>0</v>
      </c>
      <c r="T52" s="187"/>
    </row>
    <row r="53" spans="1:20" x14ac:dyDescent="0.25">
      <c r="A53" s="139"/>
      <c r="B53" s="187"/>
      <c r="C53" s="149"/>
      <c r="D53" s="191"/>
      <c r="E53" s="193"/>
      <c r="F53" s="187"/>
      <c r="G53" s="187"/>
      <c r="H53" s="187"/>
      <c r="I53" s="150"/>
      <c r="J53" s="150"/>
      <c r="K53" s="150"/>
      <c r="L53" s="150"/>
      <c r="M53" s="150"/>
      <c r="N53" s="150"/>
      <c r="O53" s="150"/>
      <c r="P53" s="150"/>
      <c r="Q53" s="150"/>
      <c r="R53" s="150"/>
      <c r="S53" s="14">
        <f t="shared" si="1"/>
        <v>0</v>
      </c>
      <c r="T53" s="187"/>
    </row>
    <row r="54" spans="1:20" x14ac:dyDescent="0.25">
      <c r="A54" s="139"/>
      <c r="B54" s="187"/>
      <c r="C54" s="149"/>
      <c r="D54" s="191"/>
      <c r="E54" s="193"/>
      <c r="F54" s="187"/>
      <c r="G54" s="187"/>
      <c r="H54" s="187"/>
      <c r="I54" s="150"/>
      <c r="J54" s="150"/>
      <c r="K54" s="150"/>
      <c r="L54" s="150"/>
      <c r="M54" s="150"/>
      <c r="N54" s="150"/>
      <c r="O54" s="150"/>
      <c r="P54" s="150"/>
      <c r="Q54" s="150"/>
      <c r="R54" s="150"/>
      <c r="S54" s="14">
        <f t="shared" si="1"/>
        <v>0</v>
      </c>
      <c r="T54" s="187"/>
    </row>
    <row r="55" spans="1:20" x14ac:dyDescent="0.25">
      <c r="A55" s="139"/>
      <c r="B55" s="187"/>
      <c r="C55" s="149"/>
      <c r="D55" s="191"/>
      <c r="E55" s="193"/>
      <c r="F55" s="187"/>
      <c r="G55" s="187"/>
      <c r="H55" s="187"/>
      <c r="I55" s="150"/>
      <c r="J55" s="150"/>
      <c r="K55" s="150"/>
      <c r="L55" s="150"/>
      <c r="M55" s="150"/>
      <c r="N55" s="150"/>
      <c r="O55" s="150"/>
      <c r="P55" s="150"/>
      <c r="Q55" s="150"/>
      <c r="R55" s="150"/>
      <c r="S55" s="14">
        <f t="shared" si="1"/>
        <v>0</v>
      </c>
      <c r="T55" s="187"/>
    </row>
    <row r="56" spans="1:20" x14ac:dyDescent="0.25">
      <c r="A56" s="139"/>
      <c r="B56" s="187"/>
      <c r="C56" s="149"/>
      <c r="D56" s="191"/>
      <c r="E56" s="193"/>
      <c r="F56" s="187"/>
      <c r="G56" s="187"/>
      <c r="H56" s="187"/>
      <c r="I56" s="150"/>
      <c r="J56" s="150"/>
      <c r="K56" s="150"/>
      <c r="L56" s="150"/>
      <c r="M56" s="150"/>
      <c r="N56" s="150"/>
      <c r="O56" s="150"/>
      <c r="P56" s="150"/>
      <c r="Q56" s="150"/>
      <c r="R56" s="150"/>
      <c r="S56" s="14">
        <f t="shared" si="1"/>
        <v>0</v>
      </c>
      <c r="T56" s="187"/>
    </row>
    <row r="57" spans="1:20" x14ac:dyDescent="0.25">
      <c r="A57" s="139"/>
      <c r="B57" s="187"/>
      <c r="C57" s="149"/>
      <c r="D57" s="191"/>
      <c r="E57" s="193"/>
      <c r="F57" s="187"/>
      <c r="G57" s="187"/>
      <c r="H57" s="187"/>
      <c r="I57" s="150"/>
      <c r="J57" s="150"/>
      <c r="K57" s="150"/>
      <c r="L57" s="150"/>
      <c r="M57" s="150"/>
      <c r="N57" s="150"/>
      <c r="O57" s="150"/>
      <c r="P57" s="150"/>
      <c r="Q57" s="150"/>
      <c r="R57" s="150"/>
      <c r="S57" s="14">
        <f t="shared" si="1"/>
        <v>0</v>
      </c>
      <c r="T57" s="187"/>
    </row>
    <row r="58" spans="1:20" x14ac:dyDescent="0.25">
      <c r="A58" s="139"/>
      <c r="B58" s="187"/>
      <c r="C58" s="149"/>
      <c r="D58" s="191"/>
      <c r="E58" s="193"/>
      <c r="F58" s="187"/>
      <c r="G58" s="187"/>
      <c r="H58" s="187"/>
      <c r="I58" s="150"/>
      <c r="J58" s="150"/>
      <c r="K58" s="150"/>
      <c r="L58" s="150"/>
      <c r="M58" s="150"/>
      <c r="N58" s="150"/>
      <c r="O58" s="150"/>
      <c r="P58" s="150"/>
      <c r="Q58" s="150"/>
      <c r="R58" s="150"/>
      <c r="S58" s="14">
        <f t="shared" si="1"/>
        <v>0</v>
      </c>
      <c r="T58" s="187"/>
    </row>
    <row r="59" spans="1:20" x14ac:dyDescent="0.25">
      <c r="A59" s="139"/>
      <c r="B59" s="187"/>
      <c r="C59" s="149"/>
      <c r="D59" s="191"/>
      <c r="E59" s="193"/>
      <c r="F59" s="187"/>
      <c r="G59" s="187"/>
      <c r="H59" s="187"/>
      <c r="I59" s="150"/>
      <c r="J59" s="150"/>
      <c r="K59" s="150"/>
      <c r="L59" s="150"/>
      <c r="M59" s="150"/>
      <c r="N59" s="150"/>
      <c r="O59" s="150"/>
      <c r="P59" s="150"/>
      <c r="Q59" s="150"/>
      <c r="R59" s="150"/>
      <c r="S59" s="14">
        <f t="shared" si="1"/>
        <v>0</v>
      </c>
      <c r="T59" s="187"/>
    </row>
    <row r="60" spans="1:20" x14ac:dyDescent="0.25">
      <c r="A60" s="139"/>
      <c r="B60" s="187"/>
      <c r="C60" s="149"/>
      <c r="D60" s="191"/>
      <c r="E60" s="193"/>
      <c r="F60" s="187"/>
      <c r="G60" s="187"/>
      <c r="H60" s="187"/>
      <c r="I60" s="150"/>
      <c r="J60" s="150"/>
      <c r="K60" s="150"/>
      <c r="L60" s="150"/>
      <c r="M60" s="150"/>
      <c r="N60" s="150"/>
      <c r="O60" s="150"/>
      <c r="P60" s="150"/>
      <c r="Q60" s="150"/>
      <c r="R60" s="150"/>
      <c r="S60" s="14">
        <f t="shared" si="1"/>
        <v>0</v>
      </c>
      <c r="T60" s="187"/>
    </row>
    <row r="61" spans="1:20" x14ac:dyDescent="0.25">
      <c r="A61" s="139"/>
      <c r="B61" s="187"/>
      <c r="C61" s="149"/>
      <c r="D61" s="191"/>
      <c r="E61" s="193"/>
      <c r="F61" s="187"/>
      <c r="G61" s="187"/>
      <c r="H61" s="187"/>
      <c r="I61" s="150"/>
      <c r="J61" s="150"/>
      <c r="K61" s="150"/>
      <c r="L61" s="150"/>
      <c r="M61" s="150"/>
      <c r="N61" s="150"/>
      <c r="O61" s="150"/>
      <c r="P61" s="150"/>
      <c r="Q61" s="150"/>
      <c r="R61" s="150"/>
      <c r="S61" s="14">
        <f t="shared" si="1"/>
        <v>0</v>
      </c>
      <c r="T61" s="187"/>
    </row>
    <row r="62" spans="1:20" x14ac:dyDescent="0.25">
      <c r="A62" s="139"/>
      <c r="B62" s="187"/>
      <c r="C62" s="149"/>
      <c r="D62" s="191"/>
      <c r="E62" s="193"/>
      <c r="F62" s="187"/>
      <c r="G62" s="187"/>
      <c r="H62" s="187"/>
      <c r="I62" s="150"/>
      <c r="J62" s="150"/>
      <c r="K62" s="150"/>
      <c r="L62" s="150"/>
      <c r="M62" s="150"/>
      <c r="N62" s="150"/>
      <c r="O62" s="150"/>
      <c r="P62" s="150"/>
      <c r="Q62" s="150"/>
      <c r="R62" s="150"/>
      <c r="S62" s="14">
        <f t="shared" si="1"/>
        <v>0</v>
      </c>
      <c r="T62" s="187"/>
    </row>
    <row r="63" spans="1:20" x14ac:dyDescent="0.25">
      <c r="A63" s="139"/>
      <c r="B63" s="187"/>
      <c r="C63" s="149"/>
      <c r="D63" s="191"/>
      <c r="E63" s="193"/>
      <c r="F63" s="187"/>
      <c r="G63" s="187"/>
      <c r="H63" s="187"/>
      <c r="I63" s="150"/>
      <c r="J63" s="150"/>
      <c r="K63" s="150"/>
      <c r="L63" s="150"/>
      <c r="M63" s="150"/>
      <c r="N63" s="150"/>
      <c r="O63" s="150"/>
      <c r="P63" s="150"/>
      <c r="Q63" s="150"/>
      <c r="R63" s="150"/>
      <c r="S63" s="14">
        <f t="shared" si="1"/>
        <v>0</v>
      </c>
      <c r="T63" s="187"/>
    </row>
    <row r="64" spans="1:20" x14ac:dyDescent="0.25">
      <c r="A64" s="139"/>
      <c r="B64" s="187"/>
      <c r="C64" s="149"/>
      <c r="D64" s="191"/>
      <c r="E64" s="193"/>
      <c r="F64" s="187"/>
      <c r="G64" s="187"/>
      <c r="H64" s="187"/>
      <c r="I64" s="150"/>
      <c r="J64" s="150"/>
      <c r="K64" s="150"/>
      <c r="L64" s="150"/>
      <c r="M64" s="150"/>
      <c r="N64" s="150"/>
      <c r="O64" s="150"/>
      <c r="P64" s="150"/>
      <c r="Q64" s="150"/>
      <c r="R64" s="150"/>
      <c r="S64" s="14">
        <f t="shared" si="1"/>
        <v>0</v>
      </c>
      <c r="T64" s="187"/>
    </row>
    <row r="65" spans="1:20" x14ac:dyDescent="0.25">
      <c r="A65" s="139"/>
      <c r="B65" s="187"/>
      <c r="C65" s="92"/>
      <c r="D65" s="191"/>
      <c r="E65" s="193"/>
      <c r="F65" s="187"/>
      <c r="G65" s="187"/>
      <c r="H65" s="187"/>
      <c r="I65" s="150"/>
      <c r="J65" s="150"/>
      <c r="K65" s="150"/>
      <c r="L65" s="150"/>
      <c r="M65" s="150"/>
      <c r="N65" s="150"/>
      <c r="O65" s="150"/>
      <c r="P65" s="150"/>
      <c r="Q65" s="150"/>
      <c r="R65" s="150"/>
      <c r="S65" s="14">
        <f t="shared" si="1"/>
        <v>0</v>
      </c>
      <c r="T65" s="187"/>
    </row>
    <row r="66" spans="1:20" x14ac:dyDescent="0.25">
      <c r="A66" s="139"/>
      <c r="B66" s="187"/>
      <c r="C66" s="149"/>
      <c r="D66" s="191"/>
      <c r="E66" s="193"/>
      <c r="F66" s="187"/>
      <c r="G66" s="187"/>
      <c r="H66" s="187"/>
      <c r="I66" s="150"/>
      <c r="J66" s="150"/>
      <c r="K66" s="150"/>
      <c r="L66" s="150"/>
      <c r="M66" s="150"/>
      <c r="N66" s="150"/>
      <c r="O66" s="150"/>
      <c r="P66" s="150"/>
      <c r="Q66" s="150"/>
      <c r="R66" s="150"/>
      <c r="S66" s="14">
        <f t="shared" si="1"/>
        <v>0</v>
      </c>
      <c r="T66" s="187"/>
    </row>
    <row r="67" spans="1:20" x14ac:dyDescent="0.25">
      <c r="A67" s="139"/>
      <c r="B67" s="187"/>
      <c r="C67" s="149"/>
      <c r="D67" s="191"/>
      <c r="E67" s="193"/>
      <c r="F67" s="187"/>
      <c r="G67" s="187"/>
      <c r="H67" s="187"/>
      <c r="I67" s="150"/>
      <c r="J67" s="150"/>
      <c r="K67" s="150"/>
      <c r="L67" s="150"/>
      <c r="M67" s="150"/>
      <c r="N67" s="150"/>
      <c r="O67" s="150"/>
      <c r="P67" s="150"/>
      <c r="Q67" s="150"/>
      <c r="R67" s="150"/>
      <c r="S67" s="14">
        <f t="shared" si="1"/>
        <v>0</v>
      </c>
      <c r="T67" s="187"/>
    </row>
    <row r="68" spans="1:20" x14ac:dyDescent="0.25">
      <c r="A68" s="139"/>
      <c r="B68" s="187"/>
      <c r="C68" s="149"/>
      <c r="D68" s="191"/>
      <c r="E68" s="193"/>
      <c r="F68" s="187"/>
      <c r="G68" s="187"/>
      <c r="H68" s="187"/>
      <c r="I68" s="150"/>
      <c r="J68" s="150"/>
      <c r="K68" s="150"/>
      <c r="L68" s="150"/>
      <c r="M68" s="150"/>
      <c r="N68" s="150"/>
      <c r="O68" s="150"/>
      <c r="P68" s="150"/>
      <c r="Q68" s="150"/>
      <c r="R68" s="150"/>
      <c r="S68" s="14">
        <f t="shared" si="1"/>
        <v>0</v>
      </c>
      <c r="T68" s="187"/>
    </row>
    <row r="69" spans="1:20" x14ac:dyDescent="0.25">
      <c r="A69" s="187"/>
      <c r="B69" s="187"/>
      <c r="C69" s="187"/>
      <c r="D69" s="191"/>
      <c r="E69" s="193"/>
      <c r="F69" s="187"/>
      <c r="G69" s="187"/>
      <c r="H69" s="187"/>
      <c r="I69" s="187"/>
      <c r="J69" s="187"/>
      <c r="K69" s="187"/>
      <c r="L69" s="187"/>
      <c r="M69" s="187"/>
      <c r="N69" s="187"/>
      <c r="O69" s="187"/>
      <c r="P69" s="187"/>
      <c r="Q69" s="187"/>
      <c r="R69" s="187"/>
      <c r="S69" s="14">
        <f t="shared" ref="S69:S100" si="2">SUM(I69:R69)</f>
        <v>0</v>
      </c>
      <c r="T69" s="187"/>
    </row>
    <row r="70" spans="1:20" x14ac:dyDescent="0.25">
      <c r="A70" s="187"/>
      <c r="B70" s="187"/>
      <c r="C70" s="187"/>
      <c r="D70" s="191"/>
      <c r="E70" s="193"/>
      <c r="F70" s="187"/>
      <c r="G70" s="187"/>
      <c r="H70" s="187"/>
      <c r="I70" s="187"/>
      <c r="J70" s="187"/>
      <c r="K70" s="187"/>
      <c r="L70" s="187"/>
      <c r="M70" s="187"/>
      <c r="N70" s="187"/>
      <c r="O70" s="187"/>
      <c r="P70" s="187"/>
      <c r="Q70" s="187"/>
      <c r="R70" s="187"/>
      <c r="S70" s="14">
        <f t="shared" si="2"/>
        <v>0</v>
      </c>
      <c r="T70" s="187"/>
    </row>
    <row r="71" spans="1:20" x14ac:dyDescent="0.25">
      <c r="A71" s="187"/>
      <c r="B71" s="187"/>
      <c r="C71" s="187"/>
      <c r="D71" s="191"/>
      <c r="E71" s="193"/>
      <c r="F71" s="187"/>
      <c r="G71" s="187"/>
      <c r="H71" s="187"/>
      <c r="I71" s="187"/>
      <c r="J71" s="187"/>
      <c r="K71" s="187"/>
      <c r="L71" s="187"/>
      <c r="M71" s="187"/>
      <c r="N71" s="187"/>
      <c r="O71" s="187"/>
      <c r="P71" s="187"/>
      <c r="Q71" s="187"/>
      <c r="R71" s="187"/>
      <c r="S71" s="14">
        <f t="shared" si="2"/>
        <v>0</v>
      </c>
      <c r="T71" s="187"/>
    </row>
    <row r="72" spans="1:20" x14ac:dyDescent="0.25">
      <c r="A72" s="187"/>
      <c r="B72" s="187"/>
      <c r="C72" s="187"/>
      <c r="D72" s="191"/>
      <c r="E72" s="193"/>
      <c r="F72" s="187"/>
      <c r="G72" s="187"/>
      <c r="H72" s="187"/>
      <c r="I72" s="187"/>
      <c r="J72" s="187"/>
      <c r="K72" s="187"/>
      <c r="L72" s="187"/>
      <c r="M72" s="187"/>
      <c r="N72" s="187"/>
      <c r="O72" s="187"/>
      <c r="P72" s="187"/>
      <c r="Q72" s="187"/>
      <c r="R72" s="187"/>
      <c r="S72" s="14">
        <f t="shared" si="2"/>
        <v>0</v>
      </c>
      <c r="T72" s="187"/>
    </row>
    <row r="73" spans="1:20" x14ac:dyDescent="0.25">
      <c r="A73" s="187"/>
      <c r="B73" s="187"/>
      <c r="C73" s="187"/>
      <c r="D73" s="191"/>
      <c r="E73" s="193"/>
      <c r="F73" s="187"/>
      <c r="G73" s="187"/>
      <c r="H73" s="187"/>
      <c r="I73" s="187"/>
      <c r="J73" s="187"/>
      <c r="K73" s="187"/>
      <c r="L73" s="187"/>
      <c r="M73" s="187"/>
      <c r="N73" s="187"/>
      <c r="O73" s="187"/>
      <c r="P73" s="187"/>
      <c r="Q73" s="187"/>
      <c r="R73" s="187"/>
      <c r="S73" s="14">
        <f t="shared" si="2"/>
        <v>0</v>
      </c>
      <c r="T73" s="187"/>
    </row>
    <row r="74" spans="1:20" x14ac:dyDescent="0.25">
      <c r="A74" s="187"/>
      <c r="B74" s="187"/>
      <c r="C74" s="187"/>
      <c r="D74" s="191"/>
      <c r="E74" s="193"/>
      <c r="F74" s="187"/>
      <c r="G74" s="187"/>
      <c r="H74" s="187"/>
      <c r="I74" s="187"/>
      <c r="J74" s="187"/>
      <c r="K74" s="187"/>
      <c r="L74" s="187"/>
      <c r="M74" s="187"/>
      <c r="N74" s="187"/>
      <c r="O74" s="187"/>
      <c r="P74" s="187"/>
      <c r="Q74" s="187"/>
      <c r="R74" s="187"/>
      <c r="S74" s="14">
        <f t="shared" si="2"/>
        <v>0</v>
      </c>
      <c r="T74" s="187"/>
    </row>
    <row r="75" spans="1:20" x14ac:dyDescent="0.25">
      <c r="A75" s="187"/>
      <c r="B75" s="187"/>
      <c r="C75" s="187"/>
      <c r="D75" s="191"/>
      <c r="E75" s="193"/>
      <c r="F75" s="187"/>
      <c r="G75" s="187"/>
      <c r="H75" s="187"/>
      <c r="I75" s="187"/>
      <c r="J75" s="187"/>
      <c r="K75" s="187"/>
      <c r="L75" s="187"/>
      <c r="M75" s="187"/>
      <c r="N75" s="187"/>
      <c r="O75" s="187"/>
      <c r="P75" s="187"/>
      <c r="Q75" s="187"/>
      <c r="R75" s="187"/>
      <c r="S75" s="14">
        <f t="shared" si="2"/>
        <v>0</v>
      </c>
      <c r="T75" s="187"/>
    </row>
    <row r="76" spans="1:20" x14ac:dyDescent="0.25">
      <c r="A76" s="187"/>
      <c r="B76" s="187"/>
      <c r="C76" s="187"/>
      <c r="D76" s="191"/>
      <c r="E76" s="193"/>
      <c r="F76" s="187"/>
      <c r="G76" s="187"/>
      <c r="H76" s="187"/>
      <c r="I76" s="187"/>
      <c r="J76" s="187"/>
      <c r="K76" s="187"/>
      <c r="L76" s="187"/>
      <c r="M76" s="187"/>
      <c r="N76" s="187"/>
      <c r="O76" s="187"/>
      <c r="P76" s="187"/>
      <c r="Q76" s="187"/>
      <c r="R76" s="187"/>
      <c r="S76" s="14">
        <f t="shared" si="2"/>
        <v>0</v>
      </c>
      <c r="T76" s="187"/>
    </row>
    <row r="77" spans="1:20" x14ac:dyDescent="0.25">
      <c r="A77" s="187"/>
      <c r="B77" s="187"/>
      <c r="C77" s="187"/>
      <c r="D77" s="191"/>
      <c r="E77" s="193"/>
      <c r="F77" s="187"/>
      <c r="G77" s="187"/>
      <c r="H77" s="187"/>
      <c r="I77" s="187"/>
      <c r="J77" s="187"/>
      <c r="K77" s="187"/>
      <c r="L77" s="187"/>
      <c r="M77" s="187"/>
      <c r="N77" s="187"/>
      <c r="O77" s="187"/>
      <c r="P77" s="187"/>
      <c r="Q77" s="187"/>
      <c r="R77" s="187"/>
      <c r="S77" s="14">
        <f t="shared" si="2"/>
        <v>0</v>
      </c>
      <c r="T77" s="187"/>
    </row>
    <row r="78" spans="1:20" x14ac:dyDescent="0.25">
      <c r="A78" s="187"/>
      <c r="B78" s="187"/>
      <c r="C78" s="187"/>
      <c r="D78" s="191"/>
      <c r="E78" s="193"/>
      <c r="F78" s="187"/>
      <c r="G78" s="187"/>
      <c r="H78" s="187"/>
      <c r="I78" s="187"/>
      <c r="J78" s="187"/>
      <c r="K78" s="187"/>
      <c r="L78" s="187"/>
      <c r="M78" s="187"/>
      <c r="N78" s="187"/>
      <c r="O78" s="187"/>
      <c r="P78" s="187"/>
      <c r="Q78" s="187"/>
      <c r="R78" s="187"/>
      <c r="S78" s="14">
        <f t="shared" si="2"/>
        <v>0</v>
      </c>
      <c r="T78" s="187"/>
    </row>
    <row r="79" spans="1:20" x14ac:dyDescent="0.25">
      <c r="A79" s="187"/>
      <c r="B79" s="187"/>
      <c r="C79" s="187"/>
      <c r="D79" s="191"/>
      <c r="E79" s="193"/>
      <c r="F79" s="187"/>
      <c r="G79" s="187"/>
      <c r="H79" s="187"/>
      <c r="I79" s="187"/>
      <c r="J79" s="187"/>
      <c r="K79" s="187"/>
      <c r="L79" s="187"/>
      <c r="M79" s="187"/>
      <c r="N79" s="187"/>
      <c r="O79" s="187"/>
      <c r="P79" s="187"/>
      <c r="Q79" s="187"/>
      <c r="R79" s="187"/>
      <c r="S79" s="14">
        <f t="shared" si="2"/>
        <v>0</v>
      </c>
      <c r="T79" s="187"/>
    </row>
    <row r="80" spans="1:20" x14ac:dyDescent="0.25">
      <c r="A80" s="187"/>
      <c r="B80" s="187"/>
      <c r="C80" s="187"/>
      <c r="D80" s="191"/>
      <c r="E80" s="193"/>
      <c r="F80" s="187"/>
      <c r="G80" s="187"/>
      <c r="H80" s="187"/>
      <c r="I80" s="187"/>
      <c r="J80" s="187"/>
      <c r="K80" s="187"/>
      <c r="L80" s="187"/>
      <c r="M80" s="187"/>
      <c r="N80" s="187"/>
      <c r="O80" s="187"/>
      <c r="P80" s="187"/>
      <c r="Q80" s="187"/>
      <c r="R80" s="187"/>
      <c r="S80" s="14">
        <f t="shared" si="2"/>
        <v>0</v>
      </c>
      <c r="T80" s="187"/>
    </row>
    <row r="81" spans="1:20" x14ac:dyDescent="0.25">
      <c r="A81" s="187"/>
      <c r="B81" s="187"/>
      <c r="C81" s="187"/>
      <c r="D81" s="191"/>
      <c r="E81" s="193"/>
      <c r="F81" s="187"/>
      <c r="G81" s="187"/>
      <c r="H81" s="187"/>
      <c r="I81" s="187"/>
      <c r="J81" s="187"/>
      <c r="K81" s="187"/>
      <c r="L81" s="187"/>
      <c r="M81" s="187"/>
      <c r="N81" s="187"/>
      <c r="O81" s="187"/>
      <c r="P81" s="187"/>
      <c r="Q81" s="187"/>
      <c r="R81" s="187"/>
      <c r="S81" s="14">
        <f t="shared" si="2"/>
        <v>0</v>
      </c>
      <c r="T81" s="187"/>
    </row>
    <row r="82" spans="1:20" x14ac:dyDescent="0.25">
      <c r="A82" s="187"/>
      <c r="B82" s="187"/>
      <c r="C82" s="187"/>
      <c r="D82" s="191"/>
      <c r="E82" s="193"/>
      <c r="F82" s="187"/>
      <c r="G82" s="187"/>
      <c r="H82" s="187"/>
      <c r="I82" s="187"/>
      <c r="J82" s="187"/>
      <c r="K82" s="187"/>
      <c r="L82" s="187"/>
      <c r="M82" s="187"/>
      <c r="N82" s="187"/>
      <c r="O82" s="187"/>
      <c r="P82" s="187"/>
      <c r="Q82" s="187"/>
      <c r="R82" s="187"/>
      <c r="S82" s="14">
        <f t="shared" si="2"/>
        <v>0</v>
      </c>
      <c r="T82" s="187"/>
    </row>
    <row r="83" spans="1:20" x14ac:dyDescent="0.25">
      <c r="A83" s="187"/>
      <c r="B83" s="187"/>
      <c r="C83" s="187"/>
      <c r="D83" s="191"/>
      <c r="E83" s="193"/>
      <c r="F83" s="187"/>
      <c r="G83" s="187"/>
      <c r="H83" s="187"/>
      <c r="I83" s="187"/>
      <c r="J83" s="187"/>
      <c r="K83" s="187"/>
      <c r="L83" s="187"/>
      <c r="M83" s="187"/>
      <c r="N83" s="187"/>
      <c r="O83" s="187"/>
      <c r="P83" s="187"/>
      <c r="Q83" s="187"/>
      <c r="R83" s="187"/>
      <c r="S83" s="14">
        <f t="shared" si="2"/>
        <v>0</v>
      </c>
      <c r="T83" s="187"/>
    </row>
    <row r="84" spans="1:20" x14ac:dyDescent="0.25">
      <c r="A84" s="187"/>
      <c r="B84" s="187"/>
      <c r="C84" s="187"/>
      <c r="D84" s="191"/>
      <c r="E84" s="193"/>
      <c r="F84" s="187"/>
      <c r="G84" s="187"/>
      <c r="H84" s="187"/>
      <c r="I84" s="187"/>
      <c r="J84" s="187"/>
      <c r="K84" s="187"/>
      <c r="L84" s="187"/>
      <c r="M84" s="187"/>
      <c r="N84" s="187"/>
      <c r="O84" s="187"/>
      <c r="P84" s="187"/>
      <c r="Q84" s="187"/>
      <c r="R84" s="187"/>
      <c r="S84" s="14">
        <f t="shared" si="2"/>
        <v>0</v>
      </c>
      <c r="T84" s="187"/>
    </row>
    <row r="85" spans="1:20" x14ac:dyDescent="0.25">
      <c r="A85" s="187"/>
      <c r="B85" s="187"/>
      <c r="C85" s="187"/>
      <c r="D85" s="191"/>
      <c r="E85" s="193"/>
      <c r="F85" s="187"/>
      <c r="G85" s="187"/>
      <c r="H85" s="187"/>
      <c r="I85" s="187"/>
      <c r="J85" s="187"/>
      <c r="K85" s="187"/>
      <c r="L85" s="187"/>
      <c r="M85" s="187"/>
      <c r="N85" s="187"/>
      <c r="O85" s="187"/>
      <c r="P85" s="187"/>
      <c r="Q85" s="187"/>
      <c r="R85" s="187"/>
      <c r="S85" s="14">
        <f t="shared" si="2"/>
        <v>0</v>
      </c>
      <c r="T85" s="187"/>
    </row>
    <row r="86" spans="1:20" x14ac:dyDescent="0.25">
      <c r="A86" s="187"/>
      <c r="B86" s="187"/>
      <c r="C86" s="187"/>
      <c r="D86" s="191"/>
      <c r="E86" s="193"/>
      <c r="F86" s="187"/>
      <c r="G86" s="187"/>
      <c r="H86" s="187"/>
      <c r="I86" s="187"/>
      <c r="J86" s="187"/>
      <c r="K86" s="187"/>
      <c r="L86" s="187"/>
      <c r="M86" s="187"/>
      <c r="N86" s="187"/>
      <c r="O86" s="187"/>
      <c r="P86" s="187"/>
      <c r="Q86" s="187"/>
      <c r="R86" s="187"/>
      <c r="S86" s="14">
        <f t="shared" si="2"/>
        <v>0</v>
      </c>
      <c r="T86" s="187"/>
    </row>
    <row r="87" spans="1:20" x14ac:dyDescent="0.25">
      <c r="A87" s="187"/>
      <c r="B87" s="187"/>
      <c r="C87" s="187"/>
      <c r="D87" s="191"/>
      <c r="E87" s="193"/>
      <c r="F87" s="187"/>
      <c r="G87" s="187"/>
      <c r="H87" s="187"/>
      <c r="I87" s="187"/>
      <c r="J87" s="187"/>
      <c r="K87" s="187"/>
      <c r="L87" s="187"/>
      <c r="M87" s="187"/>
      <c r="N87" s="187"/>
      <c r="O87" s="187"/>
      <c r="P87" s="187"/>
      <c r="Q87" s="187"/>
      <c r="R87" s="187"/>
      <c r="S87" s="14">
        <f t="shared" si="2"/>
        <v>0</v>
      </c>
      <c r="T87" s="187"/>
    </row>
    <row r="88" spans="1:20" x14ac:dyDescent="0.25">
      <c r="A88" s="187"/>
      <c r="B88" s="187"/>
      <c r="C88" s="187"/>
      <c r="D88" s="191"/>
      <c r="E88" s="193"/>
      <c r="F88" s="187"/>
      <c r="G88" s="187"/>
      <c r="H88" s="187"/>
      <c r="I88" s="187"/>
      <c r="J88" s="187"/>
      <c r="K88" s="187"/>
      <c r="L88" s="187"/>
      <c r="M88" s="187"/>
      <c r="N88" s="187"/>
      <c r="O88" s="187"/>
      <c r="P88" s="187"/>
      <c r="Q88" s="187"/>
      <c r="R88" s="187"/>
      <c r="S88" s="14">
        <f t="shared" si="2"/>
        <v>0</v>
      </c>
      <c r="T88" s="187"/>
    </row>
    <row r="89" spans="1:20" x14ac:dyDescent="0.25">
      <c r="A89" s="187"/>
      <c r="B89" s="187"/>
      <c r="C89" s="187"/>
      <c r="D89" s="191"/>
      <c r="E89" s="193"/>
      <c r="F89" s="187"/>
      <c r="G89" s="187"/>
      <c r="H89" s="187"/>
      <c r="I89" s="187"/>
      <c r="J89" s="187"/>
      <c r="K89" s="187"/>
      <c r="L89" s="187"/>
      <c r="M89" s="187"/>
      <c r="N89" s="187"/>
      <c r="O89" s="187"/>
      <c r="P89" s="187"/>
      <c r="Q89" s="187"/>
      <c r="R89" s="187"/>
      <c r="S89" s="14">
        <f t="shared" si="2"/>
        <v>0</v>
      </c>
      <c r="T89" s="187"/>
    </row>
    <row r="90" spans="1:20" x14ac:dyDescent="0.25">
      <c r="A90" s="187"/>
      <c r="B90" s="187"/>
      <c r="C90" s="187"/>
      <c r="D90" s="191"/>
      <c r="E90" s="193"/>
      <c r="F90" s="187"/>
      <c r="G90" s="187"/>
      <c r="H90" s="187"/>
      <c r="I90" s="187"/>
      <c r="J90" s="187"/>
      <c r="K90" s="187"/>
      <c r="L90" s="187"/>
      <c r="M90" s="187"/>
      <c r="N90" s="187"/>
      <c r="O90" s="187"/>
      <c r="P90" s="187"/>
      <c r="Q90" s="187"/>
      <c r="R90" s="187"/>
      <c r="S90" s="14">
        <f t="shared" si="2"/>
        <v>0</v>
      </c>
      <c r="T90" s="187"/>
    </row>
    <row r="91" spans="1:20" x14ac:dyDescent="0.25">
      <c r="A91" s="187"/>
      <c r="B91" s="187"/>
      <c r="C91" s="187"/>
      <c r="D91" s="191"/>
      <c r="E91" s="193"/>
      <c r="F91" s="187"/>
      <c r="G91" s="187"/>
      <c r="H91" s="187"/>
      <c r="I91" s="187"/>
      <c r="J91" s="187"/>
      <c r="K91" s="187"/>
      <c r="L91" s="187"/>
      <c r="M91" s="187"/>
      <c r="N91" s="187"/>
      <c r="O91" s="187"/>
      <c r="P91" s="187"/>
      <c r="Q91" s="187"/>
      <c r="R91" s="187"/>
      <c r="S91" s="14">
        <f t="shared" si="2"/>
        <v>0</v>
      </c>
      <c r="T91" s="187"/>
    </row>
    <row r="92" spans="1:20" x14ac:dyDescent="0.25">
      <c r="A92" s="187"/>
      <c r="B92" s="187"/>
      <c r="C92" s="187"/>
      <c r="D92" s="191"/>
      <c r="E92" s="193"/>
      <c r="F92" s="187"/>
      <c r="G92" s="187"/>
      <c r="H92" s="187"/>
      <c r="I92" s="187"/>
      <c r="J92" s="187"/>
      <c r="K92" s="187"/>
      <c r="L92" s="187"/>
      <c r="M92" s="187"/>
      <c r="N92" s="187"/>
      <c r="O92" s="187"/>
      <c r="P92" s="187"/>
      <c r="Q92" s="187"/>
      <c r="R92" s="187"/>
      <c r="S92" s="14">
        <f t="shared" si="2"/>
        <v>0</v>
      </c>
      <c r="T92" s="187"/>
    </row>
    <row r="93" spans="1:20" x14ac:dyDescent="0.25">
      <c r="A93" s="187"/>
      <c r="B93" s="187"/>
      <c r="C93" s="187"/>
      <c r="D93" s="191"/>
      <c r="E93" s="193"/>
      <c r="F93" s="187"/>
      <c r="G93" s="187"/>
      <c r="H93" s="187"/>
      <c r="I93" s="187"/>
      <c r="J93" s="187"/>
      <c r="K93" s="187"/>
      <c r="L93" s="187"/>
      <c r="M93" s="187"/>
      <c r="N93" s="187"/>
      <c r="O93" s="187"/>
      <c r="P93" s="187"/>
      <c r="Q93" s="187"/>
      <c r="R93" s="187"/>
      <c r="S93" s="14">
        <f t="shared" si="2"/>
        <v>0</v>
      </c>
      <c r="T93" s="187"/>
    </row>
    <row r="94" spans="1:20" x14ac:dyDescent="0.25">
      <c r="A94" s="187"/>
      <c r="B94" s="187"/>
      <c r="C94" s="187"/>
      <c r="D94" s="191"/>
      <c r="E94" s="193"/>
      <c r="F94" s="187"/>
      <c r="G94" s="187"/>
      <c r="H94" s="187"/>
      <c r="I94" s="187"/>
      <c r="J94" s="187"/>
      <c r="K94" s="187"/>
      <c r="L94" s="187"/>
      <c r="M94" s="187"/>
      <c r="N94" s="187"/>
      <c r="O94" s="187"/>
      <c r="P94" s="187"/>
      <c r="Q94" s="187"/>
      <c r="R94" s="187"/>
      <c r="S94" s="14">
        <f t="shared" si="2"/>
        <v>0</v>
      </c>
      <c r="T94" s="187"/>
    </row>
    <row r="95" spans="1:20" x14ac:dyDescent="0.25">
      <c r="A95" s="187"/>
      <c r="B95" s="187"/>
      <c r="C95" s="187"/>
      <c r="D95" s="191"/>
      <c r="E95" s="193"/>
      <c r="F95" s="187"/>
      <c r="G95" s="187"/>
      <c r="H95" s="187"/>
      <c r="I95" s="187"/>
      <c r="J95" s="187"/>
      <c r="K95" s="187"/>
      <c r="L95" s="187"/>
      <c r="M95" s="187"/>
      <c r="N95" s="187"/>
      <c r="O95" s="187"/>
      <c r="P95" s="187"/>
      <c r="Q95" s="187"/>
      <c r="R95" s="187"/>
      <c r="S95" s="14">
        <f t="shared" si="2"/>
        <v>0</v>
      </c>
      <c r="T95" s="187"/>
    </row>
    <row r="96" spans="1:20" x14ac:dyDescent="0.25">
      <c r="A96" s="187"/>
      <c r="B96" s="187"/>
      <c r="C96" s="187"/>
      <c r="D96" s="191"/>
      <c r="E96" s="193"/>
      <c r="F96" s="187"/>
      <c r="G96" s="187"/>
      <c r="H96" s="187"/>
      <c r="I96" s="187"/>
      <c r="J96" s="187"/>
      <c r="K96" s="187"/>
      <c r="L96" s="187"/>
      <c r="M96" s="187"/>
      <c r="N96" s="187"/>
      <c r="O96" s="187"/>
      <c r="P96" s="187"/>
      <c r="Q96" s="187"/>
      <c r="R96" s="187"/>
      <c r="S96" s="14">
        <f t="shared" si="2"/>
        <v>0</v>
      </c>
      <c r="T96" s="187"/>
    </row>
    <row r="97" spans="1:20" x14ac:dyDescent="0.25">
      <c r="A97" s="187"/>
      <c r="B97" s="187"/>
      <c r="C97" s="187"/>
      <c r="D97" s="191"/>
      <c r="E97" s="193"/>
      <c r="F97" s="187"/>
      <c r="G97" s="187"/>
      <c r="H97" s="187"/>
      <c r="I97" s="187"/>
      <c r="J97" s="187"/>
      <c r="K97" s="187"/>
      <c r="L97" s="187"/>
      <c r="M97" s="187"/>
      <c r="N97" s="187"/>
      <c r="O97" s="187"/>
      <c r="P97" s="187"/>
      <c r="Q97" s="187"/>
      <c r="R97" s="187"/>
      <c r="S97" s="14">
        <f t="shared" si="2"/>
        <v>0</v>
      </c>
      <c r="T97" s="187"/>
    </row>
    <row r="98" spans="1:20" x14ac:dyDescent="0.25">
      <c r="A98" s="187"/>
      <c r="B98" s="187"/>
      <c r="C98" s="187"/>
      <c r="D98" s="191"/>
      <c r="E98" s="193"/>
      <c r="F98" s="187"/>
      <c r="G98" s="187"/>
      <c r="H98" s="187"/>
      <c r="I98" s="187"/>
      <c r="J98" s="187"/>
      <c r="K98" s="187"/>
      <c r="L98" s="187"/>
      <c r="M98" s="187"/>
      <c r="N98" s="187"/>
      <c r="O98" s="187"/>
      <c r="P98" s="187"/>
      <c r="Q98" s="187"/>
      <c r="R98" s="187"/>
      <c r="S98" s="14">
        <f t="shared" si="2"/>
        <v>0</v>
      </c>
      <c r="T98" s="187"/>
    </row>
    <row r="99" spans="1:20" x14ac:dyDescent="0.25">
      <c r="A99" s="187"/>
      <c r="B99" s="187"/>
      <c r="C99" s="187"/>
      <c r="D99" s="191"/>
      <c r="E99" s="193"/>
      <c r="F99" s="187"/>
      <c r="G99" s="187"/>
      <c r="H99" s="187"/>
      <c r="I99" s="187"/>
      <c r="J99" s="187"/>
      <c r="K99" s="187"/>
      <c r="L99" s="187"/>
      <c r="M99" s="187"/>
      <c r="N99" s="187"/>
      <c r="O99" s="187"/>
      <c r="P99" s="187"/>
      <c r="Q99" s="187"/>
      <c r="R99" s="187"/>
      <c r="S99" s="14">
        <f t="shared" si="2"/>
        <v>0</v>
      </c>
      <c r="T99" s="187"/>
    </row>
    <row r="100" spans="1:20" x14ac:dyDescent="0.25">
      <c r="A100" s="187"/>
      <c r="B100" s="187"/>
      <c r="C100" s="187"/>
      <c r="D100" s="191"/>
      <c r="E100" s="193"/>
      <c r="F100" s="187"/>
      <c r="G100" s="187"/>
      <c r="H100" s="187"/>
      <c r="I100" s="187"/>
      <c r="J100" s="187"/>
      <c r="K100" s="187"/>
      <c r="L100" s="187"/>
      <c r="M100" s="187"/>
      <c r="N100" s="187"/>
      <c r="O100" s="187"/>
      <c r="P100" s="187"/>
      <c r="Q100" s="187"/>
      <c r="R100" s="187"/>
      <c r="S100" s="14">
        <f t="shared" si="2"/>
        <v>0</v>
      </c>
      <c r="T100" s="187"/>
    </row>
    <row r="101" spans="1:20" x14ac:dyDescent="0.25">
      <c r="A101" s="184"/>
      <c r="B101" s="184"/>
      <c r="C101" s="184"/>
      <c r="D101" s="192"/>
      <c r="E101" s="203"/>
      <c r="F101" s="184"/>
      <c r="G101" s="184"/>
      <c r="H101" s="184"/>
      <c r="I101" s="184"/>
      <c r="J101" s="184"/>
      <c r="K101" s="184"/>
      <c r="L101" s="184"/>
      <c r="M101" s="184"/>
      <c r="N101" s="184"/>
      <c r="O101" s="184"/>
      <c r="P101" s="184"/>
      <c r="Q101" s="184"/>
      <c r="R101" s="184"/>
      <c r="S101" s="184"/>
      <c r="T101" s="184"/>
    </row>
    <row r="102" spans="1:20" x14ac:dyDescent="0.25">
      <c r="A102" s="184"/>
      <c r="B102" s="184"/>
      <c r="C102" s="184"/>
      <c r="D102" s="192"/>
      <c r="E102" s="203"/>
      <c r="F102" s="184"/>
      <c r="G102" s="184"/>
      <c r="H102" s="184"/>
      <c r="I102" s="184"/>
      <c r="J102" s="184"/>
      <c r="K102" s="184"/>
      <c r="L102" s="184"/>
      <c r="M102" s="184"/>
      <c r="N102" s="184"/>
      <c r="O102" s="184"/>
      <c r="P102" s="184"/>
      <c r="Q102" s="184"/>
      <c r="R102" s="184"/>
      <c r="S102" s="184"/>
      <c r="T102" s="184"/>
    </row>
    <row r="103" spans="1:20" x14ac:dyDescent="0.25">
      <c r="A103" s="184"/>
      <c r="B103" s="184"/>
      <c r="C103" s="184"/>
      <c r="D103" s="192"/>
      <c r="E103" s="203"/>
      <c r="F103" s="184"/>
      <c r="G103" s="184"/>
      <c r="H103" s="184"/>
      <c r="I103" s="184"/>
      <c r="J103" s="184"/>
      <c r="K103" s="184"/>
      <c r="L103" s="184"/>
      <c r="M103" s="184"/>
      <c r="N103" s="184"/>
      <c r="O103" s="184"/>
      <c r="P103" s="184"/>
      <c r="Q103" s="184"/>
      <c r="R103" s="184"/>
      <c r="S103" s="184"/>
      <c r="T103" s="184"/>
    </row>
    <row r="104" spans="1:20" x14ac:dyDescent="0.25">
      <c r="A104" s="184"/>
      <c r="B104" s="184"/>
      <c r="C104" s="184"/>
      <c r="D104" s="192"/>
      <c r="E104" s="203"/>
      <c r="F104" s="184"/>
      <c r="G104" s="184"/>
      <c r="H104" s="184"/>
      <c r="I104" s="184"/>
      <c r="J104" s="184"/>
      <c r="K104" s="184"/>
      <c r="L104" s="184"/>
      <c r="M104" s="184"/>
      <c r="N104" s="184"/>
      <c r="O104" s="184"/>
      <c r="P104" s="184"/>
      <c r="Q104" s="184"/>
      <c r="R104" s="184"/>
      <c r="S104" s="184"/>
      <c r="T104" s="184"/>
    </row>
    <row r="105" spans="1:20" x14ac:dyDescent="0.25">
      <c r="A105" s="184"/>
      <c r="B105" s="184"/>
      <c r="C105" s="184"/>
      <c r="D105" s="192"/>
      <c r="E105" s="203"/>
      <c r="F105" s="184"/>
      <c r="G105" s="184"/>
      <c r="H105" s="184"/>
      <c r="I105" s="184"/>
      <c r="J105" s="184"/>
      <c r="K105" s="184"/>
      <c r="L105" s="184"/>
      <c r="M105" s="184"/>
      <c r="N105" s="184"/>
      <c r="O105" s="184"/>
      <c r="P105" s="184"/>
      <c r="Q105" s="184"/>
      <c r="R105" s="184"/>
      <c r="S105" s="184"/>
      <c r="T105" s="184"/>
    </row>
    <row r="106" spans="1:20" x14ac:dyDescent="0.25">
      <c r="A106" s="184"/>
      <c r="B106" s="184"/>
      <c r="C106" s="184"/>
      <c r="D106" s="192"/>
      <c r="E106" s="203"/>
      <c r="F106" s="184"/>
      <c r="G106" s="184"/>
      <c r="H106" s="184"/>
      <c r="I106" s="184"/>
      <c r="J106" s="184"/>
      <c r="K106" s="184"/>
      <c r="L106" s="184"/>
      <c r="M106" s="184"/>
      <c r="N106" s="184"/>
      <c r="O106" s="184"/>
      <c r="P106" s="184"/>
      <c r="Q106" s="184"/>
      <c r="R106" s="184"/>
      <c r="S106" s="184"/>
      <c r="T106" s="184"/>
    </row>
    <row r="107" spans="1:20" x14ac:dyDescent="0.25">
      <c r="A107" s="184"/>
      <c r="B107" s="184"/>
      <c r="C107" s="184"/>
      <c r="D107" s="192"/>
      <c r="E107" s="203"/>
      <c r="F107" s="184"/>
      <c r="G107" s="184"/>
      <c r="H107" s="184"/>
      <c r="I107" s="184"/>
      <c r="J107" s="184"/>
      <c r="K107" s="184"/>
      <c r="L107" s="184"/>
      <c r="M107" s="184"/>
      <c r="N107" s="184"/>
      <c r="O107" s="184"/>
      <c r="P107" s="184"/>
      <c r="Q107" s="184"/>
      <c r="R107" s="184"/>
      <c r="S107" s="184"/>
      <c r="T107" s="184"/>
    </row>
    <row r="108" spans="1:20" x14ac:dyDescent="0.25">
      <c r="A108" s="184"/>
      <c r="B108" s="184"/>
      <c r="C108" s="184"/>
      <c r="D108" s="192"/>
      <c r="E108" s="203"/>
      <c r="F108" s="184"/>
      <c r="G108" s="184"/>
      <c r="H108" s="184"/>
      <c r="I108" s="184"/>
      <c r="J108" s="184"/>
      <c r="K108" s="184"/>
      <c r="L108" s="184"/>
      <c r="M108" s="184"/>
      <c r="N108" s="184"/>
      <c r="O108" s="184"/>
      <c r="P108" s="184"/>
      <c r="Q108" s="184"/>
      <c r="R108" s="184"/>
      <c r="S108" s="184"/>
      <c r="T108" s="184"/>
    </row>
    <row r="109" spans="1:20" x14ac:dyDescent="0.25">
      <c r="A109" s="184"/>
      <c r="B109" s="184"/>
      <c r="C109" s="184"/>
      <c r="D109" s="192"/>
      <c r="E109" s="203"/>
      <c r="F109" s="184"/>
      <c r="G109" s="184"/>
      <c r="H109" s="184"/>
      <c r="I109" s="184"/>
      <c r="J109" s="184"/>
      <c r="K109" s="184"/>
      <c r="L109" s="184"/>
      <c r="M109" s="184"/>
      <c r="N109" s="184"/>
      <c r="O109" s="184"/>
      <c r="P109" s="184"/>
      <c r="Q109" s="184"/>
      <c r="R109" s="184"/>
      <c r="S109" s="184"/>
      <c r="T109" s="184"/>
    </row>
    <row r="110" spans="1:20" x14ac:dyDescent="0.25">
      <c r="A110" s="184"/>
      <c r="B110" s="184"/>
      <c r="C110" s="184"/>
      <c r="D110" s="192"/>
      <c r="E110" s="203"/>
      <c r="F110" s="184"/>
      <c r="G110" s="184"/>
      <c r="H110" s="184"/>
      <c r="I110" s="184"/>
      <c r="J110" s="184"/>
      <c r="K110" s="184"/>
      <c r="L110" s="184"/>
      <c r="M110" s="184"/>
      <c r="N110" s="184"/>
      <c r="O110" s="184"/>
      <c r="P110" s="184"/>
      <c r="Q110" s="184"/>
      <c r="R110" s="184"/>
      <c r="S110" s="184"/>
      <c r="T110" s="184"/>
    </row>
    <row r="111" spans="1:20" x14ac:dyDescent="0.25">
      <c r="A111" s="184"/>
      <c r="B111" s="184"/>
      <c r="C111" s="184"/>
      <c r="D111" s="192"/>
      <c r="E111" s="203"/>
      <c r="F111" s="184"/>
      <c r="G111" s="184"/>
      <c r="H111" s="184"/>
      <c r="I111" s="184"/>
      <c r="J111" s="184"/>
      <c r="K111" s="184"/>
      <c r="L111" s="184"/>
      <c r="M111" s="184"/>
      <c r="N111" s="184"/>
      <c r="O111" s="184"/>
      <c r="P111" s="184"/>
      <c r="Q111" s="184"/>
      <c r="R111" s="184"/>
      <c r="S111" s="184"/>
      <c r="T111" s="184"/>
    </row>
    <row r="112" spans="1:20" x14ac:dyDescent="0.25">
      <c r="A112" s="184"/>
      <c r="B112" s="184"/>
      <c r="C112" s="184"/>
      <c r="D112" s="192"/>
      <c r="E112" s="203"/>
      <c r="F112" s="184"/>
      <c r="G112" s="184"/>
      <c r="H112" s="184"/>
      <c r="I112" s="184"/>
      <c r="J112" s="184"/>
      <c r="K112" s="184"/>
      <c r="L112" s="184"/>
      <c r="M112" s="184"/>
      <c r="N112" s="184"/>
      <c r="O112" s="184"/>
      <c r="P112" s="184"/>
      <c r="Q112" s="184"/>
      <c r="R112" s="184"/>
      <c r="S112" s="184"/>
      <c r="T112" s="184"/>
    </row>
    <row r="113" spans="4:5" x14ac:dyDescent="0.25">
      <c r="D113" s="192"/>
      <c r="E113" s="203"/>
    </row>
    <row r="114" spans="4:5" x14ac:dyDescent="0.25">
      <c r="D114" s="192"/>
      <c r="E114" s="203"/>
    </row>
    <row r="115" spans="4:5" x14ac:dyDescent="0.25">
      <c r="D115" s="192"/>
      <c r="E115" s="203"/>
    </row>
    <row r="116" spans="4:5" x14ac:dyDescent="0.25">
      <c r="D116" s="192"/>
      <c r="E116" s="203"/>
    </row>
    <row r="117" spans="4:5" x14ac:dyDescent="0.25">
      <c r="D117" s="192"/>
      <c r="E117" s="203"/>
    </row>
    <row r="118" spans="4:5" x14ac:dyDescent="0.25">
      <c r="D118" s="192"/>
      <c r="E118" s="203"/>
    </row>
    <row r="119" spans="4:5" x14ac:dyDescent="0.25">
      <c r="D119" s="192"/>
      <c r="E119" s="203"/>
    </row>
    <row r="120" spans="4:5" x14ac:dyDescent="0.25">
      <c r="D120" s="192"/>
      <c r="E120" s="203"/>
    </row>
    <row r="121" spans="4:5" x14ac:dyDescent="0.25">
      <c r="D121" s="192"/>
      <c r="E121" s="203"/>
    </row>
    <row r="122" spans="4:5" x14ac:dyDescent="0.25">
      <c r="D122" s="192"/>
      <c r="E122" s="203"/>
    </row>
    <row r="123" spans="4:5" x14ac:dyDescent="0.25">
      <c r="D123" s="192"/>
      <c r="E123" s="203"/>
    </row>
    <row r="124" spans="4:5" x14ac:dyDescent="0.25">
      <c r="D124" s="192"/>
      <c r="E124" s="203"/>
    </row>
    <row r="125" spans="4:5" x14ac:dyDescent="0.25">
      <c r="D125" s="192"/>
      <c r="E125" s="203"/>
    </row>
    <row r="126" spans="4:5" x14ac:dyDescent="0.25">
      <c r="D126" s="192"/>
      <c r="E126" s="203"/>
    </row>
    <row r="127" spans="4:5" x14ac:dyDescent="0.25">
      <c r="D127" s="192"/>
      <c r="E127" s="203"/>
    </row>
    <row r="128" spans="4:5" x14ac:dyDescent="0.25">
      <c r="D128" s="192"/>
      <c r="E128" s="203"/>
    </row>
    <row r="129" spans="4:5" x14ac:dyDescent="0.25">
      <c r="D129" s="192"/>
      <c r="E129" s="203"/>
    </row>
    <row r="130" spans="4:5" x14ac:dyDescent="0.25">
      <c r="D130" s="192"/>
      <c r="E130" s="203"/>
    </row>
    <row r="131" spans="4:5" x14ac:dyDescent="0.25">
      <c r="D131" s="192"/>
      <c r="E131" s="203"/>
    </row>
    <row r="132" spans="4:5" x14ac:dyDescent="0.25">
      <c r="D132" s="192"/>
      <c r="E132" s="203"/>
    </row>
    <row r="133" spans="4:5" x14ac:dyDescent="0.25">
      <c r="D133" s="192"/>
      <c r="E133" s="203"/>
    </row>
    <row r="134" spans="4:5" x14ac:dyDescent="0.25">
      <c r="D134" s="192"/>
      <c r="E134" s="203"/>
    </row>
    <row r="135" spans="4:5" x14ac:dyDescent="0.25">
      <c r="D135" s="192"/>
      <c r="E135" s="203"/>
    </row>
    <row r="136" spans="4:5" x14ac:dyDescent="0.25">
      <c r="D136" s="192"/>
      <c r="E136" s="203"/>
    </row>
    <row r="137" spans="4:5" x14ac:dyDescent="0.25">
      <c r="D137" s="192"/>
      <c r="E137" s="203"/>
    </row>
    <row r="138" spans="4:5" x14ac:dyDescent="0.25">
      <c r="D138" s="192"/>
      <c r="E138" s="203"/>
    </row>
    <row r="139" spans="4:5" x14ac:dyDescent="0.25">
      <c r="D139" s="192"/>
      <c r="E139" s="203"/>
    </row>
    <row r="140" spans="4:5" x14ac:dyDescent="0.25">
      <c r="D140" s="192"/>
      <c r="E140" s="203"/>
    </row>
    <row r="141" spans="4:5" x14ac:dyDescent="0.25">
      <c r="D141" s="192"/>
      <c r="E141" s="203"/>
    </row>
    <row r="142" spans="4:5" x14ac:dyDescent="0.25">
      <c r="D142" s="192"/>
      <c r="E142" s="203"/>
    </row>
    <row r="143" spans="4:5" x14ac:dyDescent="0.25">
      <c r="D143" s="192"/>
      <c r="E143" s="203"/>
    </row>
    <row r="144" spans="4:5" x14ac:dyDescent="0.25">
      <c r="D144" s="192"/>
      <c r="E144" s="203"/>
    </row>
    <row r="145" spans="4:5" x14ac:dyDescent="0.25">
      <c r="D145" s="192"/>
      <c r="E145" s="203"/>
    </row>
    <row r="146" spans="4:5" x14ac:dyDescent="0.25">
      <c r="D146" s="192"/>
      <c r="E146" s="203"/>
    </row>
    <row r="147" spans="4:5" x14ac:dyDescent="0.25">
      <c r="D147" s="192"/>
      <c r="E147" s="203"/>
    </row>
    <row r="148" spans="4:5" x14ac:dyDescent="0.25">
      <c r="D148" s="192"/>
      <c r="E148" s="203"/>
    </row>
    <row r="149" spans="4:5" x14ac:dyDescent="0.25">
      <c r="D149" s="192"/>
      <c r="E149" s="203"/>
    </row>
    <row r="150" spans="4:5" x14ac:dyDescent="0.25">
      <c r="D150" s="192"/>
      <c r="E150" s="203"/>
    </row>
    <row r="151" spans="4:5" x14ac:dyDescent="0.25">
      <c r="D151" s="192"/>
      <c r="E151" s="203"/>
    </row>
    <row r="152" spans="4:5" x14ac:dyDescent="0.25">
      <c r="D152" s="192"/>
      <c r="E152" s="203"/>
    </row>
    <row r="153" spans="4:5" x14ac:dyDescent="0.25">
      <c r="D153" s="192"/>
      <c r="E153" s="203"/>
    </row>
    <row r="154" spans="4:5" x14ac:dyDescent="0.25">
      <c r="D154" s="192"/>
      <c r="E154" s="203"/>
    </row>
    <row r="155" spans="4:5" x14ac:dyDescent="0.25">
      <c r="D155" s="192"/>
      <c r="E155" s="203"/>
    </row>
    <row r="156" spans="4:5" x14ac:dyDescent="0.25">
      <c r="D156" s="192"/>
      <c r="E156" s="203"/>
    </row>
    <row r="157" spans="4:5" x14ac:dyDescent="0.25">
      <c r="D157" s="192"/>
      <c r="E157" s="203"/>
    </row>
    <row r="158" spans="4:5" x14ac:dyDescent="0.25">
      <c r="D158" s="192"/>
      <c r="E158" s="203"/>
    </row>
    <row r="159" spans="4:5" x14ac:dyDescent="0.25">
      <c r="D159" s="192"/>
      <c r="E159" s="203"/>
    </row>
    <row r="160" spans="4:5" x14ac:dyDescent="0.25">
      <c r="D160" s="192"/>
      <c r="E160" s="203"/>
    </row>
    <row r="161" spans="4:5" x14ac:dyDescent="0.25">
      <c r="D161" s="192"/>
      <c r="E161" s="203"/>
    </row>
    <row r="162" spans="4:5" x14ac:dyDescent="0.25">
      <c r="D162" s="192"/>
      <c r="E162" s="203"/>
    </row>
    <row r="163" spans="4:5" x14ac:dyDescent="0.25">
      <c r="D163" s="192"/>
      <c r="E163" s="203"/>
    </row>
    <row r="164" spans="4:5" x14ac:dyDescent="0.25">
      <c r="D164" s="192"/>
      <c r="E164" s="203"/>
    </row>
    <row r="165" spans="4:5" x14ac:dyDescent="0.25">
      <c r="D165" s="192"/>
      <c r="E165" s="203"/>
    </row>
    <row r="166" spans="4:5" x14ac:dyDescent="0.25">
      <c r="D166" s="192"/>
      <c r="E166" s="203"/>
    </row>
    <row r="167" spans="4:5" x14ac:dyDescent="0.25">
      <c r="D167" s="192"/>
      <c r="E167" s="203"/>
    </row>
    <row r="168" spans="4:5" x14ac:dyDescent="0.25">
      <c r="D168" s="192"/>
      <c r="E168" s="203"/>
    </row>
    <row r="169" spans="4:5" x14ac:dyDescent="0.25">
      <c r="D169" s="192"/>
      <c r="E169" s="203"/>
    </row>
    <row r="170" spans="4:5" x14ac:dyDescent="0.25">
      <c r="D170" s="192"/>
      <c r="E170" s="203"/>
    </row>
    <row r="171" spans="4:5" x14ac:dyDescent="0.25">
      <c r="D171" s="192"/>
      <c r="E171" s="203"/>
    </row>
    <row r="172" spans="4:5" x14ac:dyDescent="0.25">
      <c r="D172" s="192"/>
      <c r="E172" s="203"/>
    </row>
    <row r="173" spans="4:5" x14ac:dyDescent="0.25">
      <c r="D173" s="192"/>
      <c r="E173" s="203"/>
    </row>
    <row r="174" spans="4:5" x14ac:dyDescent="0.25">
      <c r="D174" s="192"/>
      <c r="E174" s="203"/>
    </row>
    <row r="175" spans="4:5" x14ac:dyDescent="0.25">
      <c r="D175" s="192"/>
      <c r="E175" s="203"/>
    </row>
    <row r="176" spans="4:5" x14ac:dyDescent="0.25">
      <c r="D176" s="192"/>
      <c r="E176" s="203"/>
    </row>
    <row r="177" spans="4:5" x14ac:dyDescent="0.25">
      <c r="D177" s="192"/>
      <c r="E177" s="203"/>
    </row>
    <row r="178" spans="4:5" x14ac:dyDescent="0.25">
      <c r="D178" s="192"/>
      <c r="E178" s="203"/>
    </row>
    <row r="179" spans="4:5" x14ac:dyDescent="0.25">
      <c r="D179" s="192"/>
      <c r="E179" s="203"/>
    </row>
    <row r="180" spans="4:5" x14ac:dyDescent="0.25">
      <c r="D180" s="192"/>
      <c r="E180" s="203"/>
    </row>
    <row r="181" spans="4:5" x14ac:dyDescent="0.25">
      <c r="D181" s="192"/>
      <c r="E181" s="203"/>
    </row>
    <row r="182" spans="4:5" x14ac:dyDescent="0.25">
      <c r="D182" s="192"/>
      <c r="E182" s="203"/>
    </row>
    <row r="183" spans="4:5" x14ac:dyDescent="0.25">
      <c r="D183" s="192"/>
      <c r="E183" s="203"/>
    </row>
    <row r="184" spans="4:5" x14ac:dyDescent="0.25">
      <c r="D184" s="192"/>
      <c r="E184" s="203"/>
    </row>
    <row r="185" spans="4:5" x14ac:dyDescent="0.25">
      <c r="D185" s="192"/>
      <c r="E185" s="203"/>
    </row>
    <row r="186" spans="4:5" x14ac:dyDescent="0.25">
      <c r="D186" s="192"/>
      <c r="E186" s="203"/>
    </row>
    <row r="187" spans="4:5" x14ac:dyDescent="0.25">
      <c r="D187" s="192"/>
      <c r="E187" s="203"/>
    </row>
    <row r="188" spans="4:5" x14ac:dyDescent="0.25">
      <c r="D188" s="192"/>
      <c r="E188" s="203"/>
    </row>
    <row r="189" spans="4:5" x14ac:dyDescent="0.25">
      <c r="D189" s="192"/>
      <c r="E189" s="203"/>
    </row>
    <row r="190" spans="4:5" x14ac:dyDescent="0.25">
      <c r="D190" s="192"/>
      <c r="E190" s="203"/>
    </row>
    <row r="191" spans="4:5" x14ac:dyDescent="0.25">
      <c r="D191" s="192"/>
      <c r="E191" s="203"/>
    </row>
    <row r="192" spans="4:5" x14ac:dyDescent="0.25">
      <c r="D192" s="192"/>
      <c r="E192" s="203"/>
    </row>
    <row r="193" spans="4:5" x14ac:dyDescent="0.25">
      <c r="D193" s="192"/>
      <c r="E193" s="203"/>
    </row>
    <row r="194" spans="4:5" x14ac:dyDescent="0.25">
      <c r="D194" s="192"/>
      <c r="E194" s="203"/>
    </row>
    <row r="195" spans="4:5" x14ac:dyDescent="0.25">
      <c r="D195" s="192"/>
      <c r="E195" s="203"/>
    </row>
    <row r="196" spans="4:5" x14ac:dyDescent="0.25">
      <c r="D196" s="192"/>
      <c r="E196" s="203"/>
    </row>
    <row r="197" spans="4:5" x14ac:dyDescent="0.25">
      <c r="D197" s="192"/>
      <c r="E197" s="203"/>
    </row>
    <row r="198" spans="4:5" x14ac:dyDescent="0.25">
      <c r="D198" s="192"/>
      <c r="E198" s="203"/>
    </row>
    <row r="199" spans="4:5" x14ac:dyDescent="0.25">
      <c r="D199" s="192"/>
      <c r="E199" s="203"/>
    </row>
    <row r="200" spans="4:5" x14ac:dyDescent="0.25">
      <c r="D200" s="192"/>
      <c r="E200" s="204"/>
    </row>
    <row r="1048576" spans="2:2" x14ac:dyDescent="0.25">
      <c r="B1048576" s="184" t="s">
        <v>30</v>
      </c>
    </row>
  </sheetData>
  <sortState xmlns:xlrd2="http://schemas.microsoft.com/office/spreadsheetml/2017/richdata2" ref="A4:P42">
    <sortCondition ref="A4:A42"/>
  </sortState>
  <mergeCells count="10">
    <mergeCell ref="A1:H1"/>
    <mergeCell ref="I2:R2"/>
    <mergeCell ref="B2:B3"/>
    <mergeCell ref="H2:H3"/>
    <mergeCell ref="G2:G3"/>
    <mergeCell ref="A2:A3"/>
    <mergeCell ref="C2:C3"/>
    <mergeCell ref="E2:E3"/>
    <mergeCell ref="F2:F3"/>
    <mergeCell ref="D2:D3"/>
  </mergeCells>
  <conditionalFormatting sqref="C5">
    <cfRule type="expression" priority="311" stopIfTrue="1">
      <formula>$C$5&gt;0</formula>
    </cfRule>
  </conditionalFormatting>
  <conditionalFormatting sqref="C6">
    <cfRule type="expression" priority="2" stopIfTrue="1">
      <formula>$C$5&gt;0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13" operator="lessThan" id="{B55559CC-5906-4858-BD97-3999BE366DD6}">
            <xm:f>'BASIC INFO'!#REF!-7300</xm:f>
            <x14:dxf>
              <font>
                <color rgb="FF9C0006"/>
              </font>
              <fill>
                <patternFill>
                  <bgColor rgb="FFFFC7CE"/>
                </patternFill>
              </fill>
            </x14:dxf>
          </x14:cfRule>
          <xm:sqref>C14 C16:C24</xm:sqref>
        </x14:conditionalFormatting>
        <x14:conditionalFormatting xmlns:xm="http://schemas.microsoft.com/office/excel/2006/main">
          <x14:cfRule type="cellIs" priority="11" operator="lessThan" id="{8856AABD-6883-402B-954D-332DA6FFDAAA}">
            <xm:f>'BASIC INFO'!#REF!-7300</xm:f>
            <x14:dxf>
              <font>
                <color rgb="FF9C0006"/>
              </font>
              <fill>
                <patternFill>
                  <bgColor rgb="FFFFC7CE"/>
                </patternFill>
              </fill>
            </x14:dxf>
          </x14:cfRule>
          <xm:sqref>C25</xm:sqref>
        </x14:conditionalFormatting>
        <x14:conditionalFormatting xmlns:xm="http://schemas.microsoft.com/office/excel/2006/main">
          <x14:cfRule type="cellIs" priority="9" operator="lessThan" id="{E3C86C0E-1F8A-43F2-B04F-B2E56B21C2CC}">
            <xm:f>'xlFile://Root/CurrentDir/[2017 03 28 CRS V 1.0 EXAMPLE.xlsx]BASIC INFO'!#REF!-7300</xm:f>
            <x14:dxf>
              <font>
                <color rgb="FF9C0006"/>
              </font>
              <fill>
                <patternFill>
                  <bgColor rgb="FFFFC7CE"/>
                </patternFill>
              </fill>
            </x14:dxf>
          </x14:cfRule>
          <xm:sqref>C5</xm:sqref>
        </x14:conditionalFormatting>
        <x14:conditionalFormatting xmlns:xm="http://schemas.microsoft.com/office/excel/2006/main">
          <x14:cfRule type="cellIs" priority="1" operator="lessThan" id="{109CDECA-82C2-494F-A255-1BF59CBF57B1}">
            <xm:f>'xlFile://Root/CurrentDir/[2017 03 28 CRS V 1.0 EXAMPLE.xlsx]BASIC INFO'!#REF!-7300</xm:f>
            <x14:dxf>
              <font>
                <color rgb="FF9C0006"/>
              </font>
              <fill>
                <patternFill>
                  <bgColor rgb="FFFFC7CE"/>
                </patternFill>
              </fill>
            </x14:dxf>
          </x14:cfRule>
          <xm:sqref>C6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A200"/>
  <sheetViews>
    <sheetView zoomScale="70" zoomScaleNormal="70" workbookViewId="0">
      <pane xSplit="1" topLeftCell="B1" activePane="topRight" state="frozen"/>
      <selection pane="topRight" activeCell="H1" sqref="H1:K1"/>
    </sheetView>
  </sheetViews>
  <sheetFormatPr defaultRowHeight="15" x14ac:dyDescent="0.25"/>
  <cols>
    <col min="1" max="1" width="23.28515625" customWidth="1"/>
    <col min="2" max="2" width="29.7109375" customWidth="1"/>
    <col min="3" max="3" width="16.7109375" customWidth="1"/>
    <col min="4" max="4" width="7.7109375" customWidth="1"/>
    <col min="5" max="5" width="15" customWidth="1"/>
    <col min="6" max="6" width="18" customWidth="1"/>
    <col min="7" max="7" width="21.5703125" customWidth="1"/>
    <col min="8" max="8" width="14.5703125" customWidth="1"/>
    <col min="9" max="9" width="15.7109375" customWidth="1"/>
    <col min="10" max="10" width="14.28515625" customWidth="1"/>
    <col min="11" max="11" width="12" customWidth="1"/>
    <col min="12" max="13" width="17.28515625" customWidth="1"/>
    <col min="14" max="14" width="15.28515625" customWidth="1"/>
    <col min="15" max="16" width="17.28515625" customWidth="1"/>
    <col min="17" max="17" width="14" customWidth="1"/>
    <col min="18" max="18" width="14.28515625" customWidth="1"/>
    <col min="19" max="19" width="12.42578125" customWidth="1"/>
    <col min="20" max="20" width="13.7109375" customWidth="1"/>
    <col min="21" max="21" width="11.5703125" customWidth="1"/>
    <col min="22" max="22" width="12.42578125" customWidth="1"/>
    <col min="23" max="23" width="16.28515625" style="184" customWidth="1"/>
    <col min="24" max="24" width="10.28515625" customWidth="1"/>
    <col min="25" max="25" width="10.7109375" customWidth="1"/>
    <col min="26" max="26" width="14.42578125" customWidth="1"/>
    <col min="27" max="27" width="15" customWidth="1"/>
  </cols>
  <sheetData>
    <row r="1" spans="1:27" ht="35.25" customHeight="1" x14ac:dyDescent="0.25">
      <c r="A1" s="233" t="s">
        <v>11</v>
      </c>
      <c r="B1" s="228" t="s">
        <v>31</v>
      </c>
      <c r="C1" s="237" t="s">
        <v>32</v>
      </c>
      <c r="D1" s="235" t="s">
        <v>33</v>
      </c>
      <c r="E1" s="235"/>
      <c r="F1" s="235"/>
      <c r="G1" s="235"/>
      <c r="H1" s="236" t="s">
        <v>34</v>
      </c>
      <c r="I1" s="236"/>
      <c r="J1" s="236"/>
      <c r="K1" s="236"/>
      <c r="L1" s="239" t="s">
        <v>35</v>
      </c>
      <c r="M1" s="240"/>
      <c r="N1" s="240"/>
      <c r="O1" s="240"/>
      <c r="P1" s="240"/>
      <c r="Q1" s="241"/>
      <c r="R1" s="242" t="s">
        <v>36</v>
      </c>
      <c r="S1" s="243"/>
      <c r="T1" s="243"/>
      <c r="U1" s="244"/>
      <c r="V1" s="245" t="s">
        <v>37</v>
      </c>
      <c r="W1" s="246"/>
      <c r="X1" s="247"/>
      <c r="Y1" s="231" t="s">
        <v>38</v>
      </c>
      <c r="Z1" s="232"/>
      <c r="AA1" s="232"/>
    </row>
    <row r="2" spans="1:27" ht="47.25" customHeight="1" x14ac:dyDescent="0.25">
      <c r="A2" s="234"/>
      <c r="B2" s="228"/>
      <c r="C2" s="238"/>
      <c r="D2" s="10" t="s">
        <v>39</v>
      </c>
      <c r="E2" s="7" t="s">
        <v>40</v>
      </c>
      <c r="F2" s="7" t="s">
        <v>41</v>
      </c>
      <c r="G2" s="7" t="s">
        <v>42</v>
      </c>
      <c r="H2" s="153" t="s">
        <v>43</v>
      </c>
      <c r="I2" s="153" t="s">
        <v>44</v>
      </c>
      <c r="J2" s="153" t="s">
        <v>45</v>
      </c>
      <c r="K2" s="154" t="s">
        <v>46</v>
      </c>
      <c r="L2" s="155" t="s">
        <v>47</v>
      </c>
      <c r="M2" s="155" t="s">
        <v>48</v>
      </c>
      <c r="N2" s="140" t="s">
        <v>41</v>
      </c>
      <c r="O2" s="156" t="s">
        <v>49</v>
      </c>
      <c r="P2" s="156" t="s">
        <v>45</v>
      </c>
      <c r="Q2" s="156" t="s">
        <v>50</v>
      </c>
      <c r="R2" s="157" t="s">
        <v>51</v>
      </c>
      <c r="S2" s="157" t="s">
        <v>16</v>
      </c>
      <c r="T2" s="158" t="s">
        <v>44</v>
      </c>
      <c r="U2" s="158" t="s">
        <v>45</v>
      </c>
      <c r="V2" s="159" t="s">
        <v>52</v>
      </c>
      <c r="W2" s="190" t="s">
        <v>40</v>
      </c>
      <c r="X2" s="160" t="s">
        <v>53</v>
      </c>
      <c r="Y2" s="161" t="s">
        <v>53</v>
      </c>
      <c r="Z2" s="188" t="s">
        <v>54</v>
      </c>
      <c r="AA2" s="188" t="s">
        <v>40</v>
      </c>
    </row>
    <row r="3" spans="1:27" x14ac:dyDescent="0.25">
      <c r="A3" s="162">
        <f>'CASE DATA'!A4</f>
        <v>0</v>
      </c>
      <c r="B3" s="162">
        <f xml:space="preserve"> 'CASE DATA'!E4</f>
        <v>0</v>
      </c>
      <c r="C3" s="163">
        <f xml:space="preserve"> 'CASE DATA'!C4</f>
        <v>0</v>
      </c>
      <c r="D3" s="11" t="str">
        <f xml:space="preserve"> IF(OR('CASE DATA'!F4="JUV", 'CASE DATA'!F5="JWV"), "YES", "NO")</f>
        <v>NO</v>
      </c>
      <c r="E3" s="11"/>
      <c r="F3" s="11" t="str">
        <f>IF(D3="YES",IF(COUNTIF('CASE DATA'!$C$4:$C$200, "")-COUNTIF('CASE DATA'!$A$4:$A$200, "")&gt;0, "YES","NO"),"N/A")</f>
        <v>N/A</v>
      </c>
      <c r="G3" s="164" t="str">
        <f xml:space="preserve"> _xlfn.IFS(D3="NO", "N/A", AND('BASIC INFO'!$B$3&gt;'BASIC INFO'!$B$6+6574.5, C3+730.5&lt;'BASIC INFO'!$B$3), "YES", 'BASIC INFO'!$B$3&lt;('BASIC INFO'!$B$6+6574.5), "NOT YET 18", C3+730.5&gt;'BASIC INFO'!$B$3, "NOT YET 2 YEARS")</f>
        <v>N/A</v>
      </c>
      <c r="H3" s="186" t="str">
        <f xml:space="preserve"> IF(LEFT('CASE DATA'!E4,4)&lt;&gt;"321.",IF(OR('CASE DATA'!F4="DISM", 'CASE DATA'!F4="ACQ", 'CASE DATA'!F4="NOTF", 'CASE DATA'!F4="WTHD", 'CASE DATA'!F4="TNSF"), "YES", "NO"), "TRAFFIC")</f>
        <v>NO</v>
      </c>
      <c r="I3" s="185" t="str">
        <f xml:space="preserve"> IF(H3="YES",'CASE DATA'!K4,"N/A")</f>
        <v>N/A</v>
      </c>
      <c r="J3" s="185" t="str">
        <f>IF(H3="YES",'CASE DATA'!I4+'CASE DATA'!J4+'CASE DATA'!L4+'CASE DATA'!M4+'CASE DATA'!N4+'CASE DATA'!O4+'CASE DATA'!M4+'CASE DATA'!Q4+'CASE DATA'!R4,"N/A")</f>
        <v>N/A</v>
      </c>
      <c r="K3" s="162" t="str">
        <f xml:space="preserve"> IF(H3="YES",IF(C3+180&lt;'BASIC INFO'!$B$3, "YES", "NO"),"N/A")</f>
        <v>N/A</v>
      </c>
      <c r="L3" s="185" t="str">
        <f>IF(OR('CASE DATA'!F4="GTR", 'CASE DATA'!F4="GPL"),IF(OR('CASE DATA'!E4="81.6(2)", 'CASE DATA'!E4="99F.15(6)(b)(1)", 'CASE DATA'!E4= "124.401(1)(a)", 'CASE DATA'!E4= "124.401(1)(b)", 'CASE DATA'!E4= "124.401(1)(c)", 'CASE DATA'!E4= "124.401(1)(d)", 'CASE DATA'!E4="124.401(4)", 'CASE DATA'!E4="124.401(1)(b)", 'CASE DATA'!E4="124.401(1)(c)", 'CASE DATA'!E4="124.401D(2)(b)", 'CASE DATA'!E4="124.401D(2)(c)", 'CASE DATA'!E4="124.406(1)(a)", 'CASE DATA'!E4="124.406(1)(b) ", 'CASE DATA'!E4="124.406(2)(a)", 'CASE DATA'!E4="124.406(2)(b) ", 'CASE DATA'!E4="124.406(3)", 'CASE DATA'!E4="124.406A ", 'CASE DATA'!E4="124.407(2)(a)", 'CASE DATA'!E4="124B.9(1)", 'CASE DATA'!E4="124B.9(2)", 'CASE DATA'!E4="321J.2(2)(c)", 'CASE DATA'!E4="453B.12(2)", 'CASE DATA'!E4="453B.12(3)", 'CASE DATA'!E4="453B.12(4)", 'CASE DATA'!E4="462A.14(2)(c)", 'CASE DATA'!E4="462A.14(2)(d)", 'CASE DATA'!E4="462A.14(2)(e)", 'CASE DATA'!E4="705.1(2)", 'CASE DATA'!E4="706.3(1)", 'CASE DATA'!E4="706.3(2)", 'CASE DATA'!E4="706A.2(1)", 'CASE DATA'!E4="706A.2(2)", 'CASE DATA'!E4="706A.2(4)", 'CASE DATA'!E4="706B.2(1)(a)", 'CASE DATA'!E4="706B.2(1)(b)", 'CASE DATA'!E4="706B.2(1)(c)", 'CASE DATA'!E4="706B.2(1)(d)", 'CASE DATA'!E4="707.2", 'CASE DATA'!E4="707.3", 'CASE DATA'!E4="707.3A", 'CASE DATA'!E4="707.4", 'CASE DATA'!E4="707.5(1)(a)", 'CASE DATA'!E4="707.6A(1)", 'CASE DATA'!E4="707.6A(2)", 'CASE DATA'!E4="707.6A(3)", 'CASE DATA'!E4="707.6A(4)", 'CASE DATA'!E4="707.7(1)", 'CASE DATA'!E4="707.7(3)", 'CASE DATA'!E4="707.7(2)", 'CASE DATA'!E4="707.8(1)", 'CASE DATA'!E4="707.8(2)", 'CASE DATA'!E4="707.8(3)", 'CASE DATA'!E4="707.8(4)", 'CASE DATA'!E4="707.8(5)", 'CASE DATA'!E4="707.8(6)", 'CASE DATA'!E4="707.9", 'CASE DATA'!E4="707.11", 'CASE DATA'!E4="707A.2", 'CASE DATA'!E4="708.2(4)", 'CASE DATA'!E4="708.2(5)", 'CASE DATA'!E4="708.2A(4)", 'CASE DATA'!E4="708.2A(5)", 'CASE DATA'!E4="708.2C(2)", 'CASE DATA'!E4="708.2C(4)", 'CASE DATA'!E4="708.3(1)", 'CASE DATA'!E4="708.3(2)", 'CASE DATA'!E4="708.3A(1)", 'CASE DATA'!E4="708.3A(2)", 'CASE DATA'!E4="708.3B", 'CASE DATA'!E4="708.4(1)", 'CASE DATA'!E4="708.4(2)", 'CASE DATA'!E4="708.5", 'CASE DATA'!E4="708.8", 'CASE DATA'!E4="708.11(3)(a)", 'CASE DATA'!E4="708.11(3)(b)", 'CASE DATA'!E4="708.12(3)(f)", 'CASE DATA'!E4="708.13(3)", 'CASE DATA'!E4="708.14", 'CASE DATA'!E4="708A.2", 'CASE DATA'!E4="708A.4(1)", 'CASE DATA'!E4="708A.4(2)", 'CASE DATA'!E4="708A.5", 'CASE DATA'!E4="708A.6(1)", 'CASE DATA'!E4="708.A.6(2)", 'CASE DATA'!E4="709.2", 'CASE DATA'!E4="709.3", 'CASE DATA'!E4="709.4", 'CASE DATA'!E4="709.8(1)(a)", 'CASE DATA'!E4="709.8(1)(b)", 'CASE DATA'!E4="709.8(1)(c)", 'CASE DATA'!E4="709.8(1)(d)", 'CASE DATA'!E4="709.8(1)(e)", 'CASE DATA'!E4="709.11(1)", 'CASE DATA'!E4="709.11(2)", 'CASE DATA'!E4="709.15(2)(a)(1)", 'CASE DATA'!E4="709.15(3)(a)(1)", 'CASE DATA'!E4="709.18", 'CASE DATA'!E4="709A.6(2)", 'CASE DATA'!E4="709D.3(1)", 'CASE DATA'!E4="709D.3(2)", 'CASE DATA'!E4="709.D.3(3)", 'CASE DATA'!E4="710.2", 'CASE DATA'!E4="710.3", 'CASE DATA'!E4="710.4", 'CASE DATA'!E4="710.5", 'CASE DATA'!E4="710.10(1)", 'CASE DATA'!E4="710.10(2)", 'CASE DATA'!E4="710.10(3)", 'CASE DATA'!E4="710.11", 'CASE DATA'!E4="710A.2(1)", 'CASE DATA'!E4="710A.2(2)", 'CASE DATA'!E4="710A.2(3)", 'CASE DATA'!E4="710A.2(4)", 'CASE DATA'!E4="710A.2(5)", 'CASE DATA'!E4="710A.2(6)", 'CASE DATA'!E4="710A.2(7)", 'CASE DATA'!E4="710A.2A", 'CASE DATA'!E4="711.2", 'CASE DATA'!E4="711.3", 'CASE DATA'!E4="711.4", 'CASE DATA'!E4="712.2", 'CASE DATA'!E4="712.3", 'CASE DATA'!E4="712.6(1)", 'CASE DATA'!E4="712.7", 'CASE DATA'!E4="712.8", 'CASE DATA'!E4="", 'CASE DATA'!E4="713.3", 'CASE DATA'!E4="713.4", 'CASE DATA'!E4="713.5", 'CASE DATA'!E4="713.6", 'CASE DATA'!E4="713.6A(1)", 'CASE DATA'!E4="714.2(1)", 'CASE DATA'!E4="714.2(2)", 'CASE DATA'!E4="714.3A(2)(b)", 'CASE DATA'!E4="714.9", 'CASE DATA'!E4="714.10", 'CASE DATA'!E4="714.26(2)(a)", 'CASE DATA'!E4="714.26(2)(b)", 'CASE DATA'!E4="715A.2(2)(a)", 'CASE DATA'!E4="715A.6(2)(a)", 'CASE DATA'!E4="715A.6(2)(b)", 'CASE DATA'!E4="715A.8(3)(a)", 'CASE DATA'!E4="715A.8(3)(b)", 'CASE DATA'!E4="715A.10(1)", 'CASE DATA'!E4="715A.10(2)", 'CASE DATA'!E4="716.3", 'CASE DATA'!E4="716.4", 'CASE DATA'!E4="716.8(6)", 'CASE DATA'!E4="716.10(2)(a)", 'CASE DATA'!E4="716.10(2)(b)", 'CASE DATA'!E4="716.10(2)(c)", 'CASE DATA'!E4="716.10(2)(d)", 'CASE DATA'!E4="716.12", 'CASE DATA'!E4="719.1(1)(f)", 'CASE DATA'!E4="719.1(2)(e)", 'CASE DATA'!E4="719.1(2)(f)", 'CASE DATA'!E4="719.1(2)(g)", 'CASE DATA'!E4="719.4(1)", 'CASE DATA'!E4="719.4(4)", 'CASE DATA'!E4="719.5(1)", 'CASE DATA'!E4="719.5(2)", 'CASE DATA'!E4="719.6(1)", 'CASE DATA'!E4="719.6(2)", 'CASE DATA'!E4="719.7(4)(a)", 'CASE DATA'!E4="719.7(4)(b)", 'CASE DATA'!E4="719.7A(3)", 'CASE DATA'!E4="719.9", 'CASE DATA'!E4="719.8", 'CASE DATA'!E4="720.2", 'CASE DATA'!E4="720.3", 'CASE DATA'!E4="721.1", 'CASE DATA'!E4="722.1", 'CASE DATA'!E4="", 'CASE DATA'!E4="722.2", 'CASE DATA'!E4="722.10", 'CASE DATA'!E4="723(5)(3)(c)", 'CASE DATA'!E4="723A.2", 'CASE DATA'!E4="723A.3(1)", 'CASE DATA'!E4="723A.3(2)", 'CASE DATA'!E4="724.1B", 'CASE DATA'!E4="724.1C", 'CASE DATA'!E4="724.3", 'CASE DATA'!E4="724.4B", 'CASE DATA'!E4="724.10", 'CASE DATA'!E4="724.16(2)", 'CASE DATA'!E4="724.16A(1)(a)", 'CASE DATA'!E4="724.16A(1)(b)", 'CASE DATA'!E4="724.17", 'CASE DATA'!E4="724.21", 'CASE DATA'!E4="724.26(1)", 'CASE DATA'!E4="922(g)(8)", 'CASE DATA'!E4="724.29A(2)", 'CASE DATA'!E4="724.29A(3)", 'CASE DATA'!E4="724.30(1)", 'CASE DATA'!E4="724.30(2)", 'CASE DATA'!E4="725.1(2)(b)", 'CASE DATA'!E4="725.2(1)", 'CASE DATA'!E4="725.2(2)", 'CASE DATA'!E4="725.3(2)", 'CASE DATA'!E4="725.3(1)", 'CASE DATA'!E4="725.7(2)(a)(3)", 'CASE DATA'!E4="725.7(2)(a)(4)", 'CASE DATA'!E4="725.7(2)(b)(2)", 'CASE DATA'!E4="725.7(2)(b(3)", 'CASE DATA'!E4="726.7(2)(c)(1)", 'CASE DATA'!E4="726.7(2)(c)(2)", 'CASE DATA'!E4="725.7(2)(d)", 'CASE DATA'!E4="726.2", 'CASE DATA'!E4="726.3", 'CASE DATA'!E4="726.5", 'CASE DATA'!E4="726.6(4)", 'CASE DATA'!E4="726.6(5)", 'CASE DATA'!E4="726.6(6)", 'CASE DATA'!E4="726.6A", 'CASE DATA'!E4="726.7(2)", 'CASE DATA'!E4="726.8(2)", 'CASE DATA'!E4="728.12(1)", 'CASE DATA'!E4="728.12(2)"),"felony","eligible"),"N/A")</f>
        <v>N/A</v>
      </c>
      <c r="M3" s="185" t="str">
        <f>IF(L3="eligible",IF(OR('CASE DATA'!E4="123.46",'CASE DATA'!E4="123.47",'CASE DATA'!E4="235B.20",'CASE DATA'!E4="321.218",'CASE DATA'!E4="321A.32",'CASE DATA'!E4="321J.21",'CASE DATA'!E4="321J.2",'CASE DATA'!E4="707.5",'CASE DATA'!E4="708.2(3)",'CASE DATA'!E4="708.2A",'CASE DATA'!E4="708.7",'CASE DATA'!E4="708.11",'CASE DATA'!E4="708.12",'CASE DATA'!E4="716.8(3)",'CASE DATA'!E4="716.8(4)", LEFT('CASE DATA'!E4,4)="717C", LEFT('CASE DATA'!E4, 3)="719", LEFT('CASE DATA'!E4,3)="720", 'CASE DATA'!E4="721.2", 'CASE DATA'!E4="721.10", 'CASE DATA'!E4="723.1", LEFT('CASE DATA'!E4,3)="724", LEFT('CASE DATA'!E4,3)="726", LEFT('CASE DATA'!E4,3)="728", LEFT('CASE DATA'!E4,4)="901A"),"ineligible misd", "eligible"),"N/A")</f>
        <v>N/A</v>
      </c>
      <c r="N3" s="185" t="str">
        <f>IF(L3="eligible",IF(COUNTIF('CASE DATA'!$C$4:$C$200, "")-COUNTIF('CASE DATA'!$A$4:$A$200, "")&gt;0, "YES","NO"),"N/A")</f>
        <v>N/A</v>
      </c>
      <c r="O3" s="185" t="str">
        <f xml:space="preserve"> IF(M3="eligible",'CASE DATA'!K4,"N/A")</f>
        <v>N/A</v>
      </c>
      <c r="P3" s="185" t="str">
        <f xml:space="preserve"> IF(M3="eligible",'CASE DATA'!I4+'CASE DATA'!J4+'CASE DATA'!L4+'CASE DATA'!M4+'CASE DATA'!N4+'CASE DATA'!O4+'CASE DATA'!M4+'CASE DATA'!Q4+'CASE DATA'!R4,"N/A")</f>
        <v>N/A</v>
      </c>
      <c r="Q3" s="11" t="str">
        <f>IF(M3="eligible",IF(C3+730.5&lt;'BASIC INFO'!$B$3, "YES", "NO"),"N/A")</f>
        <v>N/A</v>
      </c>
      <c r="R3" s="186" t="str">
        <f xml:space="preserve"> IF(OR('CASE DATA'!F4="DEF"), "YES", "NO")</f>
        <v>NO</v>
      </c>
      <c r="S3" s="162" t="str">
        <f>IF(R3="YES",'CASE DATA'!H4,"N/A")</f>
        <v>N/A</v>
      </c>
      <c r="T3" s="185" t="str">
        <f xml:space="preserve"> IF(R3="YES",'CASE DATA'!K4,"N/A")</f>
        <v>N/A</v>
      </c>
      <c r="U3" s="185" t="str">
        <f>IF(R3="YES",'CASE DATA'!I4+'CASE DATA'!J4+'CASE DATA'!L4+'CASE DATA'!M4+'CASE DATA'!N4+'CASE DATA'!O4+'CASE DATA'!P4+'CASE DATA'!Q4+'CASE DATA'!R4,"N/A")</f>
        <v>N/A</v>
      </c>
      <c r="V3" s="189" t="str">
        <f>IF(OR('CASE DATA'!E4="123.46",'CASE DATA'!E4="123.47"),"YES","NO")</f>
        <v>NO</v>
      </c>
      <c r="W3" s="189"/>
      <c r="X3" s="185" t="str">
        <f>IF(V3="YES",IF(C3+730.5&lt;'BASIC INFO'!$B$3, "YES","NO"), "N/A")</f>
        <v>N/A</v>
      </c>
      <c r="Y3" s="165" t="str">
        <f>V3</f>
        <v>NO</v>
      </c>
      <c r="Z3" s="187" t="str">
        <f xml:space="preserve"> IF('BASIC INFO'!$B$6+6574.5&gt;C3, "YES", "NO")</f>
        <v>YES</v>
      </c>
      <c r="AA3" s="184"/>
    </row>
    <row r="4" spans="1:27" x14ac:dyDescent="0.25">
      <c r="A4" s="162">
        <f xml:space="preserve"> 'CASE DATA'!A5</f>
        <v>0</v>
      </c>
      <c r="B4" s="162">
        <f xml:space="preserve"> 'CASE DATA'!E5</f>
        <v>0</v>
      </c>
      <c r="C4" s="163">
        <f xml:space="preserve"> 'CASE DATA'!C5</f>
        <v>0</v>
      </c>
      <c r="D4" s="11" t="str">
        <f xml:space="preserve"> IF(OR('CASE DATA'!F5="JUV", 'CASE DATA'!F5="JWV"), "YES", "NO")</f>
        <v>NO</v>
      </c>
      <c r="E4" s="11"/>
      <c r="F4" s="11" t="str">
        <f>IF(D4="YES",IF(COUNTIF('CASE DATA'!$C$4:$C$200, "")-COUNTIF('CASE DATA'!$A$4:$A$200, "")&gt;0, "YES","NO"),"N/A")</f>
        <v>N/A</v>
      </c>
      <c r="G4" s="164" t="str">
        <f xml:space="preserve"> _xlfn.IFS(D4="NO", "N/A", AND('BASIC INFO'!$B$3&gt;'BASIC INFO'!$B$6+6574.5, C4+730.5&lt;'BASIC INFO'!$B$3), "YES", 'BASIC INFO'!$B$3&lt;('BASIC INFO'!$B$6+6574.5), "NOT YET 18", C4+730.5&gt;'BASIC INFO'!$B$3, "NOT YET 2 YEARS")</f>
        <v>N/A</v>
      </c>
      <c r="H4" s="186" t="str">
        <f xml:space="preserve"> IF(LEFT('CASE DATA'!E5,4)&lt;&gt;"321.",IF(OR('CASE DATA'!F5="DISM", 'CASE DATA'!F5="ACQ", 'CASE DATA'!F5="NOTF", 'CASE DATA'!F5="WTHD", 'CASE DATA'!F5="TNSF"), "YES", "NO"), "TRAFFIC")</f>
        <v>NO</v>
      </c>
      <c r="I4" s="185" t="str">
        <f xml:space="preserve"> IF(H4="YES",'CASE DATA'!K5,"N/A")</f>
        <v>N/A</v>
      </c>
      <c r="J4" s="185" t="str">
        <f>IF(H4="YES",'CASE DATA'!I5+'CASE DATA'!J5+'CASE DATA'!L5+'CASE DATA'!M5+'CASE DATA'!N5+'CASE DATA'!O5+'CASE DATA'!M5+'CASE DATA'!Q5+'CASE DATA'!R5,"N/A")</f>
        <v>N/A</v>
      </c>
      <c r="K4" s="162" t="str">
        <f xml:space="preserve"> IF(H4="YES",IF(C4+180&lt;'BASIC INFO'!$B$3, "YES", "NO"),"N/A")</f>
        <v>N/A</v>
      </c>
      <c r="L4" s="185" t="str">
        <f>IF(OR('CASE DATA'!F5="GTR", 'CASE DATA'!F5="GPL"),IF(OR('CASE DATA'!E5="81.6(2)", 'CASE DATA'!E5="99F.15(6)(b)(1)", 'CASE DATA'!E5= "124.401(1)(a)", 'CASE DATA'!E5= "124.401(1)(b)", 'CASE DATA'!E5= "124.401(1)(c)", 'CASE DATA'!E5= "124.401(1)(d)", 'CASE DATA'!E5="124.401(4)", 'CASE DATA'!E5="124.401(1)(b)", 'CASE DATA'!E5="124.401(1)(c)", 'CASE DATA'!E5="124.401D(2)(b)", 'CASE DATA'!E5="124.401D(2)(c)", 'CASE DATA'!E5="124.406(1)(a)", 'CASE DATA'!E5="124.406(1)(b) ", 'CASE DATA'!E5="124.406(2)(a)", 'CASE DATA'!E5="124.406(2)(b) ", 'CASE DATA'!E5="124.406(3)", 'CASE DATA'!E5="124.406A ", 'CASE DATA'!E5="124.407(2)(a)", 'CASE DATA'!E5="124B.9(1)", 'CASE DATA'!E5="124B.9(2)", 'CASE DATA'!E5="321J.2(2)(c)", 'CASE DATA'!E5="453B.12(2)", 'CASE DATA'!E5="453B.12(3)", 'CASE DATA'!E5="453B.12(4)", 'CASE DATA'!E5="462A.14(2)(c)", 'CASE DATA'!E5="462A.14(2)(d)", 'CASE DATA'!E5="462A.14(2)(e)", 'CASE DATA'!E5="705.1(2)", 'CASE DATA'!E5="706.3(1)", 'CASE DATA'!E5="706.3(2)", 'CASE DATA'!E5="706A.2(1)", 'CASE DATA'!E5="706A.2(2)", 'CASE DATA'!E5="706A.2(4)", 'CASE DATA'!E5="706B.2(1)(a)", 'CASE DATA'!E5="706B.2(1)(b)", 'CASE DATA'!E5="706B.2(1)(c)", 'CASE DATA'!E5="706B.2(1)(d)", 'CASE DATA'!E5="707.2", 'CASE DATA'!E5="707.3", 'CASE DATA'!E5="707.3A", 'CASE DATA'!E5="707.4", 'CASE DATA'!E5="707.5(1)(a)", 'CASE DATA'!E5="707.6A(1)", 'CASE DATA'!E5="707.6A(2)", 'CASE DATA'!E5="707.6A(3)", 'CASE DATA'!E5="707.6A(4)", 'CASE DATA'!E5="707.7(1)", 'CASE DATA'!E5="707.7(3)", 'CASE DATA'!E5="707.7(2)", 'CASE DATA'!E5="707.8(1)", 'CASE DATA'!E5="707.8(2)", 'CASE DATA'!E5="707.8(3)", 'CASE DATA'!E5="707.8(4)", 'CASE DATA'!E5="707.8(5)", 'CASE DATA'!E5="707.8(6)", 'CASE DATA'!E5="707.9", 'CASE DATA'!E5="707.11", 'CASE DATA'!E5="707A.2", 'CASE DATA'!E5="708.2(4)", 'CASE DATA'!E5="708.2(5)", 'CASE DATA'!E5="708.2A(4)", 'CASE DATA'!E5="708.2A(5)", 'CASE DATA'!E5="708.2C(2)", 'CASE DATA'!E5="708.2C(4)", 'CASE DATA'!E5="708.3(1)", 'CASE DATA'!E5="708.3(2)", 'CASE DATA'!E5="708.3A(1)", 'CASE DATA'!E5="708.3A(2)", 'CASE DATA'!E5="708.3B", 'CASE DATA'!E5="708.4(1)", 'CASE DATA'!E5="708.4(2)", 'CASE DATA'!E5="708.5", 'CASE DATA'!E5="708.8", 'CASE DATA'!E5="708.11(3)(a)", 'CASE DATA'!E5="708.11(3)(b)", 'CASE DATA'!E5="708.12(3)(f)", 'CASE DATA'!E5="708.13(3)", 'CASE DATA'!E5="708.14", 'CASE DATA'!E5="708A.2", 'CASE DATA'!E5="708A.4(1)", 'CASE DATA'!E5="708A.4(2)", 'CASE DATA'!E5="708A.5", 'CASE DATA'!E5="708A.6(1)", 'CASE DATA'!E5="708.A.6(2)", 'CASE DATA'!E5="709.2", 'CASE DATA'!E5="709.3", 'CASE DATA'!E5="709.4", 'CASE DATA'!E5="709.8(1)(a)", 'CASE DATA'!E5="709.8(1)(b)", 'CASE DATA'!E5="709.8(1)(c)", 'CASE DATA'!E5="709.8(1)(d)", 'CASE DATA'!E5="709.8(1)(e)", 'CASE DATA'!E5="709.11(1)", 'CASE DATA'!E5="709.11(2)", 'CASE DATA'!E5="709.15(2)(a)(1)", 'CASE DATA'!E5="709.15(3)(a)(1)", 'CASE DATA'!E5="709.18", 'CASE DATA'!E5="709A.6(2)", 'CASE DATA'!E5="709D.3(1)", 'CASE DATA'!E5="709D.3(2)", 'CASE DATA'!E5="709.D.3(3)", 'CASE DATA'!E5="710.2", 'CASE DATA'!E5="710.3", 'CASE DATA'!E5="710.4", 'CASE DATA'!E5="710.5", 'CASE DATA'!E5="710.10(1)", 'CASE DATA'!E5="710.10(2)", 'CASE DATA'!E5="710.10(3)", 'CASE DATA'!E5="710.11", 'CASE DATA'!E5="710A.2(1)", 'CASE DATA'!E5="710A.2(2)", 'CASE DATA'!E5="710A.2(3)", 'CASE DATA'!E5="710A.2(4)", 'CASE DATA'!E5="710A.2(5)", 'CASE DATA'!E5="710A.2(6)", 'CASE DATA'!E5="710A.2(7)", 'CASE DATA'!E5="710A.2A", 'CASE DATA'!E5="711.2", 'CASE DATA'!E5="711.3", 'CASE DATA'!E5="711.4", 'CASE DATA'!E5="712.2", 'CASE DATA'!E5="712.3", 'CASE DATA'!E5="712.6(1)", 'CASE DATA'!E5="712.7", 'CASE DATA'!E5="712.8", 'CASE DATA'!E5="", 'CASE DATA'!E5="713.3", 'CASE DATA'!E5="713.4", 'CASE DATA'!E5="713.5", 'CASE DATA'!E5="713.6", 'CASE DATA'!E5="713.6A(1)", 'CASE DATA'!E5="714.2(1)", 'CASE DATA'!E5="714.2(2)", 'CASE DATA'!E5="714.3A(2)(b)", 'CASE DATA'!E5="714.9", 'CASE DATA'!E5="714.10", 'CASE DATA'!E5="714.26(2)(a)", 'CASE DATA'!E5="714.26(2)(b)", 'CASE DATA'!E5="715A.2(2)(a)", 'CASE DATA'!E5="715A.6(2)(a)", 'CASE DATA'!E5="715A.6(2)(b)", 'CASE DATA'!E5="715A.8(3)(a)", 'CASE DATA'!E5="715A.8(3)(b)", 'CASE DATA'!E5="715A.10(1)", 'CASE DATA'!E5="715A.10(2)", 'CASE DATA'!E5="716.3", 'CASE DATA'!E5="716.4", 'CASE DATA'!E5="716.8(6)", 'CASE DATA'!E5="716.10(2)(a)", 'CASE DATA'!E5="716.10(2)(b)", 'CASE DATA'!E5="716.10(2)(c)", 'CASE DATA'!E5="716.10(2)(d)", 'CASE DATA'!E5="716.12", 'CASE DATA'!E5="719.1(1)(f)", 'CASE DATA'!E5="719.1(2)(e)", 'CASE DATA'!E5="719.1(2)(f)", 'CASE DATA'!E5="719.1(2)(g)", 'CASE DATA'!E5="719.4(1)", 'CASE DATA'!E5="719.4(4)", 'CASE DATA'!E5="719.5(1)", 'CASE DATA'!E5="719.5(2)", 'CASE DATA'!E5="719.6(1)", 'CASE DATA'!E5="719.6(2)", 'CASE DATA'!E5="719.7(4)(a)", 'CASE DATA'!E5="719.7(4)(b)", 'CASE DATA'!E5="719.7A(3)", 'CASE DATA'!E5="719.9", 'CASE DATA'!E5="719.8", 'CASE DATA'!E5="720.2", 'CASE DATA'!E5="720.3", 'CASE DATA'!E5="721.1", 'CASE DATA'!E5="722.1", 'CASE DATA'!E5="", 'CASE DATA'!E5="722.2", 'CASE DATA'!E5="722.10", 'CASE DATA'!E5="723(5)(3)(c)", 'CASE DATA'!E5="723A.2", 'CASE DATA'!E5="723A.3(1)", 'CASE DATA'!E5="723A.3(2)", 'CASE DATA'!E5="724.1B", 'CASE DATA'!E5="724.1C", 'CASE DATA'!E5="724.3", 'CASE DATA'!E5="724.4B", 'CASE DATA'!E5="724.10", 'CASE DATA'!E5="724.16(2)", 'CASE DATA'!E5="724.16A(1)(a)", 'CASE DATA'!E5="724.16A(1)(b)", 'CASE DATA'!E5="724.17", 'CASE DATA'!E5="724.21", 'CASE DATA'!E5="724.26(1)", 'CASE DATA'!E5="922(g)(8)", 'CASE DATA'!E5="724.29A(2)", 'CASE DATA'!E5="724.29A(3)", 'CASE DATA'!E5="724.30(1)", 'CASE DATA'!E5="724.30(2)", 'CASE DATA'!E5="725.1(2)(b)", 'CASE DATA'!E5="725.2(1)", 'CASE DATA'!E5="725.2(2)", 'CASE DATA'!E5="725.3(2)", 'CASE DATA'!E5="725.3(1)", 'CASE DATA'!E5="725.7(2)(a)(3)", 'CASE DATA'!E5="725.7(2)(a)(4)", 'CASE DATA'!E5="725.7(2)(b)(2)", 'CASE DATA'!E5="725.7(2)(b(3)", 'CASE DATA'!E5="726.7(2)(c)(1)", 'CASE DATA'!E5="726.7(2)(c)(2)", 'CASE DATA'!E5="725.7(2)(d)", 'CASE DATA'!E5="726.2", 'CASE DATA'!E5="726.3", 'CASE DATA'!E5="726.5", 'CASE DATA'!E5="726.6(4)", 'CASE DATA'!E5="726.6(5)", 'CASE DATA'!E5="726.6(6)", 'CASE DATA'!E5="726.6A", 'CASE DATA'!E5="726.7(2)", 'CASE DATA'!E5="726.8(2)", 'CASE DATA'!E5="728.12(1)", 'CASE DATA'!E5="728.12(2)"),"felony","eligible"),"N/A")</f>
        <v>N/A</v>
      </c>
      <c r="M4" s="185" t="str">
        <f>IF(L4="eligible",IF(OR('CASE DATA'!E5="123.46",'CASE DATA'!E5="123.47",'CASE DATA'!E5="235B.20",'CASE DATA'!E5="321.218",'CASE DATA'!E5="321A.32",'CASE DATA'!E5="321J.21",'CASE DATA'!E5="321J.2",'CASE DATA'!E5="707.5",'CASE DATA'!E5="708.2(3)",'CASE DATA'!E5="708.2A",'CASE DATA'!E5="708.7",'CASE DATA'!E5="708.11",'CASE DATA'!E5="708.12",'CASE DATA'!E5="716.8(3)",'CASE DATA'!E5="716.8(4)", LEFT('CASE DATA'!E5,4)="717C", LEFT('CASE DATA'!E5, 3)="719", LEFT('CASE DATA'!E5,3)="720", 'CASE DATA'!E5="721.2", 'CASE DATA'!E5="721.10", 'CASE DATA'!E5="723.1", LEFT('CASE DATA'!E5,3)="724", LEFT('CASE DATA'!E5,3)="726", LEFT('CASE DATA'!E5,3)="728", LEFT('CASE DATA'!E5,4)="901A"),"ineligible misd", "eligible"),"N/A")</f>
        <v>N/A</v>
      </c>
      <c r="N4" s="185" t="str">
        <f>IF(L4="eligible",IF(COUNTIF('CASE DATA'!$C$4:$C$200, "")-COUNTIF('CASE DATA'!$A$4:$A$200, "")&gt;0, "YES","NO"),"N/A")</f>
        <v>N/A</v>
      </c>
      <c r="O4" s="185" t="str">
        <f xml:space="preserve"> IF(M4="eligible",'CASE DATA'!K5,"N/A")</f>
        <v>N/A</v>
      </c>
      <c r="P4" s="185" t="str">
        <f xml:space="preserve"> IF(M4="eligible",'CASE DATA'!I5+'CASE DATA'!J5+'CASE DATA'!L5+'CASE DATA'!M5+'CASE DATA'!N5+'CASE DATA'!O5+'CASE DATA'!M5+'CASE DATA'!Q5+'CASE DATA'!R5,"N/A")</f>
        <v>N/A</v>
      </c>
      <c r="Q4" s="11" t="str">
        <f>IF(M4="eligible",IF(C4+730.5&lt;'BASIC INFO'!$B$3, "YES", "NO"),"N/A")</f>
        <v>N/A</v>
      </c>
      <c r="R4" s="186" t="str">
        <f xml:space="preserve"> IF(OR('CASE DATA'!F5="DEF"), "YES", "NO")</f>
        <v>NO</v>
      </c>
      <c r="S4" s="162" t="str">
        <f>IF(R4="YES",'CASE DATA'!H5,"N/A")</f>
        <v>N/A</v>
      </c>
      <c r="T4" s="185" t="str">
        <f xml:space="preserve"> IF(R4="YES",'CASE DATA'!K5,"N/A")</f>
        <v>N/A</v>
      </c>
      <c r="U4" s="185" t="str">
        <f>IF(R4="YES",'CASE DATA'!I5+'CASE DATA'!J5+'CASE DATA'!L5+'CASE DATA'!M5+'CASE DATA'!N5+'CASE DATA'!O5+'CASE DATA'!P5+'CASE DATA'!Q5+'CASE DATA'!R5,"N/A")</f>
        <v>N/A</v>
      </c>
      <c r="V4" s="189" t="str">
        <f>IF(OR('CASE DATA'!E5="123.46",'CASE DATA'!E5="123.47"),"YES","NO")</f>
        <v>NO</v>
      </c>
      <c r="W4" s="189"/>
      <c r="X4" s="185" t="str">
        <f>IF(V4="YES",IF(C4+730.5&lt;'BASIC INFO'!$B$3, "YES","NO"), "N/A")</f>
        <v>N/A</v>
      </c>
      <c r="Y4" s="189" t="str">
        <f t="shared" ref="Y4:Y67" si="0">V4</f>
        <v>NO</v>
      </c>
      <c r="Z4" s="187" t="str">
        <f xml:space="preserve"> IF('BASIC INFO'!$B$6+6574.5&gt;C4, "YES", "NO")</f>
        <v>YES</v>
      </c>
      <c r="AA4" s="184"/>
    </row>
    <row r="5" spans="1:27" x14ac:dyDescent="0.25">
      <c r="A5" s="162">
        <f xml:space="preserve"> 'CASE DATA'!A6</f>
        <v>0</v>
      </c>
      <c r="B5" s="162">
        <f xml:space="preserve"> 'CASE DATA'!E6</f>
        <v>0</v>
      </c>
      <c r="C5" s="163">
        <f xml:space="preserve"> 'CASE DATA'!C6</f>
        <v>0</v>
      </c>
      <c r="D5" s="11" t="str">
        <f xml:space="preserve"> IF(OR('CASE DATA'!F6="JUV", 'CASE DATA'!F6="JWV"), "YES", "NO")</f>
        <v>NO</v>
      </c>
      <c r="E5" s="11"/>
      <c r="F5" s="11" t="str">
        <f>IF(D5="YES",IF(COUNTIF('CASE DATA'!$C$4:$C$200, "")-COUNTIF('CASE DATA'!$A$4:$A$200, "")&gt;0, "YES","NO"),"N/A")</f>
        <v>N/A</v>
      </c>
      <c r="G5" s="164" t="str">
        <f xml:space="preserve"> _xlfn.IFS(D5="NO", "N/A", AND('BASIC INFO'!$B$3&gt;'BASIC INFO'!$B$6+6574.5, C5+730.5&lt;'BASIC INFO'!$B$3), "YES", 'BASIC INFO'!$B$3&lt;('BASIC INFO'!$B$6+6574.5), "NOT YET 18", C5+730.5&gt;'BASIC INFO'!$B$3, "NOT YET 2 YEARS")</f>
        <v>N/A</v>
      </c>
      <c r="H5" s="186" t="str">
        <f xml:space="preserve"> IF(LEFT('CASE DATA'!E6,4)&lt;&gt;"321.",IF(OR('CASE DATA'!F6="DISM", 'CASE DATA'!F6="ACQ", 'CASE DATA'!F6="NOTF", 'CASE DATA'!F6="WTHD", 'CASE DATA'!F6="TNSF"), "YES", "NO"), "TRAFFIC")</f>
        <v>NO</v>
      </c>
      <c r="I5" s="185" t="str">
        <f xml:space="preserve"> IF(H5="YES",'CASE DATA'!K6,"N/A")</f>
        <v>N/A</v>
      </c>
      <c r="J5" s="185" t="str">
        <f>IF(H5="YES",'CASE DATA'!I6+'CASE DATA'!J6+'CASE DATA'!L6+'CASE DATA'!M6+'CASE DATA'!N6+'CASE DATA'!O6+'CASE DATA'!P6+'CASE DATA'!Q6+'CASE DATA'!R6,"N/A")</f>
        <v>N/A</v>
      </c>
      <c r="K5" s="162" t="str">
        <f xml:space="preserve"> IF(H5="YES",IF(C5+180&lt;'BASIC INFO'!$B$3, "YES", "NO"),"N/A")</f>
        <v>N/A</v>
      </c>
      <c r="L5" s="185" t="str">
        <f>IF(OR('CASE DATA'!F6="GTR", 'CASE DATA'!F6="GPL"),IF(OR('CASE DATA'!E6="81.6(2)", 'CASE DATA'!E6="99F.15(6)(b)(1)", 'CASE DATA'!E6= "124.401(1)(a)", 'CASE DATA'!E6= "124.401(1)(b)", 'CASE DATA'!E6= "124.401(1)(c)", 'CASE DATA'!E6= "124.401(1)(d)", 'CASE DATA'!E6="124.401(4)", 'CASE DATA'!E6="124.401(1)(b)", 'CASE DATA'!E6="124.401(1)(c)", 'CASE DATA'!E6="124.401D(2)(b)", 'CASE DATA'!E6="124.401D(2)(c)", 'CASE DATA'!E6="124.406(1)(a)", 'CASE DATA'!E6="124.406(1)(b) ", 'CASE DATA'!E6="124.406(2)(a)", 'CASE DATA'!E6="124.406(2)(b) ", 'CASE DATA'!E6="124.406(3)", 'CASE DATA'!E6="124.406A ", 'CASE DATA'!E6="124.407(2)(a)", 'CASE DATA'!E6="124B.9(1)", 'CASE DATA'!E6="124B.9(2)", 'CASE DATA'!E6="321J.2(2)(c)", 'CASE DATA'!E6="453B.12(2)", 'CASE DATA'!E6="453B.12(3)", 'CASE DATA'!E6="453B.12(4)", 'CASE DATA'!E6="462A.14(2)(c)", 'CASE DATA'!E6="462A.14(2)(d)", 'CASE DATA'!E6="462A.14(2)(e)", 'CASE DATA'!E6="705.1(2)", 'CASE DATA'!E6="706.3(1)", 'CASE DATA'!E6="706.3(2)", 'CASE DATA'!E6="706A.2(1)", 'CASE DATA'!E6="706A.2(2)", 'CASE DATA'!E6="706A.2(4)", 'CASE DATA'!E6="706B.2(1)(a)", 'CASE DATA'!E6="706B.2(1)(b)", 'CASE DATA'!E6="706B.2(1)(c)", 'CASE DATA'!E6="706B.2(1)(d)", 'CASE DATA'!E6="707.2", 'CASE DATA'!E6="707.3", 'CASE DATA'!E6="707.3A", 'CASE DATA'!E6="707.4", 'CASE DATA'!E6="707.5(1)(a)", 'CASE DATA'!E6="707.6A(1)", 'CASE DATA'!E6="707.6A(2)", 'CASE DATA'!E6="707.6A(3)", 'CASE DATA'!E6="707.6A(4)", 'CASE DATA'!E6="707.7(1)", 'CASE DATA'!E6="707.7(3)", 'CASE DATA'!E6="707.7(2)", 'CASE DATA'!E6="707.8(1)", 'CASE DATA'!E6="707.8(2)", 'CASE DATA'!E6="707.8(3)", 'CASE DATA'!E6="707.8(4)", 'CASE DATA'!E6="707.8(5)", 'CASE DATA'!E6="707.8(6)", 'CASE DATA'!E6="707.9", 'CASE DATA'!E6="707.11", 'CASE DATA'!E6="707A.2", 'CASE DATA'!E6="708.2(4)", 'CASE DATA'!E6="708.2(5)", 'CASE DATA'!E6="708.2A(4)", 'CASE DATA'!E6="708.2A(5)", 'CASE DATA'!E6="708.2C(2)", 'CASE DATA'!E6="708.2C(4)", 'CASE DATA'!E6="708.3(1)", 'CASE DATA'!E6="708.3(2)", 'CASE DATA'!E6="708.3A(1)", 'CASE DATA'!E6="708.3A(2)", 'CASE DATA'!E6="708.3B", 'CASE DATA'!E6="708.4(1)", 'CASE DATA'!E6="708.4(2)", 'CASE DATA'!E6="708.5", 'CASE DATA'!E6="708.8", 'CASE DATA'!E6="708.11(3)(a)", 'CASE DATA'!E6="708.11(3)(b)", 'CASE DATA'!E6="708.12(3)(f)", 'CASE DATA'!E6="708.13(3)", 'CASE DATA'!E6="708.14", 'CASE DATA'!E6="708A.2", 'CASE DATA'!E6="708A.4(1)", 'CASE DATA'!E6="708A.4(2)", 'CASE DATA'!E6="708A.5", 'CASE DATA'!E6="708A.6(1)", 'CASE DATA'!E6="708.A.6(2)", 'CASE DATA'!E6="709.2", 'CASE DATA'!E6="709.3", 'CASE DATA'!E6="709.4", 'CASE DATA'!E6="709.8(1)(a)", 'CASE DATA'!E6="709.8(1)(b)", 'CASE DATA'!E6="709.8(1)(c)", 'CASE DATA'!E6="709.8(1)(d)", 'CASE DATA'!E6="709.8(1)(e)", 'CASE DATA'!E6="709.11(1)", 'CASE DATA'!E6="709.11(2)", 'CASE DATA'!E6="709.15(2)(a)(1)", 'CASE DATA'!E6="709.15(3)(a)(1)", 'CASE DATA'!E6="709.18", 'CASE DATA'!E6="709A.6(2)", 'CASE DATA'!E6="709D.3(1)", 'CASE DATA'!E6="709D.3(2)", 'CASE DATA'!E6="709.D.3(3)", 'CASE DATA'!E6="710.2", 'CASE DATA'!E6="710.3", 'CASE DATA'!E6="710.4", 'CASE DATA'!E6="710.5", 'CASE DATA'!E6="710.10(1)", 'CASE DATA'!E6="710.10(2)", 'CASE DATA'!E6="710.10(3)", 'CASE DATA'!E6="710.11", 'CASE DATA'!E6="710A.2(1)", 'CASE DATA'!E6="710A.2(2)", 'CASE DATA'!E6="710A.2(3)", 'CASE DATA'!E6="710A.2(4)", 'CASE DATA'!E6="710A.2(5)", 'CASE DATA'!E6="710A.2(6)", 'CASE DATA'!E6="710A.2(7)", 'CASE DATA'!E6="710A.2A", 'CASE DATA'!E6="711.2", 'CASE DATA'!E6="711.3", 'CASE DATA'!E6="711.4", 'CASE DATA'!E6="712.2", 'CASE DATA'!E6="712.3", 'CASE DATA'!E6="712.6(1)", 'CASE DATA'!E6="712.7", 'CASE DATA'!E6="712.8", 'CASE DATA'!E6="", 'CASE DATA'!E6="713.3", 'CASE DATA'!E6="713.4", 'CASE DATA'!E6="713.5", 'CASE DATA'!E6="713.6", 'CASE DATA'!E6="713.6A(1)", 'CASE DATA'!E6="714.2(1)", 'CASE DATA'!E6="714.2(2)", 'CASE DATA'!E6="714.3A(2)(b)", 'CASE DATA'!E6="714.9", 'CASE DATA'!E6="714.10", 'CASE DATA'!E6="714.26(2)(a)", 'CASE DATA'!E6="714.26(2)(b)", 'CASE DATA'!E6="715A.2(2)(a)", 'CASE DATA'!E6="715A.6(2)(a)", 'CASE DATA'!E6="715A.6(2)(b)", 'CASE DATA'!E6="715A.8(3)(a)", 'CASE DATA'!E6="715A.8(3)(b)", 'CASE DATA'!E6="715A.10(1)", 'CASE DATA'!E6="715A.10(2)", 'CASE DATA'!E6="716.3", 'CASE DATA'!E6="716.4", 'CASE DATA'!E6="716.8(6)", 'CASE DATA'!E6="716.10(2)(a)", 'CASE DATA'!E6="716.10(2)(b)", 'CASE DATA'!E6="716.10(2)(c)", 'CASE DATA'!E6="716.10(2)(d)", 'CASE DATA'!E6="716.12", 'CASE DATA'!E6="719.1(1)(f)", 'CASE DATA'!E6="719.1(2)(e)", 'CASE DATA'!E6="719.1(2)(f)", 'CASE DATA'!E6="719.1(2)(g)", 'CASE DATA'!E6="719.4(1)", 'CASE DATA'!E6="719.4(4)", 'CASE DATA'!E6="719.5(1)", 'CASE DATA'!E6="719.5(2)", 'CASE DATA'!E6="719.6(1)", 'CASE DATA'!E6="719.6(2)", 'CASE DATA'!E6="719.7(4)(a)", 'CASE DATA'!E6="719.7(4)(b)", 'CASE DATA'!E6="719.7A(3)", 'CASE DATA'!E6="719.9", 'CASE DATA'!E6="719.8", 'CASE DATA'!E6="720.2", 'CASE DATA'!E6="720.3", 'CASE DATA'!E6="721.1", 'CASE DATA'!E6="722.1", 'CASE DATA'!E6="", 'CASE DATA'!E6="722.2", 'CASE DATA'!E6="722.10", 'CASE DATA'!E6="723(5)(3)(c)", 'CASE DATA'!E6="723A.2", 'CASE DATA'!E6="723A.3(1)", 'CASE DATA'!E6="723A.3(2)", 'CASE DATA'!E6="724.1B", 'CASE DATA'!E6="724.1C", 'CASE DATA'!E6="724.3", 'CASE DATA'!E6="724.4B", 'CASE DATA'!E6="724.10", 'CASE DATA'!E6="724.16(2)", 'CASE DATA'!E6="724.16A(1)(a)", 'CASE DATA'!E6="724.16A(1)(b)", 'CASE DATA'!E6="724.17", 'CASE DATA'!E6="724.21", 'CASE DATA'!E6="724.26(1)", 'CASE DATA'!E6="922(g)(8)", 'CASE DATA'!E6="724.29A(2)", 'CASE DATA'!E6="724.29A(3)", 'CASE DATA'!E6="724.30(1)", 'CASE DATA'!E6="724.30(2)", 'CASE DATA'!E6="725.1(2)(b)", 'CASE DATA'!E6="725.2(1)", 'CASE DATA'!E6="725.2(2)", 'CASE DATA'!E6="725.3(2)", 'CASE DATA'!E6="725.3(1)", 'CASE DATA'!E6="725.7(2)(a)(3)", 'CASE DATA'!E6="725.7(2)(a)(4)", 'CASE DATA'!E6="725.7(2)(b)(2)", 'CASE DATA'!E6="725.7(2)(b(3)", 'CASE DATA'!E6="726.7(2)(c)(1)", 'CASE DATA'!E6="726.7(2)(c)(2)", 'CASE DATA'!E6="725.7(2)(d)", 'CASE DATA'!E6="726.2", 'CASE DATA'!E6="726.3", 'CASE DATA'!E6="726.5", 'CASE DATA'!E6="726.6(4)", 'CASE DATA'!E6="726.6(5)", 'CASE DATA'!E6="726.6(6)", 'CASE DATA'!E6="726.6A", 'CASE DATA'!E6="726.7(2)", 'CASE DATA'!E6="726.8(2)", 'CASE DATA'!E6="728.12(1)", 'CASE DATA'!E6="728.12(2)"),"felony","eligible"),"N/A")</f>
        <v>N/A</v>
      </c>
      <c r="M5" s="185" t="str">
        <f>IF(L5="eligible",IF(OR('CASE DATA'!E6="123.46",'CASE DATA'!E6="123.47",'CASE DATA'!E6="235B.20",'CASE DATA'!E6="321.218",'CASE DATA'!E6="321A.32",'CASE DATA'!E6="321J.21",'CASE DATA'!E6="321J.2",'CASE DATA'!E6="707.5",'CASE DATA'!E6="708.2(3)",'CASE DATA'!E6="708.2A",'CASE DATA'!E6="708.7",'CASE DATA'!E6="708.11",'CASE DATA'!E6="708.12",'CASE DATA'!E6="716.8(3)",'CASE DATA'!E6="716.8(4)", LEFT('CASE DATA'!E6,4)="717C", LEFT('CASE DATA'!E6, 3)="719", LEFT('CASE DATA'!E6,3)="720", 'CASE DATA'!E6="721.2", 'CASE DATA'!E6="721.10", 'CASE DATA'!E6="723.1", LEFT('CASE DATA'!E6,3)="724", LEFT('CASE DATA'!E6,3)="726", LEFT('CASE DATA'!E6,3)="728", LEFT('CASE DATA'!E6,4)="901A"),"ineligible misd", "eligible"),"N/A")</f>
        <v>N/A</v>
      </c>
      <c r="N5" s="185" t="str">
        <f>IF(L5="eligible",IF(COUNTIF('CASE DATA'!$C$4:$C$200, "")-COUNTIF('CASE DATA'!$A$4:$A$200, "")&gt;0, "YES","NO"),"N/A")</f>
        <v>N/A</v>
      </c>
      <c r="O5" s="185" t="str">
        <f xml:space="preserve"> IF(M5="eligible",'CASE DATA'!K6,"N/A")</f>
        <v>N/A</v>
      </c>
      <c r="P5" s="185" t="str">
        <f xml:space="preserve"> IF(M5="eligible",'CASE DATA'!I6+'CASE DATA'!J6+'CASE DATA'!L6+'CASE DATA'!M6+'CASE DATA'!N6+'CASE DATA'!O6+'CASE DATA'!M6+'CASE DATA'!Q6+'CASE DATA'!R6,"N/A")</f>
        <v>N/A</v>
      </c>
      <c r="Q5" s="11" t="str">
        <f>IF(M5="eligible",IF(C5+730.5&lt;'BASIC INFO'!$B$3, "YES", "NO"),"N/A")</f>
        <v>N/A</v>
      </c>
      <c r="R5" s="186" t="str">
        <f xml:space="preserve"> IF(OR('CASE DATA'!F6="DEF"), "YES", "NO")</f>
        <v>NO</v>
      </c>
      <c r="S5" s="162" t="str">
        <f>IF(R5="YES",'CASE DATA'!H6,"N/A")</f>
        <v>N/A</v>
      </c>
      <c r="T5" s="185" t="str">
        <f xml:space="preserve"> IF(R5="YES",'CASE DATA'!K6,"N/A")</f>
        <v>N/A</v>
      </c>
      <c r="U5" s="185" t="str">
        <f>IF(R5="YES",'CASE DATA'!I6+'CASE DATA'!J6+'CASE DATA'!L6+'CASE DATA'!M6+'CASE DATA'!N6+'CASE DATA'!O6+'CASE DATA'!P6+'CASE DATA'!Q6+'CASE DATA'!R6,"N/A")</f>
        <v>N/A</v>
      </c>
      <c r="V5" s="189" t="str">
        <f>IF(OR('CASE DATA'!E6="123.46",'CASE DATA'!E6="123.47"),"YES","NO")</f>
        <v>NO</v>
      </c>
      <c r="W5" s="189"/>
      <c r="X5" s="185" t="str">
        <f>IF(V5="YES",IF(C5+730.5&lt;'BASIC INFO'!$B$3, "YES","NO"), "N/A")</f>
        <v>N/A</v>
      </c>
      <c r="Y5" s="189" t="str">
        <f t="shared" si="0"/>
        <v>NO</v>
      </c>
      <c r="Z5" s="187" t="str">
        <f xml:space="preserve"> IF('BASIC INFO'!$B$6+6574.5&gt;C5, "YES", "NO")</f>
        <v>YES</v>
      </c>
      <c r="AA5" s="184"/>
    </row>
    <row r="6" spans="1:27" x14ac:dyDescent="0.25">
      <c r="A6" s="162">
        <f xml:space="preserve"> 'CASE DATA'!A7</f>
        <v>0</v>
      </c>
      <c r="B6" s="162">
        <f xml:space="preserve"> 'CASE DATA'!E7</f>
        <v>0</v>
      </c>
      <c r="C6" s="163">
        <f xml:space="preserve"> 'CASE DATA'!C7</f>
        <v>0</v>
      </c>
      <c r="D6" s="11" t="str">
        <f xml:space="preserve"> IF(OR('CASE DATA'!F7="JUV", 'CASE DATA'!F7="JWV"), "YES", "NO")</f>
        <v>NO</v>
      </c>
      <c r="E6" s="11"/>
      <c r="F6" s="11" t="str">
        <f>IF(D6="YES",IF(COUNTIF('CASE DATA'!$C$4:$C$200, "")-COUNTIF('CASE DATA'!$A$4:$A$200, "")&gt;0, "YES","NO"),"N/A")</f>
        <v>N/A</v>
      </c>
      <c r="G6" s="164" t="str">
        <f xml:space="preserve"> _xlfn.IFS(D6="NO", "N/A", AND('BASIC INFO'!$B$3&gt;'BASIC INFO'!$B$6+6574.5, C6+730.5&lt;'BASIC INFO'!$B$3), "YES", 'BASIC INFO'!$B$3&lt;('BASIC INFO'!$B$6+6574.5), "NOT YET 18", C6+730.5&gt;'BASIC INFO'!$B$3, "NOT YET 2 YEARS")</f>
        <v>N/A</v>
      </c>
      <c r="H6" s="186" t="str">
        <f xml:space="preserve"> IF(LEFT('CASE DATA'!E7,4)&lt;&gt;"321.",IF(OR('CASE DATA'!F7="DISM", 'CASE DATA'!F7="ACQ", 'CASE DATA'!F7="NOTF", 'CASE DATA'!F7="WTHD", 'CASE DATA'!F7="TNSF"), "YES", "NO"), "TRAFFIC")</f>
        <v>NO</v>
      </c>
      <c r="I6" s="185" t="str">
        <f xml:space="preserve"> IF(H6="YES",'CASE DATA'!K7,"N/A")</f>
        <v>N/A</v>
      </c>
      <c r="J6" s="185" t="str">
        <f>IF(H6="YES",'CASE DATA'!I7+'CASE DATA'!J7+'CASE DATA'!L7+'CASE DATA'!M7+'CASE DATA'!N7+'CASE DATA'!O7+'CASE DATA'!P7+'CASE DATA'!Q7+'CASE DATA'!R7,"N/A")</f>
        <v>N/A</v>
      </c>
      <c r="K6" s="162" t="str">
        <f xml:space="preserve"> IF(H6="YES",IF(C6+180&lt;'BASIC INFO'!$B$3, "YES", "NO"),"N/A")</f>
        <v>N/A</v>
      </c>
      <c r="L6" s="185" t="str">
        <f>IF(OR('CASE DATA'!F7="GTR", 'CASE DATA'!F7="GPL"),IF(OR('CASE DATA'!E7="81.6(2)", 'CASE DATA'!E7="99F.15(6)(b)(1)", 'CASE DATA'!E7= "124.401(1)(a)", 'CASE DATA'!E7= "124.401(1)(b)", 'CASE DATA'!E7= "124.401(1)(c)", 'CASE DATA'!E7= "124.401(1)(d)", 'CASE DATA'!E7="124.401(4)", 'CASE DATA'!E7="124.401(1)(b)", 'CASE DATA'!E7="124.401(1)(c)", 'CASE DATA'!E7="124.401D(2)(b)", 'CASE DATA'!E7="124.401D(2)(c)", 'CASE DATA'!E7="124.406(1)(a)", 'CASE DATA'!E7="124.406(1)(b) ", 'CASE DATA'!E7="124.406(2)(a)", 'CASE DATA'!E7="124.406(2)(b) ", 'CASE DATA'!E7="124.406(3)", 'CASE DATA'!E7="124.406A ", 'CASE DATA'!E7="124.407(2)(a)", 'CASE DATA'!E7="124B.9(1)", 'CASE DATA'!E7="124B.9(2)", 'CASE DATA'!E7="321J.2(2)(c)", 'CASE DATA'!E7="453B.12(2)", 'CASE DATA'!E7="453B.12(3)", 'CASE DATA'!E7="453B.12(4)", 'CASE DATA'!E7="462A.14(2)(c)", 'CASE DATA'!E7="462A.14(2)(d)", 'CASE DATA'!E7="462A.14(2)(e)", 'CASE DATA'!E7="705.1(2)", 'CASE DATA'!E7="706.3(1)", 'CASE DATA'!E7="706.3(2)", 'CASE DATA'!E7="706A.2(1)", 'CASE DATA'!E7="706A.2(2)", 'CASE DATA'!E7="706A.2(4)", 'CASE DATA'!E7="706B.2(1)(a)", 'CASE DATA'!E7="706B.2(1)(b)", 'CASE DATA'!E7="706B.2(1)(c)", 'CASE DATA'!E7="706B.2(1)(d)", 'CASE DATA'!E7="707.2", 'CASE DATA'!E7="707.3", 'CASE DATA'!E7="707.3A", 'CASE DATA'!E7="707.4", 'CASE DATA'!E7="707.5(1)(a)", 'CASE DATA'!E7="707.6A(1)", 'CASE DATA'!E7="707.6A(2)", 'CASE DATA'!E7="707.6A(3)", 'CASE DATA'!E7="707.6A(4)", 'CASE DATA'!E7="707.7(1)", 'CASE DATA'!E7="707.7(3)", 'CASE DATA'!E7="707.7(2)", 'CASE DATA'!E7="707.8(1)", 'CASE DATA'!E7="707.8(2)", 'CASE DATA'!E7="707.8(3)", 'CASE DATA'!E7="707.8(4)", 'CASE DATA'!E7="707.8(5)", 'CASE DATA'!E7="707.8(6)", 'CASE DATA'!E7="707.9", 'CASE DATA'!E7="707.11", 'CASE DATA'!E7="707A.2", 'CASE DATA'!E7="708.2(4)", 'CASE DATA'!E7="708.2(5)", 'CASE DATA'!E7="708.2A(4)", 'CASE DATA'!E7="708.2A(5)", 'CASE DATA'!E7="708.2C(2)", 'CASE DATA'!E7="708.2C(4)", 'CASE DATA'!E7="708.3(1)", 'CASE DATA'!E7="708.3(2)", 'CASE DATA'!E7="708.3A(1)", 'CASE DATA'!E7="708.3A(2)", 'CASE DATA'!E7="708.3B", 'CASE DATA'!E7="708.4(1)", 'CASE DATA'!E7="708.4(2)", 'CASE DATA'!E7="708.5", 'CASE DATA'!E7="708.8", 'CASE DATA'!E7="708.11(3)(a)", 'CASE DATA'!E7="708.11(3)(b)", 'CASE DATA'!E7="708.12(3)(f)", 'CASE DATA'!E7="708.13(3)", 'CASE DATA'!E7="708.14", 'CASE DATA'!E7="708A.2", 'CASE DATA'!E7="708A.4(1)", 'CASE DATA'!E7="708A.4(2)", 'CASE DATA'!E7="708A.5", 'CASE DATA'!E7="708A.6(1)", 'CASE DATA'!E7="708.A.6(2)", 'CASE DATA'!E7="709.2", 'CASE DATA'!E7="709.3", 'CASE DATA'!E7="709.4", 'CASE DATA'!E7="709.8(1)(a)", 'CASE DATA'!E7="709.8(1)(b)", 'CASE DATA'!E7="709.8(1)(c)", 'CASE DATA'!E7="709.8(1)(d)", 'CASE DATA'!E7="709.8(1)(e)", 'CASE DATA'!E7="709.11(1)", 'CASE DATA'!E7="709.11(2)", 'CASE DATA'!E7="709.15(2)(a)(1)", 'CASE DATA'!E7="709.15(3)(a)(1)", 'CASE DATA'!E7="709.18", 'CASE DATA'!E7="709A.6(2)", 'CASE DATA'!E7="709D.3(1)", 'CASE DATA'!E7="709D.3(2)", 'CASE DATA'!E7="709.D.3(3)", 'CASE DATA'!E7="710.2", 'CASE DATA'!E7="710.3", 'CASE DATA'!E7="710.4", 'CASE DATA'!E7="710.5", 'CASE DATA'!E7="710.10(1)", 'CASE DATA'!E7="710.10(2)", 'CASE DATA'!E7="710.10(3)", 'CASE DATA'!E7="710.11", 'CASE DATA'!E7="710A.2(1)", 'CASE DATA'!E7="710A.2(2)", 'CASE DATA'!E7="710A.2(3)", 'CASE DATA'!E7="710A.2(4)", 'CASE DATA'!E7="710A.2(5)", 'CASE DATA'!E7="710A.2(6)", 'CASE DATA'!E7="710A.2(7)", 'CASE DATA'!E7="710A.2A", 'CASE DATA'!E7="711.2", 'CASE DATA'!E7="711.3", 'CASE DATA'!E7="711.4", 'CASE DATA'!E7="712.2", 'CASE DATA'!E7="712.3", 'CASE DATA'!E7="712.6(1)", 'CASE DATA'!E7="712.7", 'CASE DATA'!E7="712.8", 'CASE DATA'!E7="", 'CASE DATA'!E7="713.3", 'CASE DATA'!E7="713.4", 'CASE DATA'!E7="713.5", 'CASE DATA'!E7="713.6", 'CASE DATA'!E7="713.6A(1)", 'CASE DATA'!E7="714.2(1)", 'CASE DATA'!E7="714.2(2)", 'CASE DATA'!E7="714.3A(2)(b)", 'CASE DATA'!E7="714.9", 'CASE DATA'!E7="714.10", 'CASE DATA'!E7="714.26(2)(a)", 'CASE DATA'!E7="714.26(2)(b)", 'CASE DATA'!E7="715A.2(2)(a)", 'CASE DATA'!E7="715A.6(2)(a)", 'CASE DATA'!E7="715A.6(2)(b)", 'CASE DATA'!E7="715A.8(3)(a)", 'CASE DATA'!E7="715A.8(3)(b)", 'CASE DATA'!E7="715A.10(1)", 'CASE DATA'!E7="715A.10(2)", 'CASE DATA'!E7="716.3", 'CASE DATA'!E7="716.4", 'CASE DATA'!E7="716.8(6)", 'CASE DATA'!E7="716.10(2)(a)", 'CASE DATA'!E7="716.10(2)(b)", 'CASE DATA'!E7="716.10(2)(c)", 'CASE DATA'!E7="716.10(2)(d)", 'CASE DATA'!E7="716.12", 'CASE DATA'!E7="719.1(1)(f)", 'CASE DATA'!E7="719.1(2)(e)", 'CASE DATA'!E7="719.1(2)(f)", 'CASE DATA'!E7="719.1(2)(g)", 'CASE DATA'!E7="719.4(1)", 'CASE DATA'!E7="719.4(4)", 'CASE DATA'!E7="719.5(1)", 'CASE DATA'!E7="719.5(2)", 'CASE DATA'!E7="719.6(1)", 'CASE DATA'!E7="719.6(2)", 'CASE DATA'!E7="719.7(4)(a)", 'CASE DATA'!E7="719.7(4)(b)", 'CASE DATA'!E7="719.7A(3)", 'CASE DATA'!E7="719.9", 'CASE DATA'!E7="719.8", 'CASE DATA'!E7="720.2", 'CASE DATA'!E7="720.3", 'CASE DATA'!E7="721.1", 'CASE DATA'!E7="722.1", 'CASE DATA'!E7="", 'CASE DATA'!E7="722.2", 'CASE DATA'!E7="722.10", 'CASE DATA'!E7="723(5)(3)(c)", 'CASE DATA'!E7="723A.2", 'CASE DATA'!E7="723A.3(1)", 'CASE DATA'!E7="723A.3(2)", 'CASE DATA'!E7="724.1B", 'CASE DATA'!E7="724.1C", 'CASE DATA'!E7="724.3", 'CASE DATA'!E7="724.4B", 'CASE DATA'!E7="724.10", 'CASE DATA'!E7="724.16(2)", 'CASE DATA'!E7="724.16A(1)(a)", 'CASE DATA'!E7="724.16A(1)(b)", 'CASE DATA'!E7="724.17", 'CASE DATA'!E7="724.21", 'CASE DATA'!E7="724.26(1)", 'CASE DATA'!E7="922(g)(8)", 'CASE DATA'!E7="724.29A(2)", 'CASE DATA'!E7="724.29A(3)", 'CASE DATA'!E7="724.30(1)", 'CASE DATA'!E7="724.30(2)", 'CASE DATA'!E7="725.1(2)(b)", 'CASE DATA'!E7="725.2(1)", 'CASE DATA'!E7="725.2(2)", 'CASE DATA'!E7="725.3(2)", 'CASE DATA'!E7="725.3(1)", 'CASE DATA'!E7="725.7(2)(a)(3)", 'CASE DATA'!E7="725.7(2)(a)(4)", 'CASE DATA'!E7="725.7(2)(b)(2)", 'CASE DATA'!E7="725.7(2)(b(3)", 'CASE DATA'!E7="726.7(2)(c)(1)", 'CASE DATA'!E7="726.7(2)(c)(2)", 'CASE DATA'!E7="725.7(2)(d)", 'CASE DATA'!E7="726.2", 'CASE DATA'!E7="726.3", 'CASE DATA'!E7="726.5", 'CASE DATA'!E7="726.6(4)", 'CASE DATA'!E7="726.6(5)", 'CASE DATA'!E7="726.6(6)", 'CASE DATA'!E7="726.6A", 'CASE DATA'!E7="726.7(2)", 'CASE DATA'!E7="726.8(2)", 'CASE DATA'!E7="728.12(1)", 'CASE DATA'!E7="728.12(2)"),"felony","eligible"),"N/A")</f>
        <v>N/A</v>
      </c>
      <c r="M6" s="185" t="str">
        <f>IF(L6="eligible",IF(OR('CASE DATA'!E7="123.46",'CASE DATA'!E7="123.47",'CASE DATA'!E7="235B.20",'CASE DATA'!E7="321.218",'CASE DATA'!E7="321A.32",'CASE DATA'!E7="321J.21",'CASE DATA'!E7="321J.2",'CASE DATA'!E7="707.5",'CASE DATA'!E7="708.2(3)",'CASE DATA'!E7="708.2A",'CASE DATA'!E7="708.7",'CASE DATA'!E7="708.11",'CASE DATA'!E7="708.12",'CASE DATA'!E7="716.8(3)",'CASE DATA'!E7="716.8(4)", LEFT('CASE DATA'!E7,4)="717C", LEFT('CASE DATA'!E7, 3)="719", LEFT('CASE DATA'!E7,3)="720", 'CASE DATA'!E7="721.2", 'CASE DATA'!E7="721.10", 'CASE DATA'!E7="723.1", LEFT('CASE DATA'!E7,3)="724", LEFT('CASE DATA'!E7,3)="726", LEFT('CASE DATA'!E7,3)="728", LEFT('CASE DATA'!E7,4)="901A"),"ineligible misd", "eligible"),"N/A")</f>
        <v>N/A</v>
      </c>
      <c r="N6" s="185" t="str">
        <f>IF(L6="eligible",IF(COUNTIF('CASE DATA'!$C$4:$C$200, "")-COUNTIF('CASE DATA'!$A$4:$A$200, "")&gt;0, "YES","NO"),"N/A")</f>
        <v>N/A</v>
      </c>
      <c r="O6" s="185" t="str">
        <f xml:space="preserve"> IF(M6="eligible",'CASE DATA'!K7,"N/A")</f>
        <v>N/A</v>
      </c>
      <c r="P6" s="185" t="str">
        <f xml:space="preserve"> IF(M6="eligible",'CASE DATA'!I7+'CASE DATA'!J7+'CASE DATA'!L7+'CASE DATA'!M7+'CASE DATA'!N7+'CASE DATA'!O7+'CASE DATA'!M7+'CASE DATA'!Q7+'CASE DATA'!R7,"N/A")</f>
        <v>N/A</v>
      </c>
      <c r="Q6" s="11" t="str">
        <f>IF(M6="eligible",IF(C6+730.5&lt;'BASIC INFO'!$B$3, "YES", "NO"),"N/A")</f>
        <v>N/A</v>
      </c>
      <c r="R6" s="186" t="str">
        <f xml:space="preserve"> IF(OR('CASE DATA'!F7="DEF"), "YES", "NO")</f>
        <v>NO</v>
      </c>
      <c r="S6" s="162" t="str">
        <f>IF(R6="YES",'CASE DATA'!H7,"N/A")</f>
        <v>N/A</v>
      </c>
      <c r="T6" s="185" t="str">
        <f xml:space="preserve"> IF(R6="YES",'CASE DATA'!K7,"N/A")</f>
        <v>N/A</v>
      </c>
      <c r="U6" s="185" t="str">
        <f>IF(R6="YES",'CASE DATA'!I7+'CASE DATA'!J7+'CASE DATA'!L7+'CASE DATA'!M7+'CASE DATA'!N7+'CASE DATA'!O7+'CASE DATA'!P7+'CASE DATA'!Q7+'CASE DATA'!R7,"N/A")</f>
        <v>N/A</v>
      </c>
      <c r="V6" s="189" t="str">
        <f>IF(OR('CASE DATA'!E7="123.46",'CASE DATA'!E7="123.47"),"YES","NO")</f>
        <v>NO</v>
      </c>
      <c r="W6" s="189"/>
      <c r="X6" s="185" t="str">
        <f>IF(V6="YES",IF(C6+730.5&lt;'BASIC INFO'!$B$3, "YES","NO"), "N/A")</f>
        <v>N/A</v>
      </c>
      <c r="Y6" s="189" t="str">
        <f t="shared" si="0"/>
        <v>NO</v>
      </c>
      <c r="Z6" s="187" t="str">
        <f xml:space="preserve"> IF('BASIC INFO'!$B$6+6574.5&gt;C6, "YES", "NO")</f>
        <v>YES</v>
      </c>
      <c r="AA6" s="184"/>
    </row>
    <row r="7" spans="1:27" x14ac:dyDescent="0.25">
      <c r="A7" s="162">
        <f xml:space="preserve"> 'CASE DATA'!A8</f>
        <v>0</v>
      </c>
      <c r="B7" s="162">
        <f xml:space="preserve"> 'CASE DATA'!E8</f>
        <v>0</v>
      </c>
      <c r="C7" s="163">
        <f xml:space="preserve"> 'CASE DATA'!C8</f>
        <v>0</v>
      </c>
      <c r="D7" s="11" t="str">
        <f xml:space="preserve"> IF(OR('CASE DATA'!F8="JUV", 'CASE DATA'!F8="JWV"), "YES", "NO")</f>
        <v>NO</v>
      </c>
      <c r="E7" s="11"/>
      <c r="F7" s="11" t="str">
        <f>IF(D7="YES",IF(COUNTIF('CASE DATA'!$C$4:$C$200, "")-COUNTIF('CASE DATA'!$A$4:$A$200, "")&gt;0, "YES","NO"),"N/A")</f>
        <v>N/A</v>
      </c>
      <c r="G7" s="164" t="str">
        <f xml:space="preserve"> _xlfn.IFS(D7="NO", "N/A", AND('BASIC INFO'!$B$3&gt;'BASIC INFO'!$B$6+6574.5, C7+730.5&lt;'BASIC INFO'!$B$3), "YES", 'BASIC INFO'!$B$3&lt;('BASIC INFO'!$B$6+6574.5), "NOT YET 18", C7+730.5&gt;'BASIC INFO'!$B$3, "NOT YET 2 YEARS")</f>
        <v>N/A</v>
      </c>
      <c r="H7" s="186" t="str">
        <f xml:space="preserve"> IF(LEFT('CASE DATA'!E8,4)&lt;&gt;"321.",IF(OR('CASE DATA'!F8="DISM", 'CASE DATA'!F8="ACQ", 'CASE DATA'!F8="NOTF", 'CASE DATA'!F8="WTHD", 'CASE DATA'!F8="TNSF"), "YES", "NO"), "TRAFFIC")</f>
        <v>NO</v>
      </c>
      <c r="I7" s="185" t="str">
        <f xml:space="preserve"> IF(H7="YES",'CASE DATA'!K8,"N/A")</f>
        <v>N/A</v>
      </c>
      <c r="J7" s="185" t="str">
        <f>IF(H7="YES",'CASE DATA'!I8+'CASE DATA'!J8+'CASE DATA'!L8+'CASE DATA'!M8+'CASE DATA'!N8+'CASE DATA'!O8+'CASE DATA'!P8+'CASE DATA'!Q8+'CASE DATA'!R8,"N/A")</f>
        <v>N/A</v>
      </c>
      <c r="K7" s="162" t="str">
        <f xml:space="preserve"> IF(H7="YES",IF(C7+180&lt;'BASIC INFO'!$B$3, "YES", "NO"),"N/A")</f>
        <v>N/A</v>
      </c>
      <c r="L7" s="185" t="str">
        <f>IF(OR('CASE DATA'!F8="GTR", 'CASE DATA'!F8="GPL"),IF(OR('CASE DATA'!E8="81.6(2)", 'CASE DATA'!E8="99F.15(6)(b)(1)", 'CASE DATA'!E8= "124.401(1)(a)", 'CASE DATA'!E8= "124.401(1)(b)", 'CASE DATA'!E8= "124.401(1)(c)", 'CASE DATA'!E8= "124.401(1)(d)", 'CASE DATA'!E8="124.401(4)", 'CASE DATA'!E8="124.401(1)(b)", 'CASE DATA'!E8="124.401(1)(c)", 'CASE DATA'!E8="124.401D(2)(b)", 'CASE DATA'!E8="124.401D(2)(c)", 'CASE DATA'!E8="124.406(1)(a)", 'CASE DATA'!E8="124.406(1)(b) ", 'CASE DATA'!E8="124.406(2)(a)", 'CASE DATA'!E8="124.406(2)(b) ", 'CASE DATA'!E8="124.406(3)", 'CASE DATA'!E8="124.406A ", 'CASE DATA'!E8="124.407(2)(a)", 'CASE DATA'!E8="124B.9(1)", 'CASE DATA'!E8="124B.9(2)", 'CASE DATA'!E8="321J.2(2)(c)", 'CASE DATA'!E8="453B.12(2)", 'CASE DATA'!E8="453B.12(3)", 'CASE DATA'!E8="453B.12(4)", 'CASE DATA'!E8="462A.14(2)(c)", 'CASE DATA'!E8="462A.14(2)(d)", 'CASE DATA'!E8="462A.14(2)(e)", 'CASE DATA'!E8="705.1(2)", 'CASE DATA'!E8="706.3(1)", 'CASE DATA'!E8="706.3(2)", 'CASE DATA'!E8="706A.2(1)", 'CASE DATA'!E8="706A.2(2)", 'CASE DATA'!E8="706A.2(4)", 'CASE DATA'!E8="706B.2(1)(a)", 'CASE DATA'!E8="706B.2(1)(b)", 'CASE DATA'!E8="706B.2(1)(c)", 'CASE DATA'!E8="706B.2(1)(d)", 'CASE DATA'!E8="707.2", 'CASE DATA'!E8="707.3", 'CASE DATA'!E8="707.3A", 'CASE DATA'!E8="707.4", 'CASE DATA'!E8="707.5(1)(a)", 'CASE DATA'!E8="707.6A(1)", 'CASE DATA'!E8="707.6A(2)", 'CASE DATA'!E8="707.6A(3)", 'CASE DATA'!E8="707.6A(4)", 'CASE DATA'!E8="707.7(1)", 'CASE DATA'!E8="707.7(3)", 'CASE DATA'!E8="707.7(2)", 'CASE DATA'!E8="707.8(1)", 'CASE DATA'!E8="707.8(2)", 'CASE DATA'!E8="707.8(3)", 'CASE DATA'!E8="707.8(4)", 'CASE DATA'!E8="707.8(5)", 'CASE DATA'!E8="707.8(6)", 'CASE DATA'!E8="707.9", 'CASE DATA'!E8="707.11", 'CASE DATA'!E8="707A.2", 'CASE DATA'!E8="708.2(4)", 'CASE DATA'!E8="708.2(5)", 'CASE DATA'!E8="708.2A(4)", 'CASE DATA'!E8="708.2A(5)", 'CASE DATA'!E8="708.2C(2)", 'CASE DATA'!E8="708.2C(4)", 'CASE DATA'!E8="708.3(1)", 'CASE DATA'!E8="708.3(2)", 'CASE DATA'!E8="708.3A(1)", 'CASE DATA'!E8="708.3A(2)", 'CASE DATA'!E8="708.3B", 'CASE DATA'!E8="708.4(1)", 'CASE DATA'!E8="708.4(2)", 'CASE DATA'!E8="708.5", 'CASE DATA'!E8="708.8", 'CASE DATA'!E8="708.11(3)(a)", 'CASE DATA'!E8="708.11(3)(b)", 'CASE DATA'!E8="708.12(3)(f)", 'CASE DATA'!E8="708.13(3)", 'CASE DATA'!E8="708.14", 'CASE DATA'!E8="708A.2", 'CASE DATA'!E8="708A.4(1)", 'CASE DATA'!E8="708A.4(2)", 'CASE DATA'!E8="708A.5", 'CASE DATA'!E8="708A.6(1)", 'CASE DATA'!E8="708.A.6(2)", 'CASE DATA'!E8="709.2", 'CASE DATA'!E8="709.3", 'CASE DATA'!E8="709.4", 'CASE DATA'!E8="709.8(1)(a)", 'CASE DATA'!E8="709.8(1)(b)", 'CASE DATA'!E8="709.8(1)(c)", 'CASE DATA'!E8="709.8(1)(d)", 'CASE DATA'!E8="709.8(1)(e)", 'CASE DATA'!E8="709.11(1)", 'CASE DATA'!E8="709.11(2)", 'CASE DATA'!E8="709.15(2)(a)(1)", 'CASE DATA'!E8="709.15(3)(a)(1)", 'CASE DATA'!E8="709.18", 'CASE DATA'!E8="709A.6(2)", 'CASE DATA'!E8="709D.3(1)", 'CASE DATA'!E8="709D.3(2)", 'CASE DATA'!E8="709.D.3(3)", 'CASE DATA'!E8="710.2", 'CASE DATA'!E8="710.3", 'CASE DATA'!E8="710.4", 'CASE DATA'!E8="710.5", 'CASE DATA'!E8="710.10(1)", 'CASE DATA'!E8="710.10(2)", 'CASE DATA'!E8="710.10(3)", 'CASE DATA'!E8="710.11", 'CASE DATA'!E8="710A.2(1)", 'CASE DATA'!E8="710A.2(2)", 'CASE DATA'!E8="710A.2(3)", 'CASE DATA'!E8="710A.2(4)", 'CASE DATA'!E8="710A.2(5)", 'CASE DATA'!E8="710A.2(6)", 'CASE DATA'!E8="710A.2(7)", 'CASE DATA'!E8="710A.2A", 'CASE DATA'!E8="711.2", 'CASE DATA'!E8="711.3", 'CASE DATA'!E8="711.4", 'CASE DATA'!E8="712.2", 'CASE DATA'!E8="712.3", 'CASE DATA'!E8="712.6(1)", 'CASE DATA'!E8="712.7", 'CASE DATA'!E8="712.8", 'CASE DATA'!E8="", 'CASE DATA'!E8="713.3", 'CASE DATA'!E8="713.4", 'CASE DATA'!E8="713.5", 'CASE DATA'!E8="713.6", 'CASE DATA'!E8="713.6A(1)", 'CASE DATA'!E8="714.2(1)", 'CASE DATA'!E8="714.2(2)", 'CASE DATA'!E8="714.3A(2)(b)", 'CASE DATA'!E8="714.9", 'CASE DATA'!E8="714.10", 'CASE DATA'!E8="714.26(2)(a)", 'CASE DATA'!E8="714.26(2)(b)", 'CASE DATA'!E8="715A.2(2)(a)", 'CASE DATA'!E8="715A.6(2)(a)", 'CASE DATA'!E8="715A.6(2)(b)", 'CASE DATA'!E8="715A.8(3)(a)", 'CASE DATA'!E8="715A.8(3)(b)", 'CASE DATA'!E8="715A.10(1)", 'CASE DATA'!E8="715A.10(2)", 'CASE DATA'!E8="716.3", 'CASE DATA'!E8="716.4", 'CASE DATA'!E8="716.8(6)", 'CASE DATA'!E8="716.10(2)(a)", 'CASE DATA'!E8="716.10(2)(b)", 'CASE DATA'!E8="716.10(2)(c)", 'CASE DATA'!E8="716.10(2)(d)", 'CASE DATA'!E8="716.12", 'CASE DATA'!E8="719.1(1)(f)", 'CASE DATA'!E8="719.1(2)(e)", 'CASE DATA'!E8="719.1(2)(f)", 'CASE DATA'!E8="719.1(2)(g)", 'CASE DATA'!E8="719.4(1)", 'CASE DATA'!E8="719.4(4)", 'CASE DATA'!E8="719.5(1)", 'CASE DATA'!E8="719.5(2)", 'CASE DATA'!E8="719.6(1)", 'CASE DATA'!E8="719.6(2)", 'CASE DATA'!E8="719.7(4)(a)", 'CASE DATA'!E8="719.7(4)(b)", 'CASE DATA'!E8="719.7A(3)", 'CASE DATA'!E8="719.9", 'CASE DATA'!E8="719.8", 'CASE DATA'!E8="720.2", 'CASE DATA'!E8="720.3", 'CASE DATA'!E8="721.1", 'CASE DATA'!E8="722.1", 'CASE DATA'!E8="", 'CASE DATA'!E8="722.2", 'CASE DATA'!E8="722.10", 'CASE DATA'!E8="723(5)(3)(c)", 'CASE DATA'!E8="723A.2", 'CASE DATA'!E8="723A.3(1)", 'CASE DATA'!E8="723A.3(2)", 'CASE DATA'!E8="724.1B", 'CASE DATA'!E8="724.1C", 'CASE DATA'!E8="724.3", 'CASE DATA'!E8="724.4B", 'CASE DATA'!E8="724.10", 'CASE DATA'!E8="724.16(2)", 'CASE DATA'!E8="724.16A(1)(a)", 'CASE DATA'!E8="724.16A(1)(b)", 'CASE DATA'!E8="724.17", 'CASE DATA'!E8="724.21", 'CASE DATA'!E8="724.26(1)", 'CASE DATA'!E8="922(g)(8)", 'CASE DATA'!E8="724.29A(2)", 'CASE DATA'!E8="724.29A(3)", 'CASE DATA'!E8="724.30(1)", 'CASE DATA'!E8="724.30(2)", 'CASE DATA'!E8="725.1(2)(b)", 'CASE DATA'!E8="725.2(1)", 'CASE DATA'!E8="725.2(2)", 'CASE DATA'!E8="725.3(2)", 'CASE DATA'!E8="725.3(1)", 'CASE DATA'!E8="725.7(2)(a)(3)", 'CASE DATA'!E8="725.7(2)(a)(4)", 'CASE DATA'!E8="725.7(2)(b)(2)", 'CASE DATA'!E8="725.7(2)(b(3)", 'CASE DATA'!E8="726.7(2)(c)(1)", 'CASE DATA'!E8="726.7(2)(c)(2)", 'CASE DATA'!E8="725.7(2)(d)", 'CASE DATA'!E8="726.2", 'CASE DATA'!E8="726.3", 'CASE DATA'!E8="726.5", 'CASE DATA'!E8="726.6(4)", 'CASE DATA'!E8="726.6(5)", 'CASE DATA'!E8="726.6(6)", 'CASE DATA'!E8="726.6A", 'CASE DATA'!E8="726.7(2)", 'CASE DATA'!E8="726.8(2)", 'CASE DATA'!E8="728.12(1)", 'CASE DATA'!E8="728.12(2)"),"felony","eligible"),"N/A")</f>
        <v>N/A</v>
      </c>
      <c r="M7" s="185" t="str">
        <f>IF(L7="eligible",IF(OR('CASE DATA'!E8="123.46",'CASE DATA'!E8="123.47",'CASE DATA'!E8="235B.20",'CASE DATA'!E8="321.218",'CASE DATA'!E8="321A.32",'CASE DATA'!E8="321J.21",'CASE DATA'!E8="321J.2",'CASE DATA'!E8="707.5",'CASE DATA'!E8="708.2(3)",'CASE DATA'!E8="708.2A",'CASE DATA'!E8="708.7",'CASE DATA'!E8="708.11",'CASE DATA'!E8="708.12",'CASE DATA'!E8="716.8(3)",'CASE DATA'!E8="716.8(4)", LEFT('CASE DATA'!E8,4)="717C", LEFT('CASE DATA'!E8, 3)="719", LEFT('CASE DATA'!E8,3)="720", 'CASE DATA'!E8="721.2", 'CASE DATA'!E8="721.10", 'CASE DATA'!E8="723.1", LEFT('CASE DATA'!E8,3)="724", LEFT('CASE DATA'!E8,3)="726", LEFT('CASE DATA'!E8,3)="728", LEFT('CASE DATA'!E8,4)="901A"),"ineligible misd", "eligible"),"N/A")</f>
        <v>N/A</v>
      </c>
      <c r="N7" s="185" t="str">
        <f>IF(L7="eligible",IF(COUNTIF('CASE DATA'!$C$4:$C$200, "")-COUNTIF('CASE DATA'!$A$4:$A$200, "")&gt;0, "YES","NO"),"N/A")</f>
        <v>N/A</v>
      </c>
      <c r="O7" s="185" t="str">
        <f xml:space="preserve"> IF(M7="eligible",'CASE DATA'!K8,"N/A")</f>
        <v>N/A</v>
      </c>
      <c r="P7" s="185" t="str">
        <f xml:space="preserve"> IF(M7="eligible",'CASE DATA'!I8+'CASE DATA'!J8+'CASE DATA'!L8+'CASE DATA'!M8+'CASE DATA'!N8+'CASE DATA'!O8+'CASE DATA'!M8+'CASE DATA'!Q8+'CASE DATA'!R8,"N/A")</f>
        <v>N/A</v>
      </c>
      <c r="Q7" s="11" t="str">
        <f>IF(M7="eligible",IF(C7+730.5&lt;'BASIC INFO'!$B$3, "YES", "NO"),"N/A")</f>
        <v>N/A</v>
      </c>
      <c r="R7" s="186" t="str">
        <f xml:space="preserve"> IF(OR('CASE DATA'!F8="DEF"), "YES", "NO")</f>
        <v>NO</v>
      </c>
      <c r="S7" s="162" t="str">
        <f>IF(R7="YES",'CASE DATA'!H8,"N/A")</f>
        <v>N/A</v>
      </c>
      <c r="T7" s="185" t="str">
        <f xml:space="preserve"> IF(R7="YES",'CASE DATA'!K8,"N/A")</f>
        <v>N/A</v>
      </c>
      <c r="U7" s="185" t="str">
        <f>IF(R7="YES",'CASE DATA'!I8+'CASE DATA'!J8+'CASE DATA'!L8+'CASE DATA'!M8+'CASE DATA'!N8+'CASE DATA'!O8+'CASE DATA'!P8+'CASE DATA'!Q8+'CASE DATA'!R8,"N/A")</f>
        <v>N/A</v>
      </c>
      <c r="V7" s="189" t="str">
        <f>IF(OR('CASE DATA'!E8="123.46",'CASE DATA'!E8="123.47"),"YES","NO")</f>
        <v>NO</v>
      </c>
      <c r="W7" s="189"/>
      <c r="X7" s="185" t="str">
        <f>IF(V7="YES",IF(C7+730.5&lt;'BASIC INFO'!$B$3, "YES","NO"), "N/A")</f>
        <v>N/A</v>
      </c>
      <c r="Y7" s="189" t="str">
        <f t="shared" si="0"/>
        <v>NO</v>
      </c>
      <c r="Z7" s="187" t="str">
        <f xml:space="preserve"> IF('BASIC INFO'!$B$6+6574.5&gt;C7, "YES", "NO")</f>
        <v>YES</v>
      </c>
      <c r="AA7" s="184"/>
    </row>
    <row r="8" spans="1:27" x14ac:dyDescent="0.25">
      <c r="A8" s="162">
        <f xml:space="preserve"> 'CASE DATA'!A9</f>
        <v>0</v>
      </c>
      <c r="B8" s="162">
        <f xml:space="preserve"> 'CASE DATA'!E9</f>
        <v>0</v>
      </c>
      <c r="C8" s="163">
        <f xml:space="preserve"> 'CASE DATA'!C9</f>
        <v>0</v>
      </c>
      <c r="D8" s="11" t="str">
        <f xml:space="preserve"> IF(OR('CASE DATA'!F9="JUV", 'CASE DATA'!F9="JWV"), "YES", "NO")</f>
        <v>NO</v>
      </c>
      <c r="E8" s="11"/>
      <c r="F8" s="11" t="str">
        <f>IF(D8="YES",IF(COUNTIF('CASE DATA'!$C$4:$C$200, "")-COUNTIF('CASE DATA'!$A$4:$A$200, "")&gt;0, "YES","NO"),"N/A")</f>
        <v>N/A</v>
      </c>
      <c r="G8" s="164" t="str">
        <f xml:space="preserve"> _xlfn.IFS(D8="NO", "N/A", AND('BASIC INFO'!$B$3&gt;'BASIC INFO'!$B$6+6574.5, C8+730.5&lt;'BASIC INFO'!$B$3), "YES", 'BASIC INFO'!$B$3&lt;('BASIC INFO'!$B$6+6574.5), "NOT YET 18", C8+730.5&gt;'BASIC INFO'!$B$3, "NOT YET 2 YEARS")</f>
        <v>N/A</v>
      </c>
      <c r="H8" s="186" t="str">
        <f xml:space="preserve"> IF(LEFT('CASE DATA'!E9,4)&lt;&gt;"321.",IF(OR('CASE DATA'!F9="DISM", 'CASE DATA'!F9="ACQ", 'CASE DATA'!F9="NOTF", 'CASE DATA'!F9="WTHD", 'CASE DATA'!F9="TNSF"), "YES", "NO"), "TRAFFIC")</f>
        <v>NO</v>
      </c>
      <c r="I8" s="185" t="str">
        <f xml:space="preserve"> IF(H8="YES",'CASE DATA'!K9,"N/A")</f>
        <v>N/A</v>
      </c>
      <c r="J8" s="185" t="str">
        <f>IF(H8="YES",'CASE DATA'!I9+'CASE DATA'!J9+'CASE DATA'!L9+'CASE DATA'!M9+'CASE DATA'!N9+'CASE DATA'!O9+'CASE DATA'!P9+'CASE DATA'!Q9+'CASE DATA'!R9,"N/A")</f>
        <v>N/A</v>
      </c>
      <c r="K8" s="162" t="str">
        <f xml:space="preserve"> IF(H8="YES",IF(C8+180&lt;'BASIC INFO'!$B$3, "YES", "NO"),"N/A")</f>
        <v>N/A</v>
      </c>
      <c r="L8" s="185" t="str">
        <f>IF(OR('CASE DATA'!F9="GTR", 'CASE DATA'!F9="GPL"),IF(OR('CASE DATA'!E9="81.6(2)", 'CASE DATA'!E9="99F.15(6)(b)(1)", 'CASE DATA'!E9= "124.401(1)(a)", 'CASE DATA'!E9= "124.401(1)(b)", 'CASE DATA'!E9= "124.401(1)(c)", 'CASE DATA'!E9= "124.401(1)(d)", 'CASE DATA'!E9="124.401(4)", 'CASE DATA'!E9="124.401(1)(b)", 'CASE DATA'!E9="124.401(1)(c)", 'CASE DATA'!E9="124.401D(2)(b)", 'CASE DATA'!E9="124.401D(2)(c)", 'CASE DATA'!E9="124.406(1)(a)", 'CASE DATA'!E9="124.406(1)(b) ", 'CASE DATA'!E9="124.406(2)(a)", 'CASE DATA'!E9="124.406(2)(b) ", 'CASE DATA'!E9="124.406(3)", 'CASE DATA'!E9="124.406A ", 'CASE DATA'!E9="124.407(2)(a)", 'CASE DATA'!E9="124B.9(1)", 'CASE DATA'!E9="124B.9(2)", 'CASE DATA'!E9="321J.2(2)(c)", 'CASE DATA'!E9="453B.12(2)", 'CASE DATA'!E9="453B.12(3)", 'CASE DATA'!E9="453B.12(4)", 'CASE DATA'!E9="462A.14(2)(c)", 'CASE DATA'!E9="462A.14(2)(d)", 'CASE DATA'!E9="462A.14(2)(e)", 'CASE DATA'!E9="705.1(2)", 'CASE DATA'!E9="706.3(1)", 'CASE DATA'!E9="706.3(2)", 'CASE DATA'!E9="706A.2(1)", 'CASE DATA'!E9="706A.2(2)", 'CASE DATA'!E9="706A.2(4)", 'CASE DATA'!E9="706B.2(1)(a)", 'CASE DATA'!E9="706B.2(1)(b)", 'CASE DATA'!E9="706B.2(1)(c)", 'CASE DATA'!E9="706B.2(1)(d)", 'CASE DATA'!E9="707.2", 'CASE DATA'!E9="707.3", 'CASE DATA'!E9="707.3A", 'CASE DATA'!E9="707.4", 'CASE DATA'!E9="707.5(1)(a)", 'CASE DATA'!E9="707.6A(1)", 'CASE DATA'!E9="707.6A(2)", 'CASE DATA'!E9="707.6A(3)", 'CASE DATA'!E9="707.6A(4)", 'CASE DATA'!E9="707.7(1)", 'CASE DATA'!E9="707.7(3)", 'CASE DATA'!E9="707.7(2)", 'CASE DATA'!E9="707.8(1)", 'CASE DATA'!E9="707.8(2)", 'CASE DATA'!E9="707.8(3)", 'CASE DATA'!E9="707.8(4)", 'CASE DATA'!E9="707.8(5)", 'CASE DATA'!E9="707.8(6)", 'CASE DATA'!E9="707.9", 'CASE DATA'!E9="707.11", 'CASE DATA'!E9="707A.2", 'CASE DATA'!E9="708.2(4)", 'CASE DATA'!E9="708.2(5)", 'CASE DATA'!E9="708.2A(4)", 'CASE DATA'!E9="708.2A(5)", 'CASE DATA'!E9="708.2C(2)", 'CASE DATA'!E9="708.2C(4)", 'CASE DATA'!E9="708.3(1)", 'CASE DATA'!E9="708.3(2)", 'CASE DATA'!E9="708.3A(1)", 'CASE DATA'!E9="708.3A(2)", 'CASE DATA'!E9="708.3B", 'CASE DATA'!E9="708.4(1)", 'CASE DATA'!E9="708.4(2)", 'CASE DATA'!E9="708.5", 'CASE DATA'!E9="708.8", 'CASE DATA'!E9="708.11(3)(a)", 'CASE DATA'!E9="708.11(3)(b)", 'CASE DATA'!E9="708.12(3)(f)", 'CASE DATA'!E9="708.13(3)", 'CASE DATA'!E9="708.14", 'CASE DATA'!E9="708A.2", 'CASE DATA'!E9="708A.4(1)", 'CASE DATA'!E9="708A.4(2)", 'CASE DATA'!E9="708A.5", 'CASE DATA'!E9="708A.6(1)", 'CASE DATA'!E9="708.A.6(2)", 'CASE DATA'!E9="709.2", 'CASE DATA'!E9="709.3", 'CASE DATA'!E9="709.4", 'CASE DATA'!E9="709.8(1)(a)", 'CASE DATA'!E9="709.8(1)(b)", 'CASE DATA'!E9="709.8(1)(c)", 'CASE DATA'!E9="709.8(1)(d)", 'CASE DATA'!E9="709.8(1)(e)", 'CASE DATA'!E9="709.11(1)", 'CASE DATA'!E9="709.11(2)", 'CASE DATA'!E9="709.15(2)(a)(1)", 'CASE DATA'!E9="709.15(3)(a)(1)", 'CASE DATA'!E9="709.18", 'CASE DATA'!E9="709A.6(2)", 'CASE DATA'!E9="709D.3(1)", 'CASE DATA'!E9="709D.3(2)", 'CASE DATA'!E9="709.D.3(3)", 'CASE DATA'!E9="710.2", 'CASE DATA'!E9="710.3", 'CASE DATA'!E9="710.4", 'CASE DATA'!E9="710.5", 'CASE DATA'!E9="710.10(1)", 'CASE DATA'!E9="710.10(2)", 'CASE DATA'!E9="710.10(3)", 'CASE DATA'!E9="710.11", 'CASE DATA'!E9="710A.2(1)", 'CASE DATA'!E9="710A.2(2)", 'CASE DATA'!E9="710A.2(3)", 'CASE DATA'!E9="710A.2(4)", 'CASE DATA'!E9="710A.2(5)", 'CASE DATA'!E9="710A.2(6)", 'CASE DATA'!E9="710A.2(7)", 'CASE DATA'!E9="710A.2A", 'CASE DATA'!E9="711.2", 'CASE DATA'!E9="711.3", 'CASE DATA'!E9="711.4", 'CASE DATA'!E9="712.2", 'CASE DATA'!E9="712.3", 'CASE DATA'!E9="712.6(1)", 'CASE DATA'!E9="712.7", 'CASE DATA'!E9="712.8", 'CASE DATA'!E9="", 'CASE DATA'!E9="713.3", 'CASE DATA'!E9="713.4", 'CASE DATA'!E9="713.5", 'CASE DATA'!E9="713.6", 'CASE DATA'!E9="713.6A(1)", 'CASE DATA'!E9="714.2(1)", 'CASE DATA'!E9="714.2(2)", 'CASE DATA'!E9="714.3A(2)(b)", 'CASE DATA'!E9="714.9", 'CASE DATA'!E9="714.10", 'CASE DATA'!E9="714.26(2)(a)", 'CASE DATA'!E9="714.26(2)(b)", 'CASE DATA'!E9="715A.2(2)(a)", 'CASE DATA'!E9="715A.6(2)(a)", 'CASE DATA'!E9="715A.6(2)(b)", 'CASE DATA'!E9="715A.8(3)(a)", 'CASE DATA'!E9="715A.8(3)(b)", 'CASE DATA'!E9="715A.10(1)", 'CASE DATA'!E9="715A.10(2)", 'CASE DATA'!E9="716.3", 'CASE DATA'!E9="716.4", 'CASE DATA'!E9="716.8(6)", 'CASE DATA'!E9="716.10(2)(a)", 'CASE DATA'!E9="716.10(2)(b)", 'CASE DATA'!E9="716.10(2)(c)", 'CASE DATA'!E9="716.10(2)(d)", 'CASE DATA'!E9="716.12", 'CASE DATA'!E9="719.1(1)(f)", 'CASE DATA'!E9="719.1(2)(e)", 'CASE DATA'!E9="719.1(2)(f)", 'CASE DATA'!E9="719.1(2)(g)", 'CASE DATA'!E9="719.4(1)", 'CASE DATA'!E9="719.4(4)", 'CASE DATA'!E9="719.5(1)", 'CASE DATA'!E9="719.5(2)", 'CASE DATA'!E9="719.6(1)", 'CASE DATA'!E9="719.6(2)", 'CASE DATA'!E9="719.7(4)(a)", 'CASE DATA'!E9="719.7(4)(b)", 'CASE DATA'!E9="719.7A(3)", 'CASE DATA'!E9="719.9", 'CASE DATA'!E9="719.8", 'CASE DATA'!E9="720.2", 'CASE DATA'!E9="720.3", 'CASE DATA'!E9="721.1", 'CASE DATA'!E9="722.1", 'CASE DATA'!E9="", 'CASE DATA'!E9="722.2", 'CASE DATA'!E9="722.10", 'CASE DATA'!E9="723(5)(3)(c)", 'CASE DATA'!E9="723A.2", 'CASE DATA'!E9="723A.3(1)", 'CASE DATA'!E9="723A.3(2)", 'CASE DATA'!E9="724.1B", 'CASE DATA'!E9="724.1C", 'CASE DATA'!E9="724.3", 'CASE DATA'!E9="724.4B", 'CASE DATA'!E9="724.10", 'CASE DATA'!E9="724.16(2)", 'CASE DATA'!E9="724.16A(1)(a)", 'CASE DATA'!E9="724.16A(1)(b)", 'CASE DATA'!E9="724.17", 'CASE DATA'!E9="724.21", 'CASE DATA'!E9="724.26(1)", 'CASE DATA'!E9="922(g)(8)", 'CASE DATA'!E9="724.29A(2)", 'CASE DATA'!E9="724.29A(3)", 'CASE DATA'!E9="724.30(1)", 'CASE DATA'!E9="724.30(2)", 'CASE DATA'!E9="725.1(2)(b)", 'CASE DATA'!E9="725.2(1)", 'CASE DATA'!E9="725.2(2)", 'CASE DATA'!E9="725.3(2)", 'CASE DATA'!E9="725.3(1)", 'CASE DATA'!E9="725.7(2)(a)(3)", 'CASE DATA'!E9="725.7(2)(a)(4)", 'CASE DATA'!E9="725.7(2)(b)(2)", 'CASE DATA'!E9="725.7(2)(b(3)", 'CASE DATA'!E9="726.7(2)(c)(1)", 'CASE DATA'!E9="726.7(2)(c)(2)", 'CASE DATA'!E9="725.7(2)(d)", 'CASE DATA'!E9="726.2", 'CASE DATA'!E9="726.3", 'CASE DATA'!E9="726.5", 'CASE DATA'!E9="726.6(4)", 'CASE DATA'!E9="726.6(5)", 'CASE DATA'!E9="726.6(6)", 'CASE DATA'!E9="726.6A", 'CASE DATA'!E9="726.7(2)", 'CASE DATA'!E9="726.8(2)", 'CASE DATA'!E9="728.12(1)", 'CASE DATA'!E9="728.12(2)"),"felony","eligible"),"N/A")</f>
        <v>N/A</v>
      </c>
      <c r="M8" s="185" t="str">
        <f>IF(L8="eligible",IF(OR('CASE DATA'!E9="123.46",'CASE DATA'!E9="123.47",'CASE DATA'!E9="235B.20",'CASE DATA'!E9="321.218",'CASE DATA'!E9="321A.32",'CASE DATA'!E9="321J.21",'CASE DATA'!E9="321J.2",'CASE DATA'!E9="707.5",'CASE DATA'!E9="708.2(3)",'CASE DATA'!E9="708.2A",'CASE DATA'!E9="708.7",'CASE DATA'!E9="708.11",'CASE DATA'!E9="708.12",'CASE DATA'!E9="716.8(3)",'CASE DATA'!E9="716.8(4)", LEFT('CASE DATA'!E9,4)="717C", LEFT('CASE DATA'!E9, 3)="719", LEFT('CASE DATA'!E9,3)="720", 'CASE DATA'!E9="721.2", 'CASE DATA'!E9="721.10", 'CASE DATA'!E9="723.1", LEFT('CASE DATA'!E9,3)="724", LEFT('CASE DATA'!E9,3)="726", LEFT('CASE DATA'!E9,3)="728", LEFT('CASE DATA'!E9,4)="901A"),"ineligible misd", "eligible"),"N/A")</f>
        <v>N/A</v>
      </c>
      <c r="N8" s="185" t="str">
        <f>IF(L8="eligible",IF(COUNTIF('CASE DATA'!$C$4:$C$200, "")-COUNTIF('CASE DATA'!$A$4:$A$200, "")&gt;0, "YES","NO"),"N/A")</f>
        <v>N/A</v>
      </c>
      <c r="O8" s="185" t="str">
        <f xml:space="preserve"> IF(M8="eligible",'CASE DATA'!K9,"N/A")</f>
        <v>N/A</v>
      </c>
      <c r="P8" s="185" t="str">
        <f xml:space="preserve"> IF(M8="eligible",'CASE DATA'!I9+'CASE DATA'!J9+'CASE DATA'!L9+'CASE DATA'!M9+'CASE DATA'!N9+'CASE DATA'!O9+'CASE DATA'!M9+'CASE DATA'!Q9+'CASE DATA'!R9,"N/A")</f>
        <v>N/A</v>
      </c>
      <c r="Q8" s="11" t="str">
        <f>IF(M8="eligible",IF(C8+730.5&lt;'BASIC INFO'!$B$3, "YES", "NO"),"N/A")</f>
        <v>N/A</v>
      </c>
      <c r="R8" s="186" t="str">
        <f xml:space="preserve"> IF(OR('CASE DATA'!F9="DEF"), "YES", "NO")</f>
        <v>NO</v>
      </c>
      <c r="S8" s="162" t="str">
        <f>IF(R8="YES",'CASE DATA'!H9,"N/A")</f>
        <v>N/A</v>
      </c>
      <c r="T8" s="185" t="str">
        <f xml:space="preserve"> IF(R8="YES",'CASE DATA'!Q9,"N/A")</f>
        <v>N/A</v>
      </c>
      <c r="U8" s="185" t="str">
        <f>IF(R8="YES",'CASE DATA'!I9+'CASE DATA'!J9+'CASE DATA'!L9+'CASE DATA'!M9+'CASE DATA'!N9+'CASE DATA'!O9+'CASE DATA'!P9+'CASE DATA'!Q9+'CASE DATA'!R9,"N/A")</f>
        <v>N/A</v>
      </c>
      <c r="V8" s="189" t="str">
        <f>IF(OR('CASE DATA'!E9="123.46",'CASE DATA'!E9="123.47"),"YES","NO")</f>
        <v>NO</v>
      </c>
      <c r="W8" s="189"/>
      <c r="X8" s="185" t="str">
        <f>IF(V8="YES",IF(C8+730.5&lt;'BASIC INFO'!$B$3, "YES","NO"), "N/A")</f>
        <v>N/A</v>
      </c>
      <c r="Y8" s="189" t="str">
        <f t="shared" si="0"/>
        <v>NO</v>
      </c>
      <c r="Z8" s="187" t="str">
        <f xml:space="preserve"> IF('BASIC INFO'!$B$6+6574.5&gt;C8, "YES", "NO")</f>
        <v>YES</v>
      </c>
      <c r="AA8" s="184"/>
    </row>
    <row r="9" spans="1:27" x14ac:dyDescent="0.25">
      <c r="A9" s="162">
        <f xml:space="preserve"> 'CASE DATA'!A10</f>
        <v>0</v>
      </c>
      <c r="B9" s="162">
        <f xml:space="preserve"> 'CASE DATA'!E10</f>
        <v>0</v>
      </c>
      <c r="C9" s="163">
        <f xml:space="preserve"> 'CASE DATA'!C10</f>
        <v>0</v>
      </c>
      <c r="D9" s="11" t="str">
        <f xml:space="preserve"> IF(OR('CASE DATA'!F10="JUV", 'CASE DATA'!F10="JWV"), "YES", "NO")</f>
        <v>NO</v>
      </c>
      <c r="E9" s="11"/>
      <c r="F9" s="11" t="str">
        <f>IF(D9="YES",IF(COUNTIF('CASE DATA'!$C$4:$C$200, "")-COUNTIF('CASE DATA'!$A$4:$A$200, "")&gt;0, "YES","NO"),"N/A")</f>
        <v>N/A</v>
      </c>
      <c r="G9" s="164" t="str">
        <f xml:space="preserve"> _xlfn.IFS(D9="NO", "N/A", AND('BASIC INFO'!$B$3&gt;'BASIC INFO'!$B$6+6574.5, C9+730.5&lt;'BASIC INFO'!$B$3), "YES", 'BASIC INFO'!$B$3&lt;('BASIC INFO'!$B$6+6574.5), "NOT YET 18", C9+730.5&gt;'BASIC INFO'!$B$3, "NOT YET 2 YEARS")</f>
        <v>N/A</v>
      </c>
      <c r="H9" s="186" t="str">
        <f xml:space="preserve"> IF(LEFT('CASE DATA'!E10,4)&lt;&gt;"321.",IF(OR('CASE DATA'!F10="DISM", 'CASE DATA'!F10="ACQ", 'CASE DATA'!F10="NOTF", 'CASE DATA'!F10="WTHD", 'CASE DATA'!F10="TNSF"), "YES", "NO"), "TRAFFIC")</f>
        <v>NO</v>
      </c>
      <c r="I9" s="185" t="str">
        <f xml:space="preserve"> IF(H9="YES",'CASE DATA'!K10,"N/A")</f>
        <v>N/A</v>
      </c>
      <c r="J9" s="185" t="str">
        <f>IF(H9="YES",'CASE DATA'!I10+'CASE DATA'!J10+'CASE DATA'!L10+'CASE DATA'!M10+'CASE DATA'!N10+'CASE DATA'!O10+'CASE DATA'!P10+'CASE DATA'!Q10+'CASE DATA'!R10,"N/A")</f>
        <v>N/A</v>
      </c>
      <c r="K9" s="162" t="str">
        <f xml:space="preserve"> IF(H9="YES",IF(C9+180&lt;'BASIC INFO'!$B$3, "YES", "NO"),"N/A")</f>
        <v>N/A</v>
      </c>
      <c r="L9" s="185" t="str">
        <f>IF(OR('CASE DATA'!F10="GTR", 'CASE DATA'!F10="GPL"),IF(OR('CASE DATA'!E10="81.6(2)", 'CASE DATA'!E10="99F.15(6)(b)(1)", 'CASE DATA'!E10= "124.401(1)(a)", 'CASE DATA'!E10= "124.401(1)(b)", 'CASE DATA'!E10= "124.401(1)(c)", 'CASE DATA'!E10= "124.401(1)(d)", 'CASE DATA'!E10="124.401(4)", 'CASE DATA'!E10="124.401(1)(b)", 'CASE DATA'!E10="124.401(1)(c)", 'CASE DATA'!E10="124.401D(2)(b)", 'CASE DATA'!E10="124.401D(2)(c)", 'CASE DATA'!E10="124.406(1)(a)", 'CASE DATA'!E10="124.406(1)(b) ", 'CASE DATA'!E10="124.406(2)(a)", 'CASE DATA'!E10="124.406(2)(b) ", 'CASE DATA'!E10="124.406(3)", 'CASE DATA'!E10="124.406A ", 'CASE DATA'!E10="124.407(2)(a)", 'CASE DATA'!E10="124B.9(1)", 'CASE DATA'!E10="124B.9(2)", 'CASE DATA'!E10="321J.2(2)(c)", 'CASE DATA'!E10="453B.12(2)", 'CASE DATA'!E10="453B.12(3)", 'CASE DATA'!E10="453B.12(4)", 'CASE DATA'!E10="462A.14(2)(c)", 'CASE DATA'!E10="462A.14(2)(d)", 'CASE DATA'!E10="462A.14(2)(e)", 'CASE DATA'!E10="705.1(2)", 'CASE DATA'!E10="706.3(1)", 'CASE DATA'!E10="706.3(2)", 'CASE DATA'!E10="706A.2(1)", 'CASE DATA'!E10="706A.2(2)", 'CASE DATA'!E10="706A.2(4)", 'CASE DATA'!E10="706B.2(1)(a)", 'CASE DATA'!E10="706B.2(1)(b)", 'CASE DATA'!E10="706B.2(1)(c)", 'CASE DATA'!E10="706B.2(1)(d)", 'CASE DATA'!E10="707.2", 'CASE DATA'!E10="707.3", 'CASE DATA'!E10="707.3A", 'CASE DATA'!E10="707.4", 'CASE DATA'!E10="707.5(1)(a)", 'CASE DATA'!E10="707.6A(1)", 'CASE DATA'!E10="707.6A(2)", 'CASE DATA'!E10="707.6A(3)", 'CASE DATA'!E10="707.6A(4)", 'CASE DATA'!E10="707.7(1)", 'CASE DATA'!E10="707.7(3)", 'CASE DATA'!E10="707.7(2)", 'CASE DATA'!E10="707.8(1)", 'CASE DATA'!E10="707.8(2)", 'CASE DATA'!E10="707.8(3)", 'CASE DATA'!E10="707.8(4)", 'CASE DATA'!E10="707.8(5)", 'CASE DATA'!E10="707.8(6)", 'CASE DATA'!E10="707.9", 'CASE DATA'!E10="707.11", 'CASE DATA'!E10="707A.2", 'CASE DATA'!E10="708.2(4)", 'CASE DATA'!E10="708.2(5)", 'CASE DATA'!E10="708.2A(4)", 'CASE DATA'!E10="708.2A(5)", 'CASE DATA'!E10="708.2C(2)", 'CASE DATA'!E10="708.2C(4)", 'CASE DATA'!E10="708.3(1)", 'CASE DATA'!E10="708.3(2)", 'CASE DATA'!E10="708.3A(1)", 'CASE DATA'!E10="708.3A(2)", 'CASE DATA'!E10="708.3B", 'CASE DATA'!E10="708.4(1)", 'CASE DATA'!E10="708.4(2)", 'CASE DATA'!E10="708.5", 'CASE DATA'!E10="708.8", 'CASE DATA'!E10="708.11(3)(a)", 'CASE DATA'!E10="708.11(3)(b)", 'CASE DATA'!E10="708.12(3)(f)", 'CASE DATA'!E10="708.13(3)", 'CASE DATA'!E10="708.14", 'CASE DATA'!E10="708A.2", 'CASE DATA'!E10="708A.4(1)", 'CASE DATA'!E10="708A.4(2)", 'CASE DATA'!E10="708A.5", 'CASE DATA'!E10="708A.6(1)", 'CASE DATA'!E10="708.A.6(2)", 'CASE DATA'!E10="709.2", 'CASE DATA'!E10="709.3", 'CASE DATA'!E10="709.4", 'CASE DATA'!E10="709.8(1)(a)", 'CASE DATA'!E10="709.8(1)(b)", 'CASE DATA'!E10="709.8(1)(c)", 'CASE DATA'!E10="709.8(1)(d)", 'CASE DATA'!E10="709.8(1)(e)", 'CASE DATA'!E10="709.11(1)", 'CASE DATA'!E10="709.11(2)", 'CASE DATA'!E10="709.15(2)(a)(1)", 'CASE DATA'!E10="709.15(3)(a)(1)", 'CASE DATA'!E10="709.18", 'CASE DATA'!E10="709A.6(2)", 'CASE DATA'!E10="709D.3(1)", 'CASE DATA'!E10="709D.3(2)", 'CASE DATA'!E10="709.D.3(3)", 'CASE DATA'!E10="710.2", 'CASE DATA'!E10="710.3", 'CASE DATA'!E10="710.4", 'CASE DATA'!E10="710.5", 'CASE DATA'!E10="710.10(1)", 'CASE DATA'!E10="710.10(2)", 'CASE DATA'!E10="710.10(3)", 'CASE DATA'!E10="710.11", 'CASE DATA'!E10="710A.2(1)", 'CASE DATA'!E10="710A.2(2)", 'CASE DATA'!E10="710A.2(3)", 'CASE DATA'!E10="710A.2(4)", 'CASE DATA'!E10="710A.2(5)", 'CASE DATA'!E10="710A.2(6)", 'CASE DATA'!E10="710A.2(7)", 'CASE DATA'!E10="710A.2A", 'CASE DATA'!E10="711.2", 'CASE DATA'!E10="711.3", 'CASE DATA'!E10="711.4", 'CASE DATA'!E10="712.2", 'CASE DATA'!E10="712.3", 'CASE DATA'!E10="712.6(1)", 'CASE DATA'!E10="712.7", 'CASE DATA'!E10="712.8", 'CASE DATA'!E10="", 'CASE DATA'!E10="713.3", 'CASE DATA'!E10="713.4", 'CASE DATA'!E10="713.5", 'CASE DATA'!E10="713.6", 'CASE DATA'!E10="713.6A(1)", 'CASE DATA'!E10="714.2(1)", 'CASE DATA'!E10="714.2(2)", 'CASE DATA'!E10="714.3A(2)(b)", 'CASE DATA'!E10="714.9", 'CASE DATA'!E10="714.10", 'CASE DATA'!E10="714.26(2)(a)", 'CASE DATA'!E10="714.26(2)(b)", 'CASE DATA'!E10="715A.2(2)(a)", 'CASE DATA'!E10="715A.6(2)(a)", 'CASE DATA'!E10="715A.6(2)(b)", 'CASE DATA'!E10="715A.8(3)(a)", 'CASE DATA'!E10="715A.8(3)(b)", 'CASE DATA'!E10="715A.10(1)", 'CASE DATA'!E10="715A.10(2)", 'CASE DATA'!E10="716.3", 'CASE DATA'!E10="716.4", 'CASE DATA'!E10="716.8(6)", 'CASE DATA'!E10="716.10(2)(a)", 'CASE DATA'!E10="716.10(2)(b)", 'CASE DATA'!E10="716.10(2)(c)", 'CASE DATA'!E10="716.10(2)(d)", 'CASE DATA'!E10="716.12", 'CASE DATA'!E10="719.1(1)(f)", 'CASE DATA'!E10="719.1(2)(e)", 'CASE DATA'!E10="719.1(2)(f)", 'CASE DATA'!E10="719.1(2)(g)", 'CASE DATA'!E10="719.4(1)", 'CASE DATA'!E10="719.4(4)", 'CASE DATA'!E10="719.5(1)", 'CASE DATA'!E10="719.5(2)", 'CASE DATA'!E10="719.6(1)", 'CASE DATA'!E10="719.6(2)", 'CASE DATA'!E10="719.7(4)(a)", 'CASE DATA'!E10="719.7(4)(b)", 'CASE DATA'!E10="719.7A(3)", 'CASE DATA'!E10="719.9", 'CASE DATA'!E10="719.8", 'CASE DATA'!E10="720.2", 'CASE DATA'!E10="720.3", 'CASE DATA'!E10="721.1", 'CASE DATA'!E10="722.1", 'CASE DATA'!E10="", 'CASE DATA'!E10="722.2", 'CASE DATA'!E10="722.10", 'CASE DATA'!E10="723(5)(3)(c)", 'CASE DATA'!E10="723A.2", 'CASE DATA'!E10="723A.3(1)", 'CASE DATA'!E10="723A.3(2)", 'CASE DATA'!E10="724.1B", 'CASE DATA'!E10="724.1C", 'CASE DATA'!E10="724.3", 'CASE DATA'!E10="724.4B", 'CASE DATA'!E10="724.10", 'CASE DATA'!E10="724.16(2)", 'CASE DATA'!E10="724.16A(1)(a)", 'CASE DATA'!E10="724.16A(1)(b)", 'CASE DATA'!E10="724.17", 'CASE DATA'!E10="724.21", 'CASE DATA'!E10="724.26(1)", 'CASE DATA'!E10="922(g)(8)", 'CASE DATA'!E10="724.29A(2)", 'CASE DATA'!E10="724.29A(3)", 'CASE DATA'!E10="724.30(1)", 'CASE DATA'!E10="724.30(2)", 'CASE DATA'!E10="725.1(2)(b)", 'CASE DATA'!E10="725.2(1)", 'CASE DATA'!E10="725.2(2)", 'CASE DATA'!E10="725.3(2)", 'CASE DATA'!E10="725.3(1)", 'CASE DATA'!E10="725.7(2)(a)(3)", 'CASE DATA'!E10="725.7(2)(a)(4)", 'CASE DATA'!E10="725.7(2)(b)(2)", 'CASE DATA'!E10="725.7(2)(b(3)", 'CASE DATA'!E10="726.7(2)(c)(1)", 'CASE DATA'!E10="726.7(2)(c)(2)", 'CASE DATA'!E10="725.7(2)(d)", 'CASE DATA'!E10="726.2", 'CASE DATA'!E10="726.3", 'CASE DATA'!E10="726.5", 'CASE DATA'!E10="726.6(4)", 'CASE DATA'!E10="726.6(5)", 'CASE DATA'!E10="726.6(6)", 'CASE DATA'!E10="726.6A", 'CASE DATA'!E10="726.7(2)", 'CASE DATA'!E10="726.8(2)", 'CASE DATA'!E10="728.12(1)", 'CASE DATA'!E10="728.12(2)"),"felony","eligible"),"N/A")</f>
        <v>N/A</v>
      </c>
      <c r="M9" s="185" t="str">
        <f>IF(L9="eligible",IF(OR('CASE DATA'!E10="123.46",'CASE DATA'!E10="123.47",'CASE DATA'!E10="235B.20",'CASE DATA'!E10="321.218",'CASE DATA'!E10="321A.32",'CASE DATA'!E10="321J.21",'CASE DATA'!E10="321J.2",'CASE DATA'!E10="707.5",'CASE DATA'!E10="708.2(3)",'CASE DATA'!E10="708.2A",'CASE DATA'!E10="708.7",'CASE DATA'!E10="708.11",'CASE DATA'!E10="708.12",'CASE DATA'!E10="716.8(3)",'CASE DATA'!E10="716.8(4)", LEFT('CASE DATA'!E10,4)="717C", LEFT('CASE DATA'!E10, 3)="719", LEFT('CASE DATA'!E10,3)="720", 'CASE DATA'!E10="721.2", 'CASE DATA'!E10="721.10", 'CASE DATA'!E10="723.1", LEFT('CASE DATA'!E10,3)="724", LEFT('CASE DATA'!E10,3)="726", LEFT('CASE DATA'!E10,3)="728", LEFT('CASE DATA'!E10,4)="901A"),"ineligible misd", "eligible"),"N/A")</f>
        <v>N/A</v>
      </c>
      <c r="N9" s="185" t="str">
        <f>IF(L9="eligible",IF(COUNTIF('CASE DATA'!$C$4:$C$200, "")-COUNTIF('CASE DATA'!$A$4:$A$200, "")&gt;0, "YES","NO"),"N/A")</f>
        <v>N/A</v>
      </c>
      <c r="O9" s="185" t="str">
        <f xml:space="preserve"> IF(M9="eligible",'CASE DATA'!K10,"N/A")</f>
        <v>N/A</v>
      </c>
      <c r="P9" s="185" t="str">
        <f xml:space="preserve"> IF(M9="eligible",'CASE DATA'!I10+'CASE DATA'!J10+'CASE DATA'!L10+'CASE DATA'!M10+'CASE DATA'!N10+'CASE DATA'!O10+'CASE DATA'!M10+'CASE DATA'!Q10+'CASE DATA'!R10,"N/A")</f>
        <v>N/A</v>
      </c>
      <c r="Q9" s="11" t="str">
        <f>IF(M9="eligible",IF(C9+730.5&lt;'BASIC INFO'!$B$3, "YES", "NO"),"N/A")</f>
        <v>N/A</v>
      </c>
      <c r="R9" s="186" t="str">
        <f xml:space="preserve"> IF(OR('CASE DATA'!F10="DEF"), "YES", "NO")</f>
        <v>NO</v>
      </c>
      <c r="S9" s="162" t="str">
        <f>IF(R9="YES",'CASE DATA'!H10,"N/A")</f>
        <v>N/A</v>
      </c>
      <c r="T9" s="185" t="str">
        <f xml:space="preserve"> IF(R9="YES",'CASE DATA'!K10,"N/A")</f>
        <v>N/A</v>
      </c>
      <c r="U9" s="185" t="str">
        <f>IF(R9="YES",'CASE DATA'!I10+'CASE DATA'!J10+'CASE DATA'!L10+'CASE DATA'!M10+'CASE DATA'!N10+'CASE DATA'!O10+'CASE DATA'!P10+'CASE DATA'!Q10+'CASE DATA'!R10,"N/A")</f>
        <v>N/A</v>
      </c>
      <c r="V9" s="189" t="str">
        <f>IF(OR('CASE DATA'!E10="123.46",'CASE DATA'!E10="123.47"),"YES","NO")</f>
        <v>NO</v>
      </c>
      <c r="W9" s="189"/>
      <c r="X9" s="185" t="str">
        <f>IF(V9="YES",IF(C9+730.5&lt;'BASIC INFO'!$B$3, "YES","NO"), "N/A")</f>
        <v>N/A</v>
      </c>
      <c r="Y9" s="189" t="str">
        <f t="shared" si="0"/>
        <v>NO</v>
      </c>
      <c r="Z9" s="187" t="str">
        <f xml:space="preserve"> IF('BASIC INFO'!$B$6+6574.5&gt;C9, "YES", "NO")</f>
        <v>YES</v>
      </c>
      <c r="AA9" s="184"/>
    </row>
    <row r="10" spans="1:27" x14ac:dyDescent="0.25">
      <c r="A10" s="162">
        <f xml:space="preserve"> 'CASE DATA'!A11</f>
        <v>0</v>
      </c>
      <c r="B10" s="162">
        <f xml:space="preserve"> 'CASE DATA'!E11</f>
        <v>0</v>
      </c>
      <c r="C10" s="163">
        <f xml:space="preserve"> 'CASE DATA'!C11</f>
        <v>0</v>
      </c>
      <c r="D10" s="11" t="str">
        <f xml:space="preserve"> IF(OR('CASE DATA'!F11="JUV", 'CASE DATA'!F11="JWV"), "YES", "NO")</f>
        <v>NO</v>
      </c>
      <c r="E10" s="11"/>
      <c r="F10" s="11" t="str">
        <f>IF(D10="YES",IF(COUNTIF('CASE DATA'!$C$4:$C$200, "")-COUNTIF('CASE DATA'!$A$4:$A$200, "")&gt;0, "YES","NO"),"N/A")</f>
        <v>N/A</v>
      </c>
      <c r="G10" s="164" t="str">
        <f xml:space="preserve"> _xlfn.IFS(D10="NO", "N/A", AND('BASIC INFO'!$B$3&gt;'BASIC INFO'!$B$6+6574.5, C10+730.5&lt;'BASIC INFO'!$B$3), "YES", 'BASIC INFO'!$B$3&lt;('BASIC INFO'!$B$6+6574.5), "NOT YET 18", C10+730.5&gt;'BASIC INFO'!$B$3, "NOT YET 2 YEARS")</f>
        <v>N/A</v>
      </c>
      <c r="H10" s="186" t="str">
        <f xml:space="preserve"> IF(LEFT('CASE DATA'!E11,4)&lt;&gt;"321.",IF(OR('CASE DATA'!F11="DISM", 'CASE DATA'!F11="ACQ", 'CASE DATA'!F11="NOTF", 'CASE DATA'!F11="WTHD", 'CASE DATA'!F11="TNSF"), "YES", "NO"), "TRAFFIC")</f>
        <v>NO</v>
      </c>
      <c r="I10" s="185" t="str">
        <f xml:space="preserve"> IF(H10="YES",'CASE DATA'!K11,"N/A")</f>
        <v>N/A</v>
      </c>
      <c r="J10" s="185" t="str">
        <f>IF(H10="YES",'CASE DATA'!I11+'CASE DATA'!J11+'CASE DATA'!L11+'CASE DATA'!M11+'CASE DATA'!N11+'CASE DATA'!O11+'CASE DATA'!P11+'CASE DATA'!Q11+'CASE DATA'!R11,"N/A")</f>
        <v>N/A</v>
      </c>
      <c r="K10" s="162" t="str">
        <f xml:space="preserve"> IF(H10="YES",IF(C10+180&lt;'BASIC INFO'!$B$3, "YES", "NO"),"N/A")</f>
        <v>N/A</v>
      </c>
      <c r="L10" s="185" t="str">
        <f>IF(OR('CASE DATA'!F11="GTR", 'CASE DATA'!F11="GPL"),IF(OR('CASE DATA'!E11="81.6(2)", 'CASE DATA'!E11="99F.15(6)(b)(1)", 'CASE DATA'!E11= "124.401(1)(a)", 'CASE DATA'!E11= "124.401(1)(b)", 'CASE DATA'!E11= "124.401(1)(c)", 'CASE DATA'!E11= "124.401(1)(d)", 'CASE DATA'!E11="124.401(4)", 'CASE DATA'!E11="124.401(1)(b)", 'CASE DATA'!E11="124.401(1)(c)", 'CASE DATA'!E11="124.401D(2)(b)", 'CASE DATA'!E11="124.401D(2)(c)", 'CASE DATA'!E11="124.406(1)(a)", 'CASE DATA'!E11="124.406(1)(b) ", 'CASE DATA'!E11="124.406(2)(a)", 'CASE DATA'!E11="124.406(2)(b) ", 'CASE DATA'!E11="124.406(3)", 'CASE DATA'!E11="124.406A ", 'CASE DATA'!E11="124.407(2)(a)", 'CASE DATA'!E11="124B.9(1)", 'CASE DATA'!E11="124B.9(2)", 'CASE DATA'!E11="321J.2(2)(c)", 'CASE DATA'!E11="453B.12(2)", 'CASE DATA'!E11="453B.12(3)", 'CASE DATA'!E11="453B.12(4)", 'CASE DATA'!E11="462A.14(2)(c)", 'CASE DATA'!E11="462A.14(2)(d)", 'CASE DATA'!E11="462A.14(2)(e)", 'CASE DATA'!E11="705.1(2)", 'CASE DATA'!E11="706.3(1)", 'CASE DATA'!E11="706.3(2)", 'CASE DATA'!E11="706A.2(1)", 'CASE DATA'!E11="706A.2(2)", 'CASE DATA'!E11="706A.2(4)", 'CASE DATA'!E11="706B.2(1)(a)", 'CASE DATA'!E11="706B.2(1)(b)", 'CASE DATA'!E11="706B.2(1)(c)", 'CASE DATA'!E11="706B.2(1)(d)", 'CASE DATA'!E11="707.2", 'CASE DATA'!E11="707.3", 'CASE DATA'!E11="707.3A", 'CASE DATA'!E11="707.4", 'CASE DATA'!E11="707.5(1)(a)", 'CASE DATA'!E11="707.6A(1)", 'CASE DATA'!E11="707.6A(2)", 'CASE DATA'!E11="707.6A(3)", 'CASE DATA'!E11="707.6A(4)", 'CASE DATA'!E11="707.7(1)", 'CASE DATA'!E11="707.7(3)", 'CASE DATA'!E11="707.7(2)", 'CASE DATA'!E11="707.8(1)", 'CASE DATA'!E11="707.8(2)", 'CASE DATA'!E11="707.8(3)", 'CASE DATA'!E11="707.8(4)", 'CASE DATA'!E11="707.8(5)", 'CASE DATA'!E11="707.8(6)", 'CASE DATA'!E11="707.9", 'CASE DATA'!E11="707.11", 'CASE DATA'!E11="707A.2", 'CASE DATA'!E11="708.2(4)", 'CASE DATA'!E11="708.2(5)", 'CASE DATA'!E11="708.2A(4)", 'CASE DATA'!E11="708.2A(5)", 'CASE DATA'!E11="708.2C(2)", 'CASE DATA'!E11="708.2C(4)", 'CASE DATA'!E11="708.3(1)", 'CASE DATA'!E11="708.3(2)", 'CASE DATA'!E11="708.3A(1)", 'CASE DATA'!E11="708.3A(2)", 'CASE DATA'!E11="708.3B", 'CASE DATA'!E11="708.4(1)", 'CASE DATA'!E11="708.4(2)", 'CASE DATA'!E11="708.5", 'CASE DATA'!E11="708.8", 'CASE DATA'!E11="708.11(3)(a)", 'CASE DATA'!E11="708.11(3)(b)", 'CASE DATA'!E11="708.12(3)(f)", 'CASE DATA'!E11="708.13(3)", 'CASE DATA'!E11="708.14", 'CASE DATA'!E11="708A.2", 'CASE DATA'!E11="708A.4(1)", 'CASE DATA'!E11="708A.4(2)", 'CASE DATA'!E11="708A.5", 'CASE DATA'!E11="708A.6(1)", 'CASE DATA'!E11="708.A.6(2)", 'CASE DATA'!E11="709.2", 'CASE DATA'!E11="709.3", 'CASE DATA'!E11="709.4", 'CASE DATA'!E11="709.8(1)(a)", 'CASE DATA'!E11="709.8(1)(b)", 'CASE DATA'!E11="709.8(1)(c)", 'CASE DATA'!E11="709.8(1)(d)", 'CASE DATA'!E11="709.8(1)(e)", 'CASE DATA'!E11="709.11(1)", 'CASE DATA'!E11="709.11(2)", 'CASE DATA'!E11="709.15(2)(a)(1)", 'CASE DATA'!E11="709.15(3)(a)(1)", 'CASE DATA'!E11="709.18", 'CASE DATA'!E11="709A.6(2)", 'CASE DATA'!E11="709D.3(1)", 'CASE DATA'!E11="709D.3(2)", 'CASE DATA'!E11="709.D.3(3)", 'CASE DATA'!E11="710.2", 'CASE DATA'!E11="710.3", 'CASE DATA'!E11="710.4", 'CASE DATA'!E11="710.5", 'CASE DATA'!E11="710.10(1)", 'CASE DATA'!E11="710.10(2)", 'CASE DATA'!E11="710.10(3)", 'CASE DATA'!E11="710.11", 'CASE DATA'!E11="710A.2(1)", 'CASE DATA'!E11="710A.2(2)", 'CASE DATA'!E11="710A.2(3)", 'CASE DATA'!E11="710A.2(4)", 'CASE DATA'!E11="710A.2(5)", 'CASE DATA'!E11="710A.2(6)", 'CASE DATA'!E11="710A.2(7)", 'CASE DATA'!E11="710A.2A", 'CASE DATA'!E11="711.2", 'CASE DATA'!E11="711.3", 'CASE DATA'!E11="711.4", 'CASE DATA'!E11="712.2", 'CASE DATA'!E11="712.3", 'CASE DATA'!E11="712.6(1)", 'CASE DATA'!E11="712.7", 'CASE DATA'!E11="712.8", 'CASE DATA'!E11="", 'CASE DATA'!E11="713.3", 'CASE DATA'!E11="713.4", 'CASE DATA'!E11="713.5", 'CASE DATA'!E11="713.6", 'CASE DATA'!E11="713.6A(1)", 'CASE DATA'!E11="714.2(1)", 'CASE DATA'!E11="714.2(2)", 'CASE DATA'!E11="714.3A(2)(b)", 'CASE DATA'!E11="714.9", 'CASE DATA'!E11="714.10", 'CASE DATA'!E11="714.26(2)(a)", 'CASE DATA'!E11="714.26(2)(b)", 'CASE DATA'!E11="715A.2(2)(a)", 'CASE DATA'!E11="715A.6(2)(a)", 'CASE DATA'!E11="715A.6(2)(b)", 'CASE DATA'!E11="715A.8(3)(a)", 'CASE DATA'!E11="715A.8(3)(b)", 'CASE DATA'!E11="715A.10(1)", 'CASE DATA'!E11="715A.10(2)", 'CASE DATA'!E11="716.3", 'CASE DATA'!E11="716.4", 'CASE DATA'!E11="716.8(6)", 'CASE DATA'!E11="716.10(2)(a)", 'CASE DATA'!E11="716.10(2)(b)", 'CASE DATA'!E11="716.10(2)(c)", 'CASE DATA'!E11="716.10(2)(d)", 'CASE DATA'!E11="716.12", 'CASE DATA'!E11="719.1(1)(f)", 'CASE DATA'!E11="719.1(2)(e)", 'CASE DATA'!E11="719.1(2)(f)", 'CASE DATA'!E11="719.1(2)(g)", 'CASE DATA'!E11="719.4(1)", 'CASE DATA'!E11="719.4(4)", 'CASE DATA'!E11="719.5(1)", 'CASE DATA'!E11="719.5(2)", 'CASE DATA'!E11="719.6(1)", 'CASE DATA'!E11="719.6(2)", 'CASE DATA'!E11="719.7(4)(a)", 'CASE DATA'!E11="719.7(4)(b)", 'CASE DATA'!E11="719.7A(3)", 'CASE DATA'!E11="719.9", 'CASE DATA'!E11="719.8", 'CASE DATA'!E11="720.2", 'CASE DATA'!E11="720.3", 'CASE DATA'!E11="721.1", 'CASE DATA'!E11="722.1", 'CASE DATA'!E11="", 'CASE DATA'!E11="722.2", 'CASE DATA'!E11="722.10", 'CASE DATA'!E11="723(5)(3)(c)", 'CASE DATA'!E11="723A.2", 'CASE DATA'!E11="723A.3(1)", 'CASE DATA'!E11="723A.3(2)", 'CASE DATA'!E11="724.1B", 'CASE DATA'!E11="724.1C", 'CASE DATA'!E11="724.3", 'CASE DATA'!E11="724.4B", 'CASE DATA'!E11="724.10", 'CASE DATA'!E11="724.16(2)", 'CASE DATA'!E11="724.16A(1)(a)", 'CASE DATA'!E11="724.16A(1)(b)", 'CASE DATA'!E11="724.17", 'CASE DATA'!E11="724.21", 'CASE DATA'!E11="724.26(1)", 'CASE DATA'!E11="922(g)(8)", 'CASE DATA'!E11="724.29A(2)", 'CASE DATA'!E11="724.29A(3)", 'CASE DATA'!E11="724.30(1)", 'CASE DATA'!E11="724.30(2)", 'CASE DATA'!E11="725.1(2)(b)", 'CASE DATA'!E11="725.2(1)", 'CASE DATA'!E11="725.2(2)", 'CASE DATA'!E11="725.3(2)", 'CASE DATA'!E11="725.3(1)", 'CASE DATA'!E11="725.7(2)(a)(3)", 'CASE DATA'!E11="725.7(2)(a)(4)", 'CASE DATA'!E11="725.7(2)(b)(2)", 'CASE DATA'!E11="725.7(2)(b(3)", 'CASE DATA'!E11="726.7(2)(c)(1)", 'CASE DATA'!E11="726.7(2)(c)(2)", 'CASE DATA'!E11="725.7(2)(d)", 'CASE DATA'!E11="726.2", 'CASE DATA'!E11="726.3", 'CASE DATA'!E11="726.5", 'CASE DATA'!E11="726.6(4)", 'CASE DATA'!E11="726.6(5)", 'CASE DATA'!E11="726.6(6)", 'CASE DATA'!E11="726.6A", 'CASE DATA'!E11="726.7(2)", 'CASE DATA'!E11="726.8(2)", 'CASE DATA'!E11="728.12(1)", 'CASE DATA'!E11="728.12(2)"),"felony","eligible"),"N/A")</f>
        <v>N/A</v>
      </c>
      <c r="M10" s="185" t="str">
        <f>IF(L10="eligible",IF(OR('CASE DATA'!E11="123.46",'CASE DATA'!E11="123.47",'CASE DATA'!E11="235B.20",'CASE DATA'!E11="321.218",'CASE DATA'!E11="321A.32",'CASE DATA'!E11="321J.21",'CASE DATA'!E11="321J.2",'CASE DATA'!E11="707.5",'CASE DATA'!E11="708.2(3)",'CASE DATA'!E11="708.2A",'CASE DATA'!E11="708.7",'CASE DATA'!E11="708.11",'CASE DATA'!E11="708.12",'CASE DATA'!E11="716.8(3)",'CASE DATA'!E11="716.8(4)", LEFT('CASE DATA'!E11,4)="717C", LEFT('CASE DATA'!E11, 3)="719", LEFT('CASE DATA'!E11,3)="720", 'CASE DATA'!E11="721.2", 'CASE DATA'!E11="721.10", 'CASE DATA'!E11="723.1", LEFT('CASE DATA'!E11,3)="724", LEFT('CASE DATA'!E11,3)="726", LEFT('CASE DATA'!E11,3)="728", LEFT('CASE DATA'!E11,4)="901A"),"ineligible misd", "eligible"),"N/A")</f>
        <v>N/A</v>
      </c>
      <c r="N10" s="185" t="str">
        <f>IF(L10="eligible",IF(COUNTIF('CASE DATA'!$C$4:$C$200, "")-COUNTIF('CASE DATA'!$A$4:$A$200, "")&gt;0, "YES","NO"),"N/A")</f>
        <v>N/A</v>
      </c>
      <c r="O10" s="185" t="str">
        <f xml:space="preserve"> IF(M10="eligible",'CASE DATA'!K11,"N/A")</f>
        <v>N/A</v>
      </c>
      <c r="P10" s="185" t="str">
        <f xml:space="preserve"> IF(M10="eligible",'CASE DATA'!I11+'CASE DATA'!J11+'CASE DATA'!L11+'CASE DATA'!M11+'CASE DATA'!N11+'CASE DATA'!O11+'CASE DATA'!M11+'CASE DATA'!Q11+'CASE DATA'!R11,"N/A")</f>
        <v>N/A</v>
      </c>
      <c r="Q10" s="11" t="str">
        <f>IF(M10="eligible",IF(C10+730.5&lt;'BASIC INFO'!$B$3, "YES", "NO"),"N/A")</f>
        <v>N/A</v>
      </c>
      <c r="R10" s="186" t="str">
        <f xml:space="preserve"> IF(OR('CASE DATA'!F11="DEF"), "YES", "NO")</f>
        <v>NO</v>
      </c>
      <c r="S10" s="162" t="str">
        <f>IF(R10="YES",'CASE DATA'!H11,"N/A")</f>
        <v>N/A</v>
      </c>
      <c r="T10" s="185" t="str">
        <f xml:space="preserve"> IF(R10="YES",'CASE DATA'!K11,"N/A")</f>
        <v>N/A</v>
      </c>
      <c r="U10" s="185" t="str">
        <f>IF(R10="YES",'CASE DATA'!I11+'CASE DATA'!J11+'CASE DATA'!L11+'CASE DATA'!M11+'CASE DATA'!N11+'CASE DATA'!O11+'CASE DATA'!P11+'CASE DATA'!Q11+'CASE DATA'!R11,"N/A")</f>
        <v>N/A</v>
      </c>
      <c r="V10" s="189" t="str">
        <f>IF(OR('CASE DATA'!E11="123.46",'CASE DATA'!E11="123.47"),"YES","NO")</f>
        <v>NO</v>
      </c>
      <c r="W10" s="189"/>
      <c r="X10" s="185" t="str">
        <f>IF(V10="YES",IF(C10+730.5&lt;'BASIC INFO'!$B$3, "YES","NO"), "N/A")</f>
        <v>N/A</v>
      </c>
      <c r="Y10" s="189" t="str">
        <f t="shared" si="0"/>
        <v>NO</v>
      </c>
      <c r="Z10" s="187" t="str">
        <f xml:space="preserve"> IF('BASIC INFO'!$B$6+6574.5&gt;C10, "YES", "NO")</f>
        <v>YES</v>
      </c>
      <c r="AA10" s="184"/>
    </row>
    <row r="11" spans="1:27" x14ac:dyDescent="0.25">
      <c r="A11" s="162">
        <f xml:space="preserve"> 'CASE DATA'!A12</f>
        <v>0</v>
      </c>
      <c r="B11" s="162">
        <f xml:space="preserve"> 'CASE DATA'!E12</f>
        <v>0</v>
      </c>
      <c r="C11" s="163">
        <f xml:space="preserve"> 'CASE DATA'!C12</f>
        <v>0</v>
      </c>
      <c r="D11" s="11" t="str">
        <f xml:space="preserve"> IF(OR('CASE DATA'!F12="JUV", 'CASE DATA'!F12="JWV"), "YES", "NO")</f>
        <v>NO</v>
      </c>
      <c r="E11" s="11"/>
      <c r="F11" s="11" t="str">
        <f>IF(D11="YES",IF(COUNTIF('CASE DATA'!$C$4:$C$200, "")-COUNTIF('CASE DATA'!$A$4:$A$200, "")&gt;0, "YES","NO"),"N/A")</f>
        <v>N/A</v>
      </c>
      <c r="G11" s="164" t="str">
        <f xml:space="preserve"> _xlfn.IFS(D11="NO", "N/A", AND('BASIC INFO'!$B$3&gt;'BASIC INFO'!$B$6+6574.5, C11+730.5&lt;'BASIC INFO'!$B$3), "YES", 'BASIC INFO'!$B$3&lt;('BASIC INFO'!$B$6+6574.5), "NOT YET 18", C11+730.5&gt;'BASIC INFO'!$B$3, "NOT YET 2 YEARS")</f>
        <v>N/A</v>
      </c>
      <c r="H11" s="186" t="str">
        <f xml:space="preserve"> IF(LEFT('CASE DATA'!E12,4)&lt;&gt;"321.",IF(OR('CASE DATA'!F12="DISM", 'CASE DATA'!F12="ACQ", 'CASE DATA'!F12="NOTF", 'CASE DATA'!F12="WTHD", 'CASE DATA'!F12="TNSF"), "YES", "NO"), "TRAFFIC")</f>
        <v>NO</v>
      </c>
      <c r="I11" s="185" t="str">
        <f xml:space="preserve"> IF(H11="YES",'CASE DATA'!K12,"N/A")</f>
        <v>N/A</v>
      </c>
      <c r="J11" s="185" t="str">
        <f>IF(H11="YES",'CASE DATA'!I12+'CASE DATA'!J12+'CASE DATA'!L12+'CASE DATA'!M12+'CASE DATA'!N12+'CASE DATA'!O12+'CASE DATA'!P12+'CASE DATA'!Q12+'CASE DATA'!R12,"N/A")</f>
        <v>N/A</v>
      </c>
      <c r="K11" s="162" t="str">
        <f xml:space="preserve"> IF(H11="YES",IF(C11+180&lt;'BASIC INFO'!$B$3, "YES", "NO"),"N/A")</f>
        <v>N/A</v>
      </c>
      <c r="L11" s="185" t="str">
        <f>IF(OR('CASE DATA'!F12="GTR", 'CASE DATA'!F12="GPL"),IF(OR('CASE DATA'!E12="81.6(2)", 'CASE DATA'!E12="99F.15(6)(b)(1)", 'CASE DATA'!E12= "124.401(1)(a)", 'CASE DATA'!E12= "124.401(1)(b)", 'CASE DATA'!E12= "124.401(1)(c)", 'CASE DATA'!E12= "124.401(1)(d)", 'CASE DATA'!E12="124.401(4)", 'CASE DATA'!E12="124.401(1)(b)", 'CASE DATA'!E12="124.401(1)(c)", 'CASE DATA'!E12="124.401D(2)(b)", 'CASE DATA'!E12="124.401D(2)(c)", 'CASE DATA'!E12="124.406(1)(a)", 'CASE DATA'!E12="124.406(1)(b) ", 'CASE DATA'!E12="124.406(2)(a)", 'CASE DATA'!E12="124.406(2)(b) ", 'CASE DATA'!E12="124.406(3)", 'CASE DATA'!E12="124.406A ", 'CASE DATA'!E12="124.407(2)(a)", 'CASE DATA'!E12="124B.9(1)", 'CASE DATA'!E12="124B.9(2)", 'CASE DATA'!E12="321J.2(2)(c)", 'CASE DATA'!E12="453B.12(2)", 'CASE DATA'!E12="453B.12(3)", 'CASE DATA'!E12="453B.12(4)", 'CASE DATA'!E12="462A.14(2)(c)", 'CASE DATA'!E12="462A.14(2)(d)", 'CASE DATA'!E12="462A.14(2)(e)", 'CASE DATA'!E12="705.1(2)", 'CASE DATA'!E12="706.3(1)", 'CASE DATA'!E12="706.3(2)", 'CASE DATA'!E12="706A.2(1)", 'CASE DATA'!E12="706A.2(2)", 'CASE DATA'!E12="706A.2(4)", 'CASE DATA'!E12="706B.2(1)(a)", 'CASE DATA'!E12="706B.2(1)(b)", 'CASE DATA'!E12="706B.2(1)(c)", 'CASE DATA'!E12="706B.2(1)(d)", 'CASE DATA'!E12="707.2", 'CASE DATA'!E12="707.3", 'CASE DATA'!E12="707.3A", 'CASE DATA'!E12="707.4", 'CASE DATA'!E12="707.5(1)(a)", 'CASE DATA'!E12="707.6A(1)", 'CASE DATA'!E12="707.6A(2)", 'CASE DATA'!E12="707.6A(3)", 'CASE DATA'!E12="707.6A(4)", 'CASE DATA'!E12="707.7(1)", 'CASE DATA'!E12="707.7(3)", 'CASE DATA'!E12="707.7(2)", 'CASE DATA'!E12="707.8(1)", 'CASE DATA'!E12="707.8(2)", 'CASE DATA'!E12="707.8(3)", 'CASE DATA'!E12="707.8(4)", 'CASE DATA'!E12="707.8(5)", 'CASE DATA'!E12="707.8(6)", 'CASE DATA'!E12="707.9", 'CASE DATA'!E12="707.11", 'CASE DATA'!E12="707A.2", 'CASE DATA'!E12="708.2(4)", 'CASE DATA'!E12="708.2(5)", 'CASE DATA'!E12="708.2A(4)", 'CASE DATA'!E12="708.2A(5)", 'CASE DATA'!E12="708.2C(2)", 'CASE DATA'!E12="708.2C(4)", 'CASE DATA'!E12="708.3(1)", 'CASE DATA'!E12="708.3(2)", 'CASE DATA'!E12="708.3A(1)", 'CASE DATA'!E12="708.3A(2)", 'CASE DATA'!E12="708.3B", 'CASE DATA'!E12="708.4(1)", 'CASE DATA'!E12="708.4(2)", 'CASE DATA'!E12="708.5", 'CASE DATA'!E12="708.8", 'CASE DATA'!E12="708.11(3)(a)", 'CASE DATA'!E12="708.11(3)(b)", 'CASE DATA'!E12="708.12(3)(f)", 'CASE DATA'!E12="708.13(3)", 'CASE DATA'!E12="708.14", 'CASE DATA'!E12="708A.2", 'CASE DATA'!E12="708A.4(1)", 'CASE DATA'!E12="708A.4(2)", 'CASE DATA'!E12="708A.5", 'CASE DATA'!E12="708A.6(1)", 'CASE DATA'!E12="708.A.6(2)", 'CASE DATA'!E12="709.2", 'CASE DATA'!E12="709.3", 'CASE DATA'!E12="709.4", 'CASE DATA'!E12="709.8(1)(a)", 'CASE DATA'!E12="709.8(1)(b)", 'CASE DATA'!E12="709.8(1)(c)", 'CASE DATA'!E12="709.8(1)(d)", 'CASE DATA'!E12="709.8(1)(e)", 'CASE DATA'!E12="709.11(1)", 'CASE DATA'!E12="709.11(2)", 'CASE DATA'!E12="709.15(2)(a)(1)", 'CASE DATA'!E12="709.15(3)(a)(1)", 'CASE DATA'!E12="709.18", 'CASE DATA'!E12="709A.6(2)", 'CASE DATA'!E12="709D.3(1)", 'CASE DATA'!E12="709D.3(2)", 'CASE DATA'!E12="709.D.3(3)", 'CASE DATA'!E12="710.2", 'CASE DATA'!E12="710.3", 'CASE DATA'!E12="710.4", 'CASE DATA'!E12="710.5", 'CASE DATA'!E12="710.10(1)", 'CASE DATA'!E12="710.10(2)", 'CASE DATA'!E12="710.10(3)", 'CASE DATA'!E12="710.11", 'CASE DATA'!E12="710A.2(1)", 'CASE DATA'!E12="710A.2(2)", 'CASE DATA'!E12="710A.2(3)", 'CASE DATA'!E12="710A.2(4)", 'CASE DATA'!E12="710A.2(5)", 'CASE DATA'!E12="710A.2(6)", 'CASE DATA'!E12="710A.2(7)", 'CASE DATA'!E12="710A.2A", 'CASE DATA'!E12="711.2", 'CASE DATA'!E12="711.3", 'CASE DATA'!E12="711.4", 'CASE DATA'!E12="712.2", 'CASE DATA'!E12="712.3", 'CASE DATA'!E12="712.6(1)", 'CASE DATA'!E12="712.7", 'CASE DATA'!E12="712.8", 'CASE DATA'!E12="", 'CASE DATA'!E12="713.3", 'CASE DATA'!E12="713.4", 'CASE DATA'!E12="713.5", 'CASE DATA'!E12="713.6", 'CASE DATA'!E12="713.6A(1)", 'CASE DATA'!E12="714.2(1)", 'CASE DATA'!E12="714.2(2)", 'CASE DATA'!E12="714.3A(2)(b)", 'CASE DATA'!E12="714.9", 'CASE DATA'!E12="714.10", 'CASE DATA'!E12="714.26(2)(a)", 'CASE DATA'!E12="714.26(2)(b)", 'CASE DATA'!E12="715A.2(2)(a)", 'CASE DATA'!E12="715A.6(2)(a)", 'CASE DATA'!E12="715A.6(2)(b)", 'CASE DATA'!E12="715A.8(3)(a)", 'CASE DATA'!E12="715A.8(3)(b)", 'CASE DATA'!E12="715A.10(1)", 'CASE DATA'!E12="715A.10(2)", 'CASE DATA'!E12="716.3", 'CASE DATA'!E12="716.4", 'CASE DATA'!E12="716.8(6)", 'CASE DATA'!E12="716.10(2)(a)", 'CASE DATA'!E12="716.10(2)(b)", 'CASE DATA'!E12="716.10(2)(c)", 'CASE DATA'!E12="716.10(2)(d)", 'CASE DATA'!E12="716.12", 'CASE DATA'!E12="719.1(1)(f)", 'CASE DATA'!E12="719.1(2)(e)", 'CASE DATA'!E12="719.1(2)(f)", 'CASE DATA'!E12="719.1(2)(g)", 'CASE DATA'!E12="719.4(1)", 'CASE DATA'!E12="719.4(4)", 'CASE DATA'!E12="719.5(1)", 'CASE DATA'!E12="719.5(2)", 'CASE DATA'!E12="719.6(1)", 'CASE DATA'!E12="719.6(2)", 'CASE DATA'!E12="719.7(4)(a)", 'CASE DATA'!E12="719.7(4)(b)", 'CASE DATA'!E12="719.7A(3)", 'CASE DATA'!E12="719.9", 'CASE DATA'!E12="719.8", 'CASE DATA'!E12="720.2", 'CASE DATA'!E12="720.3", 'CASE DATA'!E12="721.1", 'CASE DATA'!E12="722.1", 'CASE DATA'!E12="", 'CASE DATA'!E12="722.2", 'CASE DATA'!E12="722.10", 'CASE DATA'!E12="723(5)(3)(c)", 'CASE DATA'!E12="723A.2", 'CASE DATA'!E12="723A.3(1)", 'CASE DATA'!E12="723A.3(2)", 'CASE DATA'!E12="724.1B", 'CASE DATA'!E12="724.1C", 'CASE DATA'!E12="724.3", 'CASE DATA'!E12="724.4B", 'CASE DATA'!E12="724.10", 'CASE DATA'!E12="724.16(2)", 'CASE DATA'!E12="724.16A(1)(a)", 'CASE DATA'!E12="724.16A(1)(b)", 'CASE DATA'!E12="724.17", 'CASE DATA'!E12="724.21", 'CASE DATA'!E12="724.26(1)", 'CASE DATA'!E12="922(g)(8)", 'CASE DATA'!E12="724.29A(2)", 'CASE DATA'!E12="724.29A(3)", 'CASE DATA'!E12="724.30(1)", 'CASE DATA'!E12="724.30(2)", 'CASE DATA'!E12="725.1(2)(b)", 'CASE DATA'!E12="725.2(1)", 'CASE DATA'!E12="725.2(2)", 'CASE DATA'!E12="725.3(2)", 'CASE DATA'!E12="725.3(1)", 'CASE DATA'!E12="725.7(2)(a)(3)", 'CASE DATA'!E12="725.7(2)(a)(4)", 'CASE DATA'!E12="725.7(2)(b)(2)", 'CASE DATA'!E12="725.7(2)(b(3)", 'CASE DATA'!E12="726.7(2)(c)(1)", 'CASE DATA'!E12="726.7(2)(c)(2)", 'CASE DATA'!E12="725.7(2)(d)", 'CASE DATA'!E12="726.2", 'CASE DATA'!E12="726.3", 'CASE DATA'!E12="726.5", 'CASE DATA'!E12="726.6(4)", 'CASE DATA'!E12="726.6(5)", 'CASE DATA'!E12="726.6(6)", 'CASE DATA'!E12="726.6A", 'CASE DATA'!E12="726.7(2)", 'CASE DATA'!E12="726.8(2)", 'CASE DATA'!E12="728.12(1)", 'CASE DATA'!E12="728.12(2)"),"felony","eligible"),"N/A")</f>
        <v>N/A</v>
      </c>
      <c r="M11" s="185" t="str">
        <f>IF(L11="eligible",IF(OR('CASE DATA'!E12="123.46",'CASE DATA'!E12="123.47",'CASE DATA'!E12="235B.20",'CASE DATA'!E12="321.218",'CASE DATA'!E12="321A.32",'CASE DATA'!E12="321J.21",'CASE DATA'!E12="321J.2",'CASE DATA'!E12="707.5",'CASE DATA'!E12="708.2(3)",'CASE DATA'!E12="708.2A",'CASE DATA'!E12="708.7",'CASE DATA'!E12="708.11",'CASE DATA'!E12="708.12",'CASE DATA'!E12="716.8(3)",'CASE DATA'!E12="716.8(4)", LEFT('CASE DATA'!E12,4)="717C", LEFT('CASE DATA'!E12, 3)="719", LEFT('CASE DATA'!E12,3)="720", 'CASE DATA'!E12="721.2", 'CASE DATA'!E12="721.10", 'CASE DATA'!E12="723.1", LEFT('CASE DATA'!E12,3)="724", LEFT('CASE DATA'!E12,3)="726", LEFT('CASE DATA'!E12,3)="728", LEFT('CASE DATA'!E12,4)="901A"),"ineligible misd", "eligible"),"N/A")</f>
        <v>N/A</v>
      </c>
      <c r="N11" s="185" t="str">
        <f>IF(L11="eligible",IF(COUNTIF('CASE DATA'!$C$4:$C$200, "")-COUNTIF('CASE DATA'!$A$4:$A$200, "")&gt;0, "YES","NO"),"N/A")</f>
        <v>N/A</v>
      </c>
      <c r="O11" s="185" t="str">
        <f xml:space="preserve"> IF(M11="eligible",'CASE DATA'!K12,"N/A")</f>
        <v>N/A</v>
      </c>
      <c r="P11" s="185" t="str">
        <f xml:space="preserve"> IF(M11="eligible",'CASE DATA'!I12+'CASE DATA'!J12+'CASE DATA'!L12+'CASE DATA'!M12+'CASE DATA'!N12+'CASE DATA'!O12+'CASE DATA'!M12+'CASE DATA'!Q12+'CASE DATA'!R12,"N/A")</f>
        <v>N/A</v>
      </c>
      <c r="Q11" s="11" t="str">
        <f>IF(M11="eligible",IF(C11+730.5&lt;'BASIC INFO'!$B$3, "YES", "NO"),"N/A")</f>
        <v>N/A</v>
      </c>
      <c r="R11" s="186" t="str">
        <f xml:space="preserve"> IF(OR('CASE DATA'!F12="DEF"), "YES", "NO")</f>
        <v>NO</v>
      </c>
      <c r="S11" s="162" t="str">
        <f>IF(R11="YES",'CASE DATA'!H12,"N/A")</f>
        <v>N/A</v>
      </c>
      <c r="T11" s="185" t="str">
        <f xml:space="preserve"> IF(R11="YES",'CASE DATA'!K12,"N/A")</f>
        <v>N/A</v>
      </c>
      <c r="U11" s="185" t="str">
        <f>IF(R11="YES",'CASE DATA'!I12+'CASE DATA'!J12+'CASE DATA'!L12+'CASE DATA'!M12+'CASE DATA'!N12+'CASE DATA'!O12+'CASE DATA'!P12+'CASE DATA'!Q12+'CASE DATA'!R12,"N/A")</f>
        <v>N/A</v>
      </c>
      <c r="V11" s="189" t="str">
        <f>IF(OR('CASE DATA'!E12="123.46",'CASE DATA'!E12="123.47"),"YES","NO")</f>
        <v>NO</v>
      </c>
      <c r="W11" s="189"/>
      <c r="X11" s="185" t="str">
        <f>IF(V11="YES",IF(C11+730.5&lt;'BASIC INFO'!$B$3, "YES","NO"), "N/A")</f>
        <v>N/A</v>
      </c>
      <c r="Y11" s="189" t="str">
        <f t="shared" si="0"/>
        <v>NO</v>
      </c>
      <c r="Z11" s="187" t="str">
        <f xml:space="preserve"> IF('BASIC INFO'!$B$6+6574.5&gt;C11, "YES", "NO")</f>
        <v>YES</v>
      </c>
      <c r="AA11" s="184"/>
    </row>
    <row r="12" spans="1:27" x14ac:dyDescent="0.25">
      <c r="A12" s="162">
        <f xml:space="preserve"> 'CASE DATA'!A13</f>
        <v>0</v>
      </c>
      <c r="B12" s="162">
        <f xml:space="preserve"> 'CASE DATA'!E13</f>
        <v>0</v>
      </c>
      <c r="C12" s="163">
        <f xml:space="preserve"> 'CASE DATA'!C13</f>
        <v>0</v>
      </c>
      <c r="D12" s="11" t="str">
        <f xml:space="preserve"> IF(OR('CASE DATA'!F13="JUV", 'CASE DATA'!F13="JWV"), "YES", "NO")</f>
        <v>NO</v>
      </c>
      <c r="E12" s="11"/>
      <c r="F12" s="11" t="str">
        <f>IF(D12="YES",IF(COUNTIF('CASE DATA'!$C$4:$C$200, "")-COUNTIF('CASE DATA'!$A$4:$A$200, "")&gt;0, "YES","NO"),"N/A")</f>
        <v>N/A</v>
      </c>
      <c r="G12" s="164" t="str">
        <f xml:space="preserve"> _xlfn.IFS(D12="NO", "N/A", AND('BASIC INFO'!$B$3&gt;'BASIC INFO'!$B$6+6574.5, C12+730.5&lt;'BASIC INFO'!$B$3), "YES", 'BASIC INFO'!$B$3&lt;('BASIC INFO'!$B$6+6574.5), "NOT YET 18", C12+730.5&gt;'BASIC INFO'!$B$3, "NOT YET 2 YEARS")</f>
        <v>N/A</v>
      </c>
      <c r="H12" s="186" t="str">
        <f xml:space="preserve"> IF(LEFT('CASE DATA'!E13,4)&lt;&gt;"321.",IF(OR('CASE DATA'!F13="DISM", 'CASE DATA'!F13="ACQ", 'CASE DATA'!F13="NOTF", 'CASE DATA'!F13="WTHD", 'CASE DATA'!F13="TNSF"), "YES", "NO"), "TRAFFIC")</f>
        <v>NO</v>
      </c>
      <c r="I12" s="185" t="str">
        <f xml:space="preserve"> IF(H12="YES",'CASE DATA'!K13,"N/A")</f>
        <v>N/A</v>
      </c>
      <c r="J12" s="185" t="str">
        <f>IF(H12="YES",'CASE DATA'!I13+'CASE DATA'!J13+'CASE DATA'!L13+'CASE DATA'!M13+'CASE DATA'!N13+'CASE DATA'!O13+'CASE DATA'!P13+'CASE DATA'!Q13+'CASE DATA'!R13,"N/A")</f>
        <v>N/A</v>
      </c>
      <c r="K12" s="162" t="str">
        <f xml:space="preserve"> IF(H12="YES",IF(C12+180&lt;'BASIC INFO'!$B$3, "YES", "NO"),"N/A")</f>
        <v>N/A</v>
      </c>
      <c r="L12" s="185" t="str">
        <f>IF(OR('CASE DATA'!F13="GTR", 'CASE DATA'!F13="GPL"),IF(OR('CASE DATA'!E13="81.6(2)", 'CASE DATA'!E13="99F.15(6)(b)(1)", 'CASE DATA'!E13= "124.401(1)(a)", 'CASE DATA'!E13= "124.401(1)(b)", 'CASE DATA'!E13= "124.401(1)(c)", 'CASE DATA'!E13= "124.401(1)(d)", 'CASE DATA'!E13="124.401(4)", 'CASE DATA'!E13="124.401(1)(b)", 'CASE DATA'!E13="124.401(1)(c)", 'CASE DATA'!E13="124.401D(2)(b)", 'CASE DATA'!E13="124.401D(2)(c)", 'CASE DATA'!E13="124.406(1)(a)", 'CASE DATA'!E13="124.406(1)(b) ", 'CASE DATA'!E13="124.406(2)(a)", 'CASE DATA'!E13="124.406(2)(b) ", 'CASE DATA'!E13="124.406(3)", 'CASE DATA'!E13="124.406A ", 'CASE DATA'!E13="124.407(2)(a)", 'CASE DATA'!E13="124B.9(1)", 'CASE DATA'!E13="124B.9(2)", 'CASE DATA'!E13="321J.2(2)(c)", 'CASE DATA'!E13="453B.12(2)", 'CASE DATA'!E13="453B.12(3)", 'CASE DATA'!E13="453B.12(4)", 'CASE DATA'!E13="462A.14(2)(c)", 'CASE DATA'!E13="462A.14(2)(d)", 'CASE DATA'!E13="462A.14(2)(e)", 'CASE DATA'!E13="705.1(2)", 'CASE DATA'!E13="706.3(1)", 'CASE DATA'!E13="706.3(2)", 'CASE DATA'!E13="706A.2(1)", 'CASE DATA'!E13="706A.2(2)", 'CASE DATA'!E13="706A.2(4)", 'CASE DATA'!E13="706B.2(1)(a)", 'CASE DATA'!E13="706B.2(1)(b)", 'CASE DATA'!E13="706B.2(1)(c)", 'CASE DATA'!E13="706B.2(1)(d)", 'CASE DATA'!E13="707.2", 'CASE DATA'!E13="707.3", 'CASE DATA'!E13="707.3A", 'CASE DATA'!E13="707.4", 'CASE DATA'!E13="707.5(1)(a)", 'CASE DATA'!E13="707.6A(1)", 'CASE DATA'!E13="707.6A(2)", 'CASE DATA'!E13="707.6A(3)", 'CASE DATA'!E13="707.6A(4)", 'CASE DATA'!E13="707.7(1)", 'CASE DATA'!E13="707.7(3)", 'CASE DATA'!E13="707.7(2)", 'CASE DATA'!E13="707.8(1)", 'CASE DATA'!E13="707.8(2)", 'CASE DATA'!E13="707.8(3)", 'CASE DATA'!E13="707.8(4)", 'CASE DATA'!E13="707.8(5)", 'CASE DATA'!E13="707.8(6)", 'CASE DATA'!E13="707.9", 'CASE DATA'!E13="707.11", 'CASE DATA'!E13="707A.2", 'CASE DATA'!E13="708.2(4)", 'CASE DATA'!E13="708.2(5)", 'CASE DATA'!E13="708.2A(4)", 'CASE DATA'!E13="708.2A(5)", 'CASE DATA'!E13="708.2C(2)", 'CASE DATA'!E13="708.2C(4)", 'CASE DATA'!E13="708.3(1)", 'CASE DATA'!E13="708.3(2)", 'CASE DATA'!E13="708.3A(1)", 'CASE DATA'!E13="708.3A(2)", 'CASE DATA'!E13="708.3B", 'CASE DATA'!E13="708.4(1)", 'CASE DATA'!E13="708.4(2)", 'CASE DATA'!E13="708.5", 'CASE DATA'!E13="708.8", 'CASE DATA'!E13="708.11(3)(a)", 'CASE DATA'!E13="708.11(3)(b)", 'CASE DATA'!E13="708.12(3)(f)", 'CASE DATA'!E13="708.13(3)", 'CASE DATA'!E13="708.14", 'CASE DATA'!E13="708A.2", 'CASE DATA'!E13="708A.4(1)", 'CASE DATA'!E13="708A.4(2)", 'CASE DATA'!E13="708A.5", 'CASE DATA'!E13="708A.6(1)", 'CASE DATA'!E13="708.A.6(2)", 'CASE DATA'!E13="709.2", 'CASE DATA'!E13="709.3", 'CASE DATA'!E13="709.4", 'CASE DATA'!E13="709.8(1)(a)", 'CASE DATA'!E13="709.8(1)(b)", 'CASE DATA'!E13="709.8(1)(c)", 'CASE DATA'!E13="709.8(1)(d)", 'CASE DATA'!E13="709.8(1)(e)", 'CASE DATA'!E13="709.11(1)", 'CASE DATA'!E13="709.11(2)", 'CASE DATA'!E13="709.15(2)(a)(1)", 'CASE DATA'!E13="709.15(3)(a)(1)", 'CASE DATA'!E13="709.18", 'CASE DATA'!E13="709A.6(2)", 'CASE DATA'!E13="709D.3(1)", 'CASE DATA'!E13="709D.3(2)", 'CASE DATA'!E13="709.D.3(3)", 'CASE DATA'!E13="710.2", 'CASE DATA'!E13="710.3", 'CASE DATA'!E13="710.4", 'CASE DATA'!E13="710.5", 'CASE DATA'!E13="710.10(1)", 'CASE DATA'!E13="710.10(2)", 'CASE DATA'!E13="710.10(3)", 'CASE DATA'!E13="710.11", 'CASE DATA'!E13="710A.2(1)", 'CASE DATA'!E13="710A.2(2)", 'CASE DATA'!E13="710A.2(3)", 'CASE DATA'!E13="710A.2(4)", 'CASE DATA'!E13="710A.2(5)", 'CASE DATA'!E13="710A.2(6)", 'CASE DATA'!E13="710A.2(7)", 'CASE DATA'!E13="710A.2A", 'CASE DATA'!E13="711.2", 'CASE DATA'!E13="711.3", 'CASE DATA'!E13="711.4", 'CASE DATA'!E13="712.2", 'CASE DATA'!E13="712.3", 'CASE DATA'!E13="712.6(1)", 'CASE DATA'!E13="712.7", 'CASE DATA'!E13="712.8", 'CASE DATA'!E13="", 'CASE DATA'!E13="713.3", 'CASE DATA'!E13="713.4", 'CASE DATA'!E13="713.5", 'CASE DATA'!E13="713.6", 'CASE DATA'!E13="713.6A(1)", 'CASE DATA'!E13="714.2(1)", 'CASE DATA'!E13="714.2(2)", 'CASE DATA'!E13="714.3A(2)(b)", 'CASE DATA'!E13="714.9", 'CASE DATA'!E13="714.10", 'CASE DATA'!E13="714.26(2)(a)", 'CASE DATA'!E13="714.26(2)(b)", 'CASE DATA'!E13="715A.2(2)(a)", 'CASE DATA'!E13="715A.6(2)(a)", 'CASE DATA'!E13="715A.6(2)(b)", 'CASE DATA'!E13="715A.8(3)(a)", 'CASE DATA'!E13="715A.8(3)(b)", 'CASE DATA'!E13="715A.10(1)", 'CASE DATA'!E13="715A.10(2)", 'CASE DATA'!E13="716.3", 'CASE DATA'!E13="716.4", 'CASE DATA'!E13="716.8(6)", 'CASE DATA'!E13="716.10(2)(a)", 'CASE DATA'!E13="716.10(2)(b)", 'CASE DATA'!E13="716.10(2)(c)", 'CASE DATA'!E13="716.10(2)(d)", 'CASE DATA'!E13="716.12", 'CASE DATA'!E13="719.1(1)(f)", 'CASE DATA'!E13="719.1(2)(e)", 'CASE DATA'!E13="719.1(2)(f)", 'CASE DATA'!E13="719.1(2)(g)", 'CASE DATA'!E13="719.4(1)", 'CASE DATA'!E13="719.4(4)", 'CASE DATA'!E13="719.5(1)", 'CASE DATA'!E13="719.5(2)", 'CASE DATA'!E13="719.6(1)", 'CASE DATA'!E13="719.6(2)", 'CASE DATA'!E13="719.7(4)(a)", 'CASE DATA'!E13="719.7(4)(b)", 'CASE DATA'!E13="719.7A(3)", 'CASE DATA'!E13="719.9", 'CASE DATA'!E13="719.8", 'CASE DATA'!E13="720.2", 'CASE DATA'!E13="720.3", 'CASE DATA'!E13="721.1", 'CASE DATA'!E13="722.1", 'CASE DATA'!E13="", 'CASE DATA'!E13="722.2", 'CASE DATA'!E13="722.10", 'CASE DATA'!E13="723(5)(3)(c)", 'CASE DATA'!E13="723A.2", 'CASE DATA'!E13="723A.3(1)", 'CASE DATA'!E13="723A.3(2)", 'CASE DATA'!E13="724.1B", 'CASE DATA'!E13="724.1C", 'CASE DATA'!E13="724.3", 'CASE DATA'!E13="724.4B", 'CASE DATA'!E13="724.10", 'CASE DATA'!E13="724.16(2)", 'CASE DATA'!E13="724.16A(1)(a)", 'CASE DATA'!E13="724.16A(1)(b)", 'CASE DATA'!E13="724.17", 'CASE DATA'!E13="724.21", 'CASE DATA'!E13="724.26(1)", 'CASE DATA'!E13="922(g)(8)", 'CASE DATA'!E13="724.29A(2)", 'CASE DATA'!E13="724.29A(3)", 'CASE DATA'!E13="724.30(1)", 'CASE DATA'!E13="724.30(2)", 'CASE DATA'!E13="725.1(2)(b)", 'CASE DATA'!E13="725.2(1)", 'CASE DATA'!E13="725.2(2)", 'CASE DATA'!E13="725.3(2)", 'CASE DATA'!E13="725.3(1)", 'CASE DATA'!E13="725.7(2)(a)(3)", 'CASE DATA'!E13="725.7(2)(a)(4)", 'CASE DATA'!E13="725.7(2)(b)(2)", 'CASE DATA'!E13="725.7(2)(b(3)", 'CASE DATA'!E13="726.7(2)(c)(1)", 'CASE DATA'!E13="726.7(2)(c)(2)", 'CASE DATA'!E13="725.7(2)(d)", 'CASE DATA'!E13="726.2", 'CASE DATA'!E13="726.3", 'CASE DATA'!E13="726.5", 'CASE DATA'!E13="726.6(4)", 'CASE DATA'!E13="726.6(5)", 'CASE DATA'!E13="726.6(6)", 'CASE DATA'!E13="726.6A", 'CASE DATA'!E13="726.7(2)", 'CASE DATA'!E13="726.8(2)", 'CASE DATA'!E13="728.12(1)", 'CASE DATA'!E13="728.12(2)"),"felony","eligible"),"N/A")</f>
        <v>N/A</v>
      </c>
      <c r="M12" s="185" t="str">
        <f>IF(L12="eligible",IF(OR('CASE DATA'!E13="123.46",'CASE DATA'!E13="123.47",'CASE DATA'!E13="235B.20",'CASE DATA'!E13="321.218",'CASE DATA'!E13="321A.32",'CASE DATA'!E13="321J.21",'CASE DATA'!E13="321J.2",'CASE DATA'!E13="707.5",'CASE DATA'!E13="708.2(3)",'CASE DATA'!E13="708.2A",'CASE DATA'!E13="708.7",'CASE DATA'!E13="708.11",'CASE DATA'!E13="708.12",'CASE DATA'!E13="716.8(3)",'CASE DATA'!E13="716.8(4)", LEFT('CASE DATA'!E13,4)="717C", LEFT('CASE DATA'!E13, 3)="719", LEFT('CASE DATA'!E13,3)="720", 'CASE DATA'!E13="721.2", 'CASE DATA'!E13="721.10", 'CASE DATA'!E13="723.1", LEFT('CASE DATA'!E13,3)="724", LEFT('CASE DATA'!E13,3)="726", LEFT('CASE DATA'!E13,3)="728", LEFT('CASE DATA'!E13,4)="901A"),"ineligible misd", "eligible"),"N/A")</f>
        <v>N/A</v>
      </c>
      <c r="N12" s="185" t="str">
        <f>IF(L12="eligible",IF(COUNTIF('CASE DATA'!$C$4:$C$200, "")-COUNTIF('CASE DATA'!$A$4:$A$200, "")&gt;0, "YES","NO"),"N/A")</f>
        <v>N/A</v>
      </c>
      <c r="O12" s="185" t="str">
        <f xml:space="preserve"> IF(M12="eligible",'CASE DATA'!K13,"N/A")</f>
        <v>N/A</v>
      </c>
      <c r="P12" s="185" t="str">
        <f xml:space="preserve"> IF(M12="eligible",'CASE DATA'!I13+'CASE DATA'!J13+'CASE DATA'!L13+'CASE DATA'!M13+'CASE DATA'!N13+'CASE DATA'!O13+'CASE DATA'!M13+'CASE DATA'!Q13+'CASE DATA'!R13,"N/A")</f>
        <v>N/A</v>
      </c>
      <c r="Q12" s="11" t="str">
        <f>IF(M12="eligible",IF(C12+730.5&lt;'BASIC INFO'!$B$3, "YES", "NO"),"N/A")</f>
        <v>N/A</v>
      </c>
      <c r="R12" s="186" t="str">
        <f xml:space="preserve"> IF(OR('CASE DATA'!F13="DEF"), "YES", "NO")</f>
        <v>NO</v>
      </c>
      <c r="S12" s="162" t="str">
        <f>IF(R12="YES",'CASE DATA'!H13,"N/A")</f>
        <v>N/A</v>
      </c>
      <c r="T12" s="185" t="str">
        <f xml:space="preserve"> IF(R12="YES",'CASE DATA'!K13,"N/A")</f>
        <v>N/A</v>
      </c>
      <c r="U12" s="185" t="str">
        <f>IF(R12="YES",'CASE DATA'!I13+'CASE DATA'!J13+'CASE DATA'!L13+'CASE DATA'!M13+'CASE DATA'!N13+'CASE DATA'!O13+'CASE DATA'!P13+'CASE DATA'!Q13+'CASE DATA'!R13,"N/A")</f>
        <v>N/A</v>
      </c>
      <c r="V12" s="189" t="str">
        <f>IF(OR('CASE DATA'!E13="123.46",'CASE DATA'!E13="123.47"),"YES","NO")</f>
        <v>NO</v>
      </c>
      <c r="W12" s="189"/>
      <c r="X12" s="185" t="str">
        <f>IF(V12="YES",IF(C12+730.5&lt;'BASIC INFO'!$B$3, "YES","NO"), "N/A")</f>
        <v>N/A</v>
      </c>
      <c r="Y12" s="189" t="str">
        <f t="shared" si="0"/>
        <v>NO</v>
      </c>
      <c r="Z12" s="187" t="str">
        <f xml:space="preserve"> IF('BASIC INFO'!$B$6+6574.5&gt;C12, "YES", "NO")</f>
        <v>YES</v>
      </c>
      <c r="AA12" s="184"/>
    </row>
    <row r="13" spans="1:27" x14ac:dyDescent="0.25">
      <c r="A13" s="162">
        <f xml:space="preserve"> 'CASE DATA'!A14</f>
        <v>0</v>
      </c>
      <c r="B13" s="162">
        <f xml:space="preserve"> 'CASE DATA'!E14</f>
        <v>0</v>
      </c>
      <c r="C13" s="163">
        <f xml:space="preserve"> 'CASE DATA'!C14</f>
        <v>0</v>
      </c>
      <c r="D13" s="11" t="str">
        <f xml:space="preserve"> IF(OR('CASE DATA'!F14="JUV", 'CASE DATA'!F14="JWV"), "YES", "NO")</f>
        <v>NO</v>
      </c>
      <c r="E13" s="11"/>
      <c r="F13" s="11" t="str">
        <f>IF(D13="YES",IF(COUNTIF('CASE DATA'!$C$4:$C$200, "")-COUNTIF('CASE DATA'!$A$4:$A$200, "")&gt;0, "YES","NO"),"N/A")</f>
        <v>N/A</v>
      </c>
      <c r="G13" s="164" t="str">
        <f xml:space="preserve"> _xlfn.IFS(D13="NO", "N/A", AND('BASIC INFO'!$B$3&gt;'BASIC INFO'!$B$6+6574.5, C13+730.5&lt;'BASIC INFO'!$B$3), "YES", 'BASIC INFO'!$B$3&lt;('BASIC INFO'!$B$6+6574.5), "NOT YET 18", C13+730.5&gt;'BASIC INFO'!$B$3, "NOT YET 2 YEARS")</f>
        <v>N/A</v>
      </c>
      <c r="H13" s="186" t="str">
        <f xml:space="preserve"> IF(LEFT('CASE DATA'!E14,4)&lt;&gt;"321.",IF(OR('CASE DATA'!F14="DISM", 'CASE DATA'!F14="ACQ", 'CASE DATA'!F14="NOTF", 'CASE DATA'!F14="WTHD", 'CASE DATA'!F14="TNSF"), "YES", "NO"), "TRAFFIC")</f>
        <v>NO</v>
      </c>
      <c r="I13" s="185" t="str">
        <f xml:space="preserve"> IF(H13="YES",'CASE DATA'!K14,"N/A")</f>
        <v>N/A</v>
      </c>
      <c r="J13" s="185" t="str">
        <f>IF(H13="YES",'CASE DATA'!I14+'CASE DATA'!J14+'CASE DATA'!L14+'CASE DATA'!M14+'CASE DATA'!N14+'CASE DATA'!O14+'CASE DATA'!P14+'CASE DATA'!Q14+'CASE DATA'!R14,"N/A")</f>
        <v>N/A</v>
      </c>
      <c r="K13" s="162" t="str">
        <f xml:space="preserve"> IF(H13="YES",IF(C13+180&lt;'BASIC INFO'!$B$3, "YES", "NO"),"N/A")</f>
        <v>N/A</v>
      </c>
      <c r="L13" s="185" t="str">
        <f>IF(OR('CASE DATA'!F14="GTR", 'CASE DATA'!F14="GPL"),IF(OR('CASE DATA'!E14="81.6(2)", 'CASE DATA'!E14="99F.15(6)(b)(1)", 'CASE DATA'!E14= "124.401(1)(a)", 'CASE DATA'!E14= "124.401(1)(b)", 'CASE DATA'!E14= "124.401(1)(c)", 'CASE DATA'!E14= "124.401(1)(d)", 'CASE DATA'!E14="124.401(4)", 'CASE DATA'!E14="124.401(1)(b)", 'CASE DATA'!E14="124.401(1)(c)", 'CASE DATA'!E14="124.401D(2)(b)", 'CASE DATA'!E14="124.401D(2)(c)", 'CASE DATA'!E14="124.406(1)(a)", 'CASE DATA'!E14="124.406(1)(b) ", 'CASE DATA'!E14="124.406(2)(a)", 'CASE DATA'!E14="124.406(2)(b) ", 'CASE DATA'!E14="124.406(3)", 'CASE DATA'!E14="124.406A ", 'CASE DATA'!E14="124.407(2)(a)", 'CASE DATA'!E14="124B.9(1)", 'CASE DATA'!E14="124B.9(2)", 'CASE DATA'!E14="321J.2(2)(c)", 'CASE DATA'!E14="453B.12(2)", 'CASE DATA'!E14="453B.12(3)", 'CASE DATA'!E14="453B.12(4)", 'CASE DATA'!E14="462A.14(2)(c)", 'CASE DATA'!E14="462A.14(2)(d)", 'CASE DATA'!E14="462A.14(2)(e)", 'CASE DATA'!E14="705.1(2)", 'CASE DATA'!E14="706.3(1)", 'CASE DATA'!E14="706.3(2)", 'CASE DATA'!E14="706A.2(1)", 'CASE DATA'!E14="706A.2(2)", 'CASE DATA'!E14="706A.2(4)", 'CASE DATA'!E14="706B.2(1)(a)", 'CASE DATA'!E14="706B.2(1)(b)", 'CASE DATA'!E14="706B.2(1)(c)", 'CASE DATA'!E14="706B.2(1)(d)", 'CASE DATA'!E14="707.2", 'CASE DATA'!E14="707.3", 'CASE DATA'!E14="707.3A", 'CASE DATA'!E14="707.4", 'CASE DATA'!E14="707.5(1)(a)", 'CASE DATA'!E14="707.6A(1)", 'CASE DATA'!E14="707.6A(2)", 'CASE DATA'!E14="707.6A(3)", 'CASE DATA'!E14="707.6A(4)", 'CASE DATA'!E14="707.7(1)", 'CASE DATA'!E14="707.7(3)", 'CASE DATA'!E14="707.7(2)", 'CASE DATA'!E14="707.8(1)", 'CASE DATA'!E14="707.8(2)", 'CASE DATA'!E14="707.8(3)", 'CASE DATA'!E14="707.8(4)", 'CASE DATA'!E14="707.8(5)", 'CASE DATA'!E14="707.8(6)", 'CASE DATA'!E14="707.9", 'CASE DATA'!E14="707.11", 'CASE DATA'!E14="707A.2", 'CASE DATA'!E14="708.2(4)", 'CASE DATA'!E14="708.2(5)", 'CASE DATA'!E14="708.2A(4)", 'CASE DATA'!E14="708.2A(5)", 'CASE DATA'!E14="708.2C(2)", 'CASE DATA'!E14="708.2C(4)", 'CASE DATA'!E14="708.3(1)", 'CASE DATA'!E14="708.3(2)", 'CASE DATA'!E14="708.3A(1)", 'CASE DATA'!E14="708.3A(2)", 'CASE DATA'!E14="708.3B", 'CASE DATA'!E14="708.4(1)", 'CASE DATA'!E14="708.4(2)", 'CASE DATA'!E14="708.5", 'CASE DATA'!E14="708.8", 'CASE DATA'!E14="708.11(3)(a)", 'CASE DATA'!E14="708.11(3)(b)", 'CASE DATA'!E14="708.12(3)(f)", 'CASE DATA'!E14="708.13(3)", 'CASE DATA'!E14="708.14", 'CASE DATA'!E14="708A.2", 'CASE DATA'!E14="708A.4(1)", 'CASE DATA'!E14="708A.4(2)", 'CASE DATA'!E14="708A.5", 'CASE DATA'!E14="708A.6(1)", 'CASE DATA'!E14="708.A.6(2)", 'CASE DATA'!E14="709.2", 'CASE DATA'!E14="709.3", 'CASE DATA'!E14="709.4", 'CASE DATA'!E14="709.8(1)(a)", 'CASE DATA'!E14="709.8(1)(b)", 'CASE DATA'!E14="709.8(1)(c)", 'CASE DATA'!E14="709.8(1)(d)", 'CASE DATA'!E14="709.8(1)(e)", 'CASE DATA'!E14="709.11(1)", 'CASE DATA'!E14="709.11(2)", 'CASE DATA'!E14="709.15(2)(a)(1)", 'CASE DATA'!E14="709.15(3)(a)(1)", 'CASE DATA'!E14="709.18", 'CASE DATA'!E14="709A.6(2)", 'CASE DATA'!E14="709D.3(1)", 'CASE DATA'!E14="709D.3(2)", 'CASE DATA'!E14="709.D.3(3)", 'CASE DATA'!E14="710.2", 'CASE DATA'!E14="710.3", 'CASE DATA'!E14="710.4", 'CASE DATA'!E14="710.5", 'CASE DATA'!E14="710.10(1)", 'CASE DATA'!E14="710.10(2)", 'CASE DATA'!E14="710.10(3)", 'CASE DATA'!E14="710.11", 'CASE DATA'!E14="710A.2(1)", 'CASE DATA'!E14="710A.2(2)", 'CASE DATA'!E14="710A.2(3)", 'CASE DATA'!E14="710A.2(4)", 'CASE DATA'!E14="710A.2(5)", 'CASE DATA'!E14="710A.2(6)", 'CASE DATA'!E14="710A.2(7)", 'CASE DATA'!E14="710A.2A", 'CASE DATA'!E14="711.2", 'CASE DATA'!E14="711.3", 'CASE DATA'!E14="711.4", 'CASE DATA'!E14="712.2", 'CASE DATA'!E14="712.3", 'CASE DATA'!E14="712.6(1)", 'CASE DATA'!E14="712.7", 'CASE DATA'!E14="712.8", 'CASE DATA'!E14="", 'CASE DATA'!E14="713.3", 'CASE DATA'!E14="713.4", 'CASE DATA'!E14="713.5", 'CASE DATA'!E14="713.6", 'CASE DATA'!E14="713.6A(1)", 'CASE DATA'!E14="714.2(1)", 'CASE DATA'!E14="714.2(2)", 'CASE DATA'!E14="714.3A(2)(b)", 'CASE DATA'!E14="714.9", 'CASE DATA'!E14="714.10", 'CASE DATA'!E14="714.26(2)(a)", 'CASE DATA'!E14="714.26(2)(b)", 'CASE DATA'!E14="715A.2(2)(a)", 'CASE DATA'!E14="715A.6(2)(a)", 'CASE DATA'!E14="715A.6(2)(b)", 'CASE DATA'!E14="715A.8(3)(a)", 'CASE DATA'!E14="715A.8(3)(b)", 'CASE DATA'!E14="715A.10(1)", 'CASE DATA'!E14="715A.10(2)", 'CASE DATA'!E14="716.3", 'CASE DATA'!E14="716.4", 'CASE DATA'!E14="716.8(6)", 'CASE DATA'!E14="716.10(2)(a)", 'CASE DATA'!E14="716.10(2)(b)", 'CASE DATA'!E14="716.10(2)(c)", 'CASE DATA'!E14="716.10(2)(d)", 'CASE DATA'!E14="716.12", 'CASE DATA'!E14="719.1(1)(f)", 'CASE DATA'!E14="719.1(2)(e)", 'CASE DATA'!E14="719.1(2)(f)", 'CASE DATA'!E14="719.1(2)(g)", 'CASE DATA'!E14="719.4(1)", 'CASE DATA'!E14="719.4(4)", 'CASE DATA'!E14="719.5(1)", 'CASE DATA'!E14="719.5(2)", 'CASE DATA'!E14="719.6(1)", 'CASE DATA'!E14="719.6(2)", 'CASE DATA'!E14="719.7(4)(a)", 'CASE DATA'!E14="719.7(4)(b)", 'CASE DATA'!E14="719.7A(3)", 'CASE DATA'!E14="719.9", 'CASE DATA'!E14="719.8", 'CASE DATA'!E14="720.2", 'CASE DATA'!E14="720.3", 'CASE DATA'!E14="721.1", 'CASE DATA'!E14="722.1", 'CASE DATA'!E14="", 'CASE DATA'!E14="722.2", 'CASE DATA'!E14="722.10", 'CASE DATA'!E14="723(5)(3)(c)", 'CASE DATA'!E14="723A.2", 'CASE DATA'!E14="723A.3(1)", 'CASE DATA'!E14="723A.3(2)", 'CASE DATA'!E14="724.1B", 'CASE DATA'!E14="724.1C", 'CASE DATA'!E14="724.3", 'CASE DATA'!E14="724.4B", 'CASE DATA'!E14="724.10", 'CASE DATA'!E14="724.16(2)", 'CASE DATA'!E14="724.16A(1)(a)", 'CASE DATA'!E14="724.16A(1)(b)", 'CASE DATA'!E14="724.17", 'CASE DATA'!E14="724.21", 'CASE DATA'!E14="724.26(1)", 'CASE DATA'!E14="922(g)(8)", 'CASE DATA'!E14="724.29A(2)", 'CASE DATA'!E14="724.29A(3)", 'CASE DATA'!E14="724.30(1)", 'CASE DATA'!E14="724.30(2)", 'CASE DATA'!E14="725.1(2)(b)", 'CASE DATA'!E14="725.2(1)", 'CASE DATA'!E14="725.2(2)", 'CASE DATA'!E14="725.3(2)", 'CASE DATA'!E14="725.3(1)", 'CASE DATA'!E14="725.7(2)(a)(3)", 'CASE DATA'!E14="725.7(2)(a)(4)", 'CASE DATA'!E14="725.7(2)(b)(2)", 'CASE DATA'!E14="725.7(2)(b(3)", 'CASE DATA'!E14="726.7(2)(c)(1)", 'CASE DATA'!E14="726.7(2)(c)(2)", 'CASE DATA'!E14="725.7(2)(d)", 'CASE DATA'!E14="726.2", 'CASE DATA'!E14="726.3", 'CASE DATA'!E14="726.5", 'CASE DATA'!E14="726.6(4)", 'CASE DATA'!E14="726.6(5)", 'CASE DATA'!E14="726.6(6)", 'CASE DATA'!E14="726.6A", 'CASE DATA'!E14="726.7(2)", 'CASE DATA'!E14="726.8(2)", 'CASE DATA'!E14="728.12(1)", 'CASE DATA'!E14="728.12(2)"),"felony","eligible"),"N/A")</f>
        <v>N/A</v>
      </c>
      <c r="M13" s="185" t="str">
        <f>IF(L13="eligible",IF(OR('CASE DATA'!E14="123.46",'CASE DATA'!E14="123.47",'CASE DATA'!E14="235B.20",'CASE DATA'!E14="321.218",'CASE DATA'!E14="321A.32",'CASE DATA'!E14="321J.21",'CASE DATA'!E14="321J.2",'CASE DATA'!E14="707.5",'CASE DATA'!E14="708.2(3)",'CASE DATA'!E14="708.2A",'CASE DATA'!E14="708.7",'CASE DATA'!E14="708.11",'CASE DATA'!E14="708.12",'CASE DATA'!E14="716.8(3)",'CASE DATA'!E14="716.8(4)", LEFT('CASE DATA'!E14,4)="717C", LEFT('CASE DATA'!E14, 3)="719", LEFT('CASE DATA'!E14,3)="720", 'CASE DATA'!E14="721.2", 'CASE DATA'!E14="721.10", 'CASE DATA'!E14="723.1", LEFT('CASE DATA'!E14,3)="724", LEFT('CASE DATA'!E14,3)="726", LEFT('CASE DATA'!E14,3)="728", LEFT('CASE DATA'!E14,4)="901A"),"ineligible misd", "eligible"),"N/A")</f>
        <v>N/A</v>
      </c>
      <c r="N13" s="185" t="str">
        <f>IF(L13="eligible",IF(COUNTIF('CASE DATA'!$C$4:$C$200, "")-COUNTIF('CASE DATA'!$A$4:$A$200, "")&gt;0, "YES","NO"),"N/A")</f>
        <v>N/A</v>
      </c>
      <c r="O13" s="185" t="str">
        <f xml:space="preserve"> IF(M13="eligible",'CASE DATA'!K14,"N/A")</f>
        <v>N/A</v>
      </c>
      <c r="P13" s="185" t="str">
        <f xml:space="preserve"> IF(M13="eligible",'CASE DATA'!I14+'CASE DATA'!J14+'CASE DATA'!L14+'CASE DATA'!M14+'CASE DATA'!N14+'CASE DATA'!O14+'CASE DATA'!M14+'CASE DATA'!Q14+'CASE DATA'!R14,"N/A")</f>
        <v>N/A</v>
      </c>
      <c r="Q13" s="11" t="str">
        <f>IF(M13="eligible",IF(C13+730.5&lt;'BASIC INFO'!$B$3, "YES", "NO"),"N/A")</f>
        <v>N/A</v>
      </c>
      <c r="R13" s="186" t="str">
        <f xml:space="preserve"> IF(OR('CASE DATA'!F14="DEF"), "YES", "NO")</f>
        <v>NO</v>
      </c>
      <c r="S13" s="162" t="str">
        <f>IF(R13="YES",'CASE DATA'!H14,"N/A")</f>
        <v>N/A</v>
      </c>
      <c r="T13" s="185" t="str">
        <f xml:space="preserve"> IF(R13="YES",'CASE DATA'!K14,"N/A")</f>
        <v>N/A</v>
      </c>
      <c r="U13" s="185" t="str">
        <f>IF(R13="YES",'CASE DATA'!I14+'CASE DATA'!J14+'CASE DATA'!L14+'CASE DATA'!M14+'CASE DATA'!N14+'CASE DATA'!O14+'CASE DATA'!P14+'CASE DATA'!Q14+'CASE DATA'!R14,"N/A")</f>
        <v>N/A</v>
      </c>
      <c r="V13" s="189" t="str">
        <f>IF(OR('CASE DATA'!E14="123.46",'CASE DATA'!E14="123.47"),"YES","NO")</f>
        <v>NO</v>
      </c>
      <c r="W13" s="189"/>
      <c r="X13" s="185" t="str">
        <f>IF(V13="YES",IF(C13+730.5&lt;'BASIC INFO'!$B$3, "YES","NO"), "N/A")</f>
        <v>N/A</v>
      </c>
      <c r="Y13" s="189" t="str">
        <f t="shared" si="0"/>
        <v>NO</v>
      </c>
      <c r="Z13" s="187" t="str">
        <f xml:space="preserve"> IF('BASIC INFO'!$B$6+6574.5&gt;C13, "YES", "NO")</f>
        <v>YES</v>
      </c>
      <c r="AA13" s="184"/>
    </row>
    <row r="14" spans="1:27" x14ac:dyDescent="0.25">
      <c r="A14" s="162">
        <f xml:space="preserve"> 'CASE DATA'!A15</f>
        <v>0</v>
      </c>
      <c r="B14" s="162">
        <f xml:space="preserve"> 'CASE DATA'!E15</f>
        <v>0</v>
      </c>
      <c r="C14" s="163">
        <f xml:space="preserve"> 'CASE DATA'!C15</f>
        <v>0</v>
      </c>
      <c r="D14" s="11" t="str">
        <f xml:space="preserve"> IF(OR('CASE DATA'!F15="JUV", 'CASE DATA'!F15="JWV"), "YES", "NO")</f>
        <v>NO</v>
      </c>
      <c r="E14" s="11"/>
      <c r="F14" s="11" t="str">
        <f>IF(D14="YES",IF(COUNTIF('CASE DATA'!$C$4:$C$200, "")-COUNTIF('CASE DATA'!$A$4:$A$200, "")&gt;0, "YES","NO"),"N/A")</f>
        <v>N/A</v>
      </c>
      <c r="G14" s="164" t="str">
        <f xml:space="preserve"> _xlfn.IFS(D14="NO", "N/A", AND('BASIC INFO'!$B$3&gt;'BASIC INFO'!$B$6+6574.5, C14+730.5&lt;'BASIC INFO'!$B$3), "YES", 'BASIC INFO'!$B$3&lt;('BASIC INFO'!$B$6+6574.5), "NOT YET 18", C14+730.5&gt;'BASIC INFO'!$B$3, "NOT YET 2 YEARS")</f>
        <v>N/A</v>
      </c>
      <c r="H14" s="186" t="str">
        <f xml:space="preserve"> IF(LEFT('CASE DATA'!E15,4)&lt;&gt;"321.",IF(OR('CASE DATA'!F15="DISM", 'CASE DATA'!F15="ACQ", 'CASE DATA'!F15="NOTF", 'CASE DATA'!F15="WTHD", 'CASE DATA'!F15="TNSF"), "YES", "NO"), "TRAFFIC")</f>
        <v>NO</v>
      </c>
      <c r="I14" s="185" t="str">
        <f xml:space="preserve"> IF(H14="YES",'CASE DATA'!K15,"N/A")</f>
        <v>N/A</v>
      </c>
      <c r="J14" s="185" t="str">
        <f>IF(H14="YES",'CASE DATA'!I15+'CASE DATA'!J15+'CASE DATA'!L15+'CASE DATA'!M15+'CASE DATA'!N15+'CASE DATA'!O15+'CASE DATA'!P15+'CASE DATA'!Q15+'CASE DATA'!R15,"N/A")</f>
        <v>N/A</v>
      </c>
      <c r="K14" s="162" t="str">
        <f xml:space="preserve"> IF(H14="YES",IF(C14+180&lt;'BASIC INFO'!$B$3, "YES", "NO"),"N/A")</f>
        <v>N/A</v>
      </c>
      <c r="L14" s="185" t="str">
        <f>IF(OR('CASE DATA'!F15="GTR", 'CASE DATA'!F15="GPL"),IF(OR('CASE DATA'!E15="81.6(2)", 'CASE DATA'!E15="99F.15(6)(b)(1)", 'CASE DATA'!E15= "124.401(1)(a)", 'CASE DATA'!E15= "124.401(1)(b)", 'CASE DATA'!E15= "124.401(1)(c)", 'CASE DATA'!E15= "124.401(1)(d)", 'CASE DATA'!E15="124.401(4)", 'CASE DATA'!E15="124.401(1)(b)", 'CASE DATA'!E15="124.401(1)(c)", 'CASE DATA'!E15="124.401D(2)(b)", 'CASE DATA'!E15="124.401D(2)(c)", 'CASE DATA'!E15="124.406(1)(a)", 'CASE DATA'!E15="124.406(1)(b) ", 'CASE DATA'!E15="124.406(2)(a)", 'CASE DATA'!E15="124.406(2)(b) ", 'CASE DATA'!E15="124.406(3)", 'CASE DATA'!E15="124.406A ", 'CASE DATA'!E15="124.407(2)(a)", 'CASE DATA'!E15="124B.9(1)", 'CASE DATA'!E15="124B.9(2)", 'CASE DATA'!E15="321J.2(2)(c)", 'CASE DATA'!E15="453B.12(2)", 'CASE DATA'!E15="453B.12(3)", 'CASE DATA'!E15="453B.12(4)", 'CASE DATA'!E15="462A.14(2)(c)", 'CASE DATA'!E15="462A.14(2)(d)", 'CASE DATA'!E15="462A.14(2)(e)", 'CASE DATA'!E15="705.1(2)", 'CASE DATA'!E15="706.3(1)", 'CASE DATA'!E15="706.3(2)", 'CASE DATA'!E15="706A.2(1)", 'CASE DATA'!E15="706A.2(2)", 'CASE DATA'!E15="706A.2(4)", 'CASE DATA'!E15="706B.2(1)(a)", 'CASE DATA'!E15="706B.2(1)(b)", 'CASE DATA'!E15="706B.2(1)(c)", 'CASE DATA'!E15="706B.2(1)(d)", 'CASE DATA'!E15="707.2", 'CASE DATA'!E15="707.3", 'CASE DATA'!E15="707.3A", 'CASE DATA'!E15="707.4", 'CASE DATA'!E15="707.5(1)(a)", 'CASE DATA'!E15="707.6A(1)", 'CASE DATA'!E15="707.6A(2)", 'CASE DATA'!E15="707.6A(3)", 'CASE DATA'!E15="707.6A(4)", 'CASE DATA'!E15="707.7(1)", 'CASE DATA'!E15="707.7(3)", 'CASE DATA'!E15="707.7(2)", 'CASE DATA'!E15="707.8(1)", 'CASE DATA'!E15="707.8(2)", 'CASE DATA'!E15="707.8(3)", 'CASE DATA'!E15="707.8(4)", 'CASE DATA'!E15="707.8(5)", 'CASE DATA'!E15="707.8(6)", 'CASE DATA'!E15="707.9", 'CASE DATA'!E15="707.11", 'CASE DATA'!E15="707A.2", 'CASE DATA'!E15="708.2(4)", 'CASE DATA'!E15="708.2(5)", 'CASE DATA'!E15="708.2A(4)", 'CASE DATA'!E15="708.2A(5)", 'CASE DATA'!E15="708.2C(2)", 'CASE DATA'!E15="708.2C(4)", 'CASE DATA'!E15="708.3(1)", 'CASE DATA'!E15="708.3(2)", 'CASE DATA'!E15="708.3A(1)", 'CASE DATA'!E15="708.3A(2)", 'CASE DATA'!E15="708.3B", 'CASE DATA'!E15="708.4(1)", 'CASE DATA'!E15="708.4(2)", 'CASE DATA'!E15="708.5", 'CASE DATA'!E15="708.8", 'CASE DATA'!E15="708.11(3)(a)", 'CASE DATA'!E15="708.11(3)(b)", 'CASE DATA'!E15="708.12(3)(f)", 'CASE DATA'!E15="708.13(3)", 'CASE DATA'!E15="708.14", 'CASE DATA'!E15="708A.2", 'CASE DATA'!E15="708A.4(1)", 'CASE DATA'!E15="708A.4(2)", 'CASE DATA'!E15="708A.5", 'CASE DATA'!E15="708A.6(1)", 'CASE DATA'!E15="708.A.6(2)", 'CASE DATA'!E15="709.2", 'CASE DATA'!E15="709.3", 'CASE DATA'!E15="709.4", 'CASE DATA'!E15="709.8(1)(a)", 'CASE DATA'!E15="709.8(1)(b)", 'CASE DATA'!E15="709.8(1)(c)", 'CASE DATA'!E15="709.8(1)(d)", 'CASE DATA'!E15="709.8(1)(e)", 'CASE DATA'!E15="709.11(1)", 'CASE DATA'!E15="709.11(2)", 'CASE DATA'!E15="709.15(2)(a)(1)", 'CASE DATA'!E15="709.15(3)(a)(1)", 'CASE DATA'!E15="709.18", 'CASE DATA'!E15="709A.6(2)", 'CASE DATA'!E15="709D.3(1)", 'CASE DATA'!E15="709D.3(2)", 'CASE DATA'!E15="709.D.3(3)", 'CASE DATA'!E15="710.2", 'CASE DATA'!E15="710.3", 'CASE DATA'!E15="710.4", 'CASE DATA'!E15="710.5", 'CASE DATA'!E15="710.10(1)", 'CASE DATA'!E15="710.10(2)", 'CASE DATA'!E15="710.10(3)", 'CASE DATA'!E15="710.11", 'CASE DATA'!E15="710A.2(1)", 'CASE DATA'!E15="710A.2(2)", 'CASE DATA'!E15="710A.2(3)", 'CASE DATA'!E15="710A.2(4)", 'CASE DATA'!E15="710A.2(5)", 'CASE DATA'!E15="710A.2(6)", 'CASE DATA'!E15="710A.2(7)", 'CASE DATA'!E15="710A.2A", 'CASE DATA'!E15="711.2", 'CASE DATA'!E15="711.3", 'CASE DATA'!E15="711.4", 'CASE DATA'!E15="712.2", 'CASE DATA'!E15="712.3", 'CASE DATA'!E15="712.6(1)", 'CASE DATA'!E15="712.7", 'CASE DATA'!E15="712.8", 'CASE DATA'!E15="", 'CASE DATA'!E15="713.3", 'CASE DATA'!E15="713.4", 'CASE DATA'!E15="713.5", 'CASE DATA'!E15="713.6", 'CASE DATA'!E15="713.6A(1)", 'CASE DATA'!E15="714.2(1)", 'CASE DATA'!E15="714.2(2)", 'CASE DATA'!E15="714.3A(2)(b)", 'CASE DATA'!E15="714.9", 'CASE DATA'!E15="714.10", 'CASE DATA'!E15="714.26(2)(a)", 'CASE DATA'!E15="714.26(2)(b)", 'CASE DATA'!E15="715A.2(2)(a)", 'CASE DATA'!E15="715A.6(2)(a)", 'CASE DATA'!E15="715A.6(2)(b)", 'CASE DATA'!E15="715A.8(3)(a)", 'CASE DATA'!E15="715A.8(3)(b)", 'CASE DATA'!E15="715A.10(1)", 'CASE DATA'!E15="715A.10(2)", 'CASE DATA'!E15="716.3", 'CASE DATA'!E15="716.4", 'CASE DATA'!E15="716.8(6)", 'CASE DATA'!E15="716.10(2)(a)", 'CASE DATA'!E15="716.10(2)(b)", 'CASE DATA'!E15="716.10(2)(c)", 'CASE DATA'!E15="716.10(2)(d)", 'CASE DATA'!E15="716.12", 'CASE DATA'!E15="719.1(1)(f)", 'CASE DATA'!E15="719.1(2)(e)", 'CASE DATA'!E15="719.1(2)(f)", 'CASE DATA'!E15="719.1(2)(g)", 'CASE DATA'!E15="719.4(1)", 'CASE DATA'!E15="719.4(4)", 'CASE DATA'!E15="719.5(1)", 'CASE DATA'!E15="719.5(2)", 'CASE DATA'!E15="719.6(1)", 'CASE DATA'!E15="719.6(2)", 'CASE DATA'!E15="719.7(4)(a)", 'CASE DATA'!E15="719.7(4)(b)", 'CASE DATA'!E15="719.7A(3)", 'CASE DATA'!E15="719.9", 'CASE DATA'!E15="719.8", 'CASE DATA'!E15="720.2", 'CASE DATA'!E15="720.3", 'CASE DATA'!E15="721.1", 'CASE DATA'!E15="722.1", 'CASE DATA'!E15="", 'CASE DATA'!E15="722.2", 'CASE DATA'!E15="722.10", 'CASE DATA'!E15="723(5)(3)(c)", 'CASE DATA'!E15="723A.2", 'CASE DATA'!E15="723A.3(1)", 'CASE DATA'!E15="723A.3(2)", 'CASE DATA'!E15="724.1B", 'CASE DATA'!E15="724.1C", 'CASE DATA'!E15="724.3", 'CASE DATA'!E15="724.4B", 'CASE DATA'!E15="724.10", 'CASE DATA'!E15="724.16(2)", 'CASE DATA'!E15="724.16A(1)(a)", 'CASE DATA'!E15="724.16A(1)(b)", 'CASE DATA'!E15="724.17", 'CASE DATA'!E15="724.21", 'CASE DATA'!E15="724.26(1)", 'CASE DATA'!E15="922(g)(8)", 'CASE DATA'!E15="724.29A(2)", 'CASE DATA'!E15="724.29A(3)", 'CASE DATA'!E15="724.30(1)", 'CASE DATA'!E15="724.30(2)", 'CASE DATA'!E15="725.1(2)(b)", 'CASE DATA'!E15="725.2(1)", 'CASE DATA'!E15="725.2(2)", 'CASE DATA'!E15="725.3(2)", 'CASE DATA'!E15="725.3(1)", 'CASE DATA'!E15="725.7(2)(a)(3)", 'CASE DATA'!E15="725.7(2)(a)(4)", 'CASE DATA'!E15="725.7(2)(b)(2)", 'CASE DATA'!E15="725.7(2)(b(3)", 'CASE DATA'!E15="726.7(2)(c)(1)", 'CASE DATA'!E15="726.7(2)(c)(2)", 'CASE DATA'!E15="725.7(2)(d)", 'CASE DATA'!E15="726.2", 'CASE DATA'!E15="726.3", 'CASE DATA'!E15="726.5", 'CASE DATA'!E15="726.6(4)", 'CASE DATA'!E15="726.6(5)", 'CASE DATA'!E15="726.6(6)", 'CASE DATA'!E15="726.6A", 'CASE DATA'!E15="726.7(2)", 'CASE DATA'!E15="726.8(2)", 'CASE DATA'!E15="728.12(1)", 'CASE DATA'!E15="728.12(2)"),"felony","eligible"),"N/A")</f>
        <v>N/A</v>
      </c>
      <c r="M14" s="185" t="str">
        <f>IF(L14="eligible",IF(OR('CASE DATA'!E15="123.46",'CASE DATA'!E15="123.47",'CASE DATA'!E15="235B.20",'CASE DATA'!E15="321.218",'CASE DATA'!E15="321A.32",'CASE DATA'!E15="321J.21",'CASE DATA'!E15="321J.2",'CASE DATA'!E15="707.5",'CASE DATA'!E15="708.2(3)",'CASE DATA'!E15="708.2A",'CASE DATA'!E15="708.7",'CASE DATA'!E15="708.11",'CASE DATA'!E15="708.12",'CASE DATA'!E15="716.8(3)",'CASE DATA'!E15="716.8(4)", LEFT('CASE DATA'!E15,4)="717C", LEFT('CASE DATA'!E15, 3)="719", LEFT('CASE DATA'!E15,3)="720", 'CASE DATA'!E15="721.2", 'CASE DATA'!E15="721.10", 'CASE DATA'!E15="723.1", LEFT('CASE DATA'!E15,3)="724", LEFT('CASE DATA'!E15,3)="726", LEFT('CASE DATA'!E15,3)="728", LEFT('CASE DATA'!E15,4)="901A"),"ineligible misd", "eligible"),"N/A")</f>
        <v>N/A</v>
      </c>
      <c r="N14" s="185" t="str">
        <f>IF(L14="eligible",IF(COUNTIF('CASE DATA'!$C$4:$C$200, "")-COUNTIF('CASE DATA'!$A$4:$A$200, "")&gt;0, "YES","NO"),"N/A")</f>
        <v>N/A</v>
      </c>
      <c r="O14" s="185" t="str">
        <f xml:space="preserve"> IF(M14="eligible",'CASE DATA'!K15,"N/A")</f>
        <v>N/A</v>
      </c>
      <c r="P14" s="185" t="str">
        <f xml:space="preserve"> IF(M14="eligible",'CASE DATA'!I15+'CASE DATA'!J15+'CASE DATA'!L15+'CASE DATA'!M15+'CASE DATA'!N15+'CASE DATA'!O15+'CASE DATA'!M15+'CASE DATA'!Q15+'CASE DATA'!R15,"N/A")</f>
        <v>N/A</v>
      </c>
      <c r="Q14" s="11" t="str">
        <f>IF(M14="eligible",IF(C14+730.5&lt;'BASIC INFO'!$B$3, "YES", "NO"),"N/A")</f>
        <v>N/A</v>
      </c>
      <c r="R14" s="186" t="str">
        <f xml:space="preserve"> IF(OR('CASE DATA'!F15="DEF"), "YES", "NO")</f>
        <v>NO</v>
      </c>
      <c r="S14" s="162" t="str">
        <f>IF(R14="YES",'CASE DATA'!H15,"N/A")</f>
        <v>N/A</v>
      </c>
      <c r="T14" s="185" t="str">
        <f xml:space="preserve"> IF(R14="YES",'CASE DATA'!K15,"N/A")</f>
        <v>N/A</v>
      </c>
      <c r="U14" s="185" t="str">
        <f>IF(R14="YES",'CASE DATA'!I15+'CASE DATA'!J15+'CASE DATA'!L15+'CASE DATA'!M15+'CASE DATA'!N15+'CASE DATA'!O15+'CASE DATA'!P15+'CASE DATA'!Q15+'CASE DATA'!R15,"N/A")</f>
        <v>N/A</v>
      </c>
      <c r="V14" s="189" t="str">
        <f>IF(OR('CASE DATA'!E15="123.46",'CASE DATA'!E15="123.47"),"YES","NO")</f>
        <v>NO</v>
      </c>
      <c r="W14" s="189"/>
      <c r="X14" s="185" t="str">
        <f>IF(V14="YES",IF(C14+730.5&lt;'BASIC INFO'!$B$3, "YES","NO"), "N/A")</f>
        <v>N/A</v>
      </c>
      <c r="Y14" s="189" t="str">
        <f t="shared" si="0"/>
        <v>NO</v>
      </c>
      <c r="Z14" s="187" t="str">
        <f xml:space="preserve"> IF('BASIC INFO'!$B$6+6574.5&gt;C14, "YES", "NO")</f>
        <v>YES</v>
      </c>
      <c r="AA14" s="184"/>
    </row>
    <row r="15" spans="1:27" x14ac:dyDescent="0.25">
      <c r="A15" s="162">
        <f xml:space="preserve"> 'CASE DATA'!A16</f>
        <v>0</v>
      </c>
      <c r="B15" s="162">
        <f xml:space="preserve"> 'CASE DATA'!E16</f>
        <v>0</v>
      </c>
      <c r="C15" s="163">
        <f xml:space="preserve"> 'CASE DATA'!C16</f>
        <v>0</v>
      </c>
      <c r="D15" s="11" t="str">
        <f xml:space="preserve"> IF(OR('CASE DATA'!F16="JUV", 'CASE DATA'!F16="JWV"), "YES", "NO")</f>
        <v>NO</v>
      </c>
      <c r="E15" s="11"/>
      <c r="F15" s="11" t="str">
        <f>IF(D15="YES",IF(COUNTIF('CASE DATA'!$C$4:$C$200, "")-COUNTIF('CASE DATA'!$A$4:$A$200, "")&gt;0, "YES","NO"),"N/A")</f>
        <v>N/A</v>
      </c>
      <c r="G15" s="164" t="str">
        <f xml:space="preserve"> _xlfn.IFS(D15="NO", "N/A", AND('BASIC INFO'!$B$3&gt;'BASIC INFO'!$B$6+6574.5, C15+730.5&lt;'BASIC INFO'!$B$3), "YES", 'BASIC INFO'!$B$3&lt;('BASIC INFO'!$B$6+6574.5), "NOT YET 18", C15+730.5&gt;'BASIC INFO'!$B$3, "NOT YET 2 YEARS")</f>
        <v>N/A</v>
      </c>
      <c r="H15" s="186" t="str">
        <f xml:space="preserve"> IF(LEFT('CASE DATA'!E16,4)&lt;&gt;"321.",IF(OR('CASE DATA'!F16="DISM", 'CASE DATA'!F16="ACQ", 'CASE DATA'!F16="NOTF", 'CASE DATA'!F16="WTHD", 'CASE DATA'!F16="TNSF"), "YES", "NO"), "TRAFFIC")</f>
        <v>NO</v>
      </c>
      <c r="I15" s="185" t="str">
        <f xml:space="preserve"> IF(H15="YES",'CASE DATA'!K16,"N/A")</f>
        <v>N/A</v>
      </c>
      <c r="J15" s="185" t="str">
        <f>IF(H15="YES",'CASE DATA'!I16+'CASE DATA'!J16+'CASE DATA'!L16+'CASE DATA'!M16+'CASE DATA'!N16+'CASE DATA'!O16+'CASE DATA'!P16+'CASE DATA'!Q16+'CASE DATA'!R16,"N/A")</f>
        <v>N/A</v>
      </c>
      <c r="K15" s="162" t="str">
        <f xml:space="preserve"> IF(H15="YES",IF(C15+180&lt;'BASIC INFO'!$B$3, "YES", "NO"),"N/A")</f>
        <v>N/A</v>
      </c>
      <c r="L15" s="185" t="str">
        <f>IF(OR('CASE DATA'!F16="GTR", 'CASE DATA'!F16="GPL"),IF(OR('CASE DATA'!E16="81.6(2)", 'CASE DATA'!E16="99F.15(6)(b)(1)", 'CASE DATA'!E16= "124.401(1)(a)", 'CASE DATA'!E16= "124.401(1)(b)", 'CASE DATA'!E16= "124.401(1)(c)", 'CASE DATA'!E16= "124.401(1)(d)", 'CASE DATA'!E16="124.401(4)", 'CASE DATA'!E16="124.401(1)(b)", 'CASE DATA'!E16="124.401(1)(c)", 'CASE DATA'!E16="124.401D(2)(b)", 'CASE DATA'!E16="124.401D(2)(c)", 'CASE DATA'!E16="124.406(1)(a)", 'CASE DATA'!E16="124.406(1)(b) ", 'CASE DATA'!E16="124.406(2)(a)", 'CASE DATA'!E16="124.406(2)(b) ", 'CASE DATA'!E16="124.406(3)", 'CASE DATA'!E16="124.406A ", 'CASE DATA'!E16="124.407(2)(a)", 'CASE DATA'!E16="124B.9(1)", 'CASE DATA'!E16="124B.9(2)", 'CASE DATA'!E16="321J.2(2)(c)", 'CASE DATA'!E16="453B.12(2)", 'CASE DATA'!E16="453B.12(3)", 'CASE DATA'!E16="453B.12(4)", 'CASE DATA'!E16="462A.14(2)(c)", 'CASE DATA'!E16="462A.14(2)(d)", 'CASE DATA'!E16="462A.14(2)(e)", 'CASE DATA'!E16="705.1(2)", 'CASE DATA'!E16="706.3(1)", 'CASE DATA'!E16="706.3(2)", 'CASE DATA'!E16="706A.2(1)", 'CASE DATA'!E16="706A.2(2)", 'CASE DATA'!E16="706A.2(4)", 'CASE DATA'!E16="706B.2(1)(a)", 'CASE DATA'!E16="706B.2(1)(b)", 'CASE DATA'!E16="706B.2(1)(c)", 'CASE DATA'!E16="706B.2(1)(d)", 'CASE DATA'!E16="707.2", 'CASE DATA'!E16="707.3", 'CASE DATA'!E16="707.3A", 'CASE DATA'!E16="707.4", 'CASE DATA'!E16="707.5(1)(a)", 'CASE DATA'!E16="707.6A(1)", 'CASE DATA'!E16="707.6A(2)", 'CASE DATA'!E16="707.6A(3)", 'CASE DATA'!E16="707.6A(4)", 'CASE DATA'!E16="707.7(1)", 'CASE DATA'!E16="707.7(3)", 'CASE DATA'!E16="707.7(2)", 'CASE DATA'!E16="707.8(1)", 'CASE DATA'!E16="707.8(2)", 'CASE DATA'!E16="707.8(3)", 'CASE DATA'!E16="707.8(4)", 'CASE DATA'!E16="707.8(5)", 'CASE DATA'!E16="707.8(6)", 'CASE DATA'!E16="707.9", 'CASE DATA'!E16="707.11", 'CASE DATA'!E16="707A.2", 'CASE DATA'!E16="708.2(4)", 'CASE DATA'!E16="708.2(5)", 'CASE DATA'!E16="708.2A(4)", 'CASE DATA'!E16="708.2A(5)", 'CASE DATA'!E16="708.2C(2)", 'CASE DATA'!E16="708.2C(4)", 'CASE DATA'!E16="708.3(1)", 'CASE DATA'!E16="708.3(2)", 'CASE DATA'!E16="708.3A(1)", 'CASE DATA'!E16="708.3A(2)", 'CASE DATA'!E16="708.3B", 'CASE DATA'!E16="708.4(1)", 'CASE DATA'!E16="708.4(2)", 'CASE DATA'!E16="708.5", 'CASE DATA'!E16="708.8", 'CASE DATA'!E16="708.11(3)(a)", 'CASE DATA'!E16="708.11(3)(b)", 'CASE DATA'!E16="708.12(3)(f)", 'CASE DATA'!E16="708.13(3)", 'CASE DATA'!E16="708.14", 'CASE DATA'!E16="708A.2", 'CASE DATA'!E16="708A.4(1)", 'CASE DATA'!E16="708A.4(2)", 'CASE DATA'!E16="708A.5", 'CASE DATA'!E16="708A.6(1)", 'CASE DATA'!E16="708.A.6(2)", 'CASE DATA'!E16="709.2", 'CASE DATA'!E16="709.3", 'CASE DATA'!E16="709.4", 'CASE DATA'!E16="709.8(1)(a)", 'CASE DATA'!E16="709.8(1)(b)", 'CASE DATA'!E16="709.8(1)(c)", 'CASE DATA'!E16="709.8(1)(d)", 'CASE DATA'!E16="709.8(1)(e)", 'CASE DATA'!E16="709.11(1)", 'CASE DATA'!E16="709.11(2)", 'CASE DATA'!E16="709.15(2)(a)(1)", 'CASE DATA'!E16="709.15(3)(a)(1)", 'CASE DATA'!E16="709.18", 'CASE DATA'!E16="709A.6(2)", 'CASE DATA'!E16="709D.3(1)", 'CASE DATA'!E16="709D.3(2)", 'CASE DATA'!E16="709.D.3(3)", 'CASE DATA'!E16="710.2", 'CASE DATA'!E16="710.3", 'CASE DATA'!E16="710.4", 'CASE DATA'!E16="710.5", 'CASE DATA'!E16="710.10(1)", 'CASE DATA'!E16="710.10(2)", 'CASE DATA'!E16="710.10(3)", 'CASE DATA'!E16="710.11", 'CASE DATA'!E16="710A.2(1)", 'CASE DATA'!E16="710A.2(2)", 'CASE DATA'!E16="710A.2(3)", 'CASE DATA'!E16="710A.2(4)", 'CASE DATA'!E16="710A.2(5)", 'CASE DATA'!E16="710A.2(6)", 'CASE DATA'!E16="710A.2(7)", 'CASE DATA'!E16="710A.2A", 'CASE DATA'!E16="711.2", 'CASE DATA'!E16="711.3", 'CASE DATA'!E16="711.4", 'CASE DATA'!E16="712.2", 'CASE DATA'!E16="712.3", 'CASE DATA'!E16="712.6(1)", 'CASE DATA'!E16="712.7", 'CASE DATA'!E16="712.8", 'CASE DATA'!E16="", 'CASE DATA'!E16="713.3", 'CASE DATA'!E16="713.4", 'CASE DATA'!E16="713.5", 'CASE DATA'!E16="713.6", 'CASE DATA'!E16="713.6A(1)", 'CASE DATA'!E16="714.2(1)", 'CASE DATA'!E16="714.2(2)", 'CASE DATA'!E16="714.3A(2)(b)", 'CASE DATA'!E16="714.9", 'CASE DATA'!E16="714.10", 'CASE DATA'!E16="714.26(2)(a)", 'CASE DATA'!E16="714.26(2)(b)", 'CASE DATA'!E16="715A.2(2)(a)", 'CASE DATA'!E16="715A.6(2)(a)", 'CASE DATA'!E16="715A.6(2)(b)", 'CASE DATA'!E16="715A.8(3)(a)", 'CASE DATA'!E16="715A.8(3)(b)", 'CASE DATA'!E16="715A.10(1)", 'CASE DATA'!E16="715A.10(2)", 'CASE DATA'!E16="716.3", 'CASE DATA'!E16="716.4", 'CASE DATA'!E16="716.8(6)", 'CASE DATA'!E16="716.10(2)(a)", 'CASE DATA'!E16="716.10(2)(b)", 'CASE DATA'!E16="716.10(2)(c)", 'CASE DATA'!E16="716.10(2)(d)", 'CASE DATA'!E16="716.12", 'CASE DATA'!E16="719.1(1)(f)", 'CASE DATA'!E16="719.1(2)(e)", 'CASE DATA'!E16="719.1(2)(f)", 'CASE DATA'!E16="719.1(2)(g)", 'CASE DATA'!E16="719.4(1)", 'CASE DATA'!E16="719.4(4)", 'CASE DATA'!E16="719.5(1)", 'CASE DATA'!E16="719.5(2)", 'CASE DATA'!E16="719.6(1)", 'CASE DATA'!E16="719.6(2)", 'CASE DATA'!E16="719.7(4)(a)", 'CASE DATA'!E16="719.7(4)(b)", 'CASE DATA'!E16="719.7A(3)", 'CASE DATA'!E16="719.9", 'CASE DATA'!E16="719.8", 'CASE DATA'!E16="720.2", 'CASE DATA'!E16="720.3", 'CASE DATA'!E16="721.1", 'CASE DATA'!E16="722.1", 'CASE DATA'!E16="", 'CASE DATA'!E16="722.2", 'CASE DATA'!E16="722.10", 'CASE DATA'!E16="723(5)(3)(c)", 'CASE DATA'!E16="723A.2", 'CASE DATA'!E16="723A.3(1)", 'CASE DATA'!E16="723A.3(2)", 'CASE DATA'!E16="724.1B", 'CASE DATA'!E16="724.1C", 'CASE DATA'!E16="724.3", 'CASE DATA'!E16="724.4B", 'CASE DATA'!E16="724.10", 'CASE DATA'!E16="724.16(2)", 'CASE DATA'!E16="724.16A(1)(a)", 'CASE DATA'!E16="724.16A(1)(b)", 'CASE DATA'!E16="724.17", 'CASE DATA'!E16="724.21", 'CASE DATA'!E16="724.26(1)", 'CASE DATA'!E16="922(g)(8)", 'CASE DATA'!E16="724.29A(2)", 'CASE DATA'!E16="724.29A(3)", 'CASE DATA'!E16="724.30(1)", 'CASE DATA'!E16="724.30(2)", 'CASE DATA'!E16="725.1(2)(b)", 'CASE DATA'!E16="725.2(1)", 'CASE DATA'!E16="725.2(2)", 'CASE DATA'!E16="725.3(2)", 'CASE DATA'!E16="725.3(1)", 'CASE DATA'!E16="725.7(2)(a)(3)", 'CASE DATA'!E16="725.7(2)(a)(4)", 'CASE DATA'!E16="725.7(2)(b)(2)", 'CASE DATA'!E16="725.7(2)(b(3)", 'CASE DATA'!E16="726.7(2)(c)(1)", 'CASE DATA'!E16="726.7(2)(c)(2)", 'CASE DATA'!E16="725.7(2)(d)", 'CASE DATA'!E16="726.2", 'CASE DATA'!E16="726.3", 'CASE DATA'!E16="726.5", 'CASE DATA'!E16="726.6(4)", 'CASE DATA'!E16="726.6(5)", 'CASE DATA'!E16="726.6(6)", 'CASE DATA'!E16="726.6A", 'CASE DATA'!E16="726.7(2)", 'CASE DATA'!E16="726.8(2)", 'CASE DATA'!E16="728.12(1)", 'CASE DATA'!E16="728.12(2)"),"felony","eligible"),"N/A")</f>
        <v>N/A</v>
      </c>
      <c r="M15" s="185" t="str">
        <f>IF(L15="eligible",IF(OR('CASE DATA'!E16="123.46",'CASE DATA'!E16="123.47",'CASE DATA'!E16="235B.20",'CASE DATA'!E16="321.218",'CASE DATA'!E16="321A.32",'CASE DATA'!E16="321J.21",'CASE DATA'!E16="321J.2",'CASE DATA'!E16="707.5",'CASE DATA'!E16="708.2(3)",'CASE DATA'!E16="708.2A",'CASE DATA'!E16="708.7",'CASE DATA'!E16="708.11",'CASE DATA'!E16="708.12",'CASE DATA'!E16="716.8(3)",'CASE DATA'!E16="716.8(4)", LEFT('CASE DATA'!E16,4)="717C", LEFT('CASE DATA'!E16, 3)="719", LEFT('CASE DATA'!E16,3)="720", 'CASE DATA'!E16="721.2", 'CASE DATA'!E16="721.10", 'CASE DATA'!E16="723.1", LEFT('CASE DATA'!E16,3)="724", LEFT('CASE DATA'!E16,3)="726", LEFT('CASE DATA'!E16,3)="728", LEFT('CASE DATA'!E16,4)="901A"),"ineligible misd", "eligible"),"N/A")</f>
        <v>N/A</v>
      </c>
      <c r="N15" s="185" t="str">
        <f>IF(L15="eligible",IF(COUNTIF('CASE DATA'!$C$4:$C$200, "")-COUNTIF('CASE DATA'!$A$4:$A$200, "")&gt;0, "YES","NO"),"N/A")</f>
        <v>N/A</v>
      </c>
      <c r="O15" s="185" t="str">
        <f xml:space="preserve"> IF(M15="eligible",'CASE DATA'!K16,"N/A")</f>
        <v>N/A</v>
      </c>
      <c r="P15" s="185" t="str">
        <f xml:space="preserve"> IF(M15="eligible",'CASE DATA'!I16+'CASE DATA'!J16+'CASE DATA'!L16+'CASE DATA'!M16+'CASE DATA'!N16+'CASE DATA'!O16+'CASE DATA'!M16+'CASE DATA'!Q16+'CASE DATA'!R16,"N/A")</f>
        <v>N/A</v>
      </c>
      <c r="Q15" s="11" t="str">
        <f>IF(M15="eligible",IF(C15+730.5&lt;'BASIC INFO'!$B$3, "YES", "NO"),"N/A")</f>
        <v>N/A</v>
      </c>
      <c r="R15" s="186" t="str">
        <f xml:space="preserve"> IF(OR('CASE DATA'!F16="DEF"), "YES", "NO")</f>
        <v>NO</v>
      </c>
      <c r="S15" s="162" t="str">
        <f>IF(R15="YES",'CASE DATA'!H16,"N/A")</f>
        <v>N/A</v>
      </c>
      <c r="T15" s="185" t="str">
        <f xml:space="preserve"> IF(R15="YES",'CASE DATA'!K11,"N/A")</f>
        <v>N/A</v>
      </c>
      <c r="U15" s="185" t="str">
        <f>IF(R15="YES",'CASE DATA'!I16+'CASE DATA'!J16+'CASE DATA'!L16+'CASE DATA'!M16+'CASE DATA'!N16+'CASE DATA'!O16+'CASE DATA'!P16+'CASE DATA'!Q16+'CASE DATA'!R16,"N/A")</f>
        <v>N/A</v>
      </c>
      <c r="V15" s="189" t="str">
        <f>IF(OR('CASE DATA'!E16="123.46",'CASE DATA'!E16="123.47"),"YES","NO")</f>
        <v>NO</v>
      </c>
      <c r="W15" s="189"/>
      <c r="X15" s="185" t="str">
        <f>IF(V15="YES",IF(C15+730.5&lt;'BASIC INFO'!$B$3, "YES","NO"), "N/A")</f>
        <v>N/A</v>
      </c>
      <c r="Y15" s="189" t="str">
        <f t="shared" si="0"/>
        <v>NO</v>
      </c>
      <c r="Z15" s="187" t="str">
        <f xml:space="preserve"> IF('BASIC INFO'!$B$6+6574.5&gt;C15, "YES", "NO")</f>
        <v>YES</v>
      </c>
      <c r="AA15" s="184"/>
    </row>
    <row r="16" spans="1:27" x14ac:dyDescent="0.25">
      <c r="A16" s="162">
        <f xml:space="preserve"> 'CASE DATA'!A17</f>
        <v>0</v>
      </c>
      <c r="B16" s="162">
        <f xml:space="preserve"> 'CASE DATA'!E17</f>
        <v>0</v>
      </c>
      <c r="C16" s="163">
        <f xml:space="preserve"> 'CASE DATA'!C17</f>
        <v>0</v>
      </c>
      <c r="D16" s="11" t="str">
        <f xml:space="preserve"> IF(OR('CASE DATA'!F17="JUV", 'CASE DATA'!F17="JWV"), "YES", "NO")</f>
        <v>NO</v>
      </c>
      <c r="E16" s="11"/>
      <c r="F16" s="11" t="str">
        <f>IF(D16="YES",IF(COUNTIF('CASE DATA'!$C$4:$C$200, "")-COUNTIF('CASE DATA'!$A$4:$A$200, "")&gt;0, "YES","NO"),"N/A")</f>
        <v>N/A</v>
      </c>
      <c r="G16" s="164" t="str">
        <f xml:space="preserve"> _xlfn.IFS(D16="NO", "N/A", AND('BASIC INFO'!$B$3&gt;'BASIC INFO'!$B$6+6574.5, C16+730.5&lt;'BASIC INFO'!$B$3), "YES", 'BASIC INFO'!$B$3&lt;('BASIC INFO'!$B$6+6574.5), "NOT YET 18", C16+730.5&gt;'BASIC INFO'!$B$3, "NOT YET 2 YEARS")</f>
        <v>N/A</v>
      </c>
      <c r="H16" s="186" t="str">
        <f xml:space="preserve"> IF(LEFT('CASE DATA'!E17,4)&lt;&gt;"321.",IF(OR('CASE DATA'!F17="DISM", 'CASE DATA'!F17="ACQ", 'CASE DATA'!F17="NOTF", 'CASE DATA'!F17="WTHD", 'CASE DATA'!F17="TNSF"), "YES", "NO"), "TRAFFIC")</f>
        <v>NO</v>
      </c>
      <c r="I16" s="185" t="str">
        <f xml:space="preserve"> IF(H16="YES",'CASE DATA'!K17,"N/A")</f>
        <v>N/A</v>
      </c>
      <c r="J16" s="185" t="str">
        <f>IF(H16="YES",'CASE DATA'!I17+'CASE DATA'!J17+'CASE DATA'!L17+'CASE DATA'!M17+'CASE DATA'!N17+'CASE DATA'!O17+'CASE DATA'!P17+'CASE DATA'!Q17+'CASE DATA'!R17,"N/A")</f>
        <v>N/A</v>
      </c>
      <c r="K16" s="162" t="str">
        <f xml:space="preserve"> IF(H16="YES",IF(C16+180&lt;'BASIC INFO'!$B$3, "YES", "NO"),"N/A")</f>
        <v>N/A</v>
      </c>
      <c r="L16" s="185" t="str">
        <f>IF(OR('CASE DATA'!F17="GTR", 'CASE DATA'!F17="GPL"),IF(OR('CASE DATA'!E17="81.6(2)", 'CASE DATA'!E17="99F.15(6)(b)(1)", 'CASE DATA'!E17= "124.401(1)(a)", 'CASE DATA'!E17= "124.401(1)(b)", 'CASE DATA'!E17= "124.401(1)(c)", 'CASE DATA'!E17= "124.401(1)(d)", 'CASE DATA'!E17="124.401(4)", 'CASE DATA'!E17="124.401(1)(b)", 'CASE DATA'!E17="124.401(1)(c)", 'CASE DATA'!E17="124.401D(2)(b)", 'CASE DATA'!E17="124.401D(2)(c)", 'CASE DATA'!E17="124.406(1)(a)", 'CASE DATA'!E17="124.406(1)(b) ", 'CASE DATA'!E17="124.406(2)(a)", 'CASE DATA'!E17="124.406(2)(b) ", 'CASE DATA'!E17="124.406(3)", 'CASE DATA'!E17="124.406A ", 'CASE DATA'!E17="124.407(2)(a)", 'CASE DATA'!E17="124B.9(1)", 'CASE DATA'!E17="124B.9(2)", 'CASE DATA'!E17="321J.2(2)(c)", 'CASE DATA'!E17="453B.12(2)", 'CASE DATA'!E17="453B.12(3)", 'CASE DATA'!E17="453B.12(4)", 'CASE DATA'!E17="462A.14(2)(c)", 'CASE DATA'!E17="462A.14(2)(d)", 'CASE DATA'!E17="462A.14(2)(e)", 'CASE DATA'!E17="705.1(2)", 'CASE DATA'!E17="706.3(1)", 'CASE DATA'!E17="706.3(2)", 'CASE DATA'!E17="706A.2(1)", 'CASE DATA'!E17="706A.2(2)", 'CASE DATA'!E17="706A.2(4)", 'CASE DATA'!E17="706B.2(1)(a)", 'CASE DATA'!E17="706B.2(1)(b)", 'CASE DATA'!E17="706B.2(1)(c)", 'CASE DATA'!E17="706B.2(1)(d)", 'CASE DATA'!E17="707.2", 'CASE DATA'!E17="707.3", 'CASE DATA'!E17="707.3A", 'CASE DATA'!E17="707.4", 'CASE DATA'!E17="707.5(1)(a)", 'CASE DATA'!E17="707.6A(1)", 'CASE DATA'!E17="707.6A(2)", 'CASE DATA'!E17="707.6A(3)", 'CASE DATA'!E17="707.6A(4)", 'CASE DATA'!E17="707.7(1)", 'CASE DATA'!E17="707.7(3)", 'CASE DATA'!E17="707.7(2)", 'CASE DATA'!E17="707.8(1)", 'CASE DATA'!E17="707.8(2)", 'CASE DATA'!E17="707.8(3)", 'CASE DATA'!E17="707.8(4)", 'CASE DATA'!E17="707.8(5)", 'CASE DATA'!E17="707.8(6)", 'CASE DATA'!E17="707.9", 'CASE DATA'!E17="707.11", 'CASE DATA'!E17="707A.2", 'CASE DATA'!E17="708.2(4)", 'CASE DATA'!E17="708.2(5)", 'CASE DATA'!E17="708.2A(4)", 'CASE DATA'!E17="708.2A(5)", 'CASE DATA'!E17="708.2C(2)", 'CASE DATA'!E17="708.2C(4)", 'CASE DATA'!E17="708.3(1)", 'CASE DATA'!E17="708.3(2)", 'CASE DATA'!E17="708.3A(1)", 'CASE DATA'!E17="708.3A(2)", 'CASE DATA'!E17="708.3B", 'CASE DATA'!E17="708.4(1)", 'CASE DATA'!E17="708.4(2)", 'CASE DATA'!E17="708.5", 'CASE DATA'!E17="708.8", 'CASE DATA'!E17="708.11(3)(a)", 'CASE DATA'!E17="708.11(3)(b)", 'CASE DATA'!E17="708.12(3)(f)", 'CASE DATA'!E17="708.13(3)", 'CASE DATA'!E17="708.14", 'CASE DATA'!E17="708A.2", 'CASE DATA'!E17="708A.4(1)", 'CASE DATA'!E17="708A.4(2)", 'CASE DATA'!E17="708A.5", 'CASE DATA'!E17="708A.6(1)", 'CASE DATA'!E17="708.A.6(2)", 'CASE DATA'!E17="709.2", 'CASE DATA'!E17="709.3", 'CASE DATA'!E17="709.4", 'CASE DATA'!E17="709.8(1)(a)", 'CASE DATA'!E17="709.8(1)(b)", 'CASE DATA'!E17="709.8(1)(c)", 'CASE DATA'!E17="709.8(1)(d)", 'CASE DATA'!E17="709.8(1)(e)", 'CASE DATA'!E17="709.11(1)", 'CASE DATA'!E17="709.11(2)", 'CASE DATA'!E17="709.15(2)(a)(1)", 'CASE DATA'!E17="709.15(3)(a)(1)", 'CASE DATA'!E17="709.18", 'CASE DATA'!E17="709A.6(2)", 'CASE DATA'!E17="709D.3(1)", 'CASE DATA'!E17="709D.3(2)", 'CASE DATA'!E17="709.D.3(3)", 'CASE DATA'!E17="710.2", 'CASE DATA'!E17="710.3", 'CASE DATA'!E17="710.4", 'CASE DATA'!E17="710.5", 'CASE DATA'!E17="710.10(1)", 'CASE DATA'!E17="710.10(2)", 'CASE DATA'!E17="710.10(3)", 'CASE DATA'!E17="710.11", 'CASE DATA'!E17="710A.2(1)", 'CASE DATA'!E17="710A.2(2)", 'CASE DATA'!E17="710A.2(3)", 'CASE DATA'!E17="710A.2(4)", 'CASE DATA'!E17="710A.2(5)", 'CASE DATA'!E17="710A.2(6)", 'CASE DATA'!E17="710A.2(7)", 'CASE DATA'!E17="710A.2A", 'CASE DATA'!E17="711.2", 'CASE DATA'!E17="711.3", 'CASE DATA'!E17="711.4", 'CASE DATA'!E17="712.2", 'CASE DATA'!E17="712.3", 'CASE DATA'!E17="712.6(1)", 'CASE DATA'!E17="712.7", 'CASE DATA'!E17="712.8", 'CASE DATA'!E17="", 'CASE DATA'!E17="713.3", 'CASE DATA'!E17="713.4", 'CASE DATA'!E17="713.5", 'CASE DATA'!E17="713.6", 'CASE DATA'!E17="713.6A(1)", 'CASE DATA'!E17="714.2(1)", 'CASE DATA'!E17="714.2(2)", 'CASE DATA'!E17="714.3A(2)(b)", 'CASE DATA'!E17="714.9", 'CASE DATA'!E17="714.10", 'CASE DATA'!E17="714.26(2)(a)", 'CASE DATA'!E17="714.26(2)(b)", 'CASE DATA'!E17="715A.2(2)(a)", 'CASE DATA'!E17="715A.6(2)(a)", 'CASE DATA'!E17="715A.6(2)(b)", 'CASE DATA'!E17="715A.8(3)(a)", 'CASE DATA'!E17="715A.8(3)(b)", 'CASE DATA'!E17="715A.10(1)", 'CASE DATA'!E17="715A.10(2)", 'CASE DATA'!E17="716.3", 'CASE DATA'!E17="716.4", 'CASE DATA'!E17="716.8(6)", 'CASE DATA'!E17="716.10(2)(a)", 'CASE DATA'!E17="716.10(2)(b)", 'CASE DATA'!E17="716.10(2)(c)", 'CASE DATA'!E17="716.10(2)(d)", 'CASE DATA'!E17="716.12", 'CASE DATA'!E17="719.1(1)(f)", 'CASE DATA'!E17="719.1(2)(e)", 'CASE DATA'!E17="719.1(2)(f)", 'CASE DATA'!E17="719.1(2)(g)", 'CASE DATA'!E17="719.4(1)", 'CASE DATA'!E17="719.4(4)", 'CASE DATA'!E17="719.5(1)", 'CASE DATA'!E17="719.5(2)", 'CASE DATA'!E17="719.6(1)", 'CASE DATA'!E17="719.6(2)", 'CASE DATA'!E17="719.7(4)(a)", 'CASE DATA'!E17="719.7(4)(b)", 'CASE DATA'!E17="719.7A(3)", 'CASE DATA'!E17="719.9", 'CASE DATA'!E17="719.8", 'CASE DATA'!E17="720.2", 'CASE DATA'!E17="720.3", 'CASE DATA'!E17="721.1", 'CASE DATA'!E17="722.1", 'CASE DATA'!E17="", 'CASE DATA'!E17="722.2", 'CASE DATA'!E17="722.10", 'CASE DATA'!E17="723(5)(3)(c)", 'CASE DATA'!E17="723A.2", 'CASE DATA'!E17="723A.3(1)", 'CASE DATA'!E17="723A.3(2)", 'CASE DATA'!E17="724.1B", 'CASE DATA'!E17="724.1C", 'CASE DATA'!E17="724.3", 'CASE DATA'!E17="724.4B", 'CASE DATA'!E17="724.10", 'CASE DATA'!E17="724.16(2)", 'CASE DATA'!E17="724.16A(1)(a)", 'CASE DATA'!E17="724.16A(1)(b)", 'CASE DATA'!E17="724.17", 'CASE DATA'!E17="724.21", 'CASE DATA'!E17="724.26(1)", 'CASE DATA'!E17="922(g)(8)", 'CASE DATA'!E17="724.29A(2)", 'CASE DATA'!E17="724.29A(3)", 'CASE DATA'!E17="724.30(1)", 'CASE DATA'!E17="724.30(2)", 'CASE DATA'!E17="725.1(2)(b)", 'CASE DATA'!E17="725.2(1)", 'CASE DATA'!E17="725.2(2)", 'CASE DATA'!E17="725.3(2)", 'CASE DATA'!E17="725.3(1)", 'CASE DATA'!E17="725.7(2)(a)(3)", 'CASE DATA'!E17="725.7(2)(a)(4)", 'CASE DATA'!E17="725.7(2)(b)(2)", 'CASE DATA'!E17="725.7(2)(b(3)", 'CASE DATA'!E17="726.7(2)(c)(1)", 'CASE DATA'!E17="726.7(2)(c)(2)", 'CASE DATA'!E17="725.7(2)(d)", 'CASE DATA'!E17="726.2", 'CASE DATA'!E17="726.3", 'CASE DATA'!E17="726.5", 'CASE DATA'!E17="726.6(4)", 'CASE DATA'!E17="726.6(5)", 'CASE DATA'!E17="726.6(6)", 'CASE DATA'!E17="726.6A", 'CASE DATA'!E17="726.7(2)", 'CASE DATA'!E17="726.8(2)", 'CASE DATA'!E17="728.12(1)", 'CASE DATA'!E17="728.12(2)"),"felony","eligible"),"N/A")</f>
        <v>N/A</v>
      </c>
      <c r="M16" s="185" t="str">
        <f>IF(L16="eligible",IF(OR('CASE DATA'!E17="123.46",'CASE DATA'!E17="123.47",'CASE DATA'!E17="235B.20",'CASE DATA'!E17="321.218",'CASE DATA'!E17="321A.32",'CASE DATA'!E17="321J.21",'CASE DATA'!E17="321J.2",'CASE DATA'!E17="707.5",'CASE DATA'!E17="708.2(3)",'CASE DATA'!E17="708.2A",'CASE DATA'!E17="708.7",'CASE DATA'!E17="708.11",'CASE DATA'!E17="708.12",'CASE DATA'!E17="716.8(3)",'CASE DATA'!E17="716.8(4)", LEFT('CASE DATA'!E17,4)="717C", LEFT('CASE DATA'!E17, 3)="719", LEFT('CASE DATA'!E17,3)="720", 'CASE DATA'!E17="721.2", 'CASE DATA'!E17="721.10", 'CASE DATA'!E17="723.1", LEFT('CASE DATA'!E17,3)="724", LEFT('CASE DATA'!E17,3)="726", LEFT('CASE DATA'!E17,3)="728", LEFT('CASE DATA'!E17,4)="901A"),"ineligible misd", "eligible"),"N/A")</f>
        <v>N/A</v>
      </c>
      <c r="N16" s="185" t="str">
        <f>IF(L16="eligible",IF(COUNTIF('CASE DATA'!$C$4:$C$200, "")-COUNTIF('CASE DATA'!$A$4:$A$200, "")&gt;0, "YES","NO"),"N/A")</f>
        <v>N/A</v>
      </c>
      <c r="O16" s="185" t="str">
        <f xml:space="preserve"> IF(M16="eligible",'CASE DATA'!K17,"N/A")</f>
        <v>N/A</v>
      </c>
      <c r="P16" s="185" t="str">
        <f xml:space="preserve"> IF(M16="eligible",'CASE DATA'!I17+'CASE DATA'!J17+'CASE DATA'!L17+'CASE DATA'!M17+'CASE DATA'!N17+'CASE DATA'!O17+'CASE DATA'!M17+'CASE DATA'!Q17+'CASE DATA'!R17,"N/A")</f>
        <v>N/A</v>
      </c>
      <c r="Q16" s="11" t="str">
        <f>IF(M16="eligible",IF(C16+730.5&lt;'BASIC INFO'!$B$3, "YES", "NO"),"N/A")</f>
        <v>N/A</v>
      </c>
      <c r="R16" s="186" t="str">
        <f xml:space="preserve"> IF(OR('CASE DATA'!F17="DEF"), "YES", "NO")</f>
        <v>NO</v>
      </c>
      <c r="S16" s="162" t="str">
        <f>IF(R16="YES",'CASE DATA'!H17,"N/A")</f>
        <v>N/A</v>
      </c>
      <c r="T16" s="185" t="str">
        <f xml:space="preserve"> IF(R16="YES",'CASE DATA'!K12,"N/A")</f>
        <v>N/A</v>
      </c>
      <c r="U16" s="185" t="str">
        <f>IF(R16="YES",'CASE DATA'!I17+'CASE DATA'!J17+'CASE DATA'!L17+'CASE DATA'!M17+'CASE DATA'!N17+'CASE DATA'!O17+'CASE DATA'!P17+'CASE DATA'!Q17+'CASE DATA'!R17,"N/A")</f>
        <v>N/A</v>
      </c>
      <c r="V16" s="189" t="str">
        <f>IF(OR('CASE DATA'!E17="123.46",'CASE DATA'!E17="123.47"),"YES","NO")</f>
        <v>NO</v>
      </c>
      <c r="W16" s="189"/>
      <c r="X16" s="185" t="str">
        <f>IF(V16="YES",IF(C16+730.5&lt;'BASIC INFO'!$B$3, "YES","NO"), "N/A")</f>
        <v>N/A</v>
      </c>
      <c r="Y16" s="189" t="str">
        <f t="shared" si="0"/>
        <v>NO</v>
      </c>
      <c r="Z16" s="187" t="str">
        <f xml:space="preserve"> IF('BASIC INFO'!$B$6+6574.5&gt;C16, "YES", "NO")</f>
        <v>YES</v>
      </c>
      <c r="AA16" s="184"/>
    </row>
    <row r="17" spans="1:26" x14ac:dyDescent="0.25">
      <c r="A17" s="162">
        <f xml:space="preserve"> 'CASE DATA'!A18</f>
        <v>0</v>
      </c>
      <c r="B17" s="162">
        <f xml:space="preserve"> 'CASE DATA'!E18</f>
        <v>0</v>
      </c>
      <c r="C17" s="163">
        <f xml:space="preserve"> 'CASE DATA'!C18</f>
        <v>0</v>
      </c>
      <c r="D17" s="11" t="str">
        <f xml:space="preserve"> IF(OR('CASE DATA'!F18="JUV", 'CASE DATA'!F18="JWV"), "YES", "NO")</f>
        <v>NO</v>
      </c>
      <c r="E17" s="11"/>
      <c r="F17" s="11" t="str">
        <f>IF(D17="YES",IF(COUNTIF('CASE DATA'!$C$4:$C$200, "")-COUNTIF('CASE DATA'!$A$4:$A$200, "")&gt;0, "YES","NO"),"N/A")</f>
        <v>N/A</v>
      </c>
      <c r="G17" s="164" t="str">
        <f xml:space="preserve"> _xlfn.IFS(D17="NO", "N/A", AND('BASIC INFO'!$B$3&gt;'BASIC INFO'!$B$6+6574.5, C17+730.5&lt;'BASIC INFO'!$B$3), "YES", 'BASIC INFO'!$B$3&lt;('BASIC INFO'!$B$6+6574.5), "NOT YET 18", C17+730.5&gt;'BASIC INFO'!$B$3, "NOT YET 2 YEARS")</f>
        <v>N/A</v>
      </c>
      <c r="H17" s="186" t="str">
        <f xml:space="preserve"> IF(LEFT('CASE DATA'!E18,4)&lt;&gt;"321.",IF(OR('CASE DATA'!F18="DISM", 'CASE DATA'!F18="ACQ", 'CASE DATA'!F18="NOTF", 'CASE DATA'!F18="WTHD", 'CASE DATA'!F18="TNSF"), "YES", "NO"), "TRAFFIC")</f>
        <v>NO</v>
      </c>
      <c r="I17" s="185" t="str">
        <f xml:space="preserve"> IF(H17="YES",'CASE DATA'!K18,"N/A")</f>
        <v>N/A</v>
      </c>
      <c r="J17" s="185" t="str">
        <f>IF(H17="YES",'CASE DATA'!I18+'CASE DATA'!J18+'CASE DATA'!L18+'CASE DATA'!M18+'CASE DATA'!N18+'CASE DATA'!O18+'CASE DATA'!P18+'CASE DATA'!Q18+'CASE DATA'!R18,"N/A")</f>
        <v>N/A</v>
      </c>
      <c r="K17" s="162" t="str">
        <f xml:space="preserve"> IF(H17="YES",IF(C17+180&lt;'BASIC INFO'!$B$3, "YES", "NO"),"N/A")</f>
        <v>N/A</v>
      </c>
      <c r="L17" s="185" t="str">
        <f>IF(OR('CASE DATA'!F18="GTR", 'CASE DATA'!F18="GPL"),IF(OR('CASE DATA'!E18="81.6(2)", 'CASE DATA'!E18="99F.15(6)(b)(1)", 'CASE DATA'!E18= "124.401(1)(a)", 'CASE DATA'!E18= "124.401(1)(b)", 'CASE DATA'!E18= "124.401(1)(c)", 'CASE DATA'!E18= "124.401(1)(d)", 'CASE DATA'!E18="124.401(4)", 'CASE DATA'!E18="124.401(1)(b)", 'CASE DATA'!E18="124.401(1)(c)", 'CASE DATA'!E18="124.401D(2)(b)", 'CASE DATA'!E18="124.401D(2)(c)", 'CASE DATA'!E18="124.406(1)(a)", 'CASE DATA'!E18="124.406(1)(b) ", 'CASE DATA'!E18="124.406(2)(a)", 'CASE DATA'!E18="124.406(2)(b) ", 'CASE DATA'!E18="124.406(3)", 'CASE DATA'!E18="124.406A ", 'CASE DATA'!E18="124.407(2)(a)", 'CASE DATA'!E18="124B.9(1)", 'CASE DATA'!E18="124B.9(2)", 'CASE DATA'!E18="321J.2(2)(c)", 'CASE DATA'!E18="453B.12(2)", 'CASE DATA'!E18="453B.12(3)", 'CASE DATA'!E18="453B.12(4)", 'CASE DATA'!E18="462A.14(2)(c)", 'CASE DATA'!E18="462A.14(2)(d)", 'CASE DATA'!E18="462A.14(2)(e)", 'CASE DATA'!E18="705.1(2)", 'CASE DATA'!E18="706.3(1)", 'CASE DATA'!E18="706.3(2)", 'CASE DATA'!E18="706A.2(1)", 'CASE DATA'!E18="706A.2(2)", 'CASE DATA'!E18="706A.2(4)", 'CASE DATA'!E18="706B.2(1)(a)", 'CASE DATA'!E18="706B.2(1)(b)", 'CASE DATA'!E18="706B.2(1)(c)", 'CASE DATA'!E18="706B.2(1)(d)", 'CASE DATA'!E18="707.2", 'CASE DATA'!E18="707.3", 'CASE DATA'!E18="707.3A", 'CASE DATA'!E18="707.4", 'CASE DATA'!E18="707.5(1)(a)", 'CASE DATA'!E18="707.6A(1)", 'CASE DATA'!E18="707.6A(2)", 'CASE DATA'!E18="707.6A(3)", 'CASE DATA'!E18="707.6A(4)", 'CASE DATA'!E18="707.7(1)", 'CASE DATA'!E18="707.7(3)", 'CASE DATA'!E18="707.7(2)", 'CASE DATA'!E18="707.8(1)", 'CASE DATA'!E18="707.8(2)", 'CASE DATA'!E18="707.8(3)", 'CASE DATA'!E18="707.8(4)", 'CASE DATA'!E18="707.8(5)", 'CASE DATA'!E18="707.8(6)", 'CASE DATA'!E18="707.9", 'CASE DATA'!E18="707.11", 'CASE DATA'!E18="707A.2", 'CASE DATA'!E18="708.2(4)", 'CASE DATA'!E18="708.2(5)", 'CASE DATA'!E18="708.2A(4)", 'CASE DATA'!E18="708.2A(5)", 'CASE DATA'!E18="708.2C(2)", 'CASE DATA'!E18="708.2C(4)", 'CASE DATA'!E18="708.3(1)", 'CASE DATA'!E18="708.3(2)", 'CASE DATA'!E18="708.3A(1)", 'CASE DATA'!E18="708.3A(2)", 'CASE DATA'!E18="708.3B", 'CASE DATA'!E18="708.4(1)", 'CASE DATA'!E18="708.4(2)", 'CASE DATA'!E18="708.5", 'CASE DATA'!E18="708.8", 'CASE DATA'!E18="708.11(3)(a)", 'CASE DATA'!E18="708.11(3)(b)", 'CASE DATA'!E18="708.12(3)(f)", 'CASE DATA'!E18="708.13(3)", 'CASE DATA'!E18="708.14", 'CASE DATA'!E18="708A.2", 'CASE DATA'!E18="708A.4(1)", 'CASE DATA'!E18="708A.4(2)", 'CASE DATA'!E18="708A.5", 'CASE DATA'!E18="708A.6(1)", 'CASE DATA'!E18="708.A.6(2)", 'CASE DATA'!E18="709.2", 'CASE DATA'!E18="709.3", 'CASE DATA'!E18="709.4", 'CASE DATA'!E18="709.8(1)(a)", 'CASE DATA'!E18="709.8(1)(b)", 'CASE DATA'!E18="709.8(1)(c)", 'CASE DATA'!E18="709.8(1)(d)", 'CASE DATA'!E18="709.8(1)(e)", 'CASE DATA'!E18="709.11(1)", 'CASE DATA'!E18="709.11(2)", 'CASE DATA'!E18="709.15(2)(a)(1)", 'CASE DATA'!E18="709.15(3)(a)(1)", 'CASE DATA'!E18="709.18", 'CASE DATA'!E18="709A.6(2)", 'CASE DATA'!E18="709D.3(1)", 'CASE DATA'!E18="709D.3(2)", 'CASE DATA'!E18="709.D.3(3)", 'CASE DATA'!E18="710.2", 'CASE DATA'!E18="710.3", 'CASE DATA'!E18="710.4", 'CASE DATA'!E18="710.5", 'CASE DATA'!E18="710.10(1)", 'CASE DATA'!E18="710.10(2)", 'CASE DATA'!E18="710.10(3)", 'CASE DATA'!E18="710.11", 'CASE DATA'!E18="710A.2(1)", 'CASE DATA'!E18="710A.2(2)", 'CASE DATA'!E18="710A.2(3)", 'CASE DATA'!E18="710A.2(4)", 'CASE DATA'!E18="710A.2(5)", 'CASE DATA'!E18="710A.2(6)", 'CASE DATA'!E18="710A.2(7)", 'CASE DATA'!E18="710A.2A", 'CASE DATA'!E18="711.2", 'CASE DATA'!E18="711.3", 'CASE DATA'!E18="711.4", 'CASE DATA'!E18="712.2", 'CASE DATA'!E18="712.3", 'CASE DATA'!E18="712.6(1)", 'CASE DATA'!E18="712.7", 'CASE DATA'!E18="712.8", 'CASE DATA'!E18="", 'CASE DATA'!E18="713.3", 'CASE DATA'!E18="713.4", 'CASE DATA'!E18="713.5", 'CASE DATA'!E18="713.6", 'CASE DATA'!E18="713.6A(1)", 'CASE DATA'!E18="714.2(1)", 'CASE DATA'!E18="714.2(2)", 'CASE DATA'!E18="714.3A(2)(b)", 'CASE DATA'!E18="714.9", 'CASE DATA'!E18="714.10", 'CASE DATA'!E18="714.26(2)(a)", 'CASE DATA'!E18="714.26(2)(b)", 'CASE DATA'!E18="715A.2(2)(a)", 'CASE DATA'!E18="715A.6(2)(a)", 'CASE DATA'!E18="715A.6(2)(b)", 'CASE DATA'!E18="715A.8(3)(a)", 'CASE DATA'!E18="715A.8(3)(b)", 'CASE DATA'!E18="715A.10(1)", 'CASE DATA'!E18="715A.10(2)", 'CASE DATA'!E18="716.3", 'CASE DATA'!E18="716.4", 'CASE DATA'!E18="716.8(6)", 'CASE DATA'!E18="716.10(2)(a)", 'CASE DATA'!E18="716.10(2)(b)", 'CASE DATA'!E18="716.10(2)(c)", 'CASE DATA'!E18="716.10(2)(d)", 'CASE DATA'!E18="716.12", 'CASE DATA'!E18="719.1(1)(f)", 'CASE DATA'!E18="719.1(2)(e)", 'CASE DATA'!E18="719.1(2)(f)", 'CASE DATA'!E18="719.1(2)(g)", 'CASE DATA'!E18="719.4(1)", 'CASE DATA'!E18="719.4(4)", 'CASE DATA'!E18="719.5(1)", 'CASE DATA'!E18="719.5(2)", 'CASE DATA'!E18="719.6(1)", 'CASE DATA'!E18="719.6(2)", 'CASE DATA'!E18="719.7(4)(a)", 'CASE DATA'!E18="719.7(4)(b)", 'CASE DATA'!E18="719.7A(3)", 'CASE DATA'!E18="719.9", 'CASE DATA'!E18="719.8", 'CASE DATA'!E18="720.2", 'CASE DATA'!E18="720.3", 'CASE DATA'!E18="721.1", 'CASE DATA'!E18="722.1", 'CASE DATA'!E18="", 'CASE DATA'!E18="722.2", 'CASE DATA'!E18="722.10", 'CASE DATA'!E18="723(5)(3)(c)", 'CASE DATA'!E18="723A.2", 'CASE DATA'!E18="723A.3(1)", 'CASE DATA'!E18="723A.3(2)", 'CASE DATA'!E18="724.1B", 'CASE DATA'!E18="724.1C", 'CASE DATA'!E18="724.3", 'CASE DATA'!E18="724.4B", 'CASE DATA'!E18="724.10", 'CASE DATA'!E18="724.16(2)", 'CASE DATA'!E18="724.16A(1)(a)", 'CASE DATA'!E18="724.16A(1)(b)", 'CASE DATA'!E18="724.17", 'CASE DATA'!E18="724.21", 'CASE DATA'!E18="724.26(1)", 'CASE DATA'!E18="922(g)(8)", 'CASE DATA'!E18="724.29A(2)", 'CASE DATA'!E18="724.29A(3)", 'CASE DATA'!E18="724.30(1)", 'CASE DATA'!E18="724.30(2)", 'CASE DATA'!E18="725.1(2)(b)", 'CASE DATA'!E18="725.2(1)", 'CASE DATA'!E18="725.2(2)", 'CASE DATA'!E18="725.3(2)", 'CASE DATA'!E18="725.3(1)", 'CASE DATA'!E18="725.7(2)(a)(3)", 'CASE DATA'!E18="725.7(2)(a)(4)", 'CASE DATA'!E18="725.7(2)(b)(2)", 'CASE DATA'!E18="725.7(2)(b(3)", 'CASE DATA'!E18="726.7(2)(c)(1)", 'CASE DATA'!E18="726.7(2)(c)(2)", 'CASE DATA'!E18="725.7(2)(d)", 'CASE DATA'!E18="726.2", 'CASE DATA'!E18="726.3", 'CASE DATA'!E18="726.5", 'CASE DATA'!E18="726.6(4)", 'CASE DATA'!E18="726.6(5)", 'CASE DATA'!E18="726.6(6)", 'CASE DATA'!E18="726.6A", 'CASE DATA'!E18="726.7(2)", 'CASE DATA'!E18="726.8(2)", 'CASE DATA'!E18="728.12(1)", 'CASE DATA'!E18="728.12(2)"),"felony","eligible"),"N/A")</f>
        <v>N/A</v>
      </c>
      <c r="M17" s="185" t="str">
        <f>IF(L17="eligible",IF(OR('CASE DATA'!E18="123.46",'CASE DATA'!E18="123.47",'CASE DATA'!E18="235B.20",'CASE DATA'!E18="321.218",'CASE DATA'!E18="321A.32",'CASE DATA'!E18="321J.21",'CASE DATA'!E18="321J.2",'CASE DATA'!E18="707.5",'CASE DATA'!E18="708.2(3)",'CASE DATA'!E18="708.2A",'CASE DATA'!E18="708.7",'CASE DATA'!E18="708.11",'CASE DATA'!E18="708.12",'CASE DATA'!E18="716.8(3)",'CASE DATA'!E18="716.8(4)", LEFT('CASE DATA'!E18,4)="717C", LEFT('CASE DATA'!E18, 3)="719", LEFT('CASE DATA'!E18,3)="720", 'CASE DATA'!E18="721.2", 'CASE DATA'!E18="721.10", 'CASE DATA'!E18="723.1", LEFT('CASE DATA'!E18,3)="724", LEFT('CASE DATA'!E18,3)="726", LEFT('CASE DATA'!E18,3)="728", LEFT('CASE DATA'!E18,4)="901A"),"ineligible misd", "eligible"),"N/A")</f>
        <v>N/A</v>
      </c>
      <c r="N17" s="185" t="str">
        <f>IF(L17="eligible",IF(COUNTIF('CASE DATA'!$C$4:$C$200, "")-COUNTIF('CASE DATA'!$A$4:$A$200, "")&gt;0, "YES","NO"),"N/A")</f>
        <v>N/A</v>
      </c>
      <c r="O17" s="185" t="str">
        <f xml:space="preserve"> IF(M17="eligible",'CASE DATA'!K18,"N/A")</f>
        <v>N/A</v>
      </c>
      <c r="P17" s="185" t="str">
        <f xml:space="preserve"> IF(M17="eligible",'CASE DATA'!I18+'CASE DATA'!J18+'CASE DATA'!L18+'CASE DATA'!M18+'CASE DATA'!N18+'CASE DATA'!O18+'CASE DATA'!M18+'CASE DATA'!Q18+'CASE DATA'!R18,"N/A")</f>
        <v>N/A</v>
      </c>
      <c r="Q17" s="11" t="str">
        <f>IF(M17="eligible",IF(C17+730.5&lt;'BASIC INFO'!$B$3, "YES", "NO"),"N/A")</f>
        <v>N/A</v>
      </c>
      <c r="R17" s="186" t="str">
        <f xml:space="preserve"> IF(OR('CASE DATA'!F18="DEF"), "YES", "NO")</f>
        <v>NO</v>
      </c>
      <c r="S17" s="162" t="str">
        <f>IF(R17="YES",'CASE DATA'!H18,"N/A")</f>
        <v>N/A</v>
      </c>
      <c r="T17" s="185" t="str">
        <f xml:space="preserve"> IF(R17="YES",'CASE DATA'!K13,"N/A")</f>
        <v>N/A</v>
      </c>
      <c r="U17" s="185" t="str">
        <f>IF(R17="YES",'CASE DATA'!I18+'CASE DATA'!J18+'CASE DATA'!L18+'CASE DATA'!M18+'CASE DATA'!N18+'CASE DATA'!O18+'CASE DATA'!P18+'CASE DATA'!Q18+'CASE DATA'!R18,"N/A")</f>
        <v>N/A</v>
      </c>
      <c r="V17" s="189" t="str">
        <f>IF(OR('CASE DATA'!E18="123.46",'CASE DATA'!E18="123.47"),"YES","NO")</f>
        <v>NO</v>
      </c>
      <c r="W17" s="189"/>
      <c r="X17" s="185" t="str">
        <f>IF(V17="YES",IF(C17+730.5&lt;'BASIC INFO'!$B$3, "YES","NO"), "N/A")</f>
        <v>N/A</v>
      </c>
      <c r="Y17" s="189" t="str">
        <f t="shared" si="0"/>
        <v>NO</v>
      </c>
      <c r="Z17" s="187" t="str">
        <f xml:space="preserve"> IF('BASIC INFO'!$B$6+6574.5&gt;C17, "YES", "NO")</f>
        <v>YES</v>
      </c>
    </row>
    <row r="18" spans="1:26" x14ac:dyDescent="0.25">
      <c r="A18" s="162">
        <f xml:space="preserve"> 'CASE DATA'!A19</f>
        <v>0</v>
      </c>
      <c r="B18" s="162">
        <f xml:space="preserve"> 'CASE DATA'!E19</f>
        <v>0</v>
      </c>
      <c r="C18" s="163">
        <f xml:space="preserve"> 'CASE DATA'!C19</f>
        <v>0</v>
      </c>
      <c r="D18" s="11" t="str">
        <f xml:space="preserve"> IF(OR('CASE DATA'!F19="JUV", 'CASE DATA'!F19="JWV"), "YES", "NO")</f>
        <v>NO</v>
      </c>
      <c r="E18" s="11"/>
      <c r="F18" s="11" t="str">
        <f>IF(D18="YES",IF(COUNTIF('CASE DATA'!$C$4:$C$200, "")-COUNTIF('CASE DATA'!$A$4:$A$200, "")&gt;0, "YES","NO"),"N/A")</f>
        <v>N/A</v>
      </c>
      <c r="G18" s="164" t="str">
        <f xml:space="preserve"> _xlfn.IFS(D18="NO", "N/A", AND('BASIC INFO'!$B$3&gt;'BASIC INFO'!$B$6+6574.5, C18+730.5&lt;'BASIC INFO'!$B$3), "YES", 'BASIC INFO'!$B$3&lt;('BASIC INFO'!$B$6+6574.5), "NOT YET 18", C18+730.5&gt;'BASIC INFO'!$B$3, "NOT YET 2 YEARS")</f>
        <v>N/A</v>
      </c>
      <c r="H18" s="186" t="str">
        <f xml:space="preserve"> IF(LEFT('CASE DATA'!E19,4)&lt;&gt;"321.",IF(OR('CASE DATA'!F19="DISM", 'CASE DATA'!F19="ACQ", 'CASE DATA'!F19="NOTF", 'CASE DATA'!F19="WTHD", 'CASE DATA'!F19="TNSF"), "YES", "NO"), "TRAFFIC")</f>
        <v>NO</v>
      </c>
      <c r="I18" s="185" t="str">
        <f xml:space="preserve"> IF(H18="YES",'CASE DATA'!K19,"N/A")</f>
        <v>N/A</v>
      </c>
      <c r="J18" s="185" t="str">
        <f>IF(H18="YES",'CASE DATA'!I19+'CASE DATA'!J19+'CASE DATA'!L19+'CASE DATA'!M19+'CASE DATA'!N19+'CASE DATA'!O19+'CASE DATA'!P19+'CASE DATA'!Q19+'CASE DATA'!R19,"N/A")</f>
        <v>N/A</v>
      </c>
      <c r="K18" s="162" t="str">
        <f xml:space="preserve"> IF(H18="YES",IF(C18+180&lt;'BASIC INFO'!$B$3, "YES", "NO"),"N/A")</f>
        <v>N/A</v>
      </c>
      <c r="L18" s="185" t="str">
        <f>IF(OR('CASE DATA'!F19="GTR", 'CASE DATA'!F19="GPL"),IF(OR('CASE DATA'!E19="81.6(2)", 'CASE DATA'!E19="99F.15(6)(b)(1)", 'CASE DATA'!E19= "124.401(1)(a)", 'CASE DATA'!E19= "124.401(1)(b)", 'CASE DATA'!E19= "124.401(1)(c)", 'CASE DATA'!E19= "124.401(1)(d)", 'CASE DATA'!E19="124.401(4)", 'CASE DATA'!E19="124.401(1)(b)", 'CASE DATA'!E19="124.401(1)(c)", 'CASE DATA'!E19="124.401D(2)(b)", 'CASE DATA'!E19="124.401D(2)(c)", 'CASE DATA'!E19="124.406(1)(a)", 'CASE DATA'!E19="124.406(1)(b) ", 'CASE DATA'!E19="124.406(2)(a)", 'CASE DATA'!E19="124.406(2)(b) ", 'CASE DATA'!E19="124.406(3)", 'CASE DATA'!E19="124.406A ", 'CASE DATA'!E19="124.407(2)(a)", 'CASE DATA'!E19="124B.9(1)", 'CASE DATA'!E19="124B.9(2)", 'CASE DATA'!E19="321J.2(2)(c)", 'CASE DATA'!E19="453B.12(2)", 'CASE DATA'!E19="453B.12(3)", 'CASE DATA'!E19="453B.12(4)", 'CASE DATA'!E19="462A.14(2)(c)", 'CASE DATA'!E19="462A.14(2)(d)", 'CASE DATA'!E19="462A.14(2)(e)", 'CASE DATA'!E19="705.1(2)", 'CASE DATA'!E19="706.3(1)", 'CASE DATA'!E19="706.3(2)", 'CASE DATA'!E19="706A.2(1)", 'CASE DATA'!E19="706A.2(2)", 'CASE DATA'!E19="706A.2(4)", 'CASE DATA'!E19="706B.2(1)(a)", 'CASE DATA'!E19="706B.2(1)(b)", 'CASE DATA'!E19="706B.2(1)(c)", 'CASE DATA'!E19="706B.2(1)(d)", 'CASE DATA'!E19="707.2", 'CASE DATA'!E19="707.3", 'CASE DATA'!E19="707.3A", 'CASE DATA'!E19="707.4", 'CASE DATA'!E19="707.5(1)(a)", 'CASE DATA'!E19="707.6A(1)", 'CASE DATA'!E19="707.6A(2)", 'CASE DATA'!E19="707.6A(3)", 'CASE DATA'!E19="707.6A(4)", 'CASE DATA'!E19="707.7(1)", 'CASE DATA'!E19="707.7(3)", 'CASE DATA'!E19="707.7(2)", 'CASE DATA'!E19="707.8(1)", 'CASE DATA'!E19="707.8(2)", 'CASE DATA'!E19="707.8(3)", 'CASE DATA'!E19="707.8(4)", 'CASE DATA'!E19="707.8(5)", 'CASE DATA'!E19="707.8(6)", 'CASE DATA'!E19="707.9", 'CASE DATA'!E19="707.11", 'CASE DATA'!E19="707A.2", 'CASE DATA'!E19="708.2(4)", 'CASE DATA'!E19="708.2(5)", 'CASE DATA'!E19="708.2A(4)", 'CASE DATA'!E19="708.2A(5)", 'CASE DATA'!E19="708.2C(2)", 'CASE DATA'!E19="708.2C(4)", 'CASE DATA'!E19="708.3(1)", 'CASE DATA'!E19="708.3(2)", 'CASE DATA'!E19="708.3A(1)", 'CASE DATA'!E19="708.3A(2)", 'CASE DATA'!E19="708.3B", 'CASE DATA'!E19="708.4(1)", 'CASE DATA'!E19="708.4(2)", 'CASE DATA'!E19="708.5", 'CASE DATA'!E19="708.8", 'CASE DATA'!E19="708.11(3)(a)", 'CASE DATA'!E19="708.11(3)(b)", 'CASE DATA'!E19="708.12(3)(f)", 'CASE DATA'!E19="708.13(3)", 'CASE DATA'!E19="708.14", 'CASE DATA'!E19="708A.2", 'CASE DATA'!E19="708A.4(1)", 'CASE DATA'!E19="708A.4(2)", 'CASE DATA'!E19="708A.5", 'CASE DATA'!E19="708A.6(1)", 'CASE DATA'!E19="708.A.6(2)", 'CASE DATA'!E19="709.2", 'CASE DATA'!E19="709.3", 'CASE DATA'!E19="709.4", 'CASE DATA'!E19="709.8(1)(a)", 'CASE DATA'!E19="709.8(1)(b)", 'CASE DATA'!E19="709.8(1)(c)", 'CASE DATA'!E19="709.8(1)(d)", 'CASE DATA'!E19="709.8(1)(e)", 'CASE DATA'!E19="709.11(1)", 'CASE DATA'!E19="709.11(2)", 'CASE DATA'!E19="709.15(2)(a)(1)", 'CASE DATA'!E19="709.15(3)(a)(1)", 'CASE DATA'!E19="709.18", 'CASE DATA'!E19="709A.6(2)", 'CASE DATA'!E19="709D.3(1)", 'CASE DATA'!E19="709D.3(2)", 'CASE DATA'!E19="709.D.3(3)", 'CASE DATA'!E19="710.2", 'CASE DATA'!E19="710.3", 'CASE DATA'!E19="710.4", 'CASE DATA'!E19="710.5", 'CASE DATA'!E19="710.10(1)", 'CASE DATA'!E19="710.10(2)", 'CASE DATA'!E19="710.10(3)", 'CASE DATA'!E19="710.11", 'CASE DATA'!E19="710A.2(1)", 'CASE DATA'!E19="710A.2(2)", 'CASE DATA'!E19="710A.2(3)", 'CASE DATA'!E19="710A.2(4)", 'CASE DATA'!E19="710A.2(5)", 'CASE DATA'!E19="710A.2(6)", 'CASE DATA'!E19="710A.2(7)", 'CASE DATA'!E19="710A.2A", 'CASE DATA'!E19="711.2", 'CASE DATA'!E19="711.3", 'CASE DATA'!E19="711.4", 'CASE DATA'!E19="712.2", 'CASE DATA'!E19="712.3", 'CASE DATA'!E19="712.6(1)", 'CASE DATA'!E19="712.7", 'CASE DATA'!E19="712.8", 'CASE DATA'!E19="", 'CASE DATA'!E19="713.3", 'CASE DATA'!E19="713.4", 'CASE DATA'!E19="713.5", 'CASE DATA'!E19="713.6", 'CASE DATA'!E19="713.6A(1)", 'CASE DATA'!E19="714.2(1)", 'CASE DATA'!E19="714.2(2)", 'CASE DATA'!E19="714.3A(2)(b)", 'CASE DATA'!E19="714.9", 'CASE DATA'!E19="714.10", 'CASE DATA'!E19="714.26(2)(a)", 'CASE DATA'!E19="714.26(2)(b)", 'CASE DATA'!E19="715A.2(2)(a)", 'CASE DATA'!E19="715A.6(2)(a)", 'CASE DATA'!E19="715A.6(2)(b)", 'CASE DATA'!E19="715A.8(3)(a)", 'CASE DATA'!E19="715A.8(3)(b)", 'CASE DATA'!E19="715A.10(1)", 'CASE DATA'!E19="715A.10(2)", 'CASE DATA'!E19="716.3", 'CASE DATA'!E19="716.4", 'CASE DATA'!E19="716.8(6)", 'CASE DATA'!E19="716.10(2)(a)", 'CASE DATA'!E19="716.10(2)(b)", 'CASE DATA'!E19="716.10(2)(c)", 'CASE DATA'!E19="716.10(2)(d)", 'CASE DATA'!E19="716.12", 'CASE DATA'!E19="719.1(1)(f)", 'CASE DATA'!E19="719.1(2)(e)", 'CASE DATA'!E19="719.1(2)(f)", 'CASE DATA'!E19="719.1(2)(g)", 'CASE DATA'!E19="719.4(1)", 'CASE DATA'!E19="719.4(4)", 'CASE DATA'!E19="719.5(1)", 'CASE DATA'!E19="719.5(2)", 'CASE DATA'!E19="719.6(1)", 'CASE DATA'!E19="719.6(2)", 'CASE DATA'!E19="719.7(4)(a)", 'CASE DATA'!E19="719.7(4)(b)", 'CASE DATA'!E19="719.7A(3)", 'CASE DATA'!E19="719.9", 'CASE DATA'!E19="719.8", 'CASE DATA'!E19="720.2", 'CASE DATA'!E19="720.3", 'CASE DATA'!E19="721.1", 'CASE DATA'!E19="722.1", 'CASE DATA'!E19="", 'CASE DATA'!E19="722.2", 'CASE DATA'!E19="722.10", 'CASE DATA'!E19="723(5)(3)(c)", 'CASE DATA'!E19="723A.2", 'CASE DATA'!E19="723A.3(1)", 'CASE DATA'!E19="723A.3(2)", 'CASE DATA'!E19="724.1B", 'CASE DATA'!E19="724.1C", 'CASE DATA'!E19="724.3", 'CASE DATA'!E19="724.4B", 'CASE DATA'!E19="724.10", 'CASE DATA'!E19="724.16(2)", 'CASE DATA'!E19="724.16A(1)(a)", 'CASE DATA'!E19="724.16A(1)(b)", 'CASE DATA'!E19="724.17", 'CASE DATA'!E19="724.21", 'CASE DATA'!E19="724.26(1)", 'CASE DATA'!E19="922(g)(8)", 'CASE DATA'!E19="724.29A(2)", 'CASE DATA'!E19="724.29A(3)", 'CASE DATA'!E19="724.30(1)", 'CASE DATA'!E19="724.30(2)", 'CASE DATA'!E19="725.1(2)(b)", 'CASE DATA'!E19="725.2(1)", 'CASE DATA'!E19="725.2(2)", 'CASE DATA'!E19="725.3(2)", 'CASE DATA'!E19="725.3(1)", 'CASE DATA'!E19="725.7(2)(a)(3)", 'CASE DATA'!E19="725.7(2)(a)(4)", 'CASE DATA'!E19="725.7(2)(b)(2)", 'CASE DATA'!E19="725.7(2)(b(3)", 'CASE DATA'!E19="726.7(2)(c)(1)", 'CASE DATA'!E19="726.7(2)(c)(2)", 'CASE DATA'!E19="725.7(2)(d)", 'CASE DATA'!E19="726.2", 'CASE DATA'!E19="726.3", 'CASE DATA'!E19="726.5", 'CASE DATA'!E19="726.6(4)", 'CASE DATA'!E19="726.6(5)", 'CASE DATA'!E19="726.6(6)", 'CASE DATA'!E19="726.6A", 'CASE DATA'!E19="726.7(2)", 'CASE DATA'!E19="726.8(2)", 'CASE DATA'!E19="728.12(1)", 'CASE DATA'!E19="728.12(2)"),"felony","eligible"),"N/A")</f>
        <v>N/A</v>
      </c>
      <c r="M18" s="185" t="str">
        <f>IF(L18="eligible",IF(OR('CASE DATA'!E19="123.46",'CASE DATA'!E19="123.47",'CASE DATA'!E19="235B.20",'CASE DATA'!E19="321.218",'CASE DATA'!E19="321A.32",'CASE DATA'!E19="321J.21",'CASE DATA'!E19="321J.2",'CASE DATA'!E19="707.5",'CASE DATA'!E19="708.2(3)",'CASE DATA'!E19="708.2A",'CASE DATA'!E19="708.7",'CASE DATA'!E19="708.11",'CASE DATA'!E19="708.12",'CASE DATA'!E19="716.8(3)",'CASE DATA'!E19="716.8(4)", LEFT('CASE DATA'!E19,4)="717C", LEFT('CASE DATA'!E19, 3)="719", LEFT('CASE DATA'!E19,3)="720", 'CASE DATA'!E19="721.2", 'CASE DATA'!E19="721.10", 'CASE DATA'!E19="723.1", LEFT('CASE DATA'!E19,3)="724", LEFT('CASE DATA'!E19,3)="726", LEFT('CASE DATA'!E19,3)="728", LEFT('CASE DATA'!E19,4)="901A"),"ineligible misd", "eligible"),"N/A")</f>
        <v>N/A</v>
      </c>
      <c r="N18" s="185" t="str">
        <f>IF(L18="eligible",IF(COUNTIF('CASE DATA'!$C$4:$C$200, "")-COUNTIF('CASE DATA'!$A$4:$A$200, "")&gt;0, "YES","NO"),"N/A")</f>
        <v>N/A</v>
      </c>
      <c r="O18" s="185" t="str">
        <f xml:space="preserve"> IF(M18="eligible",'CASE DATA'!K19,"N/A")</f>
        <v>N/A</v>
      </c>
      <c r="P18" s="185" t="str">
        <f xml:space="preserve"> IF(M18="eligible",'CASE DATA'!I19+'CASE DATA'!J19+'CASE DATA'!L19+'CASE DATA'!M19+'CASE DATA'!N19+'CASE DATA'!O19+'CASE DATA'!M19+'CASE DATA'!Q19+'CASE DATA'!R19,"N/A")</f>
        <v>N/A</v>
      </c>
      <c r="Q18" s="11" t="str">
        <f>IF(M18="eligible",IF(C18+730.5&lt;'BASIC INFO'!$B$3, "YES", "NO"),"N/A")</f>
        <v>N/A</v>
      </c>
      <c r="R18" s="186" t="str">
        <f xml:space="preserve"> IF(OR('CASE DATA'!F19="DEF"), "YES", "NO")</f>
        <v>NO</v>
      </c>
      <c r="S18" s="162" t="str">
        <f>IF(R18="YES",'CASE DATA'!H19,"N/A")</f>
        <v>N/A</v>
      </c>
      <c r="T18" s="185" t="str">
        <f xml:space="preserve"> IF(R18="YES",'CASE DATA'!K14,"N/A")</f>
        <v>N/A</v>
      </c>
      <c r="U18" s="185" t="str">
        <f>IF(R18="YES",'CASE DATA'!I19+'CASE DATA'!J19+'CASE DATA'!L19+'CASE DATA'!M19+'CASE DATA'!N19+'CASE DATA'!O19+'CASE DATA'!P19+'CASE DATA'!Q19+'CASE DATA'!R19,"N/A")</f>
        <v>N/A</v>
      </c>
      <c r="V18" s="189" t="str">
        <f>IF(OR('CASE DATA'!E19="123.46",'CASE DATA'!E19="123.47"),"YES","NO")</f>
        <v>NO</v>
      </c>
      <c r="W18" s="189"/>
      <c r="X18" s="185" t="str">
        <f>IF(V18="YES",IF(C18+730.5&lt;'BASIC INFO'!$B$3, "YES","NO"), "N/A")</f>
        <v>N/A</v>
      </c>
      <c r="Y18" s="189" t="str">
        <f t="shared" si="0"/>
        <v>NO</v>
      </c>
      <c r="Z18" s="187" t="str">
        <f xml:space="preserve"> IF('BASIC INFO'!$B$6+6574.5&gt;C18, "YES", "NO")</f>
        <v>YES</v>
      </c>
    </row>
    <row r="19" spans="1:26" x14ac:dyDescent="0.25">
      <c r="A19" s="162">
        <f xml:space="preserve"> 'CASE DATA'!A20</f>
        <v>0</v>
      </c>
      <c r="B19" s="162">
        <f xml:space="preserve"> 'CASE DATA'!E20</f>
        <v>0</v>
      </c>
      <c r="C19" s="163">
        <f xml:space="preserve"> 'CASE DATA'!C20</f>
        <v>0</v>
      </c>
      <c r="D19" s="11" t="str">
        <f xml:space="preserve"> IF(OR('CASE DATA'!F20="JUV", 'CASE DATA'!F20="JWV"), "YES", "NO")</f>
        <v>NO</v>
      </c>
      <c r="E19" s="11"/>
      <c r="F19" s="11" t="str">
        <f>IF(D19="YES",IF(COUNTIF('CASE DATA'!$C$4:$C$200, "")-COUNTIF('CASE DATA'!$A$4:$A$200, "")&gt;0, "YES","NO"),"N/A")</f>
        <v>N/A</v>
      </c>
      <c r="G19" s="164" t="str">
        <f xml:space="preserve"> _xlfn.IFS(D19="NO", "N/A", AND('BASIC INFO'!$B$3&gt;'BASIC INFO'!$B$6+6574.5, C19+730.5&lt;'BASIC INFO'!$B$3), "YES", 'BASIC INFO'!$B$3&lt;('BASIC INFO'!$B$6+6574.5), "NOT YET 18", C19+730.5&gt;'BASIC INFO'!$B$3, "NOT YET 2 YEARS")</f>
        <v>N/A</v>
      </c>
      <c r="H19" s="186" t="str">
        <f xml:space="preserve"> IF(LEFT('CASE DATA'!E20,4)&lt;&gt;"321.",IF(OR('CASE DATA'!F20="DISM", 'CASE DATA'!F20="ACQ", 'CASE DATA'!F20="NOTF", 'CASE DATA'!F20="WTHD", 'CASE DATA'!F20="TNSF"), "YES", "NO"), "TRAFFIC")</f>
        <v>NO</v>
      </c>
      <c r="I19" s="185" t="str">
        <f xml:space="preserve"> IF(H19="YES",'CASE DATA'!K20,"N/A")</f>
        <v>N/A</v>
      </c>
      <c r="J19" s="185" t="str">
        <f>IF(H19="YES",'CASE DATA'!I20+'CASE DATA'!J20+'CASE DATA'!L20+'CASE DATA'!M20+'CASE DATA'!N20+'CASE DATA'!O20+'CASE DATA'!P20+'CASE DATA'!Q20+'CASE DATA'!R20,"N/A")</f>
        <v>N/A</v>
      </c>
      <c r="K19" s="162" t="str">
        <f xml:space="preserve"> IF(H19="YES",IF(C19+180&lt;'BASIC INFO'!$B$3, "YES", "NO"),"N/A")</f>
        <v>N/A</v>
      </c>
      <c r="L19" s="185" t="str">
        <f>IF(OR('CASE DATA'!F20="GTR", 'CASE DATA'!F20="GPL"),IF(OR('CASE DATA'!E20="81.6(2)", 'CASE DATA'!E20="99F.15(6)(b)(1)", 'CASE DATA'!E20= "124.401(1)(a)", 'CASE DATA'!E20= "124.401(1)(b)", 'CASE DATA'!E20= "124.401(1)(c)", 'CASE DATA'!E20= "124.401(1)(d)", 'CASE DATA'!E20="124.401(4)", 'CASE DATA'!E20="124.401(1)(b)", 'CASE DATA'!E20="124.401(1)(c)", 'CASE DATA'!E20="124.401D(2)(b)", 'CASE DATA'!E20="124.401D(2)(c)", 'CASE DATA'!E20="124.406(1)(a)", 'CASE DATA'!E20="124.406(1)(b) ", 'CASE DATA'!E20="124.406(2)(a)", 'CASE DATA'!E20="124.406(2)(b) ", 'CASE DATA'!E20="124.406(3)", 'CASE DATA'!E20="124.406A ", 'CASE DATA'!E20="124.407(2)(a)", 'CASE DATA'!E20="124B.9(1)", 'CASE DATA'!E20="124B.9(2)", 'CASE DATA'!E20="321J.2(2)(c)", 'CASE DATA'!E20="453B.12(2)", 'CASE DATA'!E20="453B.12(3)", 'CASE DATA'!E20="453B.12(4)", 'CASE DATA'!E20="462A.14(2)(c)", 'CASE DATA'!E20="462A.14(2)(d)", 'CASE DATA'!E20="462A.14(2)(e)", 'CASE DATA'!E20="705.1(2)", 'CASE DATA'!E20="706.3(1)", 'CASE DATA'!E20="706.3(2)", 'CASE DATA'!E20="706A.2(1)", 'CASE DATA'!E20="706A.2(2)", 'CASE DATA'!E20="706A.2(4)", 'CASE DATA'!E20="706B.2(1)(a)", 'CASE DATA'!E20="706B.2(1)(b)", 'CASE DATA'!E20="706B.2(1)(c)", 'CASE DATA'!E20="706B.2(1)(d)", 'CASE DATA'!E20="707.2", 'CASE DATA'!E20="707.3", 'CASE DATA'!E20="707.3A", 'CASE DATA'!E20="707.4", 'CASE DATA'!E20="707.5(1)(a)", 'CASE DATA'!E20="707.6A(1)", 'CASE DATA'!E20="707.6A(2)", 'CASE DATA'!E20="707.6A(3)", 'CASE DATA'!E20="707.6A(4)", 'CASE DATA'!E20="707.7(1)", 'CASE DATA'!E20="707.7(3)", 'CASE DATA'!E20="707.7(2)", 'CASE DATA'!E20="707.8(1)", 'CASE DATA'!E20="707.8(2)", 'CASE DATA'!E20="707.8(3)", 'CASE DATA'!E20="707.8(4)", 'CASE DATA'!E20="707.8(5)", 'CASE DATA'!E20="707.8(6)", 'CASE DATA'!E20="707.9", 'CASE DATA'!E20="707.11", 'CASE DATA'!E20="707A.2", 'CASE DATA'!E20="708.2(4)", 'CASE DATA'!E20="708.2(5)", 'CASE DATA'!E20="708.2A(4)", 'CASE DATA'!E20="708.2A(5)", 'CASE DATA'!E20="708.2C(2)", 'CASE DATA'!E20="708.2C(4)", 'CASE DATA'!E20="708.3(1)", 'CASE DATA'!E20="708.3(2)", 'CASE DATA'!E20="708.3A(1)", 'CASE DATA'!E20="708.3A(2)", 'CASE DATA'!E20="708.3B", 'CASE DATA'!E20="708.4(1)", 'CASE DATA'!E20="708.4(2)", 'CASE DATA'!E20="708.5", 'CASE DATA'!E20="708.8", 'CASE DATA'!E20="708.11(3)(a)", 'CASE DATA'!E20="708.11(3)(b)", 'CASE DATA'!E20="708.12(3)(f)", 'CASE DATA'!E20="708.13(3)", 'CASE DATA'!E20="708.14", 'CASE DATA'!E20="708A.2", 'CASE DATA'!E20="708A.4(1)", 'CASE DATA'!E20="708A.4(2)", 'CASE DATA'!E20="708A.5", 'CASE DATA'!E20="708A.6(1)", 'CASE DATA'!E20="708.A.6(2)", 'CASE DATA'!E20="709.2", 'CASE DATA'!E20="709.3", 'CASE DATA'!E20="709.4", 'CASE DATA'!E20="709.8(1)(a)", 'CASE DATA'!E20="709.8(1)(b)", 'CASE DATA'!E20="709.8(1)(c)", 'CASE DATA'!E20="709.8(1)(d)", 'CASE DATA'!E20="709.8(1)(e)", 'CASE DATA'!E20="709.11(1)", 'CASE DATA'!E20="709.11(2)", 'CASE DATA'!E20="709.15(2)(a)(1)", 'CASE DATA'!E20="709.15(3)(a)(1)", 'CASE DATA'!E20="709.18", 'CASE DATA'!E20="709A.6(2)", 'CASE DATA'!E20="709D.3(1)", 'CASE DATA'!E20="709D.3(2)", 'CASE DATA'!E20="709.D.3(3)", 'CASE DATA'!E20="710.2", 'CASE DATA'!E20="710.3", 'CASE DATA'!E20="710.4", 'CASE DATA'!E20="710.5", 'CASE DATA'!E20="710.10(1)", 'CASE DATA'!E20="710.10(2)", 'CASE DATA'!E20="710.10(3)", 'CASE DATA'!E20="710.11", 'CASE DATA'!E20="710A.2(1)", 'CASE DATA'!E20="710A.2(2)", 'CASE DATA'!E20="710A.2(3)", 'CASE DATA'!E20="710A.2(4)", 'CASE DATA'!E20="710A.2(5)", 'CASE DATA'!E20="710A.2(6)", 'CASE DATA'!E20="710A.2(7)", 'CASE DATA'!E20="710A.2A", 'CASE DATA'!E20="711.2", 'CASE DATA'!E20="711.3", 'CASE DATA'!E20="711.4", 'CASE DATA'!E20="712.2", 'CASE DATA'!E20="712.3", 'CASE DATA'!E20="712.6(1)", 'CASE DATA'!E20="712.7", 'CASE DATA'!E20="712.8", 'CASE DATA'!E20="", 'CASE DATA'!E20="713.3", 'CASE DATA'!E20="713.4", 'CASE DATA'!E20="713.5", 'CASE DATA'!E20="713.6", 'CASE DATA'!E20="713.6A(1)", 'CASE DATA'!E20="714.2(1)", 'CASE DATA'!E20="714.2(2)", 'CASE DATA'!E20="714.3A(2)(b)", 'CASE DATA'!E20="714.9", 'CASE DATA'!E20="714.10", 'CASE DATA'!E20="714.26(2)(a)", 'CASE DATA'!E20="714.26(2)(b)", 'CASE DATA'!E20="715A.2(2)(a)", 'CASE DATA'!E20="715A.6(2)(a)", 'CASE DATA'!E20="715A.6(2)(b)", 'CASE DATA'!E20="715A.8(3)(a)", 'CASE DATA'!E20="715A.8(3)(b)", 'CASE DATA'!E20="715A.10(1)", 'CASE DATA'!E20="715A.10(2)", 'CASE DATA'!E20="716.3", 'CASE DATA'!E20="716.4", 'CASE DATA'!E20="716.8(6)", 'CASE DATA'!E20="716.10(2)(a)", 'CASE DATA'!E20="716.10(2)(b)", 'CASE DATA'!E20="716.10(2)(c)", 'CASE DATA'!E20="716.10(2)(d)", 'CASE DATA'!E20="716.12", 'CASE DATA'!E20="719.1(1)(f)", 'CASE DATA'!E20="719.1(2)(e)", 'CASE DATA'!E20="719.1(2)(f)", 'CASE DATA'!E20="719.1(2)(g)", 'CASE DATA'!E20="719.4(1)", 'CASE DATA'!E20="719.4(4)", 'CASE DATA'!E20="719.5(1)", 'CASE DATA'!E20="719.5(2)", 'CASE DATA'!E20="719.6(1)", 'CASE DATA'!E20="719.6(2)", 'CASE DATA'!E20="719.7(4)(a)", 'CASE DATA'!E20="719.7(4)(b)", 'CASE DATA'!E20="719.7A(3)", 'CASE DATA'!E20="719.9", 'CASE DATA'!E20="719.8", 'CASE DATA'!E20="720.2", 'CASE DATA'!E20="720.3", 'CASE DATA'!E20="721.1", 'CASE DATA'!E20="722.1", 'CASE DATA'!E20="", 'CASE DATA'!E20="722.2", 'CASE DATA'!E20="722.10", 'CASE DATA'!E20="723(5)(3)(c)", 'CASE DATA'!E20="723A.2", 'CASE DATA'!E20="723A.3(1)", 'CASE DATA'!E20="723A.3(2)", 'CASE DATA'!E20="724.1B", 'CASE DATA'!E20="724.1C", 'CASE DATA'!E20="724.3", 'CASE DATA'!E20="724.4B", 'CASE DATA'!E20="724.10", 'CASE DATA'!E20="724.16(2)", 'CASE DATA'!E20="724.16A(1)(a)", 'CASE DATA'!E20="724.16A(1)(b)", 'CASE DATA'!E20="724.17", 'CASE DATA'!E20="724.21", 'CASE DATA'!E20="724.26(1)", 'CASE DATA'!E20="922(g)(8)", 'CASE DATA'!E20="724.29A(2)", 'CASE DATA'!E20="724.29A(3)", 'CASE DATA'!E20="724.30(1)", 'CASE DATA'!E20="724.30(2)", 'CASE DATA'!E20="725.1(2)(b)", 'CASE DATA'!E20="725.2(1)", 'CASE DATA'!E20="725.2(2)", 'CASE DATA'!E20="725.3(2)", 'CASE DATA'!E20="725.3(1)", 'CASE DATA'!E20="725.7(2)(a)(3)", 'CASE DATA'!E20="725.7(2)(a)(4)", 'CASE DATA'!E20="725.7(2)(b)(2)", 'CASE DATA'!E20="725.7(2)(b(3)", 'CASE DATA'!E20="726.7(2)(c)(1)", 'CASE DATA'!E20="726.7(2)(c)(2)", 'CASE DATA'!E20="725.7(2)(d)", 'CASE DATA'!E20="726.2", 'CASE DATA'!E20="726.3", 'CASE DATA'!E20="726.5", 'CASE DATA'!E20="726.6(4)", 'CASE DATA'!E20="726.6(5)", 'CASE DATA'!E20="726.6(6)", 'CASE DATA'!E20="726.6A", 'CASE DATA'!E20="726.7(2)", 'CASE DATA'!E20="726.8(2)", 'CASE DATA'!E20="728.12(1)", 'CASE DATA'!E20="728.12(2)"),"felony","eligible"),"N/A")</f>
        <v>N/A</v>
      </c>
      <c r="M19" s="185" t="str">
        <f>IF(L19="eligible",IF(OR('CASE DATA'!E20="123.46",'CASE DATA'!E20="123.47",'CASE DATA'!E20="235B.20",'CASE DATA'!E20="321.218",'CASE DATA'!E20="321A.32",'CASE DATA'!E20="321J.21",'CASE DATA'!E20="321J.2",'CASE DATA'!E20="707.5",'CASE DATA'!E20="708.2(3)",'CASE DATA'!E20="708.2A",'CASE DATA'!E20="708.7",'CASE DATA'!E20="708.11",'CASE DATA'!E20="708.12",'CASE DATA'!E20="716.8(3)",'CASE DATA'!E20="716.8(4)", LEFT('CASE DATA'!E20,4)="717C", LEFT('CASE DATA'!E20, 3)="719", LEFT('CASE DATA'!E20,3)="720", 'CASE DATA'!E20="721.2", 'CASE DATA'!E20="721.10", 'CASE DATA'!E20="723.1", LEFT('CASE DATA'!E20,3)="724", LEFT('CASE DATA'!E20,3)="726", LEFT('CASE DATA'!E20,3)="728", LEFT('CASE DATA'!E20,4)="901A"),"ineligible misd", "eligible"),"N/A")</f>
        <v>N/A</v>
      </c>
      <c r="N19" s="185" t="str">
        <f>IF(L19="eligible",IF(COUNTIF('CASE DATA'!$C$4:$C$200, "")-COUNTIF('CASE DATA'!$A$4:$A$200, "")&gt;0, "YES","NO"),"N/A")</f>
        <v>N/A</v>
      </c>
      <c r="O19" s="185" t="str">
        <f xml:space="preserve"> IF(M19="eligible",'CASE DATA'!K20,"N/A")</f>
        <v>N/A</v>
      </c>
      <c r="P19" s="185" t="str">
        <f xml:space="preserve"> IF(M19="eligible",'CASE DATA'!I20+'CASE DATA'!J20+'CASE DATA'!L20+'CASE DATA'!M20+'CASE DATA'!N20+'CASE DATA'!O20+'CASE DATA'!M20+'CASE DATA'!Q20+'CASE DATA'!R20,"N/A")</f>
        <v>N/A</v>
      </c>
      <c r="Q19" s="11" t="str">
        <f>IF(M19="eligible",IF(C19+730.5&lt;'BASIC INFO'!$B$3, "YES", "NO"),"N/A")</f>
        <v>N/A</v>
      </c>
      <c r="R19" s="186" t="str">
        <f xml:space="preserve"> IF(OR('CASE DATA'!F20="DEF"), "YES", "NO")</f>
        <v>NO</v>
      </c>
      <c r="S19" s="162" t="str">
        <f>IF(R19="YES",'CASE DATA'!H20,"N/A")</f>
        <v>N/A</v>
      </c>
      <c r="T19" s="185" t="str">
        <f xml:space="preserve"> IF(R19="YES",'CASE DATA'!K15,"N/A")</f>
        <v>N/A</v>
      </c>
      <c r="U19" s="185" t="str">
        <f>IF(R19="YES",'CASE DATA'!I20+'CASE DATA'!J20+'CASE DATA'!L20+'CASE DATA'!M20+'CASE DATA'!N20+'CASE DATA'!O20+'CASE DATA'!P20+'CASE DATA'!Q20+'CASE DATA'!R20,"N/A")</f>
        <v>N/A</v>
      </c>
      <c r="V19" s="189" t="str">
        <f>IF(OR('CASE DATA'!E20="123.46",'CASE DATA'!E20="123.47"),"YES","NO")</f>
        <v>NO</v>
      </c>
      <c r="W19" s="189"/>
      <c r="X19" s="185" t="str">
        <f>IF(V19="YES",IF(C19+730.5&lt;'BASIC INFO'!$B$3, "YES","NO"), "N/A")</f>
        <v>N/A</v>
      </c>
      <c r="Y19" s="189" t="str">
        <f t="shared" si="0"/>
        <v>NO</v>
      </c>
      <c r="Z19" s="187" t="str">
        <f xml:space="preserve"> IF('BASIC INFO'!$B$6+6574.5&gt;C19, "YES", "NO")</f>
        <v>YES</v>
      </c>
    </row>
    <row r="20" spans="1:26" x14ac:dyDescent="0.25">
      <c r="A20" s="162">
        <f xml:space="preserve"> 'CASE DATA'!A21</f>
        <v>0</v>
      </c>
      <c r="B20" s="162">
        <f xml:space="preserve"> 'CASE DATA'!E21</f>
        <v>0</v>
      </c>
      <c r="C20" s="163">
        <f xml:space="preserve"> 'CASE DATA'!C21</f>
        <v>0</v>
      </c>
      <c r="D20" s="11" t="str">
        <f xml:space="preserve"> IF(OR('CASE DATA'!F21="JUV", 'CASE DATA'!F21="JWV"), "YES", "NO")</f>
        <v>NO</v>
      </c>
      <c r="E20" s="11"/>
      <c r="F20" s="11" t="str">
        <f>IF(D20="YES",IF(COUNTIF('CASE DATA'!$C$4:$C$200, "")-COUNTIF('CASE DATA'!$A$4:$A$200, "")&gt;0, "YES","NO"),"N/A")</f>
        <v>N/A</v>
      </c>
      <c r="G20" s="164" t="str">
        <f xml:space="preserve"> _xlfn.IFS(D20="NO", "N/A", AND('BASIC INFO'!$B$3&gt;'BASIC INFO'!$B$6+6574.5, C20+730.5&lt;'BASIC INFO'!$B$3), "YES", 'BASIC INFO'!$B$3&lt;('BASIC INFO'!$B$6+6574.5), "NOT YET 18", C20+730.5&gt;'BASIC INFO'!$B$3, "NOT YET 2 YEARS")</f>
        <v>N/A</v>
      </c>
      <c r="H20" s="186" t="str">
        <f xml:space="preserve"> IF(LEFT('CASE DATA'!E21,4)&lt;&gt;"321.",IF(OR('CASE DATA'!F21="DISM", 'CASE DATA'!F21="ACQ", 'CASE DATA'!F21="NOTF", 'CASE DATA'!F21="WTHD", 'CASE DATA'!F21="TNSF"), "YES", "NO"), "TRAFFIC")</f>
        <v>NO</v>
      </c>
      <c r="I20" s="185" t="str">
        <f xml:space="preserve"> IF(H20="YES",'CASE DATA'!K21,"N/A")</f>
        <v>N/A</v>
      </c>
      <c r="J20" s="185" t="str">
        <f>IF(H20="YES",'CASE DATA'!I21+'CASE DATA'!J21+'CASE DATA'!L21+'CASE DATA'!M21+'CASE DATA'!N21+'CASE DATA'!O21+'CASE DATA'!P21+'CASE DATA'!Q21+'CASE DATA'!R21,"N/A")</f>
        <v>N/A</v>
      </c>
      <c r="K20" s="162" t="str">
        <f xml:space="preserve"> IF(H20="YES",IF(C20+180&lt;'BASIC INFO'!$B$3, "YES", "NO"),"N/A")</f>
        <v>N/A</v>
      </c>
      <c r="L20" s="185" t="str">
        <f>IF(OR('CASE DATA'!F21="GTR", 'CASE DATA'!F21="GPL"),IF(OR('CASE DATA'!E21="81.6(2)", 'CASE DATA'!E21="99F.15(6)(b)(1)", 'CASE DATA'!E21= "124.401(1)(a)", 'CASE DATA'!E21= "124.401(1)(b)", 'CASE DATA'!E21= "124.401(1)(c)", 'CASE DATA'!E21= "124.401(1)(d)", 'CASE DATA'!E21="124.401(4)", 'CASE DATA'!E21="124.401(1)(b)", 'CASE DATA'!E21="124.401(1)(c)", 'CASE DATA'!E21="124.401D(2)(b)", 'CASE DATA'!E21="124.401D(2)(c)", 'CASE DATA'!E21="124.406(1)(a)", 'CASE DATA'!E21="124.406(1)(b) ", 'CASE DATA'!E21="124.406(2)(a)", 'CASE DATA'!E21="124.406(2)(b) ", 'CASE DATA'!E21="124.406(3)", 'CASE DATA'!E21="124.406A ", 'CASE DATA'!E21="124.407(2)(a)", 'CASE DATA'!E21="124B.9(1)", 'CASE DATA'!E21="124B.9(2)", 'CASE DATA'!E21="321J.2(2)(c)", 'CASE DATA'!E21="453B.12(2)", 'CASE DATA'!E21="453B.12(3)", 'CASE DATA'!E21="453B.12(4)", 'CASE DATA'!E21="462A.14(2)(c)", 'CASE DATA'!E21="462A.14(2)(d)", 'CASE DATA'!E21="462A.14(2)(e)", 'CASE DATA'!E21="705.1(2)", 'CASE DATA'!E21="706.3(1)", 'CASE DATA'!E21="706.3(2)", 'CASE DATA'!E21="706A.2(1)", 'CASE DATA'!E21="706A.2(2)", 'CASE DATA'!E21="706A.2(4)", 'CASE DATA'!E21="706B.2(1)(a)", 'CASE DATA'!E21="706B.2(1)(b)", 'CASE DATA'!E21="706B.2(1)(c)", 'CASE DATA'!E21="706B.2(1)(d)", 'CASE DATA'!E21="707.2", 'CASE DATA'!E21="707.3", 'CASE DATA'!E21="707.3A", 'CASE DATA'!E21="707.4", 'CASE DATA'!E21="707.5(1)(a)", 'CASE DATA'!E21="707.6A(1)", 'CASE DATA'!E21="707.6A(2)", 'CASE DATA'!E21="707.6A(3)", 'CASE DATA'!E21="707.6A(4)", 'CASE DATA'!E21="707.7(1)", 'CASE DATA'!E21="707.7(3)", 'CASE DATA'!E21="707.7(2)", 'CASE DATA'!E21="707.8(1)", 'CASE DATA'!E21="707.8(2)", 'CASE DATA'!E21="707.8(3)", 'CASE DATA'!E21="707.8(4)", 'CASE DATA'!E21="707.8(5)", 'CASE DATA'!E21="707.8(6)", 'CASE DATA'!E21="707.9", 'CASE DATA'!E21="707.11", 'CASE DATA'!E21="707A.2", 'CASE DATA'!E21="708.2(4)", 'CASE DATA'!E21="708.2(5)", 'CASE DATA'!E21="708.2A(4)", 'CASE DATA'!E21="708.2A(5)", 'CASE DATA'!E21="708.2C(2)", 'CASE DATA'!E21="708.2C(4)", 'CASE DATA'!E21="708.3(1)", 'CASE DATA'!E21="708.3(2)", 'CASE DATA'!E21="708.3A(1)", 'CASE DATA'!E21="708.3A(2)", 'CASE DATA'!E21="708.3B", 'CASE DATA'!E21="708.4(1)", 'CASE DATA'!E21="708.4(2)", 'CASE DATA'!E21="708.5", 'CASE DATA'!E21="708.8", 'CASE DATA'!E21="708.11(3)(a)", 'CASE DATA'!E21="708.11(3)(b)", 'CASE DATA'!E21="708.12(3)(f)", 'CASE DATA'!E21="708.13(3)", 'CASE DATA'!E21="708.14", 'CASE DATA'!E21="708A.2", 'CASE DATA'!E21="708A.4(1)", 'CASE DATA'!E21="708A.4(2)", 'CASE DATA'!E21="708A.5", 'CASE DATA'!E21="708A.6(1)", 'CASE DATA'!E21="708.A.6(2)", 'CASE DATA'!E21="709.2", 'CASE DATA'!E21="709.3", 'CASE DATA'!E21="709.4", 'CASE DATA'!E21="709.8(1)(a)", 'CASE DATA'!E21="709.8(1)(b)", 'CASE DATA'!E21="709.8(1)(c)", 'CASE DATA'!E21="709.8(1)(d)", 'CASE DATA'!E21="709.8(1)(e)", 'CASE DATA'!E21="709.11(1)", 'CASE DATA'!E21="709.11(2)", 'CASE DATA'!E21="709.15(2)(a)(1)", 'CASE DATA'!E21="709.15(3)(a)(1)", 'CASE DATA'!E21="709.18", 'CASE DATA'!E21="709A.6(2)", 'CASE DATA'!E21="709D.3(1)", 'CASE DATA'!E21="709D.3(2)", 'CASE DATA'!E21="709.D.3(3)", 'CASE DATA'!E21="710.2", 'CASE DATA'!E21="710.3", 'CASE DATA'!E21="710.4", 'CASE DATA'!E21="710.5", 'CASE DATA'!E21="710.10(1)", 'CASE DATA'!E21="710.10(2)", 'CASE DATA'!E21="710.10(3)", 'CASE DATA'!E21="710.11", 'CASE DATA'!E21="710A.2(1)", 'CASE DATA'!E21="710A.2(2)", 'CASE DATA'!E21="710A.2(3)", 'CASE DATA'!E21="710A.2(4)", 'CASE DATA'!E21="710A.2(5)", 'CASE DATA'!E21="710A.2(6)", 'CASE DATA'!E21="710A.2(7)", 'CASE DATA'!E21="710A.2A", 'CASE DATA'!E21="711.2", 'CASE DATA'!E21="711.3", 'CASE DATA'!E21="711.4", 'CASE DATA'!E21="712.2", 'CASE DATA'!E21="712.3", 'CASE DATA'!E21="712.6(1)", 'CASE DATA'!E21="712.7", 'CASE DATA'!E21="712.8", 'CASE DATA'!E21="", 'CASE DATA'!E21="713.3", 'CASE DATA'!E21="713.4", 'CASE DATA'!E21="713.5", 'CASE DATA'!E21="713.6", 'CASE DATA'!E21="713.6A(1)", 'CASE DATA'!E21="714.2(1)", 'CASE DATA'!E21="714.2(2)", 'CASE DATA'!E21="714.3A(2)(b)", 'CASE DATA'!E21="714.9", 'CASE DATA'!E21="714.10", 'CASE DATA'!E21="714.26(2)(a)", 'CASE DATA'!E21="714.26(2)(b)", 'CASE DATA'!E21="715A.2(2)(a)", 'CASE DATA'!E21="715A.6(2)(a)", 'CASE DATA'!E21="715A.6(2)(b)", 'CASE DATA'!E21="715A.8(3)(a)", 'CASE DATA'!E21="715A.8(3)(b)", 'CASE DATA'!E21="715A.10(1)", 'CASE DATA'!E21="715A.10(2)", 'CASE DATA'!E21="716.3", 'CASE DATA'!E21="716.4", 'CASE DATA'!E21="716.8(6)", 'CASE DATA'!E21="716.10(2)(a)", 'CASE DATA'!E21="716.10(2)(b)", 'CASE DATA'!E21="716.10(2)(c)", 'CASE DATA'!E21="716.10(2)(d)", 'CASE DATA'!E21="716.12", 'CASE DATA'!E21="719.1(1)(f)", 'CASE DATA'!E21="719.1(2)(e)", 'CASE DATA'!E21="719.1(2)(f)", 'CASE DATA'!E21="719.1(2)(g)", 'CASE DATA'!E21="719.4(1)", 'CASE DATA'!E21="719.4(4)", 'CASE DATA'!E21="719.5(1)", 'CASE DATA'!E21="719.5(2)", 'CASE DATA'!E21="719.6(1)", 'CASE DATA'!E21="719.6(2)", 'CASE DATA'!E21="719.7(4)(a)", 'CASE DATA'!E21="719.7(4)(b)", 'CASE DATA'!E21="719.7A(3)", 'CASE DATA'!E21="719.9", 'CASE DATA'!E21="719.8", 'CASE DATA'!E21="720.2", 'CASE DATA'!E21="720.3", 'CASE DATA'!E21="721.1", 'CASE DATA'!E21="722.1", 'CASE DATA'!E21="", 'CASE DATA'!E21="722.2", 'CASE DATA'!E21="722.10", 'CASE DATA'!E21="723(5)(3)(c)", 'CASE DATA'!E21="723A.2", 'CASE DATA'!E21="723A.3(1)", 'CASE DATA'!E21="723A.3(2)", 'CASE DATA'!E21="724.1B", 'CASE DATA'!E21="724.1C", 'CASE DATA'!E21="724.3", 'CASE DATA'!E21="724.4B", 'CASE DATA'!E21="724.10", 'CASE DATA'!E21="724.16(2)", 'CASE DATA'!E21="724.16A(1)(a)", 'CASE DATA'!E21="724.16A(1)(b)", 'CASE DATA'!E21="724.17", 'CASE DATA'!E21="724.21", 'CASE DATA'!E21="724.26(1)", 'CASE DATA'!E21="922(g)(8)", 'CASE DATA'!E21="724.29A(2)", 'CASE DATA'!E21="724.29A(3)", 'CASE DATA'!E21="724.30(1)", 'CASE DATA'!E21="724.30(2)", 'CASE DATA'!E21="725.1(2)(b)", 'CASE DATA'!E21="725.2(1)", 'CASE DATA'!E21="725.2(2)", 'CASE DATA'!E21="725.3(2)", 'CASE DATA'!E21="725.3(1)", 'CASE DATA'!E21="725.7(2)(a)(3)", 'CASE DATA'!E21="725.7(2)(a)(4)", 'CASE DATA'!E21="725.7(2)(b)(2)", 'CASE DATA'!E21="725.7(2)(b(3)", 'CASE DATA'!E21="726.7(2)(c)(1)", 'CASE DATA'!E21="726.7(2)(c)(2)", 'CASE DATA'!E21="725.7(2)(d)", 'CASE DATA'!E21="726.2", 'CASE DATA'!E21="726.3", 'CASE DATA'!E21="726.5", 'CASE DATA'!E21="726.6(4)", 'CASE DATA'!E21="726.6(5)", 'CASE DATA'!E21="726.6(6)", 'CASE DATA'!E21="726.6A", 'CASE DATA'!E21="726.7(2)", 'CASE DATA'!E21="726.8(2)", 'CASE DATA'!E21="728.12(1)", 'CASE DATA'!E21="728.12(2)"),"felony","eligible"),"N/A")</f>
        <v>N/A</v>
      </c>
      <c r="M20" s="185" t="str">
        <f>IF(L20="eligible",IF(OR('CASE DATA'!E21="123.46",'CASE DATA'!E21="123.47",'CASE DATA'!E21="235B.20",'CASE DATA'!E21="321.218",'CASE DATA'!E21="321A.32",'CASE DATA'!E21="321J.21",'CASE DATA'!E21="321J.2",'CASE DATA'!E21="707.5",'CASE DATA'!E21="708.2(3)",'CASE DATA'!E21="708.2A",'CASE DATA'!E21="708.7",'CASE DATA'!E21="708.11",'CASE DATA'!E21="708.12",'CASE DATA'!E21="716.8(3)",'CASE DATA'!E21="716.8(4)", LEFT('CASE DATA'!E21,4)="717C", LEFT('CASE DATA'!E21, 3)="719", LEFT('CASE DATA'!E21,3)="720", 'CASE DATA'!E21="721.2", 'CASE DATA'!E21="721.10", 'CASE DATA'!E21="723.1", LEFT('CASE DATA'!E21,3)="724", LEFT('CASE DATA'!E21,3)="726", LEFT('CASE DATA'!E21,3)="728", LEFT('CASE DATA'!E21,4)="901A"),"ineligible misd", "eligible"),"N/A")</f>
        <v>N/A</v>
      </c>
      <c r="N20" s="185" t="str">
        <f>IF(L20="eligible",IF(COUNTIF('CASE DATA'!$C$4:$C$200, "")-COUNTIF('CASE DATA'!$A$4:$A$200, "")&gt;0, "YES","NO"),"N/A")</f>
        <v>N/A</v>
      </c>
      <c r="O20" s="185" t="str">
        <f xml:space="preserve"> IF(M20="eligible",'CASE DATA'!K21,"N/A")</f>
        <v>N/A</v>
      </c>
      <c r="P20" s="185" t="str">
        <f xml:space="preserve"> IF(M20="eligible",'CASE DATA'!I21+'CASE DATA'!J21+'CASE DATA'!L21+'CASE DATA'!M21+'CASE DATA'!N21+'CASE DATA'!O21+'CASE DATA'!M21+'CASE DATA'!Q21+'CASE DATA'!R21,"N/A")</f>
        <v>N/A</v>
      </c>
      <c r="Q20" s="11" t="str">
        <f>IF(M20="eligible",IF(C20+730.5&lt;'BASIC INFO'!$B$3, "YES", "NO"),"N/A")</f>
        <v>N/A</v>
      </c>
      <c r="R20" s="186" t="str">
        <f xml:space="preserve"> IF(OR('CASE DATA'!F21="DEF"), "YES", "NO")</f>
        <v>NO</v>
      </c>
      <c r="S20" s="162" t="str">
        <f>IF(R20="YES",'CASE DATA'!H21,"N/A")</f>
        <v>N/A</v>
      </c>
      <c r="T20" s="185" t="str">
        <f xml:space="preserve"> IF(R20="YES",'CASE DATA'!K21,"N/A")</f>
        <v>N/A</v>
      </c>
      <c r="U20" s="185" t="str">
        <f>IF(R20="YES",'CASE DATA'!I21+'CASE DATA'!J21+'CASE DATA'!L21+'CASE DATA'!M21+'CASE DATA'!N21+'CASE DATA'!O21+'CASE DATA'!P21+'CASE DATA'!Q21+'CASE DATA'!R21,"N/A")</f>
        <v>N/A</v>
      </c>
      <c r="V20" s="189" t="str">
        <f>IF(OR('CASE DATA'!E21="123.46",'CASE DATA'!E21="123.47"),"YES","NO")</f>
        <v>NO</v>
      </c>
      <c r="W20" s="189"/>
      <c r="X20" s="185" t="str">
        <f>IF(V20="YES",IF(C20+730.5&lt;'BASIC INFO'!$B$3, "YES","NO"), "N/A")</f>
        <v>N/A</v>
      </c>
      <c r="Y20" s="189" t="str">
        <f t="shared" si="0"/>
        <v>NO</v>
      </c>
      <c r="Z20" s="187" t="str">
        <f xml:space="preserve"> IF('BASIC INFO'!$B$6+6574.5&gt;C20, "YES", "NO")</f>
        <v>YES</v>
      </c>
    </row>
    <row r="21" spans="1:26" x14ac:dyDescent="0.25">
      <c r="A21" s="162">
        <f xml:space="preserve"> 'CASE DATA'!A22</f>
        <v>0</v>
      </c>
      <c r="B21" s="162">
        <f xml:space="preserve"> 'CASE DATA'!E22</f>
        <v>0</v>
      </c>
      <c r="C21" s="163">
        <f xml:space="preserve"> 'CASE DATA'!C22</f>
        <v>0</v>
      </c>
      <c r="D21" s="11" t="str">
        <f xml:space="preserve"> IF(OR('CASE DATA'!F22="JUV", 'CASE DATA'!F22="JWV"), "YES", "NO")</f>
        <v>NO</v>
      </c>
      <c r="E21" s="11"/>
      <c r="F21" s="11" t="str">
        <f>IF(D21="YES",IF(COUNTIF('CASE DATA'!$C$4:$C$200, "")-COUNTIF('CASE DATA'!$A$4:$A$200, "")&gt;0, "YES","NO"),"N/A")</f>
        <v>N/A</v>
      </c>
      <c r="G21" s="164" t="str">
        <f xml:space="preserve"> _xlfn.IFS(D21="NO", "N/A", AND('BASIC INFO'!$B$3&gt;'BASIC INFO'!$B$6+6574.5, C21+730.5&lt;'BASIC INFO'!$B$3), "YES", 'BASIC INFO'!$B$3&lt;('BASIC INFO'!$B$6+6574.5), "NOT YET 18", C21+730.5&gt;'BASIC INFO'!$B$3, "NOT YET 2 YEARS")</f>
        <v>N/A</v>
      </c>
      <c r="H21" s="186" t="str">
        <f xml:space="preserve"> IF(LEFT('CASE DATA'!E22,4)&lt;&gt;"321.",IF(OR('CASE DATA'!F22="DISM", 'CASE DATA'!F22="ACQ", 'CASE DATA'!F22="NOTF", 'CASE DATA'!F22="WTHD", 'CASE DATA'!F22="TNSF"), "YES", "NO"), "TRAFFIC")</f>
        <v>NO</v>
      </c>
      <c r="I21" s="185" t="str">
        <f xml:space="preserve"> IF(H21="YES",'CASE DATA'!K22,"N/A")</f>
        <v>N/A</v>
      </c>
      <c r="J21" s="185" t="str">
        <f>IF(H21="YES",'CASE DATA'!I22+'CASE DATA'!J22+'CASE DATA'!L22+'CASE DATA'!M22+'CASE DATA'!N22+'CASE DATA'!O22+'CASE DATA'!P22+'CASE DATA'!Q22+'CASE DATA'!R22,"N/A")</f>
        <v>N/A</v>
      </c>
      <c r="K21" s="162" t="str">
        <f xml:space="preserve"> IF(H21="YES",IF(C21+180&lt;'BASIC INFO'!$B$3, "YES", "NO"),"N/A")</f>
        <v>N/A</v>
      </c>
      <c r="L21" s="185" t="str">
        <f>IF(OR('CASE DATA'!F22="GTR", 'CASE DATA'!F22="GPL"),IF(OR('CASE DATA'!E22="81.6(2)", 'CASE DATA'!E22="99F.15(6)(b)(1)", 'CASE DATA'!E22= "124.401(1)(a)", 'CASE DATA'!E22= "124.401(1)(b)", 'CASE DATA'!E22= "124.401(1)(c)", 'CASE DATA'!E22= "124.401(1)(d)", 'CASE DATA'!E22="124.401(4)", 'CASE DATA'!E22="124.401(1)(b)", 'CASE DATA'!E22="124.401(1)(c)", 'CASE DATA'!E22="124.401D(2)(b)", 'CASE DATA'!E22="124.401D(2)(c)", 'CASE DATA'!E22="124.406(1)(a)", 'CASE DATA'!E22="124.406(1)(b) ", 'CASE DATA'!E22="124.406(2)(a)", 'CASE DATA'!E22="124.406(2)(b) ", 'CASE DATA'!E22="124.406(3)", 'CASE DATA'!E22="124.406A ", 'CASE DATA'!E22="124.407(2)(a)", 'CASE DATA'!E22="124B.9(1)", 'CASE DATA'!E22="124B.9(2)", 'CASE DATA'!E22="321J.2(2)(c)", 'CASE DATA'!E22="453B.12(2)", 'CASE DATA'!E22="453B.12(3)", 'CASE DATA'!E22="453B.12(4)", 'CASE DATA'!E22="462A.14(2)(c)", 'CASE DATA'!E22="462A.14(2)(d)", 'CASE DATA'!E22="462A.14(2)(e)", 'CASE DATA'!E22="705.1(2)", 'CASE DATA'!E22="706.3(1)", 'CASE DATA'!E22="706.3(2)", 'CASE DATA'!E22="706A.2(1)", 'CASE DATA'!E22="706A.2(2)", 'CASE DATA'!E22="706A.2(4)", 'CASE DATA'!E22="706B.2(1)(a)", 'CASE DATA'!E22="706B.2(1)(b)", 'CASE DATA'!E22="706B.2(1)(c)", 'CASE DATA'!E22="706B.2(1)(d)", 'CASE DATA'!E22="707.2", 'CASE DATA'!E22="707.3", 'CASE DATA'!E22="707.3A", 'CASE DATA'!E22="707.4", 'CASE DATA'!E22="707.5(1)(a)", 'CASE DATA'!E22="707.6A(1)", 'CASE DATA'!E22="707.6A(2)", 'CASE DATA'!E22="707.6A(3)", 'CASE DATA'!E22="707.6A(4)", 'CASE DATA'!E22="707.7(1)", 'CASE DATA'!E22="707.7(3)", 'CASE DATA'!E22="707.7(2)", 'CASE DATA'!E22="707.8(1)", 'CASE DATA'!E22="707.8(2)", 'CASE DATA'!E22="707.8(3)", 'CASE DATA'!E22="707.8(4)", 'CASE DATA'!E22="707.8(5)", 'CASE DATA'!E22="707.8(6)", 'CASE DATA'!E22="707.9", 'CASE DATA'!E22="707.11", 'CASE DATA'!E22="707A.2", 'CASE DATA'!E22="708.2(4)", 'CASE DATA'!E22="708.2(5)", 'CASE DATA'!E22="708.2A(4)", 'CASE DATA'!E22="708.2A(5)", 'CASE DATA'!E22="708.2C(2)", 'CASE DATA'!E22="708.2C(4)", 'CASE DATA'!E22="708.3(1)", 'CASE DATA'!E22="708.3(2)", 'CASE DATA'!E22="708.3A(1)", 'CASE DATA'!E22="708.3A(2)", 'CASE DATA'!E22="708.3B", 'CASE DATA'!E22="708.4(1)", 'CASE DATA'!E22="708.4(2)", 'CASE DATA'!E22="708.5", 'CASE DATA'!E22="708.8", 'CASE DATA'!E22="708.11(3)(a)", 'CASE DATA'!E22="708.11(3)(b)", 'CASE DATA'!E22="708.12(3)(f)", 'CASE DATA'!E22="708.13(3)", 'CASE DATA'!E22="708.14", 'CASE DATA'!E22="708A.2", 'CASE DATA'!E22="708A.4(1)", 'CASE DATA'!E22="708A.4(2)", 'CASE DATA'!E22="708A.5", 'CASE DATA'!E22="708A.6(1)", 'CASE DATA'!E22="708.A.6(2)", 'CASE DATA'!E22="709.2", 'CASE DATA'!E22="709.3", 'CASE DATA'!E22="709.4", 'CASE DATA'!E22="709.8(1)(a)", 'CASE DATA'!E22="709.8(1)(b)", 'CASE DATA'!E22="709.8(1)(c)", 'CASE DATA'!E22="709.8(1)(d)", 'CASE DATA'!E22="709.8(1)(e)", 'CASE DATA'!E22="709.11(1)", 'CASE DATA'!E22="709.11(2)", 'CASE DATA'!E22="709.15(2)(a)(1)", 'CASE DATA'!E22="709.15(3)(a)(1)", 'CASE DATA'!E22="709.18", 'CASE DATA'!E22="709A.6(2)", 'CASE DATA'!E22="709D.3(1)", 'CASE DATA'!E22="709D.3(2)", 'CASE DATA'!E22="709.D.3(3)", 'CASE DATA'!E22="710.2", 'CASE DATA'!E22="710.3", 'CASE DATA'!E22="710.4", 'CASE DATA'!E22="710.5", 'CASE DATA'!E22="710.10(1)", 'CASE DATA'!E22="710.10(2)", 'CASE DATA'!E22="710.10(3)", 'CASE DATA'!E22="710.11", 'CASE DATA'!E22="710A.2(1)", 'CASE DATA'!E22="710A.2(2)", 'CASE DATA'!E22="710A.2(3)", 'CASE DATA'!E22="710A.2(4)", 'CASE DATA'!E22="710A.2(5)", 'CASE DATA'!E22="710A.2(6)", 'CASE DATA'!E22="710A.2(7)", 'CASE DATA'!E22="710A.2A", 'CASE DATA'!E22="711.2", 'CASE DATA'!E22="711.3", 'CASE DATA'!E22="711.4", 'CASE DATA'!E22="712.2", 'CASE DATA'!E22="712.3", 'CASE DATA'!E22="712.6(1)", 'CASE DATA'!E22="712.7", 'CASE DATA'!E22="712.8", 'CASE DATA'!E22="", 'CASE DATA'!E22="713.3", 'CASE DATA'!E22="713.4", 'CASE DATA'!E22="713.5", 'CASE DATA'!E22="713.6", 'CASE DATA'!E22="713.6A(1)", 'CASE DATA'!E22="714.2(1)", 'CASE DATA'!E22="714.2(2)", 'CASE DATA'!E22="714.3A(2)(b)", 'CASE DATA'!E22="714.9", 'CASE DATA'!E22="714.10", 'CASE DATA'!E22="714.26(2)(a)", 'CASE DATA'!E22="714.26(2)(b)", 'CASE DATA'!E22="715A.2(2)(a)", 'CASE DATA'!E22="715A.6(2)(a)", 'CASE DATA'!E22="715A.6(2)(b)", 'CASE DATA'!E22="715A.8(3)(a)", 'CASE DATA'!E22="715A.8(3)(b)", 'CASE DATA'!E22="715A.10(1)", 'CASE DATA'!E22="715A.10(2)", 'CASE DATA'!E22="716.3", 'CASE DATA'!E22="716.4", 'CASE DATA'!E22="716.8(6)", 'CASE DATA'!E22="716.10(2)(a)", 'CASE DATA'!E22="716.10(2)(b)", 'CASE DATA'!E22="716.10(2)(c)", 'CASE DATA'!E22="716.10(2)(d)", 'CASE DATA'!E22="716.12", 'CASE DATA'!E22="719.1(1)(f)", 'CASE DATA'!E22="719.1(2)(e)", 'CASE DATA'!E22="719.1(2)(f)", 'CASE DATA'!E22="719.1(2)(g)", 'CASE DATA'!E22="719.4(1)", 'CASE DATA'!E22="719.4(4)", 'CASE DATA'!E22="719.5(1)", 'CASE DATA'!E22="719.5(2)", 'CASE DATA'!E22="719.6(1)", 'CASE DATA'!E22="719.6(2)", 'CASE DATA'!E22="719.7(4)(a)", 'CASE DATA'!E22="719.7(4)(b)", 'CASE DATA'!E22="719.7A(3)", 'CASE DATA'!E22="719.9", 'CASE DATA'!E22="719.8", 'CASE DATA'!E22="720.2", 'CASE DATA'!E22="720.3", 'CASE DATA'!E22="721.1", 'CASE DATA'!E22="722.1", 'CASE DATA'!E22="", 'CASE DATA'!E22="722.2", 'CASE DATA'!E22="722.10", 'CASE DATA'!E22="723(5)(3)(c)", 'CASE DATA'!E22="723A.2", 'CASE DATA'!E22="723A.3(1)", 'CASE DATA'!E22="723A.3(2)", 'CASE DATA'!E22="724.1B", 'CASE DATA'!E22="724.1C", 'CASE DATA'!E22="724.3", 'CASE DATA'!E22="724.4B", 'CASE DATA'!E22="724.10", 'CASE DATA'!E22="724.16(2)", 'CASE DATA'!E22="724.16A(1)(a)", 'CASE DATA'!E22="724.16A(1)(b)", 'CASE DATA'!E22="724.17", 'CASE DATA'!E22="724.21", 'CASE DATA'!E22="724.26(1)", 'CASE DATA'!E22="922(g)(8)", 'CASE DATA'!E22="724.29A(2)", 'CASE DATA'!E22="724.29A(3)", 'CASE DATA'!E22="724.30(1)", 'CASE DATA'!E22="724.30(2)", 'CASE DATA'!E22="725.1(2)(b)", 'CASE DATA'!E22="725.2(1)", 'CASE DATA'!E22="725.2(2)", 'CASE DATA'!E22="725.3(2)", 'CASE DATA'!E22="725.3(1)", 'CASE DATA'!E22="725.7(2)(a)(3)", 'CASE DATA'!E22="725.7(2)(a)(4)", 'CASE DATA'!E22="725.7(2)(b)(2)", 'CASE DATA'!E22="725.7(2)(b(3)", 'CASE DATA'!E22="726.7(2)(c)(1)", 'CASE DATA'!E22="726.7(2)(c)(2)", 'CASE DATA'!E22="725.7(2)(d)", 'CASE DATA'!E22="726.2", 'CASE DATA'!E22="726.3", 'CASE DATA'!E22="726.5", 'CASE DATA'!E22="726.6(4)", 'CASE DATA'!E22="726.6(5)", 'CASE DATA'!E22="726.6(6)", 'CASE DATA'!E22="726.6A", 'CASE DATA'!E22="726.7(2)", 'CASE DATA'!E22="726.8(2)", 'CASE DATA'!E22="728.12(1)", 'CASE DATA'!E22="728.12(2)"),"felony","eligible"),"N/A")</f>
        <v>N/A</v>
      </c>
      <c r="M21" s="185" t="str">
        <f>IF(L21="eligible",IF(OR('CASE DATA'!E22="123.46",'CASE DATA'!E22="123.47",'CASE DATA'!E22="235B.20",'CASE DATA'!E22="321.218",'CASE DATA'!E22="321A.32",'CASE DATA'!E22="321J.21",'CASE DATA'!E22="321J.2",'CASE DATA'!E22="707.5",'CASE DATA'!E22="708.2(3)",'CASE DATA'!E22="708.2A",'CASE DATA'!E22="708.7",'CASE DATA'!E22="708.11",'CASE DATA'!E22="708.12",'CASE DATA'!E22="716.8(3)",'CASE DATA'!E22="716.8(4)", LEFT('CASE DATA'!E22,4)="717C", LEFT('CASE DATA'!E22, 3)="719", LEFT('CASE DATA'!E22,3)="720", 'CASE DATA'!E22="721.2", 'CASE DATA'!E22="721.10", 'CASE DATA'!E22="723.1", LEFT('CASE DATA'!E22,3)="724", LEFT('CASE DATA'!E22,3)="726", LEFT('CASE DATA'!E22,3)="728", LEFT('CASE DATA'!E22,4)="901A"),"ineligible misd", "eligible"),"N/A")</f>
        <v>N/A</v>
      </c>
      <c r="N21" s="185" t="str">
        <f>IF(L21="eligible",IF(COUNTIF('CASE DATA'!$C$4:$C$200, "")-COUNTIF('CASE DATA'!$A$4:$A$200, "")&gt;0, "YES","NO"),"N/A")</f>
        <v>N/A</v>
      </c>
      <c r="O21" s="185" t="str">
        <f xml:space="preserve"> IF(M21="eligible",'CASE DATA'!K22,"N/A")</f>
        <v>N/A</v>
      </c>
      <c r="P21" s="185" t="str">
        <f xml:space="preserve"> IF(M21="eligible",'CASE DATA'!I22+'CASE DATA'!J22+'CASE DATA'!L22+'CASE DATA'!M22+'CASE DATA'!N22+'CASE DATA'!O22+'CASE DATA'!M22+'CASE DATA'!Q22+'CASE DATA'!R22,"N/A")</f>
        <v>N/A</v>
      </c>
      <c r="Q21" s="11" t="str">
        <f>IF(M21="eligible",IF(C21+730.5&lt;'BASIC INFO'!$B$3, "YES", "NO"),"N/A")</f>
        <v>N/A</v>
      </c>
      <c r="R21" s="186" t="str">
        <f xml:space="preserve"> IF(OR('CASE DATA'!F22="DEF"), "YES", "NO")</f>
        <v>NO</v>
      </c>
      <c r="S21" s="162" t="str">
        <f>IF(R21="YES",'CASE DATA'!H22,"N/A")</f>
        <v>N/A</v>
      </c>
      <c r="T21" s="185" t="str">
        <f xml:space="preserve"> IF(R21="YES",'CASE DATA'!K22,"N/A")</f>
        <v>N/A</v>
      </c>
      <c r="U21" s="185" t="str">
        <f>IF(R21="YES",'CASE DATA'!I22+'CASE DATA'!J22+'CASE DATA'!L22+'CASE DATA'!M22+'CASE DATA'!N22+'CASE DATA'!O22+'CASE DATA'!P22+'CASE DATA'!Q22+'CASE DATA'!R22,"N/A")</f>
        <v>N/A</v>
      </c>
      <c r="V21" s="189" t="str">
        <f>IF(OR('CASE DATA'!E22="123.46",'CASE DATA'!E22="123.47"),"YES","NO")</f>
        <v>NO</v>
      </c>
      <c r="W21" s="189"/>
      <c r="X21" s="185" t="str">
        <f>IF(V21="YES",IF(C21+730.5&lt;'BASIC INFO'!$B$3, "YES","NO"), "N/A")</f>
        <v>N/A</v>
      </c>
      <c r="Y21" s="189" t="str">
        <f t="shared" si="0"/>
        <v>NO</v>
      </c>
      <c r="Z21" s="187" t="str">
        <f xml:space="preserve"> IF('BASIC INFO'!$B$6+6574.5&gt;C21, "YES", "NO")</f>
        <v>YES</v>
      </c>
    </row>
    <row r="22" spans="1:26" x14ac:dyDescent="0.25">
      <c r="A22" s="162">
        <f xml:space="preserve"> 'CASE DATA'!A23</f>
        <v>0</v>
      </c>
      <c r="B22" s="162">
        <f xml:space="preserve"> 'CASE DATA'!E23</f>
        <v>0</v>
      </c>
      <c r="C22" s="163">
        <f xml:space="preserve"> 'CASE DATA'!C23</f>
        <v>0</v>
      </c>
      <c r="D22" s="11" t="str">
        <f xml:space="preserve"> IF(OR('CASE DATA'!F23="JUV", 'CASE DATA'!F23="JWV"), "YES", "NO")</f>
        <v>NO</v>
      </c>
      <c r="E22" s="11"/>
      <c r="F22" s="11" t="str">
        <f>IF(D22="YES",IF(COUNTIF('CASE DATA'!$C$4:$C$200, "")-COUNTIF('CASE DATA'!$A$4:$A$200, "")&gt;0, "YES","NO"),"N/A")</f>
        <v>N/A</v>
      </c>
      <c r="G22" s="164" t="str">
        <f xml:space="preserve"> _xlfn.IFS(D22="NO", "N/A", AND('BASIC INFO'!$B$3&gt;'BASIC INFO'!$B$6+6574.5, C22+730.5&lt;'BASIC INFO'!$B$3), "YES", 'BASIC INFO'!$B$3&lt;('BASIC INFO'!$B$6+6574.5), "NOT YET 18", C22+730.5&gt;'BASIC INFO'!$B$3, "NOT YET 2 YEARS")</f>
        <v>N/A</v>
      </c>
      <c r="H22" s="186" t="str">
        <f xml:space="preserve"> IF(LEFT('CASE DATA'!E23,4)&lt;&gt;"321.",IF(OR('CASE DATA'!F23="DISM", 'CASE DATA'!F23="ACQ", 'CASE DATA'!F23="NOTF", 'CASE DATA'!F23="WTHD", 'CASE DATA'!F23="TNSF"), "YES", "NO"), "TRAFFIC")</f>
        <v>NO</v>
      </c>
      <c r="I22" s="185" t="str">
        <f xml:space="preserve"> IF(H22="YES",'CASE DATA'!K23,"N/A")</f>
        <v>N/A</v>
      </c>
      <c r="J22" s="185" t="str">
        <f>IF(H22="YES",'CASE DATA'!I23+'CASE DATA'!J23+'CASE DATA'!L23+'CASE DATA'!M23+'CASE DATA'!N23+'CASE DATA'!O23+'CASE DATA'!P23+'CASE DATA'!Q23+'CASE DATA'!R23,"N/A")</f>
        <v>N/A</v>
      </c>
      <c r="K22" s="162" t="str">
        <f xml:space="preserve"> IF(H22="YES",IF(C22+180&lt;'BASIC INFO'!$B$3, "YES", "NO"),"N/A")</f>
        <v>N/A</v>
      </c>
      <c r="L22" s="185" t="str">
        <f>IF(OR('CASE DATA'!F23="GTR", 'CASE DATA'!F23="GPL"),IF(OR('CASE DATA'!E23="81.6(2)", 'CASE DATA'!E23="99F.15(6)(b)(1)", 'CASE DATA'!E23= "124.401(1)(a)", 'CASE DATA'!E23= "124.401(1)(b)", 'CASE DATA'!E23= "124.401(1)(c)", 'CASE DATA'!E23= "124.401(1)(d)", 'CASE DATA'!E23="124.401(4)", 'CASE DATA'!E23="124.401(1)(b)", 'CASE DATA'!E23="124.401(1)(c)", 'CASE DATA'!E23="124.401D(2)(b)", 'CASE DATA'!E23="124.401D(2)(c)", 'CASE DATA'!E23="124.406(1)(a)", 'CASE DATA'!E23="124.406(1)(b) ", 'CASE DATA'!E23="124.406(2)(a)", 'CASE DATA'!E23="124.406(2)(b) ", 'CASE DATA'!E23="124.406(3)", 'CASE DATA'!E23="124.406A ", 'CASE DATA'!E23="124.407(2)(a)", 'CASE DATA'!E23="124B.9(1)", 'CASE DATA'!E23="124B.9(2)", 'CASE DATA'!E23="321J.2(2)(c)", 'CASE DATA'!E23="453B.12(2)", 'CASE DATA'!E23="453B.12(3)", 'CASE DATA'!E23="453B.12(4)", 'CASE DATA'!E23="462A.14(2)(c)", 'CASE DATA'!E23="462A.14(2)(d)", 'CASE DATA'!E23="462A.14(2)(e)", 'CASE DATA'!E23="705.1(2)", 'CASE DATA'!E23="706.3(1)", 'CASE DATA'!E23="706.3(2)", 'CASE DATA'!E23="706A.2(1)", 'CASE DATA'!E23="706A.2(2)", 'CASE DATA'!E23="706A.2(4)", 'CASE DATA'!E23="706B.2(1)(a)", 'CASE DATA'!E23="706B.2(1)(b)", 'CASE DATA'!E23="706B.2(1)(c)", 'CASE DATA'!E23="706B.2(1)(d)", 'CASE DATA'!E23="707.2", 'CASE DATA'!E23="707.3", 'CASE DATA'!E23="707.3A", 'CASE DATA'!E23="707.4", 'CASE DATA'!E23="707.5(1)(a)", 'CASE DATA'!E23="707.6A(1)", 'CASE DATA'!E23="707.6A(2)", 'CASE DATA'!E23="707.6A(3)", 'CASE DATA'!E23="707.6A(4)", 'CASE DATA'!E23="707.7(1)", 'CASE DATA'!E23="707.7(3)", 'CASE DATA'!E23="707.7(2)", 'CASE DATA'!E23="707.8(1)", 'CASE DATA'!E23="707.8(2)", 'CASE DATA'!E23="707.8(3)", 'CASE DATA'!E23="707.8(4)", 'CASE DATA'!E23="707.8(5)", 'CASE DATA'!E23="707.8(6)", 'CASE DATA'!E23="707.9", 'CASE DATA'!E23="707.11", 'CASE DATA'!E23="707A.2", 'CASE DATA'!E23="708.2(4)", 'CASE DATA'!E23="708.2(5)", 'CASE DATA'!E23="708.2A(4)", 'CASE DATA'!E23="708.2A(5)", 'CASE DATA'!E23="708.2C(2)", 'CASE DATA'!E23="708.2C(4)", 'CASE DATA'!E23="708.3(1)", 'CASE DATA'!E23="708.3(2)", 'CASE DATA'!E23="708.3A(1)", 'CASE DATA'!E23="708.3A(2)", 'CASE DATA'!E23="708.3B", 'CASE DATA'!E23="708.4(1)", 'CASE DATA'!E23="708.4(2)", 'CASE DATA'!E23="708.5", 'CASE DATA'!E23="708.8", 'CASE DATA'!E23="708.11(3)(a)", 'CASE DATA'!E23="708.11(3)(b)", 'CASE DATA'!E23="708.12(3)(f)", 'CASE DATA'!E23="708.13(3)", 'CASE DATA'!E23="708.14", 'CASE DATA'!E23="708A.2", 'CASE DATA'!E23="708A.4(1)", 'CASE DATA'!E23="708A.4(2)", 'CASE DATA'!E23="708A.5", 'CASE DATA'!E23="708A.6(1)", 'CASE DATA'!E23="708.A.6(2)", 'CASE DATA'!E23="709.2", 'CASE DATA'!E23="709.3", 'CASE DATA'!E23="709.4", 'CASE DATA'!E23="709.8(1)(a)", 'CASE DATA'!E23="709.8(1)(b)", 'CASE DATA'!E23="709.8(1)(c)", 'CASE DATA'!E23="709.8(1)(d)", 'CASE DATA'!E23="709.8(1)(e)", 'CASE DATA'!E23="709.11(1)", 'CASE DATA'!E23="709.11(2)", 'CASE DATA'!E23="709.15(2)(a)(1)", 'CASE DATA'!E23="709.15(3)(a)(1)", 'CASE DATA'!E23="709.18", 'CASE DATA'!E23="709A.6(2)", 'CASE DATA'!E23="709D.3(1)", 'CASE DATA'!E23="709D.3(2)", 'CASE DATA'!E23="709.D.3(3)", 'CASE DATA'!E23="710.2", 'CASE DATA'!E23="710.3", 'CASE DATA'!E23="710.4", 'CASE DATA'!E23="710.5", 'CASE DATA'!E23="710.10(1)", 'CASE DATA'!E23="710.10(2)", 'CASE DATA'!E23="710.10(3)", 'CASE DATA'!E23="710.11", 'CASE DATA'!E23="710A.2(1)", 'CASE DATA'!E23="710A.2(2)", 'CASE DATA'!E23="710A.2(3)", 'CASE DATA'!E23="710A.2(4)", 'CASE DATA'!E23="710A.2(5)", 'CASE DATA'!E23="710A.2(6)", 'CASE DATA'!E23="710A.2(7)", 'CASE DATA'!E23="710A.2A", 'CASE DATA'!E23="711.2", 'CASE DATA'!E23="711.3", 'CASE DATA'!E23="711.4", 'CASE DATA'!E23="712.2", 'CASE DATA'!E23="712.3", 'CASE DATA'!E23="712.6(1)", 'CASE DATA'!E23="712.7", 'CASE DATA'!E23="712.8", 'CASE DATA'!E23="", 'CASE DATA'!E23="713.3", 'CASE DATA'!E23="713.4", 'CASE DATA'!E23="713.5", 'CASE DATA'!E23="713.6", 'CASE DATA'!E23="713.6A(1)", 'CASE DATA'!E23="714.2(1)", 'CASE DATA'!E23="714.2(2)", 'CASE DATA'!E23="714.3A(2)(b)", 'CASE DATA'!E23="714.9", 'CASE DATA'!E23="714.10", 'CASE DATA'!E23="714.26(2)(a)", 'CASE DATA'!E23="714.26(2)(b)", 'CASE DATA'!E23="715A.2(2)(a)", 'CASE DATA'!E23="715A.6(2)(a)", 'CASE DATA'!E23="715A.6(2)(b)", 'CASE DATA'!E23="715A.8(3)(a)", 'CASE DATA'!E23="715A.8(3)(b)", 'CASE DATA'!E23="715A.10(1)", 'CASE DATA'!E23="715A.10(2)", 'CASE DATA'!E23="716.3", 'CASE DATA'!E23="716.4", 'CASE DATA'!E23="716.8(6)", 'CASE DATA'!E23="716.10(2)(a)", 'CASE DATA'!E23="716.10(2)(b)", 'CASE DATA'!E23="716.10(2)(c)", 'CASE DATA'!E23="716.10(2)(d)", 'CASE DATA'!E23="716.12", 'CASE DATA'!E23="719.1(1)(f)", 'CASE DATA'!E23="719.1(2)(e)", 'CASE DATA'!E23="719.1(2)(f)", 'CASE DATA'!E23="719.1(2)(g)", 'CASE DATA'!E23="719.4(1)", 'CASE DATA'!E23="719.4(4)", 'CASE DATA'!E23="719.5(1)", 'CASE DATA'!E23="719.5(2)", 'CASE DATA'!E23="719.6(1)", 'CASE DATA'!E23="719.6(2)", 'CASE DATA'!E23="719.7(4)(a)", 'CASE DATA'!E23="719.7(4)(b)", 'CASE DATA'!E23="719.7A(3)", 'CASE DATA'!E23="719.9", 'CASE DATA'!E23="719.8", 'CASE DATA'!E23="720.2", 'CASE DATA'!E23="720.3", 'CASE DATA'!E23="721.1", 'CASE DATA'!E23="722.1", 'CASE DATA'!E23="", 'CASE DATA'!E23="722.2", 'CASE DATA'!E23="722.10", 'CASE DATA'!E23="723(5)(3)(c)", 'CASE DATA'!E23="723A.2", 'CASE DATA'!E23="723A.3(1)", 'CASE DATA'!E23="723A.3(2)", 'CASE DATA'!E23="724.1B", 'CASE DATA'!E23="724.1C", 'CASE DATA'!E23="724.3", 'CASE DATA'!E23="724.4B", 'CASE DATA'!E23="724.10", 'CASE DATA'!E23="724.16(2)", 'CASE DATA'!E23="724.16A(1)(a)", 'CASE DATA'!E23="724.16A(1)(b)", 'CASE DATA'!E23="724.17", 'CASE DATA'!E23="724.21", 'CASE DATA'!E23="724.26(1)", 'CASE DATA'!E23="922(g)(8)", 'CASE DATA'!E23="724.29A(2)", 'CASE DATA'!E23="724.29A(3)", 'CASE DATA'!E23="724.30(1)", 'CASE DATA'!E23="724.30(2)", 'CASE DATA'!E23="725.1(2)(b)", 'CASE DATA'!E23="725.2(1)", 'CASE DATA'!E23="725.2(2)", 'CASE DATA'!E23="725.3(2)", 'CASE DATA'!E23="725.3(1)", 'CASE DATA'!E23="725.7(2)(a)(3)", 'CASE DATA'!E23="725.7(2)(a)(4)", 'CASE DATA'!E23="725.7(2)(b)(2)", 'CASE DATA'!E23="725.7(2)(b(3)", 'CASE DATA'!E23="726.7(2)(c)(1)", 'CASE DATA'!E23="726.7(2)(c)(2)", 'CASE DATA'!E23="725.7(2)(d)", 'CASE DATA'!E23="726.2", 'CASE DATA'!E23="726.3", 'CASE DATA'!E23="726.5", 'CASE DATA'!E23="726.6(4)", 'CASE DATA'!E23="726.6(5)", 'CASE DATA'!E23="726.6(6)", 'CASE DATA'!E23="726.6A", 'CASE DATA'!E23="726.7(2)", 'CASE DATA'!E23="726.8(2)", 'CASE DATA'!E23="728.12(1)", 'CASE DATA'!E23="728.12(2)"),"felony","eligible"),"N/A")</f>
        <v>N/A</v>
      </c>
      <c r="M22" s="185" t="str">
        <f>IF(L22="eligible",IF(OR('CASE DATA'!E23="123.46",'CASE DATA'!E23="123.47",'CASE DATA'!E23="235B.20",'CASE DATA'!E23="321.218",'CASE DATA'!E23="321A.32",'CASE DATA'!E23="321J.21",'CASE DATA'!E23="321J.2",'CASE DATA'!E23="707.5",'CASE DATA'!E23="708.2(3)",'CASE DATA'!E23="708.2A",'CASE DATA'!E23="708.7",'CASE DATA'!E23="708.11",'CASE DATA'!E23="708.12",'CASE DATA'!E23="716.8(3)",'CASE DATA'!E23="716.8(4)", LEFT('CASE DATA'!E23,4)="717C", LEFT('CASE DATA'!E23, 3)="719", LEFT('CASE DATA'!E23,3)="720", 'CASE DATA'!E23="721.2", 'CASE DATA'!E23="721.10", 'CASE DATA'!E23="723.1", LEFT('CASE DATA'!E23,3)="724", LEFT('CASE DATA'!E23,3)="726", LEFT('CASE DATA'!E23,3)="728", LEFT('CASE DATA'!E23,4)="901A"),"ineligible misd", "eligible"),"N/A")</f>
        <v>N/A</v>
      </c>
      <c r="N22" s="185" t="str">
        <f>IF(L22="eligible",IF(COUNTIF('CASE DATA'!$C$4:$C$200, "")-COUNTIF('CASE DATA'!$A$4:$A$200, "")&gt;0, "YES","NO"),"N/A")</f>
        <v>N/A</v>
      </c>
      <c r="O22" s="185" t="str">
        <f xml:space="preserve"> IF(M22="eligible",'CASE DATA'!K23,"N/A")</f>
        <v>N/A</v>
      </c>
      <c r="P22" s="185" t="str">
        <f xml:space="preserve"> IF(M22="eligible",'CASE DATA'!I23+'CASE DATA'!J23+'CASE DATA'!L23+'CASE DATA'!M23+'CASE DATA'!N23+'CASE DATA'!O23+'CASE DATA'!M23+'CASE DATA'!Q23+'CASE DATA'!R23,"N/A")</f>
        <v>N/A</v>
      </c>
      <c r="Q22" s="11" t="str">
        <f>IF(M22="eligible",IF(C22+730.5&lt;'BASIC INFO'!$B$3, "YES", "NO"),"N/A")</f>
        <v>N/A</v>
      </c>
      <c r="R22" s="186" t="str">
        <f xml:space="preserve"> IF(OR('CASE DATA'!F23="DEF"), "YES", "NO")</f>
        <v>NO</v>
      </c>
      <c r="S22" s="162" t="str">
        <f>IF(R22="YES",'CASE DATA'!H23,"N/A")</f>
        <v>N/A</v>
      </c>
      <c r="T22" s="185" t="str">
        <f xml:space="preserve"> IF(R22="YES",'CASE DATA'!K23,"N/A")</f>
        <v>N/A</v>
      </c>
      <c r="U22" s="185" t="str">
        <f>IF(R22="YES",'CASE DATA'!I23+'CASE DATA'!J23+'CASE DATA'!L23+'CASE DATA'!M23+'CASE DATA'!N23+'CASE DATA'!O23+'CASE DATA'!P23+'CASE DATA'!Q23+'CASE DATA'!R23,"N/A")</f>
        <v>N/A</v>
      </c>
      <c r="V22" s="189" t="str">
        <f>IF(OR('CASE DATA'!E23="123.46",'CASE DATA'!E23="123.47"),"YES","NO")</f>
        <v>NO</v>
      </c>
      <c r="W22" s="189"/>
      <c r="X22" s="185" t="str">
        <f>IF(V22="YES",IF(C22+730.5&lt;'BASIC INFO'!$B$3, "YES","NO"), "N/A")</f>
        <v>N/A</v>
      </c>
      <c r="Y22" s="189" t="str">
        <f t="shared" si="0"/>
        <v>NO</v>
      </c>
      <c r="Z22" s="187" t="str">
        <f xml:space="preserve"> IF('BASIC INFO'!$B$6+6574.5&gt;C22, "YES", "NO")</f>
        <v>YES</v>
      </c>
    </row>
    <row r="23" spans="1:26" x14ac:dyDescent="0.25">
      <c r="A23" s="162">
        <f xml:space="preserve"> 'CASE DATA'!A24</f>
        <v>0</v>
      </c>
      <c r="B23" s="162">
        <f xml:space="preserve"> 'CASE DATA'!E24</f>
        <v>0</v>
      </c>
      <c r="C23" s="163">
        <f xml:space="preserve"> 'CASE DATA'!C24</f>
        <v>0</v>
      </c>
      <c r="D23" s="11" t="str">
        <f xml:space="preserve"> IF(OR('CASE DATA'!F24="JUV", 'CASE DATA'!F24="JWV"), "YES", "NO")</f>
        <v>NO</v>
      </c>
      <c r="E23" s="11"/>
      <c r="F23" s="11" t="str">
        <f>IF(D23="YES",IF(COUNTIF('CASE DATA'!$C$4:$C$200, "")-COUNTIF('CASE DATA'!$A$4:$A$200, "")&gt;0, "YES","NO"),"N/A")</f>
        <v>N/A</v>
      </c>
      <c r="G23" s="164" t="str">
        <f xml:space="preserve"> _xlfn.IFS(D23="NO", "N/A", AND('BASIC INFO'!$B$3&gt;'BASIC INFO'!$B$6+6574.5, C23+730.5&lt;'BASIC INFO'!$B$3), "YES", 'BASIC INFO'!$B$3&lt;('BASIC INFO'!$B$6+6574.5), "NOT YET 18", C23+730.5&gt;'BASIC INFO'!$B$3, "NOT YET 2 YEARS")</f>
        <v>N/A</v>
      </c>
      <c r="H23" s="186" t="str">
        <f xml:space="preserve"> IF(LEFT('CASE DATA'!E24,4)&lt;&gt;"321.",IF(OR('CASE DATA'!F24="DISM", 'CASE DATA'!F24="ACQ", 'CASE DATA'!F24="NOTF", 'CASE DATA'!F24="WTHD", 'CASE DATA'!F24="TNSF"), "YES", "NO"), "TRAFFIC")</f>
        <v>NO</v>
      </c>
      <c r="I23" s="185" t="str">
        <f xml:space="preserve"> IF(H23="YES",'CASE DATA'!K24,"N/A")</f>
        <v>N/A</v>
      </c>
      <c r="J23" s="185" t="str">
        <f>IF(H23="YES",'CASE DATA'!I24+'CASE DATA'!J24+'CASE DATA'!L24+'CASE DATA'!M24+'CASE DATA'!N24+'CASE DATA'!O24+'CASE DATA'!P24+'CASE DATA'!Q24+'CASE DATA'!R24,"N/A")</f>
        <v>N/A</v>
      </c>
      <c r="K23" s="162" t="str">
        <f xml:space="preserve"> IF(H23="YES",IF(C23+180&lt;'BASIC INFO'!$B$3, "YES", "NO"),"N/A")</f>
        <v>N/A</v>
      </c>
      <c r="L23" s="185" t="str">
        <f>IF(OR('CASE DATA'!F24="GTR", 'CASE DATA'!F24="GPL"),IF(OR('CASE DATA'!E24="81.6(2)", 'CASE DATA'!E24="99F.15(6)(b)(1)", 'CASE DATA'!E24= "124.401(1)(a)", 'CASE DATA'!E24= "124.401(1)(b)", 'CASE DATA'!E24= "124.401(1)(c)", 'CASE DATA'!E24= "124.401(1)(d)", 'CASE DATA'!E24="124.401(4)", 'CASE DATA'!E24="124.401(1)(b)", 'CASE DATA'!E24="124.401(1)(c)", 'CASE DATA'!E24="124.401D(2)(b)", 'CASE DATA'!E24="124.401D(2)(c)", 'CASE DATA'!E24="124.406(1)(a)", 'CASE DATA'!E24="124.406(1)(b) ", 'CASE DATA'!E24="124.406(2)(a)", 'CASE DATA'!E24="124.406(2)(b) ", 'CASE DATA'!E24="124.406(3)", 'CASE DATA'!E24="124.406A ", 'CASE DATA'!E24="124.407(2)(a)", 'CASE DATA'!E24="124B.9(1)", 'CASE DATA'!E24="124B.9(2)", 'CASE DATA'!E24="321J.2(2)(c)", 'CASE DATA'!E24="453B.12(2)", 'CASE DATA'!E24="453B.12(3)", 'CASE DATA'!E24="453B.12(4)", 'CASE DATA'!E24="462A.14(2)(c)", 'CASE DATA'!E24="462A.14(2)(d)", 'CASE DATA'!E24="462A.14(2)(e)", 'CASE DATA'!E24="705.1(2)", 'CASE DATA'!E24="706.3(1)", 'CASE DATA'!E24="706.3(2)", 'CASE DATA'!E24="706A.2(1)", 'CASE DATA'!E24="706A.2(2)", 'CASE DATA'!E24="706A.2(4)", 'CASE DATA'!E24="706B.2(1)(a)", 'CASE DATA'!E24="706B.2(1)(b)", 'CASE DATA'!E24="706B.2(1)(c)", 'CASE DATA'!E24="706B.2(1)(d)", 'CASE DATA'!E24="707.2", 'CASE DATA'!E24="707.3", 'CASE DATA'!E24="707.3A", 'CASE DATA'!E24="707.4", 'CASE DATA'!E24="707.5(1)(a)", 'CASE DATA'!E24="707.6A(1)", 'CASE DATA'!E24="707.6A(2)", 'CASE DATA'!E24="707.6A(3)", 'CASE DATA'!E24="707.6A(4)", 'CASE DATA'!E24="707.7(1)", 'CASE DATA'!E24="707.7(3)", 'CASE DATA'!E24="707.7(2)", 'CASE DATA'!E24="707.8(1)", 'CASE DATA'!E24="707.8(2)", 'CASE DATA'!E24="707.8(3)", 'CASE DATA'!E24="707.8(4)", 'CASE DATA'!E24="707.8(5)", 'CASE DATA'!E24="707.8(6)", 'CASE DATA'!E24="707.9", 'CASE DATA'!E24="707.11", 'CASE DATA'!E24="707A.2", 'CASE DATA'!E24="708.2(4)", 'CASE DATA'!E24="708.2(5)", 'CASE DATA'!E24="708.2A(4)", 'CASE DATA'!E24="708.2A(5)", 'CASE DATA'!E24="708.2C(2)", 'CASE DATA'!E24="708.2C(4)", 'CASE DATA'!E24="708.3(1)", 'CASE DATA'!E24="708.3(2)", 'CASE DATA'!E24="708.3A(1)", 'CASE DATA'!E24="708.3A(2)", 'CASE DATA'!E24="708.3B", 'CASE DATA'!E24="708.4(1)", 'CASE DATA'!E24="708.4(2)", 'CASE DATA'!E24="708.5", 'CASE DATA'!E24="708.8", 'CASE DATA'!E24="708.11(3)(a)", 'CASE DATA'!E24="708.11(3)(b)", 'CASE DATA'!E24="708.12(3)(f)", 'CASE DATA'!E24="708.13(3)", 'CASE DATA'!E24="708.14", 'CASE DATA'!E24="708A.2", 'CASE DATA'!E24="708A.4(1)", 'CASE DATA'!E24="708A.4(2)", 'CASE DATA'!E24="708A.5", 'CASE DATA'!E24="708A.6(1)", 'CASE DATA'!E24="708.A.6(2)", 'CASE DATA'!E24="709.2", 'CASE DATA'!E24="709.3", 'CASE DATA'!E24="709.4", 'CASE DATA'!E24="709.8(1)(a)", 'CASE DATA'!E24="709.8(1)(b)", 'CASE DATA'!E24="709.8(1)(c)", 'CASE DATA'!E24="709.8(1)(d)", 'CASE DATA'!E24="709.8(1)(e)", 'CASE DATA'!E24="709.11(1)", 'CASE DATA'!E24="709.11(2)", 'CASE DATA'!E24="709.15(2)(a)(1)", 'CASE DATA'!E24="709.15(3)(a)(1)", 'CASE DATA'!E24="709.18", 'CASE DATA'!E24="709A.6(2)", 'CASE DATA'!E24="709D.3(1)", 'CASE DATA'!E24="709D.3(2)", 'CASE DATA'!E24="709.D.3(3)", 'CASE DATA'!E24="710.2", 'CASE DATA'!E24="710.3", 'CASE DATA'!E24="710.4", 'CASE DATA'!E24="710.5", 'CASE DATA'!E24="710.10(1)", 'CASE DATA'!E24="710.10(2)", 'CASE DATA'!E24="710.10(3)", 'CASE DATA'!E24="710.11", 'CASE DATA'!E24="710A.2(1)", 'CASE DATA'!E24="710A.2(2)", 'CASE DATA'!E24="710A.2(3)", 'CASE DATA'!E24="710A.2(4)", 'CASE DATA'!E24="710A.2(5)", 'CASE DATA'!E24="710A.2(6)", 'CASE DATA'!E24="710A.2(7)", 'CASE DATA'!E24="710A.2A", 'CASE DATA'!E24="711.2", 'CASE DATA'!E24="711.3", 'CASE DATA'!E24="711.4", 'CASE DATA'!E24="712.2", 'CASE DATA'!E24="712.3", 'CASE DATA'!E24="712.6(1)", 'CASE DATA'!E24="712.7", 'CASE DATA'!E24="712.8", 'CASE DATA'!E24="", 'CASE DATA'!E24="713.3", 'CASE DATA'!E24="713.4", 'CASE DATA'!E24="713.5", 'CASE DATA'!E24="713.6", 'CASE DATA'!E24="713.6A(1)", 'CASE DATA'!E24="714.2(1)", 'CASE DATA'!E24="714.2(2)", 'CASE DATA'!E24="714.3A(2)(b)", 'CASE DATA'!E24="714.9", 'CASE DATA'!E24="714.10", 'CASE DATA'!E24="714.26(2)(a)", 'CASE DATA'!E24="714.26(2)(b)", 'CASE DATA'!E24="715A.2(2)(a)", 'CASE DATA'!E24="715A.6(2)(a)", 'CASE DATA'!E24="715A.6(2)(b)", 'CASE DATA'!E24="715A.8(3)(a)", 'CASE DATA'!E24="715A.8(3)(b)", 'CASE DATA'!E24="715A.10(1)", 'CASE DATA'!E24="715A.10(2)", 'CASE DATA'!E24="716.3", 'CASE DATA'!E24="716.4", 'CASE DATA'!E24="716.8(6)", 'CASE DATA'!E24="716.10(2)(a)", 'CASE DATA'!E24="716.10(2)(b)", 'CASE DATA'!E24="716.10(2)(c)", 'CASE DATA'!E24="716.10(2)(d)", 'CASE DATA'!E24="716.12", 'CASE DATA'!E24="719.1(1)(f)", 'CASE DATA'!E24="719.1(2)(e)", 'CASE DATA'!E24="719.1(2)(f)", 'CASE DATA'!E24="719.1(2)(g)", 'CASE DATA'!E24="719.4(1)", 'CASE DATA'!E24="719.4(4)", 'CASE DATA'!E24="719.5(1)", 'CASE DATA'!E24="719.5(2)", 'CASE DATA'!E24="719.6(1)", 'CASE DATA'!E24="719.6(2)", 'CASE DATA'!E24="719.7(4)(a)", 'CASE DATA'!E24="719.7(4)(b)", 'CASE DATA'!E24="719.7A(3)", 'CASE DATA'!E24="719.9", 'CASE DATA'!E24="719.8", 'CASE DATA'!E24="720.2", 'CASE DATA'!E24="720.3", 'CASE DATA'!E24="721.1", 'CASE DATA'!E24="722.1", 'CASE DATA'!E24="", 'CASE DATA'!E24="722.2", 'CASE DATA'!E24="722.10", 'CASE DATA'!E24="723(5)(3)(c)", 'CASE DATA'!E24="723A.2", 'CASE DATA'!E24="723A.3(1)", 'CASE DATA'!E24="723A.3(2)", 'CASE DATA'!E24="724.1B", 'CASE DATA'!E24="724.1C", 'CASE DATA'!E24="724.3", 'CASE DATA'!E24="724.4B", 'CASE DATA'!E24="724.10", 'CASE DATA'!E24="724.16(2)", 'CASE DATA'!E24="724.16A(1)(a)", 'CASE DATA'!E24="724.16A(1)(b)", 'CASE DATA'!E24="724.17", 'CASE DATA'!E24="724.21", 'CASE DATA'!E24="724.26(1)", 'CASE DATA'!E24="922(g)(8)", 'CASE DATA'!E24="724.29A(2)", 'CASE DATA'!E24="724.29A(3)", 'CASE DATA'!E24="724.30(1)", 'CASE DATA'!E24="724.30(2)", 'CASE DATA'!E24="725.1(2)(b)", 'CASE DATA'!E24="725.2(1)", 'CASE DATA'!E24="725.2(2)", 'CASE DATA'!E24="725.3(2)", 'CASE DATA'!E24="725.3(1)", 'CASE DATA'!E24="725.7(2)(a)(3)", 'CASE DATA'!E24="725.7(2)(a)(4)", 'CASE DATA'!E24="725.7(2)(b)(2)", 'CASE DATA'!E24="725.7(2)(b(3)", 'CASE DATA'!E24="726.7(2)(c)(1)", 'CASE DATA'!E24="726.7(2)(c)(2)", 'CASE DATA'!E24="725.7(2)(d)", 'CASE DATA'!E24="726.2", 'CASE DATA'!E24="726.3", 'CASE DATA'!E24="726.5", 'CASE DATA'!E24="726.6(4)", 'CASE DATA'!E24="726.6(5)", 'CASE DATA'!E24="726.6(6)", 'CASE DATA'!E24="726.6A", 'CASE DATA'!E24="726.7(2)", 'CASE DATA'!E24="726.8(2)", 'CASE DATA'!E24="728.12(1)", 'CASE DATA'!E24="728.12(2)"),"felony","eligible"),"N/A")</f>
        <v>N/A</v>
      </c>
      <c r="M23" s="185" t="str">
        <f>IF(L23="eligible",IF(OR('CASE DATA'!E24="123.46",'CASE DATA'!E24="123.47",'CASE DATA'!E24="235B.20",'CASE DATA'!E24="321.218",'CASE DATA'!E24="321A.32",'CASE DATA'!E24="321J.21",'CASE DATA'!E24="321J.2",'CASE DATA'!E24="707.5",'CASE DATA'!E24="708.2(3)",'CASE DATA'!E24="708.2A",'CASE DATA'!E24="708.7",'CASE DATA'!E24="708.11",'CASE DATA'!E24="708.12",'CASE DATA'!E24="716.8(3)",'CASE DATA'!E24="716.8(4)", LEFT('CASE DATA'!E24,4)="717C", LEFT('CASE DATA'!E24, 3)="719", LEFT('CASE DATA'!E24,3)="720", 'CASE DATA'!E24="721.2", 'CASE DATA'!E24="721.10", 'CASE DATA'!E24="723.1", LEFT('CASE DATA'!E24,3)="724", LEFT('CASE DATA'!E24,3)="726", LEFT('CASE DATA'!E24,3)="728", LEFT('CASE DATA'!E24,4)="901A"),"ineligible misd", "eligible"),"N/A")</f>
        <v>N/A</v>
      </c>
      <c r="N23" s="185" t="str">
        <f>IF(L23="eligible",IF(COUNTIF('CASE DATA'!$C$4:$C$200, "")-COUNTIF('CASE DATA'!$A$4:$A$200, "")&gt;0, "YES","NO"),"N/A")</f>
        <v>N/A</v>
      </c>
      <c r="O23" s="185" t="str">
        <f xml:space="preserve"> IF(M23="eligible",'CASE DATA'!K24,"N/A")</f>
        <v>N/A</v>
      </c>
      <c r="P23" s="185" t="str">
        <f xml:space="preserve"> IF(M23="eligible",'CASE DATA'!I24+'CASE DATA'!J24+'CASE DATA'!L24+'CASE DATA'!M24+'CASE DATA'!N24+'CASE DATA'!O24+'CASE DATA'!M24+'CASE DATA'!Q24+'CASE DATA'!R24,"N/A")</f>
        <v>N/A</v>
      </c>
      <c r="Q23" s="11" t="str">
        <f>IF(M23="eligible",IF(C23+730.5&lt;'BASIC INFO'!$B$3, "YES", "NO"),"N/A")</f>
        <v>N/A</v>
      </c>
      <c r="R23" s="186" t="str">
        <f xml:space="preserve"> IF(OR('CASE DATA'!F24="DEF"), "YES", "NO")</f>
        <v>NO</v>
      </c>
      <c r="S23" s="162" t="str">
        <f>IF(R23="YES",'CASE DATA'!H24,"N/A")</f>
        <v>N/A</v>
      </c>
      <c r="T23" s="185" t="str">
        <f xml:space="preserve"> IF(R23="YES",'CASE DATA'!K24,"N/A")</f>
        <v>N/A</v>
      </c>
      <c r="U23" s="185" t="str">
        <f>IF(R23="YES",'CASE DATA'!I24+'CASE DATA'!J24+'CASE DATA'!L24+'CASE DATA'!M24+'CASE DATA'!N24+'CASE DATA'!O24+'CASE DATA'!P24+'CASE DATA'!Q24+'CASE DATA'!R24,"N/A")</f>
        <v>N/A</v>
      </c>
      <c r="V23" s="189" t="str">
        <f>IF(OR('CASE DATA'!E24="123.46",'CASE DATA'!E24="123.47"),"YES","NO")</f>
        <v>NO</v>
      </c>
      <c r="W23" s="189"/>
      <c r="X23" s="185" t="str">
        <f>IF(V23="YES",IF(C23+730.5&lt;'BASIC INFO'!$B$3, "YES","NO"), "N/A")</f>
        <v>N/A</v>
      </c>
      <c r="Y23" s="189" t="str">
        <f t="shared" si="0"/>
        <v>NO</v>
      </c>
      <c r="Z23" s="187" t="str">
        <f xml:space="preserve"> IF('BASIC INFO'!$B$6+6574.5&gt;C23, "YES", "NO")</f>
        <v>YES</v>
      </c>
    </row>
    <row r="24" spans="1:26" x14ac:dyDescent="0.25">
      <c r="A24" s="162">
        <f xml:space="preserve"> 'CASE DATA'!A25</f>
        <v>0</v>
      </c>
      <c r="B24" s="162">
        <f xml:space="preserve"> 'CASE DATA'!E25</f>
        <v>0</v>
      </c>
      <c r="C24" s="163">
        <f xml:space="preserve"> 'CASE DATA'!C25</f>
        <v>0</v>
      </c>
      <c r="D24" s="11" t="str">
        <f xml:space="preserve"> IF(OR('CASE DATA'!F25="JUV", 'CASE DATA'!F25="JWV"), "YES", "NO")</f>
        <v>NO</v>
      </c>
      <c r="E24" s="11"/>
      <c r="F24" s="11" t="str">
        <f>IF(D24="YES",IF(COUNTIF('CASE DATA'!$C$4:$C$200, "")-COUNTIF('CASE DATA'!$A$4:$A$200, "")&gt;0, "YES","NO"),"N/A")</f>
        <v>N/A</v>
      </c>
      <c r="G24" s="164" t="str">
        <f xml:space="preserve"> _xlfn.IFS(D24="NO", "N/A", AND('BASIC INFO'!$B$3&gt;'BASIC INFO'!$B$6+6574.5, C24+730.5&lt;'BASIC INFO'!$B$3), "YES", 'BASIC INFO'!$B$3&lt;('BASIC INFO'!$B$6+6574.5), "NOT YET 18", C24+730.5&gt;'BASIC INFO'!$B$3, "NOT YET 2 YEARS")</f>
        <v>N/A</v>
      </c>
      <c r="H24" s="186" t="str">
        <f xml:space="preserve"> IF(LEFT('CASE DATA'!E25,4)&lt;&gt;"321.",IF(OR('CASE DATA'!F25="DISM", 'CASE DATA'!F25="ACQ", 'CASE DATA'!F25="NOTF", 'CASE DATA'!F25="WTHD", 'CASE DATA'!F25="TNSF"), "YES", "NO"), "TRAFFIC")</f>
        <v>NO</v>
      </c>
      <c r="I24" s="185" t="str">
        <f xml:space="preserve"> IF(H24="YES",'CASE DATA'!K25,"N/A")</f>
        <v>N/A</v>
      </c>
      <c r="J24" s="185" t="str">
        <f>IF(H24="YES",'CASE DATA'!I25+'CASE DATA'!J25+'CASE DATA'!L25+'CASE DATA'!M25+'CASE DATA'!N25+'CASE DATA'!O25+'CASE DATA'!P25+'CASE DATA'!Q25+'CASE DATA'!R25,"N/A")</f>
        <v>N/A</v>
      </c>
      <c r="K24" s="162" t="str">
        <f xml:space="preserve"> IF(H24="YES",IF(C24+180&lt;'BASIC INFO'!$B$3, "YES", "NO"),"N/A")</f>
        <v>N/A</v>
      </c>
      <c r="L24" s="185" t="str">
        <f>IF(OR('CASE DATA'!F25="GTR", 'CASE DATA'!F25="GPL"),IF(OR('CASE DATA'!E25="81.6(2)", 'CASE DATA'!E25="99F.15(6)(b)(1)", 'CASE DATA'!E25= "124.401(1)(a)", 'CASE DATA'!E25= "124.401(1)(b)", 'CASE DATA'!E25= "124.401(1)(c)", 'CASE DATA'!E25= "124.401(1)(d)", 'CASE DATA'!E25="124.401(4)", 'CASE DATA'!E25="124.401(1)(b)", 'CASE DATA'!E25="124.401(1)(c)", 'CASE DATA'!E25="124.401D(2)(b)", 'CASE DATA'!E25="124.401D(2)(c)", 'CASE DATA'!E25="124.406(1)(a)", 'CASE DATA'!E25="124.406(1)(b) ", 'CASE DATA'!E25="124.406(2)(a)", 'CASE DATA'!E25="124.406(2)(b) ", 'CASE DATA'!E25="124.406(3)", 'CASE DATA'!E25="124.406A ", 'CASE DATA'!E25="124.407(2)(a)", 'CASE DATA'!E25="124B.9(1)", 'CASE DATA'!E25="124B.9(2)", 'CASE DATA'!E25="321J.2(2)(c)", 'CASE DATA'!E25="453B.12(2)", 'CASE DATA'!E25="453B.12(3)", 'CASE DATA'!E25="453B.12(4)", 'CASE DATA'!E25="462A.14(2)(c)", 'CASE DATA'!E25="462A.14(2)(d)", 'CASE DATA'!E25="462A.14(2)(e)", 'CASE DATA'!E25="705.1(2)", 'CASE DATA'!E25="706.3(1)", 'CASE DATA'!E25="706.3(2)", 'CASE DATA'!E25="706A.2(1)", 'CASE DATA'!E25="706A.2(2)", 'CASE DATA'!E25="706A.2(4)", 'CASE DATA'!E25="706B.2(1)(a)", 'CASE DATA'!E25="706B.2(1)(b)", 'CASE DATA'!E25="706B.2(1)(c)", 'CASE DATA'!E25="706B.2(1)(d)", 'CASE DATA'!E25="707.2", 'CASE DATA'!E25="707.3", 'CASE DATA'!E25="707.3A", 'CASE DATA'!E25="707.4", 'CASE DATA'!E25="707.5(1)(a)", 'CASE DATA'!E25="707.6A(1)", 'CASE DATA'!E25="707.6A(2)", 'CASE DATA'!E25="707.6A(3)", 'CASE DATA'!E25="707.6A(4)", 'CASE DATA'!E25="707.7(1)", 'CASE DATA'!E25="707.7(3)", 'CASE DATA'!E25="707.7(2)", 'CASE DATA'!E25="707.8(1)", 'CASE DATA'!E25="707.8(2)", 'CASE DATA'!E25="707.8(3)", 'CASE DATA'!E25="707.8(4)", 'CASE DATA'!E25="707.8(5)", 'CASE DATA'!E25="707.8(6)", 'CASE DATA'!E25="707.9", 'CASE DATA'!E25="707.11", 'CASE DATA'!E25="707A.2", 'CASE DATA'!E25="708.2(4)", 'CASE DATA'!E25="708.2(5)", 'CASE DATA'!E25="708.2A(4)", 'CASE DATA'!E25="708.2A(5)", 'CASE DATA'!E25="708.2C(2)", 'CASE DATA'!E25="708.2C(4)", 'CASE DATA'!E25="708.3(1)", 'CASE DATA'!E25="708.3(2)", 'CASE DATA'!E25="708.3A(1)", 'CASE DATA'!E25="708.3A(2)", 'CASE DATA'!E25="708.3B", 'CASE DATA'!E25="708.4(1)", 'CASE DATA'!E25="708.4(2)", 'CASE DATA'!E25="708.5", 'CASE DATA'!E25="708.8", 'CASE DATA'!E25="708.11(3)(a)", 'CASE DATA'!E25="708.11(3)(b)", 'CASE DATA'!E25="708.12(3)(f)", 'CASE DATA'!E25="708.13(3)", 'CASE DATA'!E25="708.14", 'CASE DATA'!E25="708A.2", 'CASE DATA'!E25="708A.4(1)", 'CASE DATA'!E25="708A.4(2)", 'CASE DATA'!E25="708A.5", 'CASE DATA'!E25="708A.6(1)", 'CASE DATA'!E25="708.A.6(2)", 'CASE DATA'!E25="709.2", 'CASE DATA'!E25="709.3", 'CASE DATA'!E25="709.4", 'CASE DATA'!E25="709.8(1)(a)", 'CASE DATA'!E25="709.8(1)(b)", 'CASE DATA'!E25="709.8(1)(c)", 'CASE DATA'!E25="709.8(1)(d)", 'CASE DATA'!E25="709.8(1)(e)", 'CASE DATA'!E25="709.11(1)", 'CASE DATA'!E25="709.11(2)", 'CASE DATA'!E25="709.15(2)(a)(1)", 'CASE DATA'!E25="709.15(3)(a)(1)", 'CASE DATA'!E25="709.18", 'CASE DATA'!E25="709A.6(2)", 'CASE DATA'!E25="709D.3(1)", 'CASE DATA'!E25="709D.3(2)", 'CASE DATA'!E25="709.D.3(3)", 'CASE DATA'!E25="710.2", 'CASE DATA'!E25="710.3", 'CASE DATA'!E25="710.4", 'CASE DATA'!E25="710.5", 'CASE DATA'!E25="710.10(1)", 'CASE DATA'!E25="710.10(2)", 'CASE DATA'!E25="710.10(3)", 'CASE DATA'!E25="710.11", 'CASE DATA'!E25="710A.2(1)", 'CASE DATA'!E25="710A.2(2)", 'CASE DATA'!E25="710A.2(3)", 'CASE DATA'!E25="710A.2(4)", 'CASE DATA'!E25="710A.2(5)", 'CASE DATA'!E25="710A.2(6)", 'CASE DATA'!E25="710A.2(7)", 'CASE DATA'!E25="710A.2A", 'CASE DATA'!E25="711.2", 'CASE DATA'!E25="711.3", 'CASE DATA'!E25="711.4", 'CASE DATA'!E25="712.2", 'CASE DATA'!E25="712.3", 'CASE DATA'!E25="712.6(1)", 'CASE DATA'!E25="712.7", 'CASE DATA'!E25="712.8", 'CASE DATA'!E25="", 'CASE DATA'!E25="713.3", 'CASE DATA'!E25="713.4", 'CASE DATA'!E25="713.5", 'CASE DATA'!E25="713.6", 'CASE DATA'!E25="713.6A(1)", 'CASE DATA'!E25="714.2(1)", 'CASE DATA'!E25="714.2(2)", 'CASE DATA'!E25="714.3A(2)(b)", 'CASE DATA'!E25="714.9", 'CASE DATA'!E25="714.10", 'CASE DATA'!E25="714.26(2)(a)", 'CASE DATA'!E25="714.26(2)(b)", 'CASE DATA'!E25="715A.2(2)(a)", 'CASE DATA'!E25="715A.6(2)(a)", 'CASE DATA'!E25="715A.6(2)(b)", 'CASE DATA'!E25="715A.8(3)(a)", 'CASE DATA'!E25="715A.8(3)(b)", 'CASE DATA'!E25="715A.10(1)", 'CASE DATA'!E25="715A.10(2)", 'CASE DATA'!E25="716.3", 'CASE DATA'!E25="716.4", 'CASE DATA'!E25="716.8(6)", 'CASE DATA'!E25="716.10(2)(a)", 'CASE DATA'!E25="716.10(2)(b)", 'CASE DATA'!E25="716.10(2)(c)", 'CASE DATA'!E25="716.10(2)(d)", 'CASE DATA'!E25="716.12", 'CASE DATA'!E25="719.1(1)(f)", 'CASE DATA'!E25="719.1(2)(e)", 'CASE DATA'!E25="719.1(2)(f)", 'CASE DATA'!E25="719.1(2)(g)", 'CASE DATA'!E25="719.4(1)", 'CASE DATA'!E25="719.4(4)", 'CASE DATA'!E25="719.5(1)", 'CASE DATA'!E25="719.5(2)", 'CASE DATA'!E25="719.6(1)", 'CASE DATA'!E25="719.6(2)", 'CASE DATA'!E25="719.7(4)(a)", 'CASE DATA'!E25="719.7(4)(b)", 'CASE DATA'!E25="719.7A(3)", 'CASE DATA'!E25="719.9", 'CASE DATA'!E25="719.8", 'CASE DATA'!E25="720.2", 'CASE DATA'!E25="720.3", 'CASE DATA'!E25="721.1", 'CASE DATA'!E25="722.1", 'CASE DATA'!E25="", 'CASE DATA'!E25="722.2", 'CASE DATA'!E25="722.10", 'CASE DATA'!E25="723(5)(3)(c)", 'CASE DATA'!E25="723A.2", 'CASE DATA'!E25="723A.3(1)", 'CASE DATA'!E25="723A.3(2)", 'CASE DATA'!E25="724.1B", 'CASE DATA'!E25="724.1C", 'CASE DATA'!E25="724.3", 'CASE DATA'!E25="724.4B", 'CASE DATA'!E25="724.10", 'CASE DATA'!E25="724.16(2)", 'CASE DATA'!E25="724.16A(1)(a)", 'CASE DATA'!E25="724.16A(1)(b)", 'CASE DATA'!E25="724.17", 'CASE DATA'!E25="724.21", 'CASE DATA'!E25="724.26(1)", 'CASE DATA'!E25="922(g)(8)", 'CASE DATA'!E25="724.29A(2)", 'CASE DATA'!E25="724.29A(3)", 'CASE DATA'!E25="724.30(1)", 'CASE DATA'!E25="724.30(2)", 'CASE DATA'!E25="725.1(2)(b)", 'CASE DATA'!E25="725.2(1)", 'CASE DATA'!E25="725.2(2)", 'CASE DATA'!E25="725.3(2)", 'CASE DATA'!E25="725.3(1)", 'CASE DATA'!E25="725.7(2)(a)(3)", 'CASE DATA'!E25="725.7(2)(a)(4)", 'CASE DATA'!E25="725.7(2)(b)(2)", 'CASE DATA'!E25="725.7(2)(b(3)", 'CASE DATA'!E25="726.7(2)(c)(1)", 'CASE DATA'!E25="726.7(2)(c)(2)", 'CASE DATA'!E25="725.7(2)(d)", 'CASE DATA'!E25="726.2", 'CASE DATA'!E25="726.3", 'CASE DATA'!E25="726.5", 'CASE DATA'!E25="726.6(4)", 'CASE DATA'!E25="726.6(5)", 'CASE DATA'!E25="726.6(6)", 'CASE DATA'!E25="726.6A", 'CASE DATA'!E25="726.7(2)", 'CASE DATA'!E25="726.8(2)", 'CASE DATA'!E25="728.12(1)", 'CASE DATA'!E25="728.12(2)"),"felony","eligible"),"N/A")</f>
        <v>N/A</v>
      </c>
      <c r="M24" s="185" t="str">
        <f>IF(L24="eligible",IF(OR('CASE DATA'!E25="123.46",'CASE DATA'!E25="123.47",'CASE DATA'!E25="235B.20",'CASE DATA'!E25="321.218",'CASE DATA'!E25="321A.32",'CASE DATA'!E25="321J.21",'CASE DATA'!E25="321J.2",'CASE DATA'!E25="707.5",'CASE DATA'!E25="708.2(3)",'CASE DATA'!E25="708.2A",'CASE DATA'!E25="708.7",'CASE DATA'!E25="708.11",'CASE DATA'!E25="708.12",'CASE DATA'!E25="716.8(3)",'CASE DATA'!E25="716.8(4)", LEFT('CASE DATA'!E25,4)="717C", LEFT('CASE DATA'!E25, 3)="719", LEFT('CASE DATA'!E25,3)="720", 'CASE DATA'!E25="721.2", 'CASE DATA'!E25="721.10", 'CASE DATA'!E25="723.1", LEFT('CASE DATA'!E25,3)="724", LEFT('CASE DATA'!E25,3)="726", LEFT('CASE DATA'!E25,3)="728", LEFT('CASE DATA'!E25,4)="901A"),"ineligible misd", "eligible"),"N/A")</f>
        <v>N/A</v>
      </c>
      <c r="N24" s="185" t="str">
        <f>IF(L24="eligible",IF(COUNTIF('CASE DATA'!$C$4:$C$200, "")-COUNTIF('CASE DATA'!$A$4:$A$200, "")&gt;0, "YES","NO"),"N/A")</f>
        <v>N/A</v>
      </c>
      <c r="O24" s="185" t="str">
        <f xml:space="preserve"> IF(M24="eligible",'CASE DATA'!K25,"N/A")</f>
        <v>N/A</v>
      </c>
      <c r="P24" s="185" t="str">
        <f xml:space="preserve"> IF(M24="eligible",'CASE DATA'!I25+'CASE DATA'!J25+'CASE DATA'!L25+'CASE DATA'!M25+'CASE DATA'!N25+'CASE DATA'!O25+'CASE DATA'!M25+'CASE DATA'!Q25+'CASE DATA'!R25,"N/A")</f>
        <v>N/A</v>
      </c>
      <c r="Q24" s="11" t="str">
        <f>IF(M24="eligible",IF(C24+730.5&lt;'BASIC INFO'!$B$3, "YES", "NO"),"N/A")</f>
        <v>N/A</v>
      </c>
      <c r="R24" s="186" t="str">
        <f xml:space="preserve"> IF(OR('CASE DATA'!F25="DEF"), "YES", "NO")</f>
        <v>NO</v>
      </c>
      <c r="S24" s="162" t="str">
        <f>IF(R24="YES",'CASE DATA'!H25,"N/A")</f>
        <v>N/A</v>
      </c>
      <c r="T24" s="185" t="str">
        <f xml:space="preserve"> IF(R24="YES",'CASE DATA'!K25,"N/A")</f>
        <v>N/A</v>
      </c>
      <c r="U24" s="185" t="str">
        <f>IF(R24="YES",'CASE DATA'!I25+'CASE DATA'!J25+'CASE DATA'!L25+'CASE DATA'!M25+'CASE DATA'!N25+'CASE DATA'!O25+'CASE DATA'!P25+'CASE DATA'!Q25+'CASE DATA'!R25,"N/A")</f>
        <v>N/A</v>
      </c>
      <c r="V24" s="189" t="str">
        <f>IF(OR('CASE DATA'!E25="123.46",'CASE DATA'!E25="123.47"),"YES","NO")</f>
        <v>NO</v>
      </c>
      <c r="W24" s="189"/>
      <c r="X24" s="185" t="str">
        <f>IF(V24="YES",IF(C24+730.5&lt;'BASIC INFO'!$B$3, "YES","NO"), "N/A")</f>
        <v>N/A</v>
      </c>
      <c r="Y24" s="189" t="str">
        <f t="shared" si="0"/>
        <v>NO</v>
      </c>
      <c r="Z24" s="187" t="str">
        <f xml:space="preserve"> IF('BASIC INFO'!$B$6+6574.5&gt;C24, "YES", "NO")</f>
        <v>YES</v>
      </c>
    </row>
    <row r="25" spans="1:26" x14ac:dyDescent="0.25">
      <c r="A25" s="162">
        <f xml:space="preserve"> 'CASE DATA'!A26</f>
        <v>0</v>
      </c>
      <c r="B25" s="162">
        <f xml:space="preserve"> 'CASE DATA'!E26</f>
        <v>0</v>
      </c>
      <c r="C25" s="163">
        <f xml:space="preserve"> 'CASE DATA'!C26</f>
        <v>0</v>
      </c>
      <c r="D25" s="11" t="str">
        <f xml:space="preserve"> IF(OR('CASE DATA'!F26="JUV", 'CASE DATA'!F26="JWV"), "YES", "NO")</f>
        <v>NO</v>
      </c>
      <c r="E25" s="11"/>
      <c r="F25" s="11" t="str">
        <f>IF(D25="YES",IF(COUNTIF('CASE DATA'!$C$4:$C$200, "")-COUNTIF('CASE DATA'!$A$4:$A$200, "")&gt;0, "YES","NO"),"N/A")</f>
        <v>N/A</v>
      </c>
      <c r="G25" s="164" t="str">
        <f xml:space="preserve"> _xlfn.IFS(D25="NO", "N/A", AND('BASIC INFO'!$B$3&gt;'BASIC INFO'!$B$6+6574.5, C25+730.5&lt;'BASIC INFO'!$B$3), "YES", 'BASIC INFO'!$B$3&lt;('BASIC INFO'!$B$6+6574.5), "NOT YET 18", C25+730.5&gt;'BASIC INFO'!$B$3, "NOT YET 2 YEARS")</f>
        <v>N/A</v>
      </c>
      <c r="H25" s="186" t="str">
        <f xml:space="preserve"> IF(LEFT('CASE DATA'!E26,4)&lt;&gt;"321.",IF(OR('CASE DATA'!F26="DISM", 'CASE DATA'!F26="ACQ", 'CASE DATA'!F26="NOTF", 'CASE DATA'!F26="WTHD", 'CASE DATA'!F26="TNSF"), "YES", "NO"), "TRAFFIC")</f>
        <v>NO</v>
      </c>
      <c r="I25" s="185" t="str">
        <f xml:space="preserve"> IF(H25="YES",'CASE DATA'!K26,"N/A")</f>
        <v>N/A</v>
      </c>
      <c r="J25" s="185" t="str">
        <f>IF(H25="YES",'CASE DATA'!I26+'CASE DATA'!J26+'CASE DATA'!L26+'CASE DATA'!M26+'CASE DATA'!N26+'CASE DATA'!O26+'CASE DATA'!P26+'CASE DATA'!Q26+'CASE DATA'!R26,"N/A")</f>
        <v>N/A</v>
      </c>
      <c r="K25" s="162" t="str">
        <f xml:space="preserve"> IF(H25="YES",IF(C25+180&lt;'BASIC INFO'!$B$3, "YES", "NO"),"N/A")</f>
        <v>N/A</v>
      </c>
      <c r="L25" s="185" t="str">
        <f>IF(OR('CASE DATA'!F26="GTR", 'CASE DATA'!F26="GPL"),IF(OR('CASE DATA'!E26="81.6(2)", 'CASE DATA'!E26="99F.15(6)(b)(1)", 'CASE DATA'!E26= "124.401(1)(a)", 'CASE DATA'!E26= "124.401(1)(b)", 'CASE DATA'!E26= "124.401(1)(c)", 'CASE DATA'!E26= "124.401(1)(d)", 'CASE DATA'!E26="124.401(4)", 'CASE DATA'!E26="124.401(1)(b)", 'CASE DATA'!E26="124.401(1)(c)", 'CASE DATA'!E26="124.401D(2)(b)", 'CASE DATA'!E26="124.401D(2)(c)", 'CASE DATA'!E26="124.406(1)(a)", 'CASE DATA'!E26="124.406(1)(b) ", 'CASE DATA'!E26="124.406(2)(a)", 'CASE DATA'!E26="124.406(2)(b) ", 'CASE DATA'!E26="124.406(3)", 'CASE DATA'!E26="124.406A ", 'CASE DATA'!E26="124.407(2)(a)", 'CASE DATA'!E26="124B.9(1)", 'CASE DATA'!E26="124B.9(2)", 'CASE DATA'!E26="321J.2(2)(c)", 'CASE DATA'!E26="453B.12(2)", 'CASE DATA'!E26="453B.12(3)", 'CASE DATA'!E26="453B.12(4)", 'CASE DATA'!E26="462A.14(2)(c)", 'CASE DATA'!E26="462A.14(2)(d)", 'CASE DATA'!E26="462A.14(2)(e)", 'CASE DATA'!E26="705.1(2)", 'CASE DATA'!E26="706.3(1)", 'CASE DATA'!E26="706.3(2)", 'CASE DATA'!E26="706A.2(1)", 'CASE DATA'!E26="706A.2(2)", 'CASE DATA'!E26="706A.2(4)", 'CASE DATA'!E26="706B.2(1)(a)", 'CASE DATA'!E26="706B.2(1)(b)", 'CASE DATA'!E26="706B.2(1)(c)", 'CASE DATA'!E26="706B.2(1)(d)", 'CASE DATA'!E26="707.2", 'CASE DATA'!E26="707.3", 'CASE DATA'!E26="707.3A", 'CASE DATA'!E26="707.4", 'CASE DATA'!E26="707.5(1)(a)", 'CASE DATA'!E26="707.6A(1)", 'CASE DATA'!E26="707.6A(2)", 'CASE DATA'!E26="707.6A(3)", 'CASE DATA'!E26="707.6A(4)", 'CASE DATA'!E26="707.7(1)", 'CASE DATA'!E26="707.7(3)", 'CASE DATA'!E26="707.7(2)", 'CASE DATA'!E26="707.8(1)", 'CASE DATA'!E26="707.8(2)", 'CASE DATA'!E26="707.8(3)", 'CASE DATA'!E26="707.8(4)", 'CASE DATA'!E26="707.8(5)", 'CASE DATA'!E26="707.8(6)", 'CASE DATA'!E26="707.9", 'CASE DATA'!E26="707.11", 'CASE DATA'!E26="707A.2", 'CASE DATA'!E26="708.2(4)", 'CASE DATA'!E26="708.2(5)", 'CASE DATA'!E26="708.2A(4)", 'CASE DATA'!E26="708.2A(5)", 'CASE DATA'!E26="708.2C(2)", 'CASE DATA'!E26="708.2C(4)", 'CASE DATA'!E26="708.3(1)", 'CASE DATA'!E26="708.3(2)", 'CASE DATA'!E26="708.3A(1)", 'CASE DATA'!E26="708.3A(2)", 'CASE DATA'!E26="708.3B", 'CASE DATA'!E26="708.4(1)", 'CASE DATA'!E26="708.4(2)", 'CASE DATA'!E26="708.5", 'CASE DATA'!E26="708.8", 'CASE DATA'!E26="708.11(3)(a)", 'CASE DATA'!E26="708.11(3)(b)", 'CASE DATA'!E26="708.12(3)(f)", 'CASE DATA'!E26="708.13(3)", 'CASE DATA'!E26="708.14", 'CASE DATA'!E26="708A.2", 'CASE DATA'!E26="708A.4(1)", 'CASE DATA'!E26="708A.4(2)", 'CASE DATA'!E26="708A.5", 'CASE DATA'!E26="708A.6(1)", 'CASE DATA'!E26="708.A.6(2)", 'CASE DATA'!E26="709.2", 'CASE DATA'!E26="709.3", 'CASE DATA'!E26="709.4", 'CASE DATA'!E26="709.8(1)(a)", 'CASE DATA'!E26="709.8(1)(b)", 'CASE DATA'!E26="709.8(1)(c)", 'CASE DATA'!E26="709.8(1)(d)", 'CASE DATA'!E26="709.8(1)(e)", 'CASE DATA'!E26="709.11(1)", 'CASE DATA'!E26="709.11(2)", 'CASE DATA'!E26="709.15(2)(a)(1)", 'CASE DATA'!E26="709.15(3)(a)(1)", 'CASE DATA'!E26="709.18", 'CASE DATA'!E26="709A.6(2)", 'CASE DATA'!E26="709D.3(1)", 'CASE DATA'!E26="709D.3(2)", 'CASE DATA'!E26="709.D.3(3)", 'CASE DATA'!E26="710.2", 'CASE DATA'!E26="710.3", 'CASE DATA'!E26="710.4", 'CASE DATA'!E26="710.5", 'CASE DATA'!E26="710.10(1)", 'CASE DATA'!E26="710.10(2)", 'CASE DATA'!E26="710.10(3)", 'CASE DATA'!E26="710.11", 'CASE DATA'!E26="710A.2(1)", 'CASE DATA'!E26="710A.2(2)", 'CASE DATA'!E26="710A.2(3)", 'CASE DATA'!E26="710A.2(4)", 'CASE DATA'!E26="710A.2(5)", 'CASE DATA'!E26="710A.2(6)", 'CASE DATA'!E26="710A.2(7)", 'CASE DATA'!E26="710A.2A", 'CASE DATA'!E26="711.2", 'CASE DATA'!E26="711.3", 'CASE DATA'!E26="711.4", 'CASE DATA'!E26="712.2", 'CASE DATA'!E26="712.3", 'CASE DATA'!E26="712.6(1)", 'CASE DATA'!E26="712.7", 'CASE DATA'!E26="712.8", 'CASE DATA'!E26="", 'CASE DATA'!E26="713.3", 'CASE DATA'!E26="713.4", 'CASE DATA'!E26="713.5", 'CASE DATA'!E26="713.6", 'CASE DATA'!E26="713.6A(1)", 'CASE DATA'!E26="714.2(1)", 'CASE DATA'!E26="714.2(2)", 'CASE DATA'!E26="714.3A(2)(b)", 'CASE DATA'!E26="714.9", 'CASE DATA'!E26="714.10", 'CASE DATA'!E26="714.26(2)(a)", 'CASE DATA'!E26="714.26(2)(b)", 'CASE DATA'!E26="715A.2(2)(a)", 'CASE DATA'!E26="715A.6(2)(a)", 'CASE DATA'!E26="715A.6(2)(b)", 'CASE DATA'!E26="715A.8(3)(a)", 'CASE DATA'!E26="715A.8(3)(b)", 'CASE DATA'!E26="715A.10(1)", 'CASE DATA'!E26="715A.10(2)", 'CASE DATA'!E26="716.3", 'CASE DATA'!E26="716.4", 'CASE DATA'!E26="716.8(6)", 'CASE DATA'!E26="716.10(2)(a)", 'CASE DATA'!E26="716.10(2)(b)", 'CASE DATA'!E26="716.10(2)(c)", 'CASE DATA'!E26="716.10(2)(d)", 'CASE DATA'!E26="716.12", 'CASE DATA'!E26="719.1(1)(f)", 'CASE DATA'!E26="719.1(2)(e)", 'CASE DATA'!E26="719.1(2)(f)", 'CASE DATA'!E26="719.1(2)(g)", 'CASE DATA'!E26="719.4(1)", 'CASE DATA'!E26="719.4(4)", 'CASE DATA'!E26="719.5(1)", 'CASE DATA'!E26="719.5(2)", 'CASE DATA'!E26="719.6(1)", 'CASE DATA'!E26="719.6(2)", 'CASE DATA'!E26="719.7(4)(a)", 'CASE DATA'!E26="719.7(4)(b)", 'CASE DATA'!E26="719.7A(3)", 'CASE DATA'!E26="719.9", 'CASE DATA'!E26="719.8", 'CASE DATA'!E26="720.2", 'CASE DATA'!E26="720.3", 'CASE DATA'!E26="721.1", 'CASE DATA'!E26="722.1", 'CASE DATA'!E26="", 'CASE DATA'!E26="722.2", 'CASE DATA'!E26="722.10", 'CASE DATA'!E26="723(5)(3)(c)", 'CASE DATA'!E26="723A.2", 'CASE DATA'!E26="723A.3(1)", 'CASE DATA'!E26="723A.3(2)", 'CASE DATA'!E26="724.1B", 'CASE DATA'!E26="724.1C", 'CASE DATA'!E26="724.3", 'CASE DATA'!E26="724.4B", 'CASE DATA'!E26="724.10", 'CASE DATA'!E26="724.16(2)", 'CASE DATA'!E26="724.16A(1)(a)", 'CASE DATA'!E26="724.16A(1)(b)", 'CASE DATA'!E26="724.17", 'CASE DATA'!E26="724.21", 'CASE DATA'!E26="724.26(1)", 'CASE DATA'!E26="922(g)(8)", 'CASE DATA'!E26="724.29A(2)", 'CASE DATA'!E26="724.29A(3)", 'CASE DATA'!E26="724.30(1)", 'CASE DATA'!E26="724.30(2)", 'CASE DATA'!E26="725.1(2)(b)", 'CASE DATA'!E26="725.2(1)", 'CASE DATA'!E26="725.2(2)", 'CASE DATA'!E26="725.3(2)", 'CASE DATA'!E26="725.3(1)", 'CASE DATA'!E26="725.7(2)(a)(3)", 'CASE DATA'!E26="725.7(2)(a)(4)", 'CASE DATA'!E26="725.7(2)(b)(2)", 'CASE DATA'!E26="725.7(2)(b(3)", 'CASE DATA'!E26="726.7(2)(c)(1)", 'CASE DATA'!E26="726.7(2)(c)(2)", 'CASE DATA'!E26="725.7(2)(d)", 'CASE DATA'!E26="726.2", 'CASE DATA'!E26="726.3", 'CASE DATA'!E26="726.5", 'CASE DATA'!E26="726.6(4)", 'CASE DATA'!E26="726.6(5)", 'CASE DATA'!E26="726.6(6)", 'CASE DATA'!E26="726.6A", 'CASE DATA'!E26="726.7(2)", 'CASE DATA'!E26="726.8(2)", 'CASE DATA'!E26="728.12(1)", 'CASE DATA'!E26="728.12(2)"),"felony","eligible"),"N/A")</f>
        <v>N/A</v>
      </c>
      <c r="M25" s="185" t="str">
        <f>IF(L25="eligible",IF(OR('CASE DATA'!E26="123.46",'CASE DATA'!E26="123.47",'CASE DATA'!E26="235B.20",'CASE DATA'!E26="321.218",'CASE DATA'!E26="321A.32",'CASE DATA'!E26="321J.21",'CASE DATA'!E26="321J.2",'CASE DATA'!E26="707.5",'CASE DATA'!E26="708.2(3)",'CASE DATA'!E26="708.2A",'CASE DATA'!E26="708.7",'CASE DATA'!E26="708.11",'CASE DATA'!E26="708.12",'CASE DATA'!E26="716.8(3)",'CASE DATA'!E26="716.8(4)", LEFT('CASE DATA'!E26,4)="717C", LEFT('CASE DATA'!E26, 3)="719", LEFT('CASE DATA'!E26,3)="720", 'CASE DATA'!E26="721.2", 'CASE DATA'!E26="721.10", 'CASE DATA'!E26="723.1", LEFT('CASE DATA'!E26,3)="724", LEFT('CASE DATA'!E26,3)="726", LEFT('CASE DATA'!E26,3)="728", LEFT('CASE DATA'!E26,4)="901A"),"ineligible misd", "eligible"),"N/A")</f>
        <v>N/A</v>
      </c>
      <c r="N25" s="185" t="str">
        <f>IF(L25="eligible",IF(COUNTIF('CASE DATA'!$C$4:$C$200, "")-COUNTIF('CASE DATA'!$A$4:$A$200, "")&gt;0, "YES","NO"),"N/A")</f>
        <v>N/A</v>
      </c>
      <c r="O25" s="185" t="str">
        <f xml:space="preserve"> IF(M25="eligible",'CASE DATA'!K26,"N/A")</f>
        <v>N/A</v>
      </c>
      <c r="P25" s="185" t="str">
        <f xml:space="preserve"> IF(M25="eligible",'CASE DATA'!I26+'CASE DATA'!J26+'CASE DATA'!L26+'CASE DATA'!M26+'CASE DATA'!N26+'CASE DATA'!O26+'CASE DATA'!M26+'CASE DATA'!Q26+'CASE DATA'!R26,"N/A")</f>
        <v>N/A</v>
      </c>
      <c r="Q25" s="11" t="str">
        <f>IF(M25="eligible",IF(C25+730.5&lt;'BASIC INFO'!$B$3, "YES", "NO"),"N/A")</f>
        <v>N/A</v>
      </c>
      <c r="R25" s="186" t="str">
        <f xml:space="preserve"> IF(OR('CASE DATA'!F26="DEF"), "YES", "NO")</f>
        <v>NO</v>
      </c>
      <c r="S25" s="162" t="str">
        <f>IF(R25="YES",'CASE DATA'!H26,"N/A")</f>
        <v>N/A</v>
      </c>
      <c r="T25" s="185" t="str">
        <f xml:space="preserve"> IF(R25="YES",'CASE DATA'!K26,"N/A")</f>
        <v>N/A</v>
      </c>
      <c r="U25" s="185" t="str">
        <f>IF(R25="YES",'CASE DATA'!I26+'CASE DATA'!J26+'CASE DATA'!L26+'CASE DATA'!M26+'CASE DATA'!N26+'CASE DATA'!O26+'CASE DATA'!P26+'CASE DATA'!Q26+'CASE DATA'!R26,"N/A")</f>
        <v>N/A</v>
      </c>
      <c r="V25" s="189" t="str">
        <f>IF(OR('CASE DATA'!E26="123.46",'CASE DATA'!E26="123.47"),"YES","NO")</f>
        <v>NO</v>
      </c>
      <c r="W25" s="189"/>
      <c r="X25" s="185" t="str">
        <f>IF(V25="YES",IF(C25+730.5&lt;'BASIC INFO'!$B$3, "YES","NO"), "N/A")</f>
        <v>N/A</v>
      </c>
      <c r="Y25" s="189" t="str">
        <f t="shared" si="0"/>
        <v>NO</v>
      </c>
      <c r="Z25" s="187" t="str">
        <f xml:space="preserve"> IF('BASIC INFO'!$B$6+6574.5&gt;C25, "YES", "NO")</f>
        <v>YES</v>
      </c>
    </row>
    <row r="26" spans="1:26" x14ac:dyDescent="0.25">
      <c r="A26" s="162">
        <f xml:space="preserve"> 'CASE DATA'!A27</f>
        <v>0</v>
      </c>
      <c r="B26" s="162">
        <f xml:space="preserve"> 'CASE DATA'!E27</f>
        <v>0</v>
      </c>
      <c r="C26" s="163">
        <f xml:space="preserve"> 'CASE DATA'!C27</f>
        <v>0</v>
      </c>
      <c r="D26" s="11" t="str">
        <f xml:space="preserve"> IF(OR('CASE DATA'!F27="JUV", 'CASE DATA'!F27="JWV"), "YES", "NO")</f>
        <v>NO</v>
      </c>
      <c r="E26" s="11"/>
      <c r="F26" s="11" t="str">
        <f>IF(D26="YES",IF(COUNTIF('CASE DATA'!$C$4:$C$200, "")-COUNTIF('CASE DATA'!$A$4:$A$200, "")&gt;0, "YES","NO"),"N/A")</f>
        <v>N/A</v>
      </c>
      <c r="G26" s="164" t="str">
        <f xml:space="preserve"> _xlfn.IFS(D26="NO", "N/A", AND('BASIC INFO'!$B$3&gt;'BASIC INFO'!$B$6+6574.5, C26+730.5&lt;'BASIC INFO'!$B$3), "YES", 'BASIC INFO'!$B$3&lt;('BASIC INFO'!$B$6+6574.5), "NOT YET 18", C26+730.5&gt;'BASIC INFO'!$B$3, "NOT YET 2 YEARS")</f>
        <v>N/A</v>
      </c>
      <c r="H26" s="186" t="str">
        <f xml:space="preserve"> IF(LEFT('CASE DATA'!E27,4)&lt;&gt;"321.",IF(OR('CASE DATA'!F27="DISM", 'CASE DATA'!F27="ACQ", 'CASE DATA'!F27="NOTF", 'CASE DATA'!F27="WTHD", 'CASE DATA'!F27="TNSF"), "YES", "NO"), "TRAFFIC")</f>
        <v>NO</v>
      </c>
      <c r="I26" s="185" t="str">
        <f xml:space="preserve"> IF(H26="YES",'CASE DATA'!K27,"N/A")</f>
        <v>N/A</v>
      </c>
      <c r="J26" s="185" t="str">
        <f>IF(H26="YES",'CASE DATA'!I27+'CASE DATA'!J27+'CASE DATA'!L27+'CASE DATA'!M27+'CASE DATA'!N27+'CASE DATA'!O27+'CASE DATA'!P27+'CASE DATA'!Q27+'CASE DATA'!R27,"N/A")</f>
        <v>N/A</v>
      </c>
      <c r="K26" s="162" t="str">
        <f xml:space="preserve"> IF(H26="YES",IF(C26+180&lt;'BASIC INFO'!$B$3, "YES", "NO"),"N/A")</f>
        <v>N/A</v>
      </c>
      <c r="L26" s="185" t="str">
        <f>IF(OR('CASE DATA'!F27="GTR", 'CASE DATA'!F27="GPL"),IF(OR('CASE DATA'!E27="81.6(2)", 'CASE DATA'!E27="99F.15(6)(b)(1)", 'CASE DATA'!E27= "124.401(1)(a)", 'CASE DATA'!E27= "124.401(1)(b)", 'CASE DATA'!E27= "124.401(1)(c)", 'CASE DATA'!E27= "124.401(1)(d)", 'CASE DATA'!E27="124.401(4)", 'CASE DATA'!E27="124.401(1)(b)", 'CASE DATA'!E27="124.401(1)(c)", 'CASE DATA'!E27="124.401D(2)(b)", 'CASE DATA'!E27="124.401D(2)(c)", 'CASE DATA'!E27="124.406(1)(a)", 'CASE DATA'!E27="124.406(1)(b) ", 'CASE DATA'!E27="124.406(2)(a)", 'CASE DATA'!E27="124.406(2)(b) ", 'CASE DATA'!E27="124.406(3)", 'CASE DATA'!E27="124.406A ", 'CASE DATA'!E27="124.407(2)(a)", 'CASE DATA'!E27="124B.9(1)", 'CASE DATA'!E27="124B.9(2)", 'CASE DATA'!E27="321J.2(2)(c)", 'CASE DATA'!E27="453B.12(2)", 'CASE DATA'!E27="453B.12(3)", 'CASE DATA'!E27="453B.12(4)", 'CASE DATA'!E27="462A.14(2)(c)", 'CASE DATA'!E27="462A.14(2)(d)", 'CASE DATA'!E27="462A.14(2)(e)", 'CASE DATA'!E27="705.1(2)", 'CASE DATA'!E27="706.3(1)", 'CASE DATA'!E27="706.3(2)", 'CASE DATA'!E27="706A.2(1)", 'CASE DATA'!E27="706A.2(2)", 'CASE DATA'!E27="706A.2(4)", 'CASE DATA'!E27="706B.2(1)(a)", 'CASE DATA'!E27="706B.2(1)(b)", 'CASE DATA'!E27="706B.2(1)(c)", 'CASE DATA'!E27="706B.2(1)(d)", 'CASE DATA'!E27="707.2", 'CASE DATA'!E27="707.3", 'CASE DATA'!E27="707.3A", 'CASE DATA'!E27="707.4", 'CASE DATA'!E27="707.5(1)(a)", 'CASE DATA'!E27="707.6A(1)", 'CASE DATA'!E27="707.6A(2)", 'CASE DATA'!E27="707.6A(3)", 'CASE DATA'!E27="707.6A(4)", 'CASE DATA'!E27="707.7(1)", 'CASE DATA'!E27="707.7(3)", 'CASE DATA'!E27="707.7(2)", 'CASE DATA'!E27="707.8(1)", 'CASE DATA'!E27="707.8(2)", 'CASE DATA'!E27="707.8(3)", 'CASE DATA'!E27="707.8(4)", 'CASE DATA'!E27="707.8(5)", 'CASE DATA'!E27="707.8(6)", 'CASE DATA'!E27="707.9", 'CASE DATA'!E27="707.11", 'CASE DATA'!E27="707A.2", 'CASE DATA'!E27="708.2(4)", 'CASE DATA'!E27="708.2(5)", 'CASE DATA'!E27="708.2A(4)", 'CASE DATA'!E27="708.2A(5)", 'CASE DATA'!E27="708.2C(2)", 'CASE DATA'!E27="708.2C(4)", 'CASE DATA'!E27="708.3(1)", 'CASE DATA'!E27="708.3(2)", 'CASE DATA'!E27="708.3A(1)", 'CASE DATA'!E27="708.3A(2)", 'CASE DATA'!E27="708.3B", 'CASE DATA'!E27="708.4(1)", 'CASE DATA'!E27="708.4(2)", 'CASE DATA'!E27="708.5", 'CASE DATA'!E27="708.8", 'CASE DATA'!E27="708.11(3)(a)", 'CASE DATA'!E27="708.11(3)(b)", 'CASE DATA'!E27="708.12(3)(f)", 'CASE DATA'!E27="708.13(3)", 'CASE DATA'!E27="708.14", 'CASE DATA'!E27="708A.2", 'CASE DATA'!E27="708A.4(1)", 'CASE DATA'!E27="708A.4(2)", 'CASE DATA'!E27="708A.5", 'CASE DATA'!E27="708A.6(1)", 'CASE DATA'!E27="708.A.6(2)", 'CASE DATA'!E27="709.2", 'CASE DATA'!E27="709.3", 'CASE DATA'!E27="709.4", 'CASE DATA'!E27="709.8(1)(a)", 'CASE DATA'!E27="709.8(1)(b)", 'CASE DATA'!E27="709.8(1)(c)", 'CASE DATA'!E27="709.8(1)(d)", 'CASE DATA'!E27="709.8(1)(e)", 'CASE DATA'!E27="709.11(1)", 'CASE DATA'!E27="709.11(2)", 'CASE DATA'!E27="709.15(2)(a)(1)", 'CASE DATA'!E27="709.15(3)(a)(1)", 'CASE DATA'!E27="709.18", 'CASE DATA'!E27="709A.6(2)", 'CASE DATA'!E27="709D.3(1)", 'CASE DATA'!E27="709D.3(2)", 'CASE DATA'!E27="709.D.3(3)", 'CASE DATA'!E27="710.2", 'CASE DATA'!E27="710.3", 'CASE DATA'!E27="710.4", 'CASE DATA'!E27="710.5", 'CASE DATA'!E27="710.10(1)", 'CASE DATA'!E27="710.10(2)", 'CASE DATA'!E27="710.10(3)", 'CASE DATA'!E27="710.11", 'CASE DATA'!E27="710A.2(1)", 'CASE DATA'!E27="710A.2(2)", 'CASE DATA'!E27="710A.2(3)", 'CASE DATA'!E27="710A.2(4)", 'CASE DATA'!E27="710A.2(5)", 'CASE DATA'!E27="710A.2(6)", 'CASE DATA'!E27="710A.2(7)", 'CASE DATA'!E27="710A.2A", 'CASE DATA'!E27="711.2", 'CASE DATA'!E27="711.3", 'CASE DATA'!E27="711.4", 'CASE DATA'!E27="712.2", 'CASE DATA'!E27="712.3", 'CASE DATA'!E27="712.6(1)", 'CASE DATA'!E27="712.7", 'CASE DATA'!E27="712.8", 'CASE DATA'!E27="", 'CASE DATA'!E27="713.3", 'CASE DATA'!E27="713.4", 'CASE DATA'!E27="713.5", 'CASE DATA'!E27="713.6", 'CASE DATA'!E27="713.6A(1)", 'CASE DATA'!E27="714.2(1)", 'CASE DATA'!E27="714.2(2)", 'CASE DATA'!E27="714.3A(2)(b)", 'CASE DATA'!E27="714.9", 'CASE DATA'!E27="714.10", 'CASE DATA'!E27="714.26(2)(a)", 'CASE DATA'!E27="714.26(2)(b)", 'CASE DATA'!E27="715A.2(2)(a)", 'CASE DATA'!E27="715A.6(2)(a)", 'CASE DATA'!E27="715A.6(2)(b)", 'CASE DATA'!E27="715A.8(3)(a)", 'CASE DATA'!E27="715A.8(3)(b)", 'CASE DATA'!E27="715A.10(1)", 'CASE DATA'!E27="715A.10(2)", 'CASE DATA'!E27="716.3", 'CASE DATA'!E27="716.4", 'CASE DATA'!E27="716.8(6)", 'CASE DATA'!E27="716.10(2)(a)", 'CASE DATA'!E27="716.10(2)(b)", 'CASE DATA'!E27="716.10(2)(c)", 'CASE DATA'!E27="716.10(2)(d)", 'CASE DATA'!E27="716.12", 'CASE DATA'!E27="719.1(1)(f)", 'CASE DATA'!E27="719.1(2)(e)", 'CASE DATA'!E27="719.1(2)(f)", 'CASE DATA'!E27="719.1(2)(g)", 'CASE DATA'!E27="719.4(1)", 'CASE DATA'!E27="719.4(4)", 'CASE DATA'!E27="719.5(1)", 'CASE DATA'!E27="719.5(2)", 'CASE DATA'!E27="719.6(1)", 'CASE DATA'!E27="719.6(2)", 'CASE DATA'!E27="719.7(4)(a)", 'CASE DATA'!E27="719.7(4)(b)", 'CASE DATA'!E27="719.7A(3)", 'CASE DATA'!E27="719.9", 'CASE DATA'!E27="719.8", 'CASE DATA'!E27="720.2", 'CASE DATA'!E27="720.3", 'CASE DATA'!E27="721.1", 'CASE DATA'!E27="722.1", 'CASE DATA'!E27="", 'CASE DATA'!E27="722.2", 'CASE DATA'!E27="722.10", 'CASE DATA'!E27="723(5)(3)(c)", 'CASE DATA'!E27="723A.2", 'CASE DATA'!E27="723A.3(1)", 'CASE DATA'!E27="723A.3(2)", 'CASE DATA'!E27="724.1B", 'CASE DATA'!E27="724.1C", 'CASE DATA'!E27="724.3", 'CASE DATA'!E27="724.4B", 'CASE DATA'!E27="724.10", 'CASE DATA'!E27="724.16(2)", 'CASE DATA'!E27="724.16A(1)(a)", 'CASE DATA'!E27="724.16A(1)(b)", 'CASE DATA'!E27="724.17", 'CASE DATA'!E27="724.21", 'CASE DATA'!E27="724.26(1)", 'CASE DATA'!E27="922(g)(8)", 'CASE DATA'!E27="724.29A(2)", 'CASE DATA'!E27="724.29A(3)", 'CASE DATA'!E27="724.30(1)", 'CASE DATA'!E27="724.30(2)", 'CASE DATA'!E27="725.1(2)(b)", 'CASE DATA'!E27="725.2(1)", 'CASE DATA'!E27="725.2(2)", 'CASE DATA'!E27="725.3(2)", 'CASE DATA'!E27="725.3(1)", 'CASE DATA'!E27="725.7(2)(a)(3)", 'CASE DATA'!E27="725.7(2)(a)(4)", 'CASE DATA'!E27="725.7(2)(b)(2)", 'CASE DATA'!E27="725.7(2)(b(3)", 'CASE DATA'!E27="726.7(2)(c)(1)", 'CASE DATA'!E27="726.7(2)(c)(2)", 'CASE DATA'!E27="725.7(2)(d)", 'CASE DATA'!E27="726.2", 'CASE DATA'!E27="726.3", 'CASE DATA'!E27="726.5", 'CASE DATA'!E27="726.6(4)", 'CASE DATA'!E27="726.6(5)", 'CASE DATA'!E27="726.6(6)", 'CASE DATA'!E27="726.6A", 'CASE DATA'!E27="726.7(2)", 'CASE DATA'!E27="726.8(2)", 'CASE DATA'!E27="728.12(1)", 'CASE DATA'!E27="728.12(2)"),"felony","eligible"),"N/A")</f>
        <v>N/A</v>
      </c>
      <c r="M26" s="185" t="str">
        <f>IF(L26="eligible",IF(OR('CASE DATA'!E27="123.46",'CASE DATA'!E27="123.47",'CASE DATA'!E27="235B.20",'CASE DATA'!E27="321.218",'CASE DATA'!E27="321A.32",'CASE DATA'!E27="321J.21",'CASE DATA'!E27="321J.2",'CASE DATA'!E27="707.5",'CASE DATA'!E27="708.2(3)",'CASE DATA'!E27="708.2A",'CASE DATA'!E27="708.7",'CASE DATA'!E27="708.11",'CASE DATA'!E27="708.12",'CASE DATA'!E27="716.8(3)",'CASE DATA'!E27="716.8(4)", LEFT('CASE DATA'!E27,4)="717C", LEFT('CASE DATA'!E27, 3)="719", LEFT('CASE DATA'!E27,3)="720", 'CASE DATA'!E27="721.2", 'CASE DATA'!E27="721.10", 'CASE DATA'!E27="723.1", LEFT('CASE DATA'!E27,3)="724", LEFT('CASE DATA'!E27,3)="726", LEFT('CASE DATA'!E27,3)="728", LEFT('CASE DATA'!E27,4)="901A"),"ineligible misd", "eligible"),"N/A")</f>
        <v>N/A</v>
      </c>
      <c r="N26" s="185" t="str">
        <f>IF(L26="eligible",IF(COUNTIF('CASE DATA'!$C$4:$C$200, "")-COUNTIF('CASE DATA'!$A$4:$A$200, "")&gt;0, "YES","NO"),"N/A")</f>
        <v>N/A</v>
      </c>
      <c r="O26" s="185" t="str">
        <f xml:space="preserve"> IF(M26="eligible",'CASE DATA'!K27,"N/A")</f>
        <v>N/A</v>
      </c>
      <c r="P26" s="185" t="str">
        <f xml:space="preserve"> IF(M26="eligible",'CASE DATA'!I27+'CASE DATA'!J27+'CASE DATA'!L27+'CASE DATA'!M27+'CASE DATA'!N27+'CASE DATA'!O27+'CASE DATA'!M27+'CASE DATA'!Q27+'CASE DATA'!R27,"N/A")</f>
        <v>N/A</v>
      </c>
      <c r="Q26" s="11" t="str">
        <f>IF(M26="eligible",IF(C26+730.5&lt;'BASIC INFO'!$B$3, "YES", "NO"),"N/A")</f>
        <v>N/A</v>
      </c>
      <c r="R26" s="186" t="str">
        <f xml:space="preserve"> IF(OR('CASE DATA'!F27="DEF"), "YES", "NO")</f>
        <v>NO</v>
      </c>
      <c r="S26" s="162" t="str">
        <f>IF(R26="YES",'CASE DATA'!H27,"N/A")</f>
        <v>N/A</v>
      </c>
      <c r="T26" s="185" t="str">
        <f xml:space="preserve"> IF(R26="YES",'CASE DATA'!K27,"N/A")</f>
        <v>N/A</v>
      </c>
      <c r="U26" s="185" t="str">
        <f>IF(R26="YES",'CASE DATA'!I27+'CASE DATA'!J27+'CASE DATA'!L27+'CASE DATA'!M27+'CASE DATA'!N27+'CASE DATA'!O27+'CASE DATA'!P27+'CASE DATA'!Q27+'CASE DATA'!R27,"N/A")</f>
        <v>N/A</v>
      </c>
      <c r="V26" s="189" t="str">
        <f>IF(OR('CASE DATA'!E27="123.46",'CASE DATA'!E27="123.47"),"YES","NO")</f>
        <v>NO</v>
      </c>
      <c r="W26" s="189"/>
      <c r="X26" s="185" t="str">
        <f>IF(V26="YES",IF(C26+730.5&lt;'BASIC INFO'!$B$3, "YES","NO"), "N/A")</f>
        <v>N/A</v>
      </c>
      <c r="Y26" s="189" t="str">
        <f t="shared" si="0"/>
        <v>NO</v>
      </c>
      <c r="Z26" s="187" t="str">
        <f xml:space="preserve"> IF('BASIC INFO'!$B$6+6574.5&gt;C26, "YES", "NO")</f>
        <v>YES</v>
      </c>
    </row>
    <row r="27" spans="1:26" x14ac:dyDescent="0.25">
      <c r="A27" s="162">
        <f xml:space="preserve"> 'CASE DATA'!A28</f>
        <v>0</v>
      </c>
      <c r="B27" s="162">
        <f xml:space="preserve"> 'CASE DATA'!E28</f>
        <v>0</v>
      </c>
      <c r="C27" s="163">
        <f xml:space="preserve"> 'CASE DATA'!C28</f>
        <v>0</v>
      </c>
      <c r="D27" s="11" t="str">
        <f xml:space="preserve"> IF(OR('CASE DATA'!F28="JUV", 'CASE DATA'!F28="JWV"), "YES", "NO")</f>
        <v>NO</v>
      </c>
      <c r="E27" s="11"/>
      <c r="F27" s="11" t="str">
        <f>IF(D27="YES",IF(COUNTIF('CASE DATA'!$C$4:$C$200, "")-COUNTIF('CASE DATA'!$A$4:$A$200, "")&gt;0, "YES","NO"),"N/A")</f>
        <v>N/A</v>
      </c>
      <c r="G27" s="164" t="str">
        <f xml:space="preserve"> _xlfn.IFS(D27="NO", "N/A", AND('BASIC INFO'!$B$3&gt;'BASIC INFO'!$B$6+6574.5, C27+730.5&lt;'BASIC INFO'!$B$3), "YES", 'BASIC INFO'!$B$3&lt;('BASIC INFO'!$B$6+6574.5), "NOT YET 18", C27+730.5&gt;'BASIC INFO'!$B$3, "NOT YET 2 YEARS")</f>
        <v>N/A</v>
      </c>
      <c r="H27" s="186" t="str">
        <f xml:space="preserve"> IF(LEFT('CASE DATA'!E28,4)&lt;&gt;"321.",IF(OR('CASE DATA'!F28="DISM", 'CASE DATA'!F28="ACQ", 'CASE DATA'!F28="NOTF", 'CASE DATA'!F28="WTHD", 'CASE DATA'!F28="TNSF"), "YES", "NO"), "TRAFFIC")</f>
        <v>NO</v>
      </c>
      <c r="I27" s="185" t="str">
        <f xml:space="preserve"> IF(H27="YES",'CASE DATA'!K28,"N/A")</f>
        <v>N/A</v>
      </c>
      <c r="J27" s="185" t="str">
        <f>IF(H27="YES",'CASE DATA'!I28+'CASE DATA'!J28+'CASE DATA'!L28+'CASE DATA'!M28+'CASE DATA'!N28+'CASE DATA'!O28+'CASE DATA'!P28+'CASE DATA'!Q28+'CASE DATA'!R28,"N/A")</f>
        <v>N/A</v>
      </c>
      <c r="K27" s="162" t="str">
        <f xml:space="preserve"> IF(H27="YES",IF(C27+180&lt;'BASIC INFO'!$B$3, "YES", "NO"),"N/A")</f>
        <v>N/A</v>
      </c>
      <c r="L27" s="185" t="str">
        <f>IF(OR('CASE DATA'!F28="GTR", 'CASE DATA'!F28="GPL"),IF(OR('CASE DATA'!E28="81.6(2)", 'CASE DATA'!E28="99F.15(6)(b)(1)", 'CASE DATA'!E28= "124.401(1)(a)", 'CASE DATA'!E28= "124.401(1)(b)", 'CASE DATA'!E28= "124.401(1)(c)", 'CASE DATA'!E28= "124.401(1)(d)", 'CASE DATA'!E28="124.401(4)", 'CASE DATA'!E28="124.401(1)(b)", 'CASE DATA'!E28="124.401(1)(c)", 'CASE DATA'!E28="124.401D(2)(b)", 'CASE DATA'!E28="124.401D(2)(c)", 'CASE DATA'!E28="124.406(1)(a)", 'CASE DATA'!E28="124.406(1)(b) ", 'CASE DATA'!E28="124.406(2)(a)", 'CASE DATA'!E28="124.406(2)(b) ", 'CASE DATA'!E28="124.406(3)", 'CASE DATA'!E28="124.406A ", 'CASE DATA'!E28="124.407(2)(a)", 'CASE DATA'!E28="124B.9(1)", 'CASE DATA'!E28="124B.9(2)", 'CASE DATA'!E28="321J.2(2)(c)", 'CASE DATA'!E28="453B.12(2)", 'CASE DATA'!E28="453B.12(3)", 'CASE DATA'!E28="453B.12(4)", 'CASE DATA'!E28="462A.14(2)(c)", 'CASE DATA'!E28="462A.14(2)(d)", 'CASE DATA'!E28="462A.14(2)(e)", 'CASE DATA'!E28="705.1(2)", 'CASE DATA'!E28="706.3(1)", 'CASE DATA'!E28="706.3(2)", 'CASE DATA'!E28="706A.2(1)", 'CASE DATA'!E28="706A.2(2)", 'CASE DATA'!E28="706A.2(4)", 'CASE DATA'!E28="706B.2(1)(a)", 'CASE DATA'!E28="706B.2(1)(b)", 'CASE DATA'!E28="706B.2(1)(c)", 'CASE DATA'!E28="706B.2(1)(d)", 'CASE DATA'!E28="707.2", 'CASE DATA'!E28="707.3", 'CASE DATA'!E28="707.3A", 'CASE DATA'!E28="707.4", 'CASE DATA'!E28="707.5(1)(a)", 'CASE DATA'!E28="707.6A(1)", 'CASE DATA'!E28="707.6A(2)", 'CASE DATA'!E28="707.6A(3)", 'CASE DATA'!E28="707.6A(4)", 'CASE DATA'!E28="707.7(1)", 'CASE DATA'!E28="707.7(3)", 'CASE DATA'!E28="707.7(2)", 'CASE DATA'!E28="707.8(1)", 'CASE DATA'!E28="707.8(2)", 'CASE DATA'!E28="707.8(3)", 'CASE DATA'!E28="707.8(4)", 'CASE DATA'!E28="707.8(5)", 'CASE DATA'!E28="707.8(6)", 'CASE DATA'!E28="707.9", 'CASE DATA'!E28="707.11", 'CASE DATA'!E28="707A.2", 'CASE DATA'!E28="708.2(4)", 'CASE DATA'!E28="708.2(5)", 'CASE DATA'!E28="708.2A(4)", 'CASE DATA'!E28="708.2A(5)", 'CASE DATA'!E28="708.2C(2)", 'CASE DATA'!E28="708.2C(4)", 'CASE DATA'!E28="708.3(1)", 'CASE DATA'!E28="708.3(2)", 'CASE DATA'!E28="708.3A(1)", 'CASE DATA'!E28="708.3A(2)", 'CASE DATA'!E28="708.3B", 'CASE DATA'!E28="708.4(1)", 'CASE DATA'!E28="708.4(2)", 'CASE DATA'!E28="708.5", 'CASE DATA'!E28="708.8", 'CASE DATA'!E28="708.11(3)(a)", 'CASE DATA'!E28="708.11(3)(b)", 'CASE DATA'!E28="708.12(3)(f)", 'CASE DATA'!E28="708.13(3)", 'CASE DATA'!E28="708.14", 'CASE DATA'!E28="708A.2", 'CASE DATA'!E28="708A.4(1)", 'CASE DATA'!E28="708A.4(2)", 'CASE DATA'!E28="708A.5", 'CASE DATA'!E28="708A.6(1)", 'CASE DATA'!E28="708.A.6(2)", 'CASE DATA'!E28="709.2", 'CASE DATA'!E28="709.3", 'CASE DATA'!E28="709.4", 'CASE DATA'!E28="709.8(1)(a)", 'CASE DATA'!E28="709.8(1)(b)", 'CASE DATA'!E28="709.8(1)(c)", 'CASE DATA'!E28="709.8(1)(d)", 'CASE DATA'!E28="709.8(1)(e)", 'CASE DATA'!E28="709.11(1)", 'CASE DATA'!E28="709.11(2)", 'CASE DATA'!E28="709.15(2)(a)(1)", 'CASE DATA'!E28="709.15(3)(a)(1)", 'CASE DATA'!E28="709.18", 'CASE DATA'!E28="709A.6(2)", 'CASE DATA'!E28="709D.3(1)", 'CASE DATA'!E28="709D.3(2)", 'CASE DATA'!E28="709.D.3(3)", 'CASE DATA'!E28="710.2", 'CASE DATA'!E28="710.3", 'CASE DATA'!E28="710.4", 'CASE DATA'!E28="710.5", 'CASE DATA'!E28="710.10(1)", 'CASE DATA'!E28="710.10(2)", 'CASE DATA'!E28="710.10(3)", 'CASE DATA'!E28="710.11", 'CASE DATA'!E28="710A.2(1)", 'CASE DATA'!E28="710A.2(2)", 'CASE DATA'!E28="710A.2(3)", 'CASE DATA'!E28="710A.2(4)", 'CASE DATA'!E28="710A.2(5)", 'CASE DATA'!E28="710A.2(6)", 'CASE DATA'!E28="710A.2(7)", 'CASE DATA'!E28="710A.2A", 'CASE DATA'!E28="711.2", 'CASE DATA'!E28="711.3", 'CASE DATA'!E28="711.4", 'CASE DATA'!E28="712.2", 'CASE DATA'!E28="712.3", 'CASE DATA'!E28="712.6(1)", 'CASE DATA'!E28="712.7", 'CASE DATA'!E28="712.8", 'CASE DATA'!E28="", 'CASE DATA'!E28="713.3", 'CASE DATA'!E28="713.4", 'CASE DATA'!E28="713.5", 'CASE DATA'!E28="713.6", 'CASE DATA'!E28="713.6A(1)", 'CASE DATA'!E28="714.2(1)", 'CASE DATA'!E28="714.2(2)", 'CASE DATA'!E28="714.3A(2)(b)", 'CASE DATA'!E28="714.9", 'CASE DATA'!E28="714.10", 'CASE DATA'!E28="714.26(2)(a)", 'CASE DATA'!E28="714.26(2)(b)", 'CASE DATA'!E28="715A.2(2)(a)", 'CASE DATA'!E28="715A.6(2)(a)", 'CASE DATA'!E28="715A.6(2)(b)", 'CASE DATA'!E28="715A.8(3)(a)", 'CASE DATA'!E28="715A.8(3)(b)", 'CASE DATA'!E28="715A.10(1)", 'CASE DATA'!E28="715A.10(2)", 'CASE DATA'!E28="716.3", 'CASE DATA'!E28="716.4", 'CASE DATA'!E28="716.8(6)", 'CASE DATA'!E28="716.10(2)(a)", 'CASE DATA'!E28="716.10(2)(b)", 'CASE DATA'!E28="716.10(2)(c)", 'CASE DATA'!E28="716.10(2)(d)", 'CASE DATA'!E28="716.12", 'CASE DATA'!E28="719.1(1)(f)", 'CASE DATA'!E28="719.1(2)(e)", 'CASE DATA'!E28="719.1(2)(f)", 'CASE DATA'!E28="719.1(2)(g)", 'CASE DATA'!E28="719.4(1)", 'CASE DATA'!E28="719.4(4)", 'CASE DATA'!E28="719.5(1)", 'CASE DATA'!E28="719.5(2)", 'CASE DATA'!E28="719.6(1)", 'CASE DATA'!E28="719.6(2)", 'CASE DATA'!E28="719.7(4)(a)", 'CASE DATA'!E28="719.7(4)(b)", 'CASE DATA'!E28="719.7A(3)", 'CASE DATA'!E28="719.9", 'CASE DATA'!E28="719.8", 'CASE DATA'!E28="720.2", 'CASE DATA'!E28="720.3", 'CASE DATA'!E28="721.1", 'CASE DATA'!E28="722.1", 'CASE DATA'!E28="", 'CASE DATA'!E28="722.2", 'CASE DATA'!E28="722.10", 'CASE DATA'!E28="723(5)(3)(c)", 'CASE DATA'!E28="723A.2", 'CASE DATA'!E28="723A.3(1)", 'CASE DATA'!E28="723A.3(2)", 'CASE DATA'!E28="724.1B", 'CASE DATA'!E28="724.1C", 'CASE DATA'!E28="724.3", 'CASE DATA'!E28="724.4B", 'CASE DATA'!E28="724.10", 'CASE DATA'!E28="724.16(2)", 'CASE DATA'!E28="724.16A(1)(a)", 'CASE DATA'!E28="724.16A(1)(b)", 'CASE DATA'!E28="724.17", 'CASE DATA'!E28="724.21", 'CASE DATA'!E28="724.26(1)", 'CASE DATA'!E28="922(g)(8)", 'CASE DATA'!E28="724.29A(2)", 'CASE DATA'!E28="724.29A(3)", 'CASE DATA'!E28="724.30(1)", 'CASE DATA'!E28="724.30(2)", 'CASE DATA'!E28="725.1(2)(b)", 'CASE DATA'!E28="725.2(1)", 'CASE DATA'!E28="725.2(2)", 'CASE DATA'!E28="725.3(2)", 'CASE DATA'!E28="725.3(1)", 'CASE DATA'!E28="725.7(2)(a)(3)", 'CASE DATA'!E28="725.7(2)(a)(4)", 'CASE DATA'!E28="725.7(2)(b)(2)", 'CASE DATA'!E28="725.7(2)(b(3)", 'CASE DATA'!E28="726.7(2)(c)(1)", 'CASE DATA'!E28="726.7(2)(c)(2)", 'CASE DATA'!E28="725.7(2)(d)", 'CASE DATA'!E28="726.2", 'CASE DATA'!E28="726.3", 'CASE DATA'!E28="726.5", 'CASE DATA'!E28="726.6(4)", 'CASE DATA'!E28="726.6(5)", 'CASE DATA'!E28="726.6(6)", 'CASE DATA'!E28="726.6A", 'CASE DATA'!E28="726.7(2)", 'CASE DATA'!E28="726.8(2)", 'CASE DATA'!E28="728.12(1)", 'CASE DATA'!E28="728.12(2)"),"felony","eligible"),"N/A")</f>
        <v>N/A</v>
      </c>
      <c r="M27" s="185" t="str">
        <f>IF(L27="eligible",IF(OR('CASE DATA'!E28="123.46",'CASE DATA'!E28="123.47",'CASE DATA'!E28="235B.20",'CASE DATA'!E28="321.218",'CASE DATA'!E28="321A.32",'CASE DATA'!E28="321J.21",'CASE DATA'!E28="321J.2",'CASE DATA'!E28="707.5",'CASE DATA'!E28="708.2(3)",'CASE DATA'!E28="708.2A",'CASE DATA'!E28="708.7",'CASE DATA'!E28="708.11",'CASE DATA'!E28="708.12",'CASE DATA'!E28="716.8(3)",'CASE DATA'!E28="716.8(4)", LEFT('CASE DATA'!E28,4)="717C", LEFT('CASE DATA'!E28, 3)="719", LEFT('CASE DATA'!E28,3)="720", 'CASE DATA'!E28="721.2", 'CASE DATA'!E28="721.10", 'CASE DATA'!E28="723.1", LEFT('CASE DATA'!E28,3)="724", LEFT('CASE DATA'!E28,3)="726", LEFT('CASE DATA'!E28,3)="728", LEFT('CASE DATA'!E28,4)="901A"),"ineligible misd", "eligible"),"N/A")</f>
        <v>N/A</v>
      </c>
      <c r="N27" s="185" t="str">
        <f>IF(L27="eligible",IF(COUNTIF('CASE DATA'!$C$4:$C$200, "")-COUNTIF('CASE DATA'!$A$4:$A$200, "")&gt;0, "YES","NO"),"N/A")</f>
        <v>N/A</v>
      </c>
      <c r="O27" s="185" t="str">
        <f xml:space="preserve"> IF(M27="eligible",'CASE DATA'!K28,"N/A")</f>
        <v>N/A</v>
      </c>
      <c r="P27" s="185" t="str">
        <f xml:space="preserve"> IF(M27="eligible",'CASE DATA'!I28+'CASE DATA'!J28+'CASE DATA'!L28+'CASE DATA'!M28+'CASE DATA'!N28+'CASE DATA'!O28+'CASE DATA'!M28+'CASE DATA'!Q28+'CASE DATA'!R28,"N/A")</f>
        <v>N/A</v>
      </c>
      <c r="Q27" s="11" t="str">
        <f>IF(M27="eligible",IF(C27+730.5&lt;'BASIC INFO'!$B$3, "YES", "NO"),"N/A")</f>
        <v>N/A</v>
      </c>
      <c r="R27" s="186" t="str">
        <f xml:space="preserve"> IF(OR('CASE DATA'!F28="DEF"), "YES", "NO")</f>
        <v>NO</v>
      </c>
      <c r="S27" s="162" t="str">
        <f>IF(R27="YES",'CASE DATA'!H28,"N/A")</f>
        <v>N/A</v>
      </c>
      <c r="T27" s="185" t="str">
        <f xml:space="preserve"> IF(R27="YES",'CASE DATA'!K28,"N/A")</f>
        <v>N/A</v>
      </c>
      <c r="U27" s="185" t="str">
        <f>IF(R27="YES",'CASE DATA'!I28+'CASE DATA'!J28+'CASE DATA'!L28+'CASE DATA'!M28+'CASE DATA'!N28+'CASE DATA'!O28+'CASE DATA'!P28+'CASE DATA'!Q28+'CASE DATA'!R28,"N/A")</f>
        <v>N/A</v>
      </c>
      <c r="V27" s="189" t="str">
        <f>IF(OR('CASE DATA'!E28="123.46",'CASE DATA'!E28="123.47"),"YES","NO")</f>
        <v>NO</v>
      </c>
      <c r="W27" s="189"/>
      <c r="X27" s="185" t="str">
        <f>IF(V27="YES",IF(C27+730.5&lt;'BASIC INFO'!$B$3, "YES","NO"), "N/A")</f>
        <v>N/A</v>
      </c>
      <c r="Y27" s="189" t="str">
        <f t="shared" si="0"/>
        <v>NO</v>
      </c>
      <c r="Z27" s="187" t="str">
        <f xml:space="preserve"> IF('BASIC INFO'!$B$6+6574.5&gt;C27, "YES", "NO")</f>
        <v>YES</v>
      </c>
    </row>
    <row r="28" spans="1:26" x14ac:dyDescent="0.25">
      <c r="A28" s="162">
        <f xml:space="preserve"> 'CASE DATA'!A29</f>
        <v>0</v>
      </c>
      <c r="B28" s="162">
        <f xml:space="preserve"> 'CASE DATA'!E29</f>
        <v>0</v>
      </c>
      <c r="C28" s="163">
        <f xml:space="preserve"> 'CASE DATA'!C29</f>
        <v>0</v>
      </c>
      <c r="D28" s="11" t="str">
        <f xml:space="preserve"> IF(OR('CASE DATA'!F29="JUV", 'CASE DATA'!F29="JWV"), "YES", "NO")</f>
        <v>NO</v>
      </c>
      <c r="E28" s="11"/>
      <c r="F28" s="11" t="str">
        <f>IF(D28="YES",IF(COUNTIF('CASE DATA'!$C$4:$C$200, "")-COUNTIF('CASE DATA'!$A$4:$A$200, "")&gt;0, "YES","NO"),"N/A")</f>
        <v>N/A</v>
      </c>
      <c r="G28" s="164" t="str">
        <f xml:space="preserve"> _xlfn.IFS(D28="NO", "N/A", AND('BASIC INFO'!$B$3&gt;'BASIC INFO'!$B$6+6574.5, C28+730.5&lt;'BASIC INFO'!$B$3), "YES", 'BASIC INFO'!$B$3&lt;('BASIC INFO'!$B$6+6574.5), "NOT YET 18", C28+730.5&gt;'BASIC INFO'!$B$3, "NOT YET 2 YEARS")</f>
        <v>N/A</v>
      </c>
      <c r="H28" s="186" t="str">
        <f xml:space="preserve"> IF(LEFT('CASE DATA'!E29,4)&lt;&gt;"321.",IF(OR('CASE DATA'!F29="DISM", 'CASE DATA'!F29="ACQ", 'CASE DATA'!F29="NOTF", 'CASE DATA'!F29="WTHD", 'CASE DATA'!F29="TNSF"), "YES", "NO"), "TRAFFIC")</f>
        <v>NO</v>
      </c>
      <c r="I28" s="185" t="str">
        <f xml:space="preserve"> IF(H28="YES",'CASE DATA'!K29,"N/A")</f>
        <v>N/A</v>
      </c>
      <c r="J28" s="185" t="str">
        <f>IF(H28="YES",'CASE DATA'!I29+'CASE DATA'!J29+'CASE DATA'!L29+'CASE DATA'!M29+'CASE DATA'!N29+'CASE DATA'!O29+'CASE DATA'!P29+'CASE DATA'!Q29+'CASE DATA'!R29,"N/A")</f>
        <v>N/A</v>
      </c>
      <c r="K28" s="162" t="str">
        <f xml:space="preserve"> IF(H28="YES",IF(C28+180&lt;'BASIC INFO'!$B$3, "YES", "NO"),"N/A")</f>
        <v>N/A</v>
      </c>
      <c r="L28" s="185" t="str">
        <f>IF(OR('CASE DATA'!F29="GTR", 'CASE DATA'!F29="GPL"),IF(OR('CASE DATA'!E29="81.6(2)", 'CASE DATA'!E29="99F.15(6)(b)(1)", 'CASE DATA'!E29= "124.401(1)(a)", 'CASE DATA'!E29= "124.401(1)(b)", 'CASE DATA'!E29= "124.401(1)(c)", 'CASE DATA'!E29= "124.401(1)(d)", 'CASE DATA'!E29="124.401(4)", 'CASE DATA'!E29="124.401(1)(b)", 'CASE DATA'!E29="124.401(1)(c)", 'CASE DATA'!E29="124.401D(2)(b)", 'CASE DATA'!E29="124.401D(2)(c)", 'CASE DATA'!E29="124.406(1)(a)", 'CASE DATA'!E29="124.406(1)(b) ", 'CASE DATA'!E29="124.406(2)(a)", 'CASE DATA'!E29="124.406(2)(b) ", 'CASE DATA'!E29="124.406(3)", 'CASE DATA'!E29="124.406A ", 'CASE DATA'!E29="124.407(2)(a)", 'CASE DATA'!E29="124B.9(1)", 'CASE DATA'!E29="124B.9(2)", 'CASE DATA'!E29="321J.2(2)(c)", 'CASE DATA'!E29="453B.12(2)", 'CASE DATA'!E29="453B.12(3)", 'CASE DATA'!E29="453B.12(4)", 'CASE DATA'!E29="462A.14(2)(c)", 'CASE DATA'!E29="462A.14(2)(d)", 'CASE DATA'!E29="462A.14(2)(e)", 'CASE DATA'!E29="705.1(2)", 'CASE DATA'!E29="706.3(1)", 'CASE DATA'!E29="706.3(2)", 'CASE DATA'!E29="706A.2(1)", 'CASE DATA'!E29="706A.2(2)", 'CASE DATA'!E29="706A.2(4)", 'CASE DATA'!E29="706B.2(1)(a)", 'CASE DATA'!E29="706B.2(1)(b)", 'CASE DATA'!E29="706B.2(1)(c)", 'CASE DATA'!E29="706B.2(1)(d)", 'CASE DATA'!E29="707.2", 'CASE DATA'!E29="707.3", 'CASE DATA'!E29="707.3A", 'CASE DATA'!E29="707.4", 'CASE DATA'!E29="707.5(1)(a)", 'CASE DATA'!E29="707.6A(1)", 'CASE DATA'!E29="707.6A(2)", 'CASE DATA'!E29="707.6A(3)", 'CASE DATA'!E29="707.6A(4)", 'CASE DATA'!E29="707.7(1)", 'CASE DATA'!E29="707.7(3)", 'CASE DATA'!E29="707.7(2)", 'CASE DATA'!E29="707.8(1)", 'CASE DATA'!E29="707.8(2)", 'CASE DATA'!E29="707.8(3)", 'CASE DATA'!E29="707.8(4)", 'CASE DATA'!E29="707.8(5)", 'CASE DATA'!E29="707.8(6)", 'CASE DATA'!E29="707.9", 'CASE DATA'!E29="707.11", 'CASE DATA'!E29="707A.2", 'CASE DATA'!E29="708.2(4)", 'CASE DATA'!E29="708.2(5)", 'CASE DATA'!E29="708.2A(4)", 'CASE DATA'!E29="708.2A(5)", 'CASE DATA'!E29="708.2C(2)", 'CASE DATA'!E29="708.2C(4)", 'CASE DATA'!E29="708.3(1)", 'CASE DATA'!E29="708.3(2)", 'CASE DATA'!E29="708.3A(1)", 'CASE DATA'!E29="708.3A(2)", 'CASE DATA'!E29="708.3B", 'CASE DATA'!E29="708.4(1)", 'CASE DATA'!E29="708.4(2)", 'CASE DATA'!E29="708.5", 'CASE DATA'!E29="708.8", 'CASE DATA'!E29="708.11(3)(a)", 'CASE DATA'!E29="708.11(3)(b)", 'CASE DATA'!E29="708.12(3)(f)", 'CASE DATA'!E29="708.13(3)", 'CASE DATA'!E29="708.14", 'CASE DATA'!E29="708A.2", 'CASE DATA'!E29="708A.4(1)", 'CASE DATA'!E29="708A.4(2)", 'CASE DATA'!E29="708A.5", 'CASE DATA'!E29="708A.6(1)", 'CASE DATA'!E29="708.A.6(2)", 'CASE DATA'!E29="709.2", 'CASE DATA'!E29="709.3", 'CASE DATA'!E29="709.4", 'CASE DATA'!E29="709.8(1)(a)", 'CASE DATA'!E29="709.8(1)(b)", 'CASE DATA'!E29="709.8(1)(c)", 'CASE DATA'!E29="709.8(1)(d)", 'CASE DATA'!E29="709.8(1)(e)", 'CASE DATA'!E29="709.11(1)", 'CASE DATA'!E29="709.11(2)", 'CASE DATA'!E29="709.15(2)(a)(1)", 'CASE DATA'!E29="709.15(3)(a)(1)", 'CASE DATA'!E29="709.18", 'CASE DATA'!E29="709A.6(2)", 'CASE DATA'!E29="709D.3(1)", 'CASE DATA'!E29="709D.3(2)", 'CASE DATA'!E29="709.D.3(3)", 'CASE DATA'!E29="710.2", 'CASE DATA'!E29="710.3", 'CASE DATA'!E29="710.4", 'CASE DATA'!E29="710.5", 'CASE DATA'!E29="710.10(1)", 'CASE DATA'!E29="710.10(2)", 'CASE DATA'!E29="710.10(3)", 'CASE DATA'!E29="710.11", 'CASE DATA'!E29="710A.2(1)", 'CASE DATA'!E29="710A.2(2)", 'CASE DATA'!E29="710A.2(3)", 'CASE DATA'!E29="710A.2(4)", 'CASE DATA'!E29="710A.2(5)", 'CASE DATA'!E29="710A.2(6)", 'CASE DATA'!E29="710A.2(7)", 'CASE DATA'!E29="710A.2A", 'CASE DATA'!E29="711.2", 'CASE DATA'!E29="711.3", 'CASE DATA'!E29="711.4", 'CASE DATA'!E29="712.2", 'CASE DATA'!E29="712.3", 'CASE DATA'!E29="712.6(1)", 'CASE DATA'!E29="712.7", 'CASE DATA'!E29="712.8", 'CASE DATA'!E29="", 'CASE DATA'!E29="713.3", 'CASE DATA'!E29="713.4", 'CASE DATA'!E29="713.5", 'CASE DATA'!E29="713.6", 'CASE DATA'!E29="713.6A(1)", 'CASE DATA'!E29="714.2(1)", 'CASE DATA'!E29="714.2(2)", 'CASE DATA'!E29="714.3A(2)(b)", 'CASE DATA'!E29="714.9", 'CASE DATA'!E29="714.10", 'CASE DATA'!E29="714.26(2)(a)", 'CASE DATA'!E29="714.26(2)(b)", 'CASE DATA'!E29="715A.2(2)(a)", 'CASE DATA'!E29="715A.6(2)(a)", 'CASE DATA'!E29="715A.6(2)(b)", 'CASE DATA'!E29="715A.8(3)(a)", 'CASE DATA'!E29="715A.8(3)(b)", 'CASE DATA'!E29="715A.10(1)", 'CASE DATA'!E29="715A.10(2)", 'CASE DATA'!E29="716.3", 'CASE DATA'!E29="716.4", 'CASE DATA'!E29="716.8(6)", 'CASE DATA'!E29="716.10(2)(a)", 'CASE DATA'!E29="716.10(2)(b)", 'CASE DATA'!E29="716.10(2)(c)", 'CASE DATA'!E29="716.10(2)(d)", 'CASE DATA'!E29="716.12", 'CASE DATA'!E29="719.1(1)(f)", 'CASE DATA'!E29="719.1(2)(e)", 'CASE DATA'!E29="719.1(2)(f)", 'CASE DATA'!E29="719.1(2)(g)", 'CASE DATA'!E29="719.4(1)", 'CASE DATA'!E29="719.4(4)", 'CASE DATA'!E29="719.5(1)", 'CASE DATA'!E29="719.5(2)", 'CASE DATA'!E29="719.6(1)", 'CASE DATA'!E29="719.6(2)", 'CASE DATA'!E29="719.7(4)(a)", 'CASE DATA'!E29="719.7(4)(b)", 'CASE DATA'!E29="719.7A(3)", 'CASE DATA'!E29="719.9", 'CASE DATA'!E29="719.8", 'CASE DATA'!E29="720.2", 'CASE DATA'!E29="720.3", 'CASE DATA'!E29="721.1", 'CASE DATA'!E29="722.1", 'CASE DATA'!E29="", 'CASE DATA'!E29="722.2", 'CASE DATA'!E29="722.10", 'CASE DATA'!E29="723(5)(3)(c)", 'CASE DATA'!E29="723A.2", 'CASE DATA'!E29="723A.3(1)", 'CASE DATA'!E29="723A.3(2)", 'CASE DATA'!E29="724.1B", 'CASE DATA'!E29="724.1C", 'CASE DATA'!E29="724.3", 'CASE DATA'!E29="724.4B", 'CASE DATA'!E29="724.10", 'CASE DATA'!E29="724.16(2)", 'CASE DATA'!E29="724.16A(1)(a)", 'CASE DATA'!E29="724.16A(1)(b)", 'CASE DATA'!E29="724.17", 'CASE DATA'!E29="724.21", 'CASE DATA'!E29="724.26(1)", 'CASE DATA'!E29="922(g)(8)", 'CASE DATA'!E29="724.29A(2)", 'CASE DATA'!E29="724.29A(3)", 'CASE DATA'!E29="724.30(1)", 'CASE DATA'!E29="724.30(2)", 'CASE DATA'!E29="725.1(2)(b)", 'CASE DATA'!E29="725.2(1)", 'CASE DATA'!E29="725.2(2)", 'CASE DATA'!E29="725.3(2)", 'CASE DATA'!E29="725.3(1)", 'CASE DATA'!E29="725.7(2)(a)(3)", 'CASE DATA'!E29="725.7(2)(a)(4)", 'CASE DATA'!E29="725.7(2)(b)(2)", 'CASE DATA'!E29="725.7(2)(b(3)", 'CASE DATA'!E29="726.7(2)(c)(1)", 'CASE DATA'!E29="726.7(2)(c)(2)", 'CASE DATA'!E29="725.7(2)(d)", 'CASE DATA'!E29="726.2", 'CASE DATA'!E29="726.3", 'CASE DATA'!E29="726.5", 'CASE DATA'!E29="726.6(4)", 'CASE DATA'!E29="726.6(5)", 'CASE DATA'!E29="726.6(6)", 'CASE DATA'!E29="726.6A", 'CASE DATA'!E29="726.7(2)", 'CASE DATA'!E29="726.8(2)", 'CASE DATA'!E29="728.12(1)", 'CASE DATA'!E29="728.12(2)"),"felony","eligible"),"N/A")</f>
        <v>N/A</v>
      </c>
      <c r="M28" s="185" t="str">
        <f>IF(L28="eligible",IF(OR('CASE DATA'!E29="123.46",'CASE DATA'!E29="123.47",'CASE DATA'!E29="235B.20",'CASE DATA'!E29="321.218",'CASE DATA'!E29="321A.32",'CASE DATA'!E29="321J.21",'CASE DATA'!E29="321J.2",'CASE DATA'!E29="707.5",'CASE DATA'!E29="708.2(3)",'CASE DATA'!E29="708.2A",'CASE DATA'!E29="708.7",'CASE DATA'!E29="708.11",'CASE DATA'!E29="708.12",'CASE DATA'!E29="716.8(3)",'CASE DATA'!E29="716.8(4)", LEFT('CASE DATA'!E29,4)="717C", LEFT('CASE DATA'!E29, 3)="719", LEFT('CASE DATA'!E29,3)="720", 'CASE DATA'!E29="721.2", 'CASE DATA'!E29="721.10", 'CASE DATA'!E29="723.1", LEFT('CASE DATA'!E29,3)="724", LEFT('CASE DATA'!E29,3)="726", LEFT('CASE DATA'!E29,3)="728", LEFT('CASE DATA'!E29,4)="901A"),"ineligible misd", "eligible"),"N/A")</f>
        <v>N/A</v>
      </c>
      <c r="N28" s="185" t="str">
        <f>IF(L28="eligible",IF(COUNTIF('CASE DATA'!$C$4:$C$200, "")-COUNTIF('CASE DATA'!$A$4:$A$200, "")&gt;0, "YES","NO"),"N/A")</f>
        <v>N/A</v>
      </c>
      <c r="O28" s="185" t="str">
        <f xml:space="preserve"> IF(M28="eligible",'CASE DATA'!K29,"N/A")</f>
        <v>N/A</v>
      </c>
      <c r="P28" s="185" t="str">
        <f xml:space="preserve"> IF(M28="eligible",'CASE DATA'!I29+'CASE DATA'!J29+'CASE DATA'!L29+'CASE DATA'!M29+'CASE DATA'!N29+'CASE DATA'!O29+'CASE DATA'!M29+'CASE DATA'!Q29+'CASE DATA'!R29,"N/A")</f>
        <v>N/A</v>
      </c>
      <c r="Q28" s="11" t="str">
        <f>IF(M28="eligible",IF(C28+730.5&lt;'BASIC INFO'!$B$3, "YES", "NO"),"N/A")</f>
        <v>N/A</v>
      </c>
      <c r="R28" s="186" t="str">
        <f xml:space="preserve"> IF(OR('CASE DATA'!F29="DEF"), "YES", "NO")</f>
        <v>NO</v>
      </c>
      <c r="S28" s="162" t="str">
        <f>IF(R28="YES",'CASE DATA'!H29,"N/A")</f>
        <v>N/A</v>
      </c>
      <c r="T28" s="185" t="str">
        <f xml:space="preserve"> IF(R28="YES",'CASE DATA'!K29,"N/A")</f>
        <v>N/A</v>
      </c>
      <c r="U28" s="185" t="str">
        <f>IF(R28="YES",'CASE DATA'!I29+'CASE DATA'!J29+'CASE DATA'!L29+'CASE DATA'!M29+'CASE DATA'!N29+'CASE DATA'!O29+'CASE DATA'!P29+'CASE DATA'!Q29+'CASE DATA'!R29,"N/A")</f>
        <v>N/A</v>
      </c>
      <c r="V28" s="189" t="str">
        <f>IF(OR('CASE DATA'!E29="123.46",'CASE DATA'!E29="123.47"),"YES","NO")</f>
        <v>NO</v>
      </c>
      <c r="W28" s="189"/>
      <c r="X28" s="185" t="str">
        <f>IF(V28="YES",IF(C28+730.5&lt;'BASIC INFO'!$B$3, "YES","NO"), "N/A")</f>
        <v>N/A</v>
      </c>
      <c r="Y28" s="189" t="str">
        <f t="shared" si="0"/>
        <v>NO</v>
      </c>
      <c r="Z28" s="187" t="str">
        <f xml:space="preserve"> IF('BASIC INFO'!$B$6+6574.5&gt;C28, "YES", "NO")</f>
        <v>YES</v>
      </c>
    </row>
    <row r="29" spans="1:26" x14ac:dyDescent="0.25">
      <c r="A29" s="162">
        <f xml:space="preserve"> 'CASE DATA'!A30</f>
        <v>0</v>
      </c>
      <c r="B29" s="162">
        <f xml:space="preserve"> 'CASE DATA'!E30</f>
        <v>0</v>
      </c>
      <c r="C29" s="163">
        <f xml:space="preserve"> 'CASE DATA'!C30</f>
        <v>0</v>
      </c>
      <c r="D29" s="11" t="str">
        <f xml:space="preserve"> IF(OR('CASE DATA'!F30="JUV", 'CASE DATA'!F30="JWV"), "YES", "NO")</f>
        <v>NO</v>
      </c>
      <c r="E29" s="11"/>
      <c r="F29" s="11" t="str">
        <f>IF(D29="YES",IF(COUNTIF('CASE DATA'!$C$4:$C$200, "")-COUNTIF('CASE DATA'!$A$4:$A$200, "")&gt;0, "YES","NO"),"N/A")</f>
        <v>N/A</v>
      </c>
      <c r="G29" s="164" t="str">
        <f xml:space="preserve"> _xlfn.IFS(D29="NO", "N/A", AND('BASIC INFO'!$B$3&gt;'BASIC INFO'!$B$6+6574.5, C29+730.5&lt;'BASIC INFO'!$B$3), "YES", 'BASIC INFO'!$B$3&lt;('BASIC INFO'!$B$6+6574.5), "NOT YET 18", C29+730.5&gt;'BASIC INFO'!$B$3, "NOT YET 2 YEARS")</f>
        <v>N/A</v>
      </c>
      <c r="H29" s="186" t="str">
        <f xml:space="preserve"> IF(LEFT('CASE DATA'!E30,4)&lt;&gt;"321.",IF(OR('CASE DATA'!F30="DISM", 'CASE DATA'!F30="ACQ", 'CASE DATA'!F30="NOTF", 'CASE DATA'!F30="WTHD", 'CASE DATA'!F30="TNSF"), "YES", "NO"), "TRAFFIC")</f>
        <v>NO</v>
      </c>
      <c r="I29" s="185" t="str">
        <f xml:space="preserve"> IF(H29="YES",'CASE DATA'!K30,"N/A")</f>
        <v>N/A</v>
      </c>
      <c r="J29" s="185" t="str">
        <f>IF(H29="YES",'CASE DATA'!I30+'CASE DATA'!J30+'CASE DATA'!L30+'CASE DATA'!M30+'CASE DATA'!N30+'CASE DATA'!O30+'CASE DATA'!P30+'CASE DATA'!Q30+'CASE DATA'!R30,"N/A")</f>
        <v>N/A</v>
      </c>
      <c r="K29" s="162" t="str">
        <f xml:space="preserve"> IF(H29="YES",IF(C29+180&lt;'BASIC INFO'!$B$3, "YES", "NO"),"N/A")</f>
        <v>N/A</v>
      </c>
      <c r="L29" s="185" t="str">
        <f>IF(OR('CASE DATA'!F30="GTR", 'CASE DATA'!F30="GPL"),IF(OR('CASE DATA'!E30="81.6(2)", 'CASE DATA'!E30="99F.15(6)(b)(1)", 'CASE DATA'!E30= "124.401(1)(a)", 'CASE DATA'!E30= "124.401(1)(b)", 'CASE DATA'!E30= "124.401(1)(c)", 'CASE DATA'!E30= "124.401(1)(d)", 'CASE DATA'!E30="124.401(4)", 'CASE DATA'!E30="124.401(1)(b)", 'CASE DATA'!E30="124.401(1)(c)", 'CASE DATA'!E30="124.401D(2)(b)", 'CASE DATA'!E30="124.401D(2)(c)", 'CASE DATA'!E30="124.406(1)(a)", 'CASE DATA'!E30="124.406(1)(b) ", 'CASE DATA'!E30="124.406(2)(a)", 'CASE DATA'!E30="124.406(2)(b) ", 'CASE DATA'!E30="124.406(3)", 'CASE DATA'!E30="124.406A ", 'CASE DATA'!E30="124.407(2)(a)", 'CASE DATA'!E30="124B.9(1)", 'CASE DATA'!E30="124B.9(2)", 'CASE DATA'!E30="321J.2(2)(c)", 'CASE DATA'!E30="453B.12(2)", 'CASE DATA'!E30="453B.12(3)", 'CASE DATA'!E30="453B.12(4)", 'CASE DATA'!E30="462A.14(2)(c)", 'CASE DATA'!E30="462A.14(2)(d)", 'CASE DATA'!E30="462A.14(2)(e)", 'CASE DATA'!E30="705.1(2)", 'CASE DATA'!E30="706.3(1)", 'CASE DATA'!E30="706.3(2)", 'CASE DATA'!E30="706A.2(1)", 'CASE DATA'!E30="706A.2(2)", 'CASE DATA'!E30="706A.2(4)", 'CASE DATA'!E30="706B.2(1)(a)", 'CASE DATA'!E30="706B.2(1)(b)", 'CASE DATA'!E30="706B.2(1)(c)", 'CASE DATA'!E30="706B.2(1)(d)", 'CASE DATA'!E30="707.2", 'CASE DATA'!E30="707.3", 'CASE DATA'!E30="707.3A", 'CASE DATA'!E30="707.4", 'CASE DATA'!E30="707.5(1)(a)", 'CASE DATA'!E30="707.6A(1)", 'CASE DATA'!E30="707.6A(2)", 'CASE DATA'!E30="707.6A(3)", 'CASE DATA'!E30="707.6A(4)", 'CASE DATA'!E30="707.7(1)", 'CASE DATA'!E30="707.7(3)", 'CASE DATA'!E30="707.7(2)", 'CASE DATA'!E30="707.8(1)", 'CASE DATA'!E30="707.8(2)", 'CASE DATA'!E30="707.8(3)", 'CASE DATA'!E30="707.8(4)", 'CASE DATA'!E30="707.8(5)", 'CASE DATA'!E30="707.8(6)", 'CASE DATA'!E30="707.9", 'CASE DATA'!E30="707.11", 'CASE DATA'!E30="707A.2", 'CASE DATA'!E30="708.2(4)", 'CASE DATA'!E30="708.2(5)", 'CASE DATA'!E30="708.2A(4)", 'CASE DATA'!E30="708.2A(5)", 'CASE DATA'!E30="708.2C(2)", 'CASE DATA'!E30="708.2C(4)", 'CASE DATA'!E30="708.3(1)", 'CASE DATA'!E30="708.3(2)", 'CASE DATA'!E30="708.3A(1)", 'CASE DATA'!E30="708.3A(2)", 'CASE DATA'!E30="708.3B", 'CASE DATA'!E30="708.4(1)", 'CASE DATA'!E30="708.4(2)", 'CASE DATA'!E30="708.5", 'CASE DATA'!E30="708.8", 'CASE DATA'!E30="708.11(3)(a)", 'CASE DATA'!E30="708.11(3)(b)", 'CASE DATA'!E30="708.12(3)(f)", 'CASE DATA'!E30="708.13(3)", 'CASE DATA'!E30="708.14", 'CASE DATA'!E30="708A.2", 'CASE DATA'!E30="708A.4(1)", 'CASE DATA'!E30="708A.4(2)", 'CASE DATA'!E30="708A.5", 'CASE DATA'!E30="708A.6(1)", 'CASE DATA'!E30="708.A.6(2)", 'CASE DATA'!E30="709.2", 'CASE DATA'!E30="709.3", 'CASE DATA'!E30="709.4", 'CASE DATA'!E30="709.8(1)(a)", 'CASE DATA'!E30="709.8(1)(b)", 'CASE DATA'!E30="709.8(1)(c)", 'CASE DATA'!E30="709.8(1)(d)", 'CASE DATA'!E30="709.8(1)(e)", 'CASE DATA'!E30="709.11(1)", 'CASE DATA'!E30="709.11(2)", 'CASE DATA'!E30="709.15(2)(a)(1)", 'CASE DATA'!E30="709.15(3)(a)(1)", 'CASE DATA'!E30="709.18", 'CASE DATA'!E30="709A.6(2)", 'CASE DATA'!E30="709D.3(1)", 'CASE DATA'!E30="709D.3(2)", 'CASE DATA'!E30="709.D.3(3)", 'CASE DATA'!E30="710.2", 'CASE DATA'!E30="710.3", 'CASE DATA'!E30="710.4", 'CASE DATA'!E30="710.5", 'CASE DATA'!E30="710.10(1)", 'CASE DATA'!E30="710.10(2)", 'CASE DATA'!E30="710.10(3)", 'CASE DATA'!E30="710.11", 'CASE DATA'!E30="710A.2(1)", 'CASE DATA'!E30="710A.2(2)", 'CASE DATA'!E30="710A.2(3)", 'CASE DATA'!E30="710A.2(4)", 'CASE DATA'!E30="710A.2(5)", 'CASE DATA'!E30="710A.2(6)", 'CASE DATA'!E30="710A.2(7)", 'CASE DATA'!E30="710A.2A", 'CASE DATA'!E30="711.2", 'CASE DATA'!E30="711.3", 'CASE DATA'!E30="711.4", 'CASE DATA'!E30="712.2", 'CASE DATA'!E30="712.3", 'CASE DATA'!E30="712.6(1)", 'CASE DATA'!E30="712.7", 'CASE DATA'!E30="712.8", 'CASE DATA'!E30="", 'CASE DATA'!E30="713.3", 'CASE DATA'!E30="713.4", 'CASE DATA'!E30="713.5", 'CASE DATA'!E30="713.6", 'CASE DATA'!E30="713.6A(1)", 'CASE DATA'!E30="714.2(1)", 'CASE DATA'!E30="714.2(2)", 'CASE DATA'!E30="714.3A(2)(b)", 'CASE DATA'!E30="714.9", 'CASE DATA'!E30="714.10", 'CASE DATA'!E30="714.26(2)(a)", 'CASE DATA'!E30="714.26(2)(b)", 'CASE DATA'!E30="715A.2(2)(a)", 'CASE DATA'!E30="715A.6(2)(a)", 'CASE DATA'!E30="715A.6(2)(b)", 'CASE DATA'!E30="715A.8(3)(a)", 'CASE DATA'!E30="715A.8(3)(b)", 'CASE DATA'!E30="715A.10(1)", 'CASE DATA'!E30="715A.10(2)", 'CASE DATA'!E30="716.3", 'CASE DATA'!E30="716.4", 'CASE DATA'!E30="716.8(6)", 'CASE DATA'!E30="716.10(2)(a)", 'CASE DATA'!E30="716.10(2)(b)", 'CASE DATA'!E30="716.10(2)(c)", 'CASE DATA'!E30="716.10(2)(d)", 'CASE DATA'!E30="716.12", 'CASE DATA'!E30="719.1(1)(f)", 'CASE DATA'!E30="719.1(2)(e)", 'CASE DATA'!E30="719.1(2)(f)", 'CASE DATA'!E30="719.1(2)(g)", 'CASE DATA'!E30="719.4(1)", 'CASE DATA'!E30="719.4(4)", 'CASE DATA'!E30="719.5(1)", 'CASE DATA'!E30="719.5(2)", 'CASE DATA'!E30="719.6(1)", 'CASE DATA'!E30="719.6(2)", 'CASE DATA'!E30="719.7(4)(a)", 'CASE DATA'!E30="719.7(4)(b)", 'CASE DATA'!E30="719.7A(3)", 'CASE DATA'!E30="719.9", 'CASE DATA'!E30="719.8", 'CASE DATA'!E30="720.2", 'CASE DATA'!E30="720.3", 'CASE DATA'!E30="721.1", 'CASE DATA'!E30="722.1", 'CASE DATA'!E30="", 'CASE DATA'!E30="722.2", 'CASE DATA'!E30="722.10", 'CASE DATA'!E30="723(5)(3)(c)", 'CASE DATA'!E30="723A.2", 'CASE DATA'!E30="723A.3(1)", 'CASE DATA'!E30="723A.3(2)", 'CASE DATA'!E30="724.1B", 'CASE DATA'!E30="724.1C", 'CASE DATA'!E30="724.3", 'CASE DATA'!E30="724.4B", 'CASE DATA'!E30="724.10", 'CASE DATA'!E30="724.16(2)", 'CASE DATA'!E30="724.16A(1)(a)", 'CASE DATA'!E30="724.16A(1)(b)", 'CASE DATA'!E30="724.17", 'CASE DATA'!E30="724.21", 'CASE DATA'!E30="724.26(1)", 'CASE DATA'!E30="922(g)(8)", 'CASE DATA'!E30="724.29A(2)", 'CASE DATA'!E30="724.29A(3)", 'CASE DATA'!E30="724.30(1)", 'CASE DATA'!E30="724.30(2)", 'CASE DATA'!E30="725.1(2)(b)", 'CASE DATA'!E30="725.2(1)", 'CASE DATA'!E30="725.2(2)", 'CASE DATA'!E30="725.3(2)", 'CASE DATA'!E30="725.3(1)", 'CASE DATA'!E30="725.7(2)(a)(3)", 'CASE DATA'!E30="725.7(2)(a)(4)", 'CASE DATA'!E30="725.7(2)(b)(2)", 'CASE DATA'!E30="725.7(2)(b(3)", 'CASE DATA'!E30="726.7(2)(c)(1)", 'CASE DATA'!E30="726.7(2)(c)(2)", 'CASE DATA'!E30="725.7(2)(d)", 'CASE DATA'!E30="726.2", 'CASE DATA'!E30="726.3", 'CASE DATA'!E30="726.5", 'CASE DATA'!E30="726.6(4)", 'CASE DATA'!E30="726.6(5)", 'CASE DATA'!E30="726.6(6)", 'CASE DATA'!E30="726.6A", 'CASE DATA'!E30="726.7(2)", 'CASE DATA'!E30="726.8(2)", 'CASE DATA'!E30="728.12(1)", 'CASE DATA'!E30="728.12(2)"),"felony","eligible"),"N/A")</f>
        <v>N/A</v>
      </c>
      <c r="M29" s="185" t="str">
        <f>IF(L29="eligible",IF(OR('CASE DATA'!E30="123.46",'CASE DATA'!E30="123.47",'CASE DATA'!E30="235B.20",'CASE DATA'!E30="321.218",'CASE DATA'!E30="321A.32",'CASE DATA'!E30="321J.21",'CASE DATA'!E30="321J.2",'CASE DATA'!E30="707.5",'CASE DATA'!E30="708.2(3)",'CASE DATA'!E30="708.2A",'CASE DATA'!E30="708.7",'CASE DATA'!E30="708.11",'CASE DATA'!E30="708.12",'CASE DATA'!E30="716.8(3)",'CASE DATA'!E30="716.8(4)", LEFT('CASE DATA'!E30,4)="717C", LEFT('CASE DATA'!E30, 3)="719", LEFT('CASE DATA'!E30,3)="720", 'CASE DATA'!E30="721.2", 'CASE DATA'!E30="721.10", 'CASE DATA'!E30="723.1", LEFT('CASE DATA'!E30,3)="724", LEFT('CASE DATA'!E30,3)="726", LEFT('CASE DATA'!E30,3)="728", LEFT('CASE DATA'!E30,4)="901A"),"ineligible misd", "eligible"),"N/A")</f>
        <v>N/A</v>
      </c>
      <c r="N29" s="185" t="str">
        <f>IF(L29="eligible",IF(COUNTIF('CASE DATA'!$C$4:$C$200, "")-COUNTIF('CASE DATA'!$A$4:$A$200, "")&gt;0, "YES","NO"),"N/A")</f>
        <v>N/A</v>
      </c>
      <c r="O29" s="185" t="str">
        <f xml:space="preserve"> IF(M29="eligible",'CASE DATA'!K30,"N/A")</f>
        <v>N/A</v>
      </c>
      <c r="P29" s="185" t="str">
        <f xml:space="preserve"> IF(M29="eligible",'CASE DATA'!I30+'CASE DATA'!J30+'CASE DATA'!L30+'CASE DATA'!M30+'CASE DATA'!N30+'CASE DATA'!O30+'CASE DATA'!M30+'CASE DATA'!Q30+'CASE DATA'!R30,"N/A")</f>
        <v>N/A</v>
      </c>
      <c r="Q29" s="11" t="str">
        <f>IF(M29="eligible",IF(C29+730.5&lt;'BASIC INFO'!$B$3, "YES", "NO"),"N/A")</f>
        <v>N/A</v>
      </c>
      <c r="R29" s="186" t="str">
        <f xml:space="preserve"> IF(OR('CASE DATA'!F30="DEF"), "YES", "NO")</f>
        <v>NO</v>
      </c>
      <c r="S29" s="162" t="str">
        <f>IF(R29="YES",'CASE DATA'!H30,"N/A")</f>
        <v>N/A</v>
      </c>
      <c r="T29" s="185" t="str">
        <f xml:space="preserve"> IF(R29="YES",'CASE DATA'!K30,"N/A")</f>
        <v>N/A</v>
      </c>
      <c r="U29" s="185" t="str">
        <f>IF(R29="YES",'CASE DATA'!I30+'CASE DATA'!J30+'CASE DATA'!L30+'CASE DATA'!M30+'CASE DATA'!N30+'CASE DATA'!O30+'CASE DATA'!P30+'CASE DATA'!Q30+'CASE DATA'!R30,"N/A")</f>
        <v>N/A</v>
      </c>
      <c r="V29" s="189" t="str">
        <f>IF(OR('CASE DATA'!E30="123.46",'CASE DATA'!E30="123.47"),"YES","NO")</f>
        <v>NO</v>
      </c>
      <c r="W29" s="189"/>
      <c r="X29" s="185" t="str">
        <f>IF(V29="YES",IF(C29+730.5&lt;'BASIC INFO'!$B$3, "YES","NO"), "N/A")</f>
        <v>N/A</v>
      </c>
      <c r="Y29" s="189" t="str">
        <f t="shared" si="0"/>
        <v>NO</v>
      </c>
      <c r="Z29" s="187" t="str">
        <f xml:space="preserve"> IF('BASIC INFO'!$B$6+6574.5&gt;C29, "YES", "NO")</f>
        <v>YES</v>
      </c>
    </row>
    <row r="30" spans="1:26" x14ac:dyDescent="0.25">
      <c r="A30" s="162">
        <f xml:space="preserve"> 'CASE DATA'!A31</f>
        <v>0</v>
      </c>
      <c r="B30" s="162">
        <f xml:space="preserve"> 'CASE DATA'!E31</f>
        <v>0</v>
      </c>
      <c r="C30" s="163">
        <f xml:space="preserve"> 'CASE DATA'!C31</f>
        <v>0</v>
      </c>
      <c r="D30" s="11" t="str">
        <f xml:space="preserve"> IF(OR('CASE DATA'!F31="JUV", 'CASE DATA'!F31="JWV"), "YES", "NO")</f>
        <v>NO</v>
      </c>
      <c r="E30" s="11"/>
      <c r="F30" s="11" t="str">
        <f>IF(D30="YES",IF(COUNTIF('CASE DATA'!$C$4:$C$200, "")-COUNTIF('CASE DATA'!$A$4:$A$200, "")&gt;0, "YES","NO"),"N/A")</f>
        <v>N/A</v>
      </c>
      <c r="G30" s="164" t="str">
        <f xml:space="preserve"> _xlfn.IFS(D30="NO", "N/A", AND('BASIC INFO'!$B$3&gt;'BASIC INFO'!$B$6+6574.5, C30+730.5&lt;'BASIC INFO'!$B$3), "YES", 'BASIC INFO'!$B$3&lt;('BASIC INFO'!$B$6+6574.5), "NOT YET 18", C30+730.5&gt;'BASIC INFO'!$B$3, "NOT YET 2 YEARS")</f>
        <v>N/A</v>
      </c>
      <c r="H30" s="186" t="str">
        <f xml:space="preserve"> IF(LEFT('CASE DATA'!E31,4)&lt;&gt;"321.",IF(OR('CASE DATA'!F31="DISM", 'CASE DATA'!F31="ACQ", 'CASE DATA'!F31="NOTF", 'CASE DATA'!F31="WTHD", 'CASE DATA'!F31="TNSF"), "YES", "NO"), "TRAFFIC")</f>
        <v>NO</v>
      </c>
      <c r="I30" s="185" t="str">
        <f xml:space="preserve"> IF(H30="YES",'CASE DATA'!K31,"N/A")</f>
        <v>N/A</v>
      </c>
      <c r="J30" s="185" t="str">
        <f>IF(H30="YES",'CASE DATA'!I31+'CASE DATA'!J31+'CASE DATA'!L31+'CASE DATA'!M31+'CASE DATA'!N31+'CASE DATA'!O31+'CASE DATA'!P31+'CASE DATA'!Q31+'CASE DATA'!R31,"N/A")</f>
        <v>N/A</v>
      </c>
      <c r="K30" s="162" t="str">
        <f xml:space="preserve"> IF(H30="YES",IF(C30+180&lt;'BASIC INFO'!$B$3, "YES", "NO"),"N/A")</f>
        <v>N/A</v>
      </c>
      <c r="L30" s="185" t="str">
        <f>IF(OR('CASE DATA'!F31="GTR", 'CASE DATA'!F31="GPL"),IF(OR('CASE DATA'!E31="81.6(2)", 'CASE DATA'!E31="99F.15(6)(b)(1)", 'CASE DATA'!E31= "124.401(1)(a)", 'CASE DATA'!E31= "124.401(1)(b)", 'CASE DATA'!E31= "124.401(1)(c)", 'CASE DATA'!E31= "124.401(1)(d)", 'CASE DATA'!E31="124.401(4)", 'CASE DATA'!E31="124.401(1)(b)", 'CASE DATA'!E31="124.401(1)(c)", 'CASE DATA'!E31="124.401D(2)(b)", 'CASE DATA'!E31="124.401D(2)(c)", 'CASE DATA'!E31="124.406(1)(a)", 'CASE DATA'!E31="124.406(1)(b) ", 'CASE DATA'!E31="124.406(2)(a)", 'CASE DATA'!E31="124.406(2)(b) ", 'CASE DATA'!E31="124.406(3)", 'CASE DATA'!E31="124.406A ", 'CASE DATA'!E31="124.407(2)(a)", 'CASE DATA'!E31="124B.9(1)", 'CASE DATA'!E31="124B.9(2)", 'CASE DATA'!E31="321J.2(2)(c)", 'CASE DATA'!E31="453B.12(2)", 'CASE DATA'!E31="453B.12(3)", 'CASE DATA'!E31="453B.12(4)", 'CASE DATA'!E31="462A.14(2)(c)", 'CASE DATA'!E31="462A.14(2)(d)", 'CASE DATA'!E31="462A.14(2)(e)", 'CASE DATA'!E31="705.1(2)", 'CASE DATA'!E31="706.3(1)", 'CASE DATA'!E31="706.3(2)", 'CASE DATA'!E31="706A.2(1)", 'CASE DATA'!E31="706A.2(2)", 'CASE DATA'!E31="706A.2(4)", 'CASE DATA'!E31="706B.2(1)(a)", 'CASE DATA'!E31="706B.2(1)(b)", 'CASE DATA'!E31="706B.2(1)(c)", 'CASE DATA'!E31="706B.2(1)(d)", 'CASE DATA'!E31="707.2", 'CASE DATA'!E31="707.3", 'CASE DATA'!E31="707.3A", 'CASE DATA'!E31="707.4", 'CASE DATA'!E31="707.5(1)(a)", 'CASE DATA'!E31="707.6A(1)", 'CASE DATA'!E31="707.6A(2)", 'CASE DATA'!E31="707.6A(3)", 'CASE DATA'!E31="707.6A(4)", 'CASE DATA'!E31="707.7(1)", 'CASE DATA'!E31="707.7(3)", 'CASE DATA'!E31="707.7(2)", 'CASE DATA'!E31="707.8(1)", 'CASE DATA'!E31="707.8(2)", 'CASE DATA'!E31="707.8(3)", 'CASE DATA'!E31="707.8(4)", 'CASE DATA'!E31="707.8(5)", 'CASE DATA'!E31="707.8(6)", 'CASE DATA'!E31="707.9", 'CASE DATA'!E31="707.11", 'CASE DATA'!E31="707A.2", 'CASE DATA'!E31="708.2(4)", 'CASE DATA'!E31="708.2(5)", 'CASE DATA'!E31="708.2A(4)", 'CASE DATA'!E31="708.2A(5)", 'CASE DATA'!E31="708.2C(2)", 'CASE DATA'!E31="708.2C(4)", 'CASE DATA'!E31="708.3(1)", 'CASE DATA'!E31="708.3(2)", 'CASE DATA'!E31="708.3A(1)", 'CASE DATA'!E31="708.3A(2)", 'CASE DATA'!E31="708.3B", 'CASE DATA'!E31="708.4(1)", 'CASE DATA'!E31="708.4(2)", 'CASE DATA'!E31="708.5", 'CASE DATA'!E31="708.8", 'CASE DATA'!E31="708.11(3)(a)", 'CASE DATA'!E31="708.11(3)(b)", 'CASE DATA'!E31="708.12(3)(f)", 'CASE DATA'!E31="708.13(3)", 'CASE DATA'!E31="708.14", 'CASE DATA'!E31="708A.2", 'CASE DATA'!E31="708A.4(1)", 'CASE DATA'!E31="708A.4(2)", 'CASE DATA'!E31="708A.5", 'CASE DATA'!E31="708A.6(1)", 'CASE DATA'!E31="708.A.6(2)", 'CASE DATA'!E31="709.2", 'CASE DATA'!E31="709.3", 'CASE DATA'!E31="709.4", 'CASE DATA'!E31="709.8(1)(a)", 'CASE DATA'!E31="709.8(1)(b)", 'CASE DATA'!E31="709.8(1)(c)", 'CASE DATA'!E31="709.8(1)(d)", 'CASE DATA'!E31="709.8(1)(e)", 'CASE DATA'!E31="709.11(1)", 'CASE DATA'!E31="709.11(2)", 'CASE DATA'!E31="709.15(2)(a)(1)", 'CASE DATA'!E31="709.15(3)(a)(1)", 'CASE DATA'!E31="709.18", 'CASE DATA'!E31="709A.6(2)", 'CASE DATA'!E31="709D.3(1)", 'CASE DATA'!E31="709D.3(2)", 'CASE DATA'!E31="709.D.3(3)", 'CASE DATA'!E31="710.2", 'CASE DATA'!E31="710.3", 'CASE DATA'!E31="710.4", 'CASE DATA'!E31="710.5", 'CASE DATA'!E31="710.10(1)", 'CASE DATA'!E31="710.10(2)", 'CASE DATA'!E31="710.10(3)", 'CASE DATA'!E31="710.11", 'CASE DATA'!E31="710A.2(1)", 'CASE DATA'!E31="710A.2(2)", 'CASE DATA'!E31="710A.2(3)", 'CASE DATA'!E31="710A.2(4)", 'CASE DATA'!E31="710A.2(5)", 'CASE DATA'!E31="710A.2(6)", 'CASE DATA'!E31="710A.2(7)", 'CASE DATA'!E31="710A.2A", 'CASE DATA'!E31="711.2", 'CASE DATA'!E31="711.3", 'CASE DATA'!E31="711.4", 'CASE DATA'!E31="712.2", 'CASE DATA'!E31="712.3", 'CASE DATA'!E31="712.6(1)", 'CASE DATA'!E31="712.7", 'CASE DATA'!E31="712.8", 'CASE DATA'!E31="", 'CASE DATA'!E31="713.3", 'CASE DATA'!E31="713.4", 'CASE DATA'!E31="713.5", 'CASE DATA'!E31="713.6", 'CASE DATA'!E31="713.6A(1)", 'CASE DATA'!E31="714.2(1)", 'CASE DATA'!E31="714.2(2)", 'CASE DATA'!E31="714.3A(2)(b)", 'CASE DATA'!E31="714.9", 'CASE DATA'!E31="714.10", 'CASE DATA'!E31="714.26(2)(a)", 'CASE DATA'!E31="714.26(2)(b)", 'CASE DATA'!E31="715A.2(2)(a)", 'CASE DATA'!E31="715A.6(2)(a)", 'CASE DATA'!E31="715A.6(2)(b)", 'CASE DATA'!E31="715A.8(3)(a)", 'CASE DATA'!E31="715A.8(3)(b)", 'CASE DATA'!E31="715A.10(1)", 'CASE DATA'!E31="715A.10(2)", 'CASE DATA'!E31="716.3", 'CASE DATA'!E31="716.4", 'CASE DATA'!E31="716.8(6)", 'CASE DATA'!E31="716.10(2)(a)", 'CASE DATA'!E31="716.10(2)(b)", 'CASE DATA'!E31="716.10(2)(c)", 'CASE DATA'!E31="716.10(2)(d)", 'CASE DATA'!E31="716.12", 'CASE DATA'!E31="719.1(1)(f)", 'CASE DATA'!E31="719.1(2)(e)", 'CASE DATA'!E31="719.1(2)(f)", 'CASE DATA'!E31="719.1(2)(g)", 'CASE DATA'!E31="719.4(1)", 'CASE DATA'!E31="719.4(4)", 'CASE DATA'!E31="719.5(1)", 'CASE DATA'!E31="719.5(2)", 'CASE DATA'!E31="719.6(1)", 'CASE DATA'!E31="719.6(2)", 'CASE DATA'!E31="719.7(4)(a)", 'CASE DATA'!E31="719.7(4)(b)", 'CASE DATA'!E31="719.7A(3)", 'CASE DATA'!E31="719.9", 'CASE DATA'!E31="719.8", 'CASE DATA'!E31="720.2", 'CASE DATA'!E31="720.3", 'CASE DATA'!E31="721.1", 'CASE DATA'!E31="722.1", 'CASE DATA'!E31="", 'CASE DATA'!E31="722.2", 'CASE DATA'!E31="722.10", 'CASE DATA'!E31="723(5)(3)(c)", 'CASE DATA'!E31="723A.2", 'CASE DATA'!E31="723A.3(1)", 'CASE DATA'!E31="723A.3(2)", 'CASE DATA'!E31="724.1B", 'CASE DATA'!E31="724.1C", 'CASE DATA'!E31="724.3", 'CASE DATA'!E31="724.4B", 'CASE DATA'!E31="724.10", 'CASE DATA'!E31="724.16(2)", 'CASE DATA'!E31="724.16A(1)(a)", 'CASE DATA'!E31="724.16A(1)(b)", 'CASE DATA'!E31="724.17", 'CASE DATA'!E31="724.21", 'CASE DATA'!E31="724.26(1)", 'CASE DATA'!E31="922(g)(8)", 'CASE DATA'!E31="724.29A(2)", 'CASE DATA'!E31="724.29A(3)", 'CASE DATA'!E31="724.30(1)", 'CASE DATA'!E31="724.30(2)", 'CASE DATA'!E31="725.1(2)(b)", 'CASE DATA'!E31="725.2(1)", 'CASE DATA'!E31="725.2(2)", 'CASE DATA'!E31="725.3(2)", 'CASE DATA'!E31="725.3(1)", 'CASE DATA'!E31="725.7(2)(a)(3)", 'CASE DATA'!E31="725.7(2)(a)(4)", 'CASE DATA'!E31="725.7(2)(b)(2)", 'CASE DATA'!E31="725.7(2)(b(3)", 'CASE DATA'!E31="726.7(2)(c)(1)", 'CASE DATA'!E31="726.7(2)(c)(2)", 'CASE DATA'!E31="725.7(2)(d)", 'CASE DATA'!E31="726.2", 'CASE DATA'!E31="726.3", 'CASE DATA'!E31="726.5", 'CASE DATA'!E31="726.6(4)", 'CASE DATA'!E31="726.6(5)", 'CASE DATA'!E31="726.6(6)", 'CASE DATA'!E31="726.6A", 'CASE DATA'!E31="726.7(2)", 'CASE DATA'!E31="726.8(2)", 'CASE DATA'!E31="728.12(1)", 'CASE DATA'!E31="728.12(2)"),"felony","eligible"),"N/A")</f>
        <v>N/A</v>
      </c>
      <c r="M30" s="185" t="str">
        <f>IF(L30="eligible",IF(OR('CASE DATA'!E31="123.46",'CASE DATA'!E31="123.47",'CASE DATA'!E31="235B.20",'CASE DATA'!E31="321.218",'CASE DATA'!E31="321A.32",'CASE DATA'!E31="321J.21",'CASE DATA'!E31="321J.2",'CASE DATA'!E31="707.5",'CASE DATA'!E31="708.2(3)",'CASE DATA'!E31="708.2A",'CASE DATA'!E31="708.7",'CASE DATA'!E31="708.11",'CASE DATA'!E31="708.12",'CASE DATA'!E31="716.8(3)",'CASE DATA'!E31="716.8(4)", LEFT('CASE DATA'!E31,4)="717C", LEFT('CASE DATA'!E31, 3)="719", LEFT('CASE DATA'!E31,3)="720", 'CASE DATA'!E31="721.2", 'CASE DATA'!E31="721.10", 'CASE DATA'!E31="723.1", LEFT('CASE DATA'!E31,3)="724", LEFT('CASE DATA'!E31,3)="726", LEFT('CASE DATA'!E31,3)="728", LEFT('CASE DATA'!E31,4)="901A"),"ineligible misd", "eligible"),"N/A")</f>
        <v>N/A</v>
      </c>
      <c r="N30" s="185" t="str">
        <f>IF(L30="eligible",IF(COUNTIF('CASE DATA'!$C$4:$C$200, "")-COUNTIF('CASE DATA'!$A$4:$A$200, "")&gt;0, "YES","NO"),"N/A")</f>
        <v>N/A</v>
      </c>
      <c r="O30" s="185" t="str">
        <f xml:space="preserve"> IF(M30="eligible",'CASE DATA'!K31,"N/A")</f>
        <v>N/A</v>
      </c>
      <c r="P30" s="185" t="str">
        <f xml:space="preserve"> IF(M30="eligible",'CASE DATA'!I31+'CASE DATA'!J31+'CASE DATA'!L31+'CASE DATA'!M31+'CASE DATA'!N31+'CASE DATA'!O31+'CASE DATA'!M31+'CASE DATA'!Q31+'CASE DATA'!R31,"N/A")</f>
        <v>N/A</v>
      </c>
      <c r="Q30" s="11" t="str">
        <f>IF(M30="eligible",IF(C30+730.5&lt;'BASIC INFO'!$B$3, "YES", "NO"),"N/A")</f>
        <v>N/A</v>
      </c>
      <c r="R30" s="186" t="str">
        <f xml:space="preserve"> IF(OR('CASE DATA'!F31="DEF"), "YES", "NO")</f>
        <v>NO</v>
      </c>
      <c r="S30" s="162" t="str">
        <f>IF(R30="YES",'CASE DATA'!H31,"N/A")</f>
        <v>N/A</v>
      </c>
      <c r="T30" s="185" t="str">
        <f xml:space="preserve"> IF(R30="YES",'CASE DATA'!K31,"N/A")</f>
        <v>N/A</v>
      </c>
      <c r="U30" s="185" t="str">
        <f>IF(R30="YES",'CASE DATA'!I31+'CASE DATA'!J31+'CASE DATA'!L31+'CASE DATA'!M31+'CASE DATA'!N31+'CASE DATA'!O31+'CASE DATA'!P31+'CASE DATA'!Q31+'CASE DATA'!R31,"N/A")</f>
        <v>N/A</v>
      </c>
      <c r="V30" s="189" t="str">
        <f>IF(OR('CASE DATA'!E31="123.46",'CASE DATA'!E31="123.47"),"YES","NO")</f>
        <v>NO</v>
      </c>
      <c r="W30" s="189"/>
      <c r="X30" s="185" t="str">
        <f>IF(V30="YES",IF(C30+730.5&lt;'BASIC INFO'!$B$3, "YES","NO"), "N/A")</f>
        <v>N/A</v>
      </c>
      <c r="Y30" s="189" t="str">
        <f t="shared" si="0"/>
        <v>NO</v>
      </c>
      <c r="Z30" s="187" t="str">
        <f xml:space="preserve"> IF('BASIC INFO'!$B$6+6574.5&gt;C30, "YES", "NO")</f>
        <v>YES</v>
      </c>
    </row>
    <row r="31" spans="1:26" x14ac:dyDescent="0.25">
      <c r="A31" s="162">
        <f xml:space="preserve"> 'CASE DATA'!A32</f>
        <v>0</v>
      </c>
      <c r="B31" s="162">
        <f xml:space="preserve"> 'CASE DATA'!E32</f>
        <v>0</v>
      </c>
      <c r="C31" s="163">
        <f xml:space="preserve"> 'CASE DATA'!C32</f>
        <v>0</v>
      </c>
      <c r="D31" s="11" t="str">
        <f xml:space="preserve"> IF(OR('CASE DATA'!F32="JUV", 'CASE DATA'!F32="JWV"), "YES", "NO")</f>
        <v>NO</v>
      </c>
      <c r="E31" s="11"/>
      <c r="F31" s="11" t="str">
        <f>IF(D31="YES",IF(COUNTIF('CASE DATA'!$C$4:$C$200, "")-COUNTIF('CASE DATA'!$A$4:$A$200, "")&gt;0, "YES","NO"),"N/A")</f>
        <v>N/A</v>
      </c>
      <c r="G31" s="164" t="str">
        <f xml:space="preserve"> _xlfn.IFS(D31="NO", "N/A", AND('BASIC INFO'!$B$3&gt;'BASIC INFO'!$B$6+6574.5, C31+730.5&lt;'BASIC INFO'!$B$3), "YES", 'BASIC INFO'!$B$3&lt;('BASIC INFO'!$B$6+6574.5), "NOT YET 18", C31+730.5&gt;'BASIC INFO'!$B$3, "NOT YET 2 YEARS")</f>
        <v>N/A</v>
      </c>
      <c r="H31" s="186" t="str">
        <f xml:space="preserve"> IF(LEFT('CASE DATA'!E32,4)&lt;&gt;"321.",IF(OR('CASE DATA'!F32="DISM", 'CASE DATA'!F32="ACQ", 'CASE DATA'!F32="NOTF", 'CASE DATA'!F32="WTHD", 'CASE DATA'!F32="TNSF"), "YES", "NO"), "TRAFFIC")</f>
        <v>NO</v>
      </c>
      <c r="I31" s="185" t="str">
        <f xml:space="preserve"> IF(H31="YES",'CASE DATA'!K32,"N/A")</f>
        <v>N/A</v>
      </c>
      <c r="J31" s="185" t="str">
        <f>IF(H31="YES",'CASE DATA'!I32+'CASE DATA'!J32+'CASE DATA'!L32+'CASE DATA'!M32+'CASE DATA'!N32+'CASE DATA'!O32+'CASE DATA'!P32+'CASE DATA'!Q32+'CASE DATA'!R32,"N/A")</f>
        <v>N/A</v>
      </c>
      <c r="K31" s="162" t="str">
        <f xml:space="preserve"> IF(H31="YES",IF(C31+180&lt;'BASIC INFO'!$B$3, "YES", "NO"),"N/A")</f>
        <v>N/A</v>
      </c>
      <c r="L31" s="185" t="str">
        <f>IF(OR('CASE DATA'!F32="GTR", 'CASE DATA'!F32="GPL"),IF(OR('CASE DATA'!E32="81.6(2)", 'CASE DATA'!E32="99F.15(6)(b)(1)", 'CASE DATA'!E32= "124.401(1)(a)", 'CASE DATA'!E32= "124.401(1)(b)", 'CASE DATA'!E32= "124.401(1)(c)", 'CASE DATA'!E32= "124.401(1)(d)", 'CASE DATA'!E32="124.401(4)", 'CASE DATA'!E32="124.401(1)(b)", 'CASE DATA'!E32="124.401(1)(c)", 'CASE DATA'!E32="124.401D(2)(b)", 'CASE DATA'!E32="124.401D(2)(c)", 'CASE DATA'!E32="124.406(1)(a)", 'CASE DATA'!E32="124.406(1)(b) ", 'CASE DATA'!E32="124.406(2)(a)", 'CASE DATA'!E32="124.406(2)(b) ", 'CASE DATA'!E32="124.406(3)", 'CASE DATA'!E32="124.406A ", 'CASE DATA'!E32="124.407(2)(a)", 'CASE DATA'!E32="124B.9(1)", 'CASE DATA'!E32="124B.9(2)", 'CASE DATA'!E32="321J.2(2)(c)", 'CASE DATA'!E32="453B.12(2)", 'CASE DATA'!E32="453B.12(3)", 'CASE DATA'!E32="453B.12(4)", 'CASE DATA'!E32="462A.14(2)(c)", 'CASE DATA'!E32="462A.14(2)(d)", 'CASE DATA'!E32="462A.14(2)(e)", 'CASE DATA'!E32="705.1(2)", 'CASE DATA'!E32="706.3(1)", 'CASE DATA'!E32="706.3(2)", 'CASE DATA'!E32="706A.2(1)", 'CASE DATA'!E32="706A.2(2)", 'CASE DATA'!E32="706A.2(4)", 'CASE DATA'!E32="706B.2(1)(a)", 'CASE DATA'!E32="706B.2(1)(b)", 'CASE DATA'!E32="706B.2(1)(c)", 'CASE DATA'!E32="706B.2(1)(d)", 'CASE DATA'!E32="707.2", 'CASE DATA'!E32="707.3", 'CASE DATA'!E32="707.3A", 'CASE DATA'!E32="707.4", 'CASE DATA'!E32="707.5(1)(a)", 'CASE DATA'!E32="707.6A(1)", 'CASE DATA'!E32="707.6A(2)", 'CASE DATA'!E32="707.6A(3)", 'CASE DATA'!E32="707.6A(4)", 'CASE DATA'!E32="707.7(1)", 'CASE DATA'!E32="707.7(3)", 'CASE DATA'!E32="707.7(2)", 'CASE DATA'!E32="707.8(1)", 'CASE DATA'!E32="707.8(2)", 'CASE DATA'!E32="707.8(3)", 'CASE DATA'!E32="707.8(4)", 'CASE DATA'!E32="707.8(5)", 'CASE DATA'!E32="707.8(6)", 'CASE DATA'!E32="707.9", 'CASE DATA'!E32="707.11", 'CASE DATA'!E32="707A.2", 'CASE DATA'!E32="708.2(4)", 'CASE DATA'!E32="708.2(5)", 'CASE DATA'!E32="708.2A(4)", 'CASE DATA'!E32="708.2A(5)", 'CASE DATA'!E32="708.2C(2)", 'CASE DATA'!E32="708.2C(4)", 'CASE DATA'!E32="708.3(1)", 'CASE DATA'!E32="708.3(2)", 'CASE DATA'!E32="708.3A(1)", 'CASE DATA'!E32="708.3A(2)", 'CASE DATA'!E32="708.3B", 'CASE DATA'!E32="708.4(1)", 'CASE DATA'!E32="708.4(2)", 'CASE DATA'!E32="708.5", 'CASE DATA'!E32="708.8", 'CASE DATA'!E32="708.11(3)(a)", 'CASE DATA'!E32="708.11(3)(b)", 'CASE DATA'!E32="708.12(3)(f)", 'CASE DATA'!E32="708.13(3)", 'CASE DATA'!E32="708.14", 'CASE DATA'!E32="708A.2", 'CASE DATA'!E32="708A.4(1)", 'CASE DATA'!E32="708A.4(2)", 'CASE DATA'!E32="708A.5", 'CASE DATA'!E32="708A.6(1)", 'CASE DATA'!E32="708.A.6(2)", 'CASE DATA'!E32="709.2", 'CASE DATA'!E32="709.3", 'CASE DATA'!E32="709.4", 'CASE DATA'!E32="709.8(1)(a)", 'CASE DATA'!E32="709.8(1)(b)", 'CASE DATA'!E32="709.8(1)(c)", 'CASE DATA'!E32="709.8(1)(d)", 'CASE DATA'!E32="709.8(1)(e)", 'CASE DATA'!E32="709.11(1)", 'CASE DATA'!E32="709.11(2)", 'CASE DATA'!E32="709.15(2)(a)(1)", 'CASE DATA'!E32="709.15(3)(a)(1)", 'CASE DATA'!E32="709.18", 'CASE DATA'!E32="709A.6(2)", 'CASE DATA'!E32="709D.3(1)", 'CASE DATA'!E32="709D.3(2)", 'CASE DATA'!E32="709.D.3(3)", 'CASE DATA'!E32="710.2", 'CASE DATA'!E32="710.3", 'CASE DATA'!E32="710.4", 'CASE DATA'!E32="710.5", 'CASE DATA'!E32="710.10(1)", 'CASE DATA'!E32="710.10(2)", 'CASE DATA'!E32="710.10(3)", 'CASE DATA'!E32="710.11", 'CASE DATA'!E32="710A.2(1)", 'CASE DATA'!E32="710A.2(2)", 'CASE DATA'!E32="710A.2(3)", 'CASE DATA'!E32="710A.2(4)", 'CASE DATA'!E32="710A.2(5)", 'CASE DATA'!E32="710A.2(6)", 'CASE DATA'!E32="710A.2(7)", 'CASE DATA'!E32="710A.2A", 'CASE DATA'!E32="711.2", 'CASE DATA'!E32="711.3", 'CASE DATA'!E32="711.4", 'CASE DATA'!E32="712.2", 'CASE DATA'!E32="712.3", 'CASE DATA'!E32="712.6(1)", 'CASE DATA'!E32="712.7", 'CASE DATA'!E32="712.8", 'CASE DATA'!E32="", 'CASE DATA'!E32="713.3", 'CASE DATA'!E32="713.4", 'CASE DATA'!E32="713.5", 'CASE DATA'!E32="713.6", 'CASE DATA'!E32="713.6A(1)", 'CASE DATA'!E32="714.2(1)", 'CASE DATA'!E32="714.2(2)", 'CASE DATA'!E32="714.3A(2)(b)", 'CASE DATA'!E32="714.9", 'CASE DATA'!E32="714.10", 'CASE DATA'!E32="714.26(2)(a)", 'CASE DATA'!E32="714.26(2)(b)", 'CASE DATA'!E32="715A.2(2)(a)", 'CASE DATA'!E32="715A.6(2)(a)", 'CASE DATA'!E32="715A.6(2)(b)", 'CASE DATA'!E32="715A.8(3)(a)", 'CASE DATA'!E32="715A.8(3)(b)", 'CASE DATA'!E32="715A.10(1)", 'CASE DATA'!E32="715A.10(2)", 'CASE DATA'!E32="716.3", 'CASE DATA'!E32="716.4", 'CASE DATA'!E32="716.8(6)", 'CASE DATA'!E32="716.10(2)(a)", 'CASE DATA'!E32="716.10(2)(b)", 'CASE DATA'!E32="716.10(2)(c)", 'CASE DATA'!E32="716.10(2)(d)", 'CASE DATA'!E32="716.12", 'CASE DATA'!E32="719.1(1)(f)", 'CASE DATA'!E32="719.1(2)(e)", 'CASE DATA'!E32="719.1(2)(f)", 'CASE DATA'!E32="719.1(2)(g)", 'CASE DATA'!E32="719.4(1)", 'CASE DATA'!E32="719.4(4)", 'CASE DATA'!E32="719.5(1)", 'CASE DATA'!E32="719.5(2)", 'CASE DATA'!E32="719.6(1)", 'CASE DATA'!E32="719.6(2)", 'CASE DATA'!E32="719.7(4)(a)", 'CASE DATA'!E32="719.7(4)(b)", 'CASE DATA'!E32="719.7A(3)", 'CASE DATA'!E32="719.9", 'CASE DATA'!E32="719.8", 'CASE DATA'!E32="720.2", 'CASE DATA'!E32="720.3", 'CASE DATA'!E32="721.1", 'CASE DATA'!E32="722.1", 'CASE DATA'!E32="", 'CASE DATA'!E32="722.2", 'CASE DATA'!E32="722.10", 'CASE DATA'!E32="723(5)(3)(c)", 'CASE DATA'!E32="723A.2", 'CASE DATA'!E32="723A.3(1)", 'CASE DATA'!E32="723A.3(2)", 'CASE DATA'!E32="724.1B", 'CASE DATA'!E32="724.1C", 'CASE DATA'!E32="724.3", 'CASE DATA'!E32="724.4B", 'CASE DATA'!E32="724.10", 'CASE DATA'!E32="724.16(2)", 'CASE DATA'!E32="724.16A(1)(a)", 'CASE DATA'!E32="724.16A(1)(b)", 'CASE DATA'!E32="724.17", 'CASE DATA'!E32="724.21", 'CASE DATA'!E32="724.26(1)", 'CASE DATA'!E32="922(g)(8)", 'CASE DATA'!E32="724.29A(2)", 'CASE DATA'!E32="724.29A(3)", 'CASE DATA'!E32="724.30(1)", 'CASE DATA'!E32="724.30(2)", 'CASE DATA'!E32="725.1(2)(b)", 'CASE DATA'!E32="725.2(1)", 'CASE DATA'!E32="725.2(2)", 'CASE DATA'!E32="725.3(2)", 'CASE DATA'!E32="725.3(1)", 'CASE DATA'!E32="725.7(2)(a)(3)", 'CASE DATA'!E32="725.7(2)(a)(4)", 'CASE DATA'!E32="725.7(2)(b)(2)", 'CASE DATA'!E32="725.7(2)(b(3)", 'CASE DATA'!E32="726.7(2)(c)(1)", 'CASE DATA'!E32="726.7(2)(c)(2)", 'CASE DATA'!E32="725.7(2)(d)", 'CASE DATA'!E32="726.2", 'CASE DATA'!E32="726.3", 'CASE DATA'!E32="726.5", 'CASE DATA'!E32="726.6(4)", 'CASE DATA'!E32="726.6(5)", 'CASE DATA'!E32="726.6(6)", 'CASE DATA'!E32="726.6A", 'CASE DATA'!E32="726.7(2)", 'CASE DATA'!E32="726.8(2)", 'CASE DATA'!E32="728.12(1)", 'CASE DATA'!E32="728.12(2)"),"felony","eligible"),"N/A")</f>
        <v>N/A</v>
      </c>
      <c r="M31" s="185" t="str">
        <f>IF(L31="eligible",IF(OR('CASE DATA'!E32="123.46",'CASE DATA'!E32="123.47",'CASE DATA'!E32="235B.20",'CASE DATA'!E32="321.218",'CASE DATA'!E32="321A.32",'CASE DATA'!E32="321J.21",'CASE DATA'!E32="321J.2",'CASE DATA'!E32="707.5",'CASE DATA'!E32="708.2(3)",'CASE DATA'!E32="708.2A",'CASE DATA'!E32="708.7",'CASE DATA'!E32="708.11",'CASE DATA'!E32="708.12",'CASE DATA'!E32="716.8(3)",'CASE DATA'!E32="716.8(4)", LEFT('CASE DATA'!E32,4)="717C", LEFT('CASE DATA'!E32, 3)="719", LEFT('CASE DATA'!E32,3)="720", 'CASE DATA'!E32="721.2", 'CASE DATA'!E32="721.10", 'CASE DATA'!E32="723.1", LEFT('CASE DATA'!E32,3)="724", LEFT('CASE DATA'!E32,3)="726", LEFT('CASE DATA'!E32,3)="728", LEFT('CASE DATA'!E32,4)="901A"),"ineligible misd", "eligible"),"N/A")</f>
        <v>N/A</v>
      </c>
      <c r="N31" s="185" t="str">
        <f>IF(L31="eligible",IF(COUNTIF('CASE DATA'!$C$4:$C$200, "")-COUNTIF('CASE DATA'!$A$4:$A$200, "")&gt;0, "YES","NO"),"N/A")</f>
        <v>N/A</v>
      </c>
      <c r="O31" s="185" t="str">
        <f xml:space="preserve"> IF(M31="eligible",'CASE DATA'!K32,"N/A")</f>
        <v>N/A</v>
      </c>
      <c r="P31" s="185" t="str">
        <f xml:space="preserve"> IF(M31="eligible",'CASE DATA'!I32+'CASE DATA'!J32+'CASE DATA'!L32+'CASE DATA'!M32+'CASE DATA'!N32+'CASE DATA'!O32+'CASE DATA'!M32+'CASE DATA'!Q32+'CASE DATA'!R32,"N/A")</f>
        <v>N/A</v>
      </c>
      <c r="Q31" s="11" t="str">
        <f>IF(M31="eligible",IF(C31+730.5&lt;'BASIC INFO'!$B$3, "YES", "NO"),"N/A")</f>
        <v>N/A</v>
      </c>
      <c r="R31" s="186" t="str">
        <f xml:space="preserve"> IF(OR('CASE DATA'!F32="DEF"), "YES", "NO")</f>
        <v>NO</v>
      </c>
      <c r="S31" s="162" t="str">
        <f>IF(R31="YES",'CASE DATA'!H32,"N/A")</f>
        <v>N/A</v>
      </c>
      <c r="T31" s="185" t="str">
        <f xml:space="preserve"> IF(R31="YES",'CASE DATA'!K32,"N/A")</f>
        <v>N/A</v>
      </c>
      <c r="U31" s="185" t="str">
        <f>IF(R31="YES",'CASE DATA'!I32+'CASE DATA'!J32+'CASE DATA'!L32+'CASE DATA'!M32+'CASE DATA'!N32+'CASE DATA'!O32+'CASE DATA'!P32+'CASE DATA'!Q32+'CASE DATA'!R32,"N/A")</f>
        <v>N/A</v>
      </c>
      <c r="V31" s="189" t="str">
        <f>IF(OR('CASE DATA'!E32="123.46",'CASE DATA'!E32="123.47"),"YES","NO")</f>
        <v>NO</v>
      </c>
      <c r="W31" s="189"/>
      <c r="X31" s="185" t="str">
        <f>IF(V31="YES",IF(C31+730.5&lt;'BASIC INFO'!$B$3, "YES","NO"), "N/A")</f>
        <v>N/A</v>
      </c>
      <c r="Y31" s="189" t="str">
        <f t="shared" si="0"/>
        <v>NO</v>
      </c>
      <c r="Z31" s="187" t="str">
        <f xml:space="preserve"> IF('BASIC INFO'!$B$6+6574.5&gt;C31, "YES", "NO")</f>
        <v>YES</v>
      </c>
    </row>
    <row r="32" spans="1:26" x14ac:dyDescent="0.25">
      <c r="A32" s="162">
        <f xml:space="preserve"> 'CASE DATA'!A33</f>
        <v>0</v>
      </c>
      <c r="B32" s="162">
        <f xml:space="preserve"> 'CASE DATA'!E33</f>
        <v>0</v>
      </c>
      <c r="C32" s="163">
        <f xml:space="preserve"> 'CASE DATA'!C33</f>
        <v>0</v>
      </c>
      <c r="D32" s="11" t="str">
        <f xml:space="preserve"> IF(OR('CASE DATA'!F33="JUV", 'CASE DATA'!F33="JWV"), "YES", "NO")</f>
        <v>NO</v>
      </c>
      <c r="E32" s="11"/>
      <c r="F32" s="11" t="str">
        <f>IF(D32="YES",IF(COUNTIF('CASE DATA'!$C$4:$C$200, "")-COUNTIF('CASE DATA'!$A$4:$A$200, "")&gt;0, "YES","NO"),"N/A")</f>
        <v>N/A</v>
      </c>
      <c r="G32" s="164" t="str">
        <f xml:space="preserve"> _xlfn.IFS(D32="NO", "N/A", AND('BASIC INFO'!$B$3&gt;'BASIC INFO'!$B$6+6574.5, C32+730.5&lt;'BASIC INFO'!$B$3), "YES", 'BASIC INFO'!$B$3&lt;('BASIC INFO'!$B$6+6574.5), "NOT YET 18", C32+730.5&gt;'BASIC INFO'!$B$3, "NOT YET 2 YEARS")</f>
        <v>N/A</v>
      </c>
      <c r="H32" s="186" t="str">
        <f xml:space="preserve"> IF(LEFT('CASE DATA'!E33,4)&lt;&gt;"321.",IF(OR('CASE DATA'!F33="DISM", 'CASE DATA'!F33="ACQ", 'CASE DATA'!F33="NOTF", 'CASE DATA'!F33="WTHD", 'CASE DATA'!F33="TNSF"), "YES", "NO"), "TRAFFIC")</f>
        <v>NO</v>
      </c>
      <c r="I32" s="185" t="str">
        <f xml:space="preserve"> IF(H32="YES",'CASE DATA'!K33,"N/A")</f>
        <v>N/A</v>
      </c>
      <c r="J32" s="185" t="str">
        <f>IF(H32="YES",'CASE DATA'!I33+'CASE DATA'!J33+'CASE DATA'!L33+'CASE DATA'!M33+'CASE DATA'!N33+'CASE DATA'!O33+'CASE DATA'!P33+'CASE DATA'!Q33+'CASE DATA'!R33,"N/A")</f>
        <v>N/A</v>
      </c>
      <c r="K32" s="162" t="str">
        <f xml:space="preserve"> IF(H32="YES",IF(C32+180&lt;'BASIC INFO'!$B$3, "YES", "NO"),"N/A")</f>
        <v>N/A</v>
      </c>
      <c r="L32" s="185" t="str">
        <f>IF(OR('CASE DATA'!F33="GTR", 'CASE DATA'!F33="GPL"),IF(OR('CASE DATA'!E33="81.6(2)", 'CASE DATA'!E33="99F.15(6)(b)(1)", 'CASE DATA'!E33= "124.401(1)(a)", 'CASE DATA'!E33= "124.401(1)(b)", 'CASE DATA'!E33= "124.401(1)(c)", 'CASE DATA'!E33= "124.401(1)(d)", 'CASE DATA'!E33="124.401(4)", 'CASE DATA'!E33="124.401(1)(b)", 'CASE DATA'!E33="124.401(1)(c)", 'CASE DATA'!E33="124.401D(2)(b)", 'CASE DATA'!E33="124.401D(2)(c)", 'CASE DATA'!E33="124.406(1)(a)", 'CASE DATA'!E33="124.406(1)(b) ", 'CASE DATA'!E33="124.406(2)(a)", 'CASE DATA'!E33="124.406(2)(b) ", 'CASE DATA'!E33="124.406(3)", 'CASE DATA'!E33="124.406A ", 'CASE DATA'!E33="124.407(2)(a)", 'CASE DATA'!E33="124B.9(1)", 'CASE DATA'!E33="124B.9(2)", 'CASE DATA'!E33="321J.2(2)(c)", 'CASE DATA'!E33="453B.12(2)", 'CASE DATA'!E33="453B.12(3)", 'CASE DATA'!E33="453B.12(4)", 'CASE DATA'!E33="462A.14(2)(c)", 'CASE DATA'!E33="462A.14(2)(d)", 'CASE DATA'!E33="462A.14(2)(e)", 'CASE DATA'!E33="705.1(2)", 'CASE DATA'!E33="706.3(1)", 'CASE DATA'!E33="706.3(2)", 'CASE DATA'!E33="706A.2(1)", 'CASE DATA'!E33="706A.2(2)", 'CASE DATA'!E33="706A.2(4)", 'CASE DATA'!E33="706B.2(1)(a)", 'CASE DATA'!E33="706B.2(1)(b)", 'CASE DATA'!E33="706B.2(1)(c)", 'CASE DATA'!E33="706B.2(1)(d)", 'CASE DATA'!E33="707.2", 'CASE DATA'!E33="707.3", 'CASE DATA'!E33="707.3A", 'CASE DATA'!E33="707.4", 'CASE DATA'!E33="707.5(1)(a)", 'CASE DATA'!E33="707.6A(1)", 'CASE DATA'!E33="707.6A(2)", 'CASE DATA'!E33="707.6A(3)", 'CASE DATA'!E33="707.6A(4)", 'CASE DATA'!E33="707.7(1)", 'CASE DATA'!E33="707.7(3)", 'CASE DATA'!E33="707.7(2)", 'CASE DATA'!E33="707.8(1)", 'CASE DATA'!E33="707.8(2)", 'CASE DATA'!E33="707.8(3)", 'CASE DATA'!E33="707.8(4)", 'CASE DATA'!E33="707.8(5)", 'CASE DATA'!E33="707.8(6)", 'CASE DATA'!E33="707.9", 'CASE DATA'!E33="707.11", 'CASE DATA'!E33="707A.2", 'CASE DATA'!E33="708.2(4)", 'CASE DATA'!E33="708.2(5)", 'CASE DATA'!E33="708.2A(4)", 'CASE DATA'!E33="708.2A(5)", 'CASE DATA'!E33="708.2C(2)", 'CASE DATA'!E33="708.2C(4)", 'CASE DATA'!E33="708.3(1)", 'CASE DATA'!E33="708.3(2)", 'CASE DATA'!E33="708.3A(1)", 'CASE DATA'!E33="708.3A(2)", 'CASE DATA'!E33="708.3B", 'CASE DATA'!E33="708.4(1)", 'CASE DATA'!E33="708.4(2)", 'CASE DATA'!E33="708.5", 'CASE DATA'!E33="708.8", 'CASE DATA'!E33="708.11(3)(a)", 'CASE DATA'!E33="708.11(3)(b)", 'CASE DATA'!E33="708.12(3)(f)", 'CASE DATA'!E33="708.13(3)", 'CASE DATA'!E33="708.14", 'CASE DATA'!E33="708A.2", 'CASE DATA'!E33="708A.4(1)", 'CASE DATA'!E33="708A.4(2)", 'CASE DATA'!E33="708A.5", 'CASE DATA'!E33="708A.6(1)", 'CASE DATA'!E33="708.A.6(2)", 'CASE DATA'!E33="709.2", 'CASE DATA'!E33="709.3", 'CASE DATA'!E33="709.4", 'CASE DATA'!E33="709.8(1)(a)", 'CASE DATA'!E33="709.8(1)(b)", 'CASE DATA'!E33="709.8(1)(c)", 'CASE DATA'!E33="709.8(1)(d)", 'CASE DATA'!E33="709.8(1)(e)", 'CASE DATA'!E33="709.11(1)", 'CASE DATA'!E33="709.11(2)", 'CASE DATA'!E33="709.15(2)(a)(1)", 'CASE DATA'!E33="709.15(3)(a)(1)", 'CASE DATA'!E33="709.18", 'CASE DATA'!E33="709A.6(2)", 'CASE DATA'!E33="709D.3(1)", 'CASE DATA'!E33="709D.3(2)", 'CASE DATA'!E33="709.D.3(3)", 'CASE DATA'!E33="710.2", 'CASE DATA'!E33="710.3", 'CASE DATA'!E33="710.4", 'CASE DATA'!E33="710.5", 'CASE DATA'!E33="710.10(1)", 'CASE DATA'!E33="710.10(2)", 'CASE DATA'!E33="710.10(3)", 'CASE DATA'!E33="710.11", 'CASE DATA'!E33="710A.2(1)", 'CASE DATA'!E33="710A.2(2)", 'CASE DATA'!E33="710A.2(3)", 'CASE DATA'!E33="710A.2(4)", 'CASE DATA'!E33="710A.2(5)", 'CASE DATA'!E33="710A.2(6)", 'CASE DATA'!E33="710A.2(7)", 'CASE DATA'!E33="710A.2A", 'CASE DATA'!E33="711.2", 'CASE DATA'!E33="711.3", 'CASE DATA'!E33="711.4", 'CASE DATA'!E33="712.2", 'CASE DATA'!E33="712.3", 'CASE DATA'!E33="712.6(1)", 'CASE DATA'!E33="712.7", 'CASE DATA'!E33="712.8", 'CASE DATA'!E33="", 'CASE DATA'!E33="713.3", 'CASE DATA'!E33="713.4", 'CASE DATA'!E33="713.5", 'CASE DATA'!E33="713.6", 'CASE DATA'!E33="713.6A(1)", 'CASE DATA'!E33="714.2(1)", 'CASE DATA'!E33="714.2(2)", 'CASE DATA'!E33="714.3A(2)(b)", 'CASE DATA'!E33="714.9", 'CASE DATA'!E33="714.10", 'CASE DATA'!E33="714.26(2)(a)", 'CASE DATA'!E33="714.26(2)(b)", 'CASE DATA'!E33="715A.2(2)(a)", 'CASE DATA'!E33="715A.6(2)(a)", 'CASE DATA'!E33="715A.6(2)(b)", 'CASE DATA'!E33="715A.8(3)(a)", 'CASE DATA'!E33="715A.8(3)(b)", 'CASE DATA'!E33="715A.10(1)", 'CASE DATA'!E33="715A.10(2)", 'CASE DATA'!E33="716.3", 'CASE DATA'!E33="716.4", 'CASE DATA'!E33="716.8(6)", 'CASE DATA'!E33="716.10(2)(a)", 'CASE DATA'!E33="716.10(2)(b)", 'CASE DATA'!E33="716.10(2)(c)", 'CASE DATA'!E33="716.10(2)(d)", 'CASE DATA'!E33="716.12", 'CASE DATA'!E33="719.1(1)(f)", 'CASE DATA'!E33="719.1(2)(e)", 'CASE DATA'!E33="719.1(2)(f)", 'CASE DATA'!E33="719.1(2)(g)", 'CASE DATA'!E33="719.4(1)", 'CASE DATA'!E33="719.4(4)", 'CASE DATA'!E33="719.5(1)", 'CASE DATA'!E33="719.5(2)", 'CASE DATA'!E33="719.6(1)", 'CASE DATA'!E33="719.6(2)", 'CASE DATA'!E33="719.7(4)(a)", 'CASE DATA'!E33="719.7(4)(b)", 'CASE DATA'!E33="719.7A(3)", 'CASE DATA'!E33="719.9", 'CASE DATA'!E33="719.8", 'CASE DATA'!E33="720.2", 'CASE DATA'!E33="720.3", 'CASE DATA'!E33="721.1", 'CASE DATA'!E33="722.1", 'CASE DATA'!E33="", 'CASE DATA'!E33="722.2", 'CASE DATA'!E33="722.10", 'CASE DATA'!E33="723(5)(3)(c)", 'CASE DATA'!E33="723A.2", 'CASE DATA'!E33="723A.3(1)", 'CASE DATA'!E33="723A.3(2)", 'CASE DATA'!E33="724.1B", 'CASE DATA'!E33="724.1C", 'CASE DATA'!E33="724.3", 'CASE DATA'!E33="724.4B", 'CASE DATA'!E33="724.10", 'CASE DATA'!E33="724.16(2)", 'CASE DATA'!E33="724.16A(1)(a)", 'CASE DATA'!E33="724.16A(1)(b)", 'CASE DATA'!E33="724.17", 'CASE DATA'!E33="724.21", 'CASE DATA'!E33="724.26(1)", 'CASE DATA'!E33="922(g)(8)", 'CASE DATA'!E33="724.29A(2)", 'CASE DATA'!E33="724.29A(3)", 'CASE DATA'!E33="724.30(1)", 'CASE DATA'!E33="724.30(2)", 'CASE DATA'!E33="725.1(2)(b)", 'CASE DATA'!E33="725.2(1)", 'CASE DATA'!E33="725.2(2)", 'CASE DATA'!E33="725.3(2)", 'CASE DATA'!E33="725.3(1)", 'CASE DATA'!E33="725.7(2)(a)(3)", 'CASE DATA'!E33="725.7(2)(a)(4)", 'CASE DATA'!E33="725.7(2)(b)(2)", 'CASE DATA'!E33="725.7(2)(b(3)", 'CASE DATA'!E33="726.7(2)(c)(1)", 'CASE DATA'!E33="726.7(2)(c)(2)", 'CASE DATA'!E33="725.7(2)(d)", 'CASE DATA'!E33="726.2", 'CASE DATA'!E33="726.3", 'CASE DATA'!E33="726.5", 'CASE DATA'!E33="726.6(4)", 'CASE DATA'!E33="726.6(5)", 'CASE DATA'!E33="726.6(6)", 'CASE DATA'!E33="726.6A", 'CASE DATA'!E33="726.7(2)", 'CASE DATA'!E33="726.8(2)", 'CASE DATA'!E33="728.12(1)", 'CASE DATA'!E33="728.12(2)"),"felony","eligible"),"N/A")</f>
        <v>N/A</v>
      </c>
      <c r="M32" s="185" t="str">
        <f>IF(L32="eligible",IF(OR('CASE DATA'!E33="123.46",'CASE DATA'!E33="123.47",'CASE DATA'!E33="235B.20",'CASE DATA'!E33="321.218",'CASE DATA'!E33="321A.32",'CASE DATA'!E33="321J.21",'CASE DATA'!E33="321J.2",'CASE DATA'!E33="707.5",'CASE DATA'!E33="708.2(3)",'CASE DATA'!E33="708.2A",'CASE DATA'!E33="708.7",'CASE DATA'!E33="708.11",'CASE DATA'!E33="708.12",'CASE DATA'!E33="716.8(3)",'CASE DATA'!E33="716.8(4)", LEFT('CASE DATA'!E33,4)="717C", LEFT('CASE DATA'!E33, 3)="719", LEFT('CASE DATA'!E33,3)="720", 'CASE DATA'!E33="721.2", 'CASE DATA'!E33="721.10", 'CASE DATA'!E33="723.1", LEFT('CASE DATA'!E33,3)="724", LEFT('CASE DATA'!E33,3)="726", LEFT('CASE DATA'!E33,3)="728", LEFT('CASE DATA'!E33,4)="901A"),"ineligible misd", "eligible"),"N/A")</f>
        <v>N/A</v>
      </c>
      <c r="N32" s="185" t="str">
        <f>IF(L32="eligible",IF(COUNTIF('CASE DATA'!$C$4:$C$200, "")-COUNTIF('CASE DATA'!$A$4:$A$200, "")&gt;0, "YES","NO"),"N/A")</f>
        <v>N/A</v>
      </c>
      <c r="O32" s="185" t="str">
        <f xml:space="preserve"> IF(M32="eligible",'CASE DATA'!K33,"N/A")</f>
        <v>N/A</v>
      </c>
      <c r="P32" s="185" t="str">
        <f xml:space="preserve"> IF(M32="eligible",'CASE DATA'!I33+'CASE DATA'!J33+'CASE DATA'!L33+'CASE DATA'!M33+'CASE DATA'!N33+'CASE DATA'!O33+'CASE DATA'!M33+'CASE DATA'!Q33+'CASE DATA'!R33,"N/A")</f>
        <v>N/A</v>
      </c>
      <c r="Q32" s="11" t="str">
        <f>IF(M32="eligible",IF(C32+730.5&lt;'BASIC INFO'!$B$3, "YES", "NO"),"N/A")</f>
        <v>N/A</v>
      </c>
      <c r="R32" s="186" t="str">
        <f xml:space="preserve"> IF(OR('CASE DATA'!F33="DEF"), "YES", "NO")</f>
        <v>NO</v>
      </c>
      <c r="S32" s="162" t="str">
        <f>IF(R32="YES",'CASE DATA'!H33,"N/A")</f>
        <v>N/A</v>
      </c>
      <c r="T32" s="185" t="str">
        <f xml:space="preserve"> IF(R32="YES",'CASE DATA'!K33,"N/A")</f>
        <v>N/A</v>
      </c>
      <c r="U32" s="185" t="str">
        <f>IF(R32="YES",'CASE DATA'!I33+'CASE DATA'!J33+'CASE DATA'!L33+'CASE DATA'!M33+'CASE DATA'!N33+'CASE DATA'!O33+'CASE DATA'!P33+'CASE DATA'!Q33+'CASE DATA'!R33,"N/A")</f>
        <v>N/A</v>
      </c>
      <c r="V32" s="189" t="str">
        <f>IF(OR('CASE DATA'!E33="123.46",'CASE DATA'!E33="123.47"),"YES","NO")</f>
        <v>NO</v>
      </c>
      <c r="W32" s="189"/>
      <c r="X32" s="185" t="str">
        <f>IF(V32="YES",IF(C32+730.5&lt;'BASIC INFO'!$B$3, "YES","NO"), "N/A")</f>
        <v>N/A</v>
      </c>
      <c r="Y32" s="189" t="str">
        <f t="shared" si="0"/>
        <v>NO</v>
      </c>
      <c r="Z32" s="187" t="str">
        <f xml:space="preserve"> IF('BASIC INFO'!$B$6+6574.5&gt;C32, "YES", "NO")</f>
        <v>YES</v>
      </c>
    </row>
    <row r="33" spans="1:26" x14ac:dyDescent="0.25">
      <c r="A33" s="162">
        <f xml:space="preserve"> 'CASE DATA'!A34</f>
        <v>0</v>
      </c>
      <c r="B33" s="162">
        <f xml:space="preserve"> 'CASE DATA'!E34</f>
        <v>0</v>
      </c>
      <c r="C33" s="163">
        <f xml:space="preserve"> 'CASE DATA'!C34</f>
        <v>0</v>
      </c>
      <c r="D33" s="11" t="str">
        <f xml:space="preserve"> IF(OR('CASE DATA'!F34="JUV", 'CASE DATA'!F34="JWV"), "YES", "NO")</f>
        <v>NO</v>
      </c>
      <c r="E33" s="11"/>
      <c r="F33" s="11" t="str">
        <f>IF(D33="YES",IF(COUNTIF('CASE DATA'!$C$4:$C$200, "")-COUNTIF('CASE DATA'!$A$4:$A$200, "")&gt;0, "YES","NO"),"N/A")</f>
        <v>N/A</v>
      </c>
      <c r="G33" s="164" t="str">
        <f xml:space="preserve"> _xlfn.IFS(D33="NO", "N/A", AND('BASIC INFO'!$B$3&gt;'BASIC INFO'!$B$6+6574.5, C33+730.5&lt;'BASIC INFO'!$B$3), "YES", 'BASIC INFO'!$B$3&lt;('BASIC INFO'!$B$6+6574.5), "NOT YET 18", C33+730.5&gt;'BASIC INFO'!$B$3, "NOT YET 2 YEARS")</f>
        <v>N/A</v>
      </c>
      <c r="H33" s="186" t="str">
        <f xml:space="preserve"> IF(LEFT('CASE DATA'!E34,4)&lt;&gt;"321.",IF(OR('CASE DATA'!F34="DISM", 'CASE DATA'!F34="ACQ", 'CASE DATA'!F34="NOTF", 'CASE DATA'!F34="WTHD", 'CASE DATA'!F34="TNSF"), "YES", "NO"), "TRAFFIC")</f>
        <v>NO</v>
      </c>
      <c r="I33" s="185" t="str">
        <f xml:space="preserve"> IF(H33="YES",'CASE DATA'!K34,"N/A")</f>
        <v>N/A</v>
      </c>
      <c r="J33" s="185" t="str">
        <f>IF(H33="YES",'CASE DATA'!I34+'CASE DATA'!J34+'CASE DATA'!L34+'CASE DATA'!M34+'CASE DATA'!N34+'CASE DATA'!O34+'CASE DATA'!P34+'CASE DATA'!Q34+'CASE DATA'!R34,"N/A")</f>
        <v>N/A</v>
      </c>
      <c r="K33" s="162" t="str">
        <f xml:space="preserve"> IF(H33="YES",IF(C33+180&lt;'BASIC INFO'!$B$3, "YES", "NO"),"N/A")</f>
        <v>N/A</v>
      </c>
      <c r="L33" s="185" t="str">
        <f>IF(OR('CASE DATA'!F34="GTR", 'CASE DATA'!F34="GPL"),IF(OR('CASE DATA'!E34="81.6(2)", 'CASE DATA'!E34="99F.15(6)(b)(1)", 'CASE DATA'!E34= "124.401(1)(a)", 'CASE DATA'!E34= "124.401(1)(b)", 'CASE DATA'!E34= "124.401(1)(c)", 'CASE DATA'!E34= "124.401(1)(d)", 'CASE DATA'!E34="124.401(4)", 'CASE DATA'!E34="124.401(1)(b)", 'CASE DATA'!E34="124.401(1)(c)", 'CASE DATA'!E34="124.401D(2)(b)", 'CASE DATA'!E34="124.401D(2)(c)", 'CASE DATA'!E34="124.406(1)(a)", 'CASE DATA'!E34="124.406(1)(b) ", 'CASE DATA'!E34="124.406(2)(a)", 'CASE DATA'!E34="124.406(2)(b) ", 'CASE DATA'!E34="124.406(3)", 'CASE DATA'!E34="124.406A ", 'CASE DATA'!E34="124.407(2)(a)", 'CASE DATA'!E34="124B.9(1)", 'CASE DATA'!E34="124B.9(2)", 'CASE DATA'!E34="321J.2(2)(c)", 'CASE DATA'!E34="453B.12(2)", 'CASE DATA'!E34="453B.12(3)", 'CASE DATA'!E34="453B.12(4)", 'CASE DATA'!E34="462A.14(2)(c)", 'CASE DATA'!E34="462A.14(2)(d)", 'CASE DATA'!E34="462A.14(2)(e)", 'CASE DATA'!E34="705.1(2)", 'CASE DATA'!E34="706.3(1)", 'CASE DATA'!E34="706.3(2)", 'CASE DATA'!E34="706A.2(1)", 'CASE DATA'!E34="706A.2(2)", 'CASE DATA'!E34="706A.2(4)", 'CASE DATA'!E34="706B.2(1)(a)", 'CASE DATA'!E34="706B.2(1)(b)", 'CASE DATA'!E34="706B.2(1)(c)", 'CASE DATA'!E34="706B.2(1)(d)", 'CASE DATA'!E34="707.2", 'CASE DATA'!E34="707.3", 'CASE DATA'!E34="707.3A", 'CASE DATA'!E34="707.4", 'CASE DATA'!E34="707.5(1)(a)", 'CASE DATA'!E34="707.6A(1)", 'CASE DATA'!E34="707.6A(2)", 'CASE DATA'!E34="707.6A(3)", 'CASE DATA'!E34="707.6A(4)", 'CASE DATA'!E34="707.7(1)", 'CASE DATA'!E34="707.7(3)", 'CASE DATA'!E34="707.7(2)", 'CASE DATA'!E34="707.8(1)", 'CASE DATA'!E34="707.8(2)", 'CASE DATA'!E34="707.8(3)", 'CASE DATA'!E34="707.8(4)", 'CASE DATA'!E34="707.8(5)", 'CASE DATA'!E34="707.8(6)", 'CASE DATA'!E34="707.9", 'CASE DATA'!E34="707.11", 'CASE DATA'!E34="707A.2", 'CASE DATA'!E34="708.2(4)", 'CASE DATA'!E34="708.2(5)", 'CASE DATA'!E34="708.2A(4)", 'CASE DATA'!E34="708.2A(5)", 'CASE DATA'!E34="708.2C(2)", 'CASE DATA'!E34="708.2C(4)", 'CASE DATA'!E34="708.3(1)", 'CASE DATA'!E34="708.3(2)", 'CASE DATA'!E34="708.3A(1)", 'CASE DATA'!E34="708.3A(2)", 'CASE DATA'!E34="708.3B", 'CASE DATA'!E34="708.4(1)", 'CASE DATA'!E34="708.4(2)", 'CASE DATA'!E34="708.5", 'CASE DATA'!E34="708.8", 'CASE DATA'!E34="708.11(3)(a)", 'CASE DATA'!E34="708.11(3)(b)", 'CASE DATA'!E34="708.12(3)(f)", 'CASE DATA'!E34="708.13(3)", 'CASE DATA'!E34="708.14", 'CASE DATA'!E34="708A.2", 'CASE DATA'!E34="708A.4(1)", 'CASE DATA'!E34="708A.4(2)", 'CASE DATA'!E34="708A.5", 'CASE DATA'!E34="708A.6(1)", 'CASE DATA'!E34="708.A.6(2)", 'CASE DATA'!E34="709.2", 'CASE DATA'!E34="709.3", 'CASE DATA'!E34="709.4", 'CASE DATA'!E34="709.8(1)(a)", 'CASE DATA'!E34="709.8(1)(b)", 'CASE DATA'!E34="709.8(1)(c)", 'CASE DATA'!E34="709.8(1)(d)", 'CASE DATA'!E34="709.8(1)(e)", 'CASE DATA'!E34="709.11(1)", 'CASE DATA'!E34="709.11(2)", 'CASE DATA'!E34="709.15(2)(a)(1)", 'CASE DATA'!E34="709.15(3)(a)(1)", 'CASE DATA'!E34="709.18", 'CASE DATA'!E34="709A.6(2)", 'CASE DATA'!E34="709D.3(1)", 'CASE DATA'!E34="709D.3(2)", 'CASE DATA'!E34="709.D.3(3)", 'CASE DATA'!E34="710.2", 'CASE DATA'!E34="710.3", 'CASE DATA'!E34="710.4", 'CASE DATA'!E34="710.5", 'CASE DATA'!E34="710.10(1)", 'CASE DATA'!E34="710.10(2)", 'CASE DATA'!E34="710.10(3)", 'CASE DATA'!E34="710.11", 'CASE DATA'!E34="710A.2(1)", 'CASE DATA'!E34="710A.2(2)", 'CASE DATA'!E34="710A.2(3)", 'CASE DATA'!E34="710A.2(4)", 'CASE DATA'!E34="710A.2(5)", 'CASE DATA'!E34="710A.2(6)", 'CASE DATA'!E34="710A.2(7)", 'CASE DATA'!E34="710A.2A", 'CASE DATA'!E34="711.2", 'CASE DATA'!E34="711.3", 'CASE DATA'!E34="711.4", 'CASE DATA'!E34="712.2", 'CASE DATA'!E34="712.3", 'CASE DATA'!E34="712.6(1)", 'CASE DATA'!E34="712.7", 'CASE DATA'!E34="712.8", 'CASE DATA'!E34="", 'CASE DATA'!E34="713.3", 'CASE DATA'!E34="713.4", 'CASE DATA'!E34="713.5", 'CASE DATA'!E34="713.6", 'CASE DATA'!E34="713.6A(1)", 'CASE DATA'!E34="714.2(1)", 'CASE DATA'!E34="714.2(2)", 'CASE DATA'!E34="714.3A(2)(b)", 'CASE DATA'!E34="714.9", 'CASE DATA'!E34="714.10", 'CASE DATA'!E34="714.26(2)(a)", 'CASE DATA'!E34="714.26(2)(b)", 'CASE DATA'!E34="715A.2(2)(a)", 'CASE DATA'!E34="715A.6(2)(a)", 'CASE DATA'!E34="715A.6(2)(b)", 'CASE DATA'!E34="715A.8(3)(a)", 'CASE DATA'!E34="715A.8(3)(b)", 'CASE DATA'!E34="715A.10(1)", 'CASE DATA'!E34="715A.10(2)", 'CASE DATA'!E34="716.3", 'CASE DATA'!E34="716.4", 'CASE DATA'!E34="716.8(6)", 'CASE DATA'!E34="716.10(2)(a)", 'CASE DATA'!E34="716.10(2)(b)", 'CASE DATA'!E34="716.10(2)(c)", 'CASE DATA'!E34="716.10(2)(d)", 'CASE DATA'!E34="716.12", 'CASE DATA'!E34="719.1(1)(f)", 'CASE DATA'!E34="719.1(2)(e)", 'CASE DATA'!E34="719.1(2)(f)", 'CASE DATA'!E34="719.1(2)(g)", 'CASE DATA'!E34="719.4(1)", 'CASE DATA'!E34="719.4(4)", 'CASE DATA'!E34="719.5(1)", 'CASE DATA'!E34="719.5(2)", 'CASE DATA'!E34="719.6(1)", 'CASE DATA'!E34="719.6(2)", 'CASE DATA'!E34="719.7(4)(a)", 'CASE DATA'!E34="719.7(4)(b)", 'CASE DATA'!E34="719.7A(3)", 'CASE DATA'!E34="719.9", 'CASE DATA'!E34="719.8", 'CASE DATA'!E34="720.2", 'CASE DATA'!E34="720.3", 'CASE DATA'!E34="721.1", 'CASE DATA'!E34="722.1", 'CASE DATA'!E34="", 'CASE DATA'!E34="722.2", 'CASE DATA'!E34="722.10", 'CASE DATA'!E34="723(5)(3)(c)", 'CASE DATA'!E34="723A.2", 'CASE DATA'!E34="723A.3(1)", 'CASE DATA'!E34="723A.3(2)", 'CASE DATA'!E34="724.1B", 'CASE DATA'!E34="724.1C", 'CASE DATA'!E34="724.3", 'CASE DATA'!E34="724.4B", 'CASE DATA'!E34="724.10", 'CASE DATA'!E34="724.16(2)", 'CASE DATA'!E34="724.16A(1)(a)", 'CASE DATA'!E34="724.16A(1)(b)", 'CASE DATA'!E34="724.17", 'CASE DATA'!E34="724.21", 'CASE DATA'!E34="724.26(1)", 'CASE DATA'!E34="922(g)(8)", 'CASE DATA'!E34="724.29A(2)", 'CASE DATA'!E34="724.29A(3)", 'CASE DATA'!E34="724.30(1)", 'CASE DATA'!E34="724.30(2)", 'CASE DATA'!E34="725.1(2)(b)", 'CASE DATA'!E34="725.2(1)", 'CASE DATA'!E34="725.2(2)", 'CASE DATA'!E34="725.3(2)", 'CASE DATA'!E34="725.3(1)", 'CASE DATA'!E34="725.7(2)(a)(3)", 'CASE DATA'!E34="725.7(2)(a)(4)", 'CASE DATA'!E34="725.7(2)(b)(2)", 'CASE DATA'!E34="725.7(2)(b(3)", 'CASE DATA'!E34="726.7(2)(c)(1)", 'CASE DATA'!E34="726.7(2)(c)(2)", 'CASE DATA'!E34="725.7(2)(d)", 'CASE DATA'!E34="726.2", 'CASE DATA'!E34="726.3", 'CASE DATA'!E34="726.5", 'CASE DATA'!E34="726.6(4)", 'CASE DATA'!E34="726.6(5)", 'CASE DATA'!E34="726.6(6)", 'CASE DATA'!E34="726.6A", 'CASE DATA'!E34="726.7(2)", 'CASE DATA'!E34="726.8(2)", 'CASE DATA'!E34="728.12(1)", 'CASE DATA'!E34="728.12(2)"),"felony","eligible"),"N/A")</f>
        <v>N/A</v>
      </c>
      <c r="M33" s="185" t="str">
        <f>IF(L33="eligible",IF(OR('CASE DATA'!E34="123.46",'CASE DATA'!E34="123.47",'CASE DATA'!E34="235B.20",'CASE DATA'!E34="321.218",'CASE DATA'!E34="321A.32",'CASE DATA'!E34="321J.21",'CASE DATA'!E34="321J.2",'CASE DATA'!E34="707.5",'CASE DATA'!E34="708.2(3)",'CASE DATA'!E34="708.2A",'CASE DATA'!E34="708.7",'CASE DATA'!E34="708.11",'CASE DATA'!E34="708.12",'CASE DATA'!E34="716.8(3)",'CASE DATA'!E34="716.8(4)", LEFT('CASE DATA'!E34,4)="717C", LEFT('CASE DATA'!E34, 3)="719", LEFT('CASE DATA'!E34,3)="720", 'CASE DATA'!E34="721.2", 'CASE DATA'!E34="721.10", 'CASE DATA'!E34="723.1", LEFT('CASE DATA'!E34,3)="724", LEFT('CASE DATA'!E34,3)="726", LEFT('CASE DATA'!E34,3)="728", LEFT('CASE DATA'!E34,4)="901A"),"ineligible misd", "eligible"),"N/A")</f>
        <v>N/A</v>
      </c>
      <c r="N33" s="185" t="str">
        <f>IF(L33="eligible",IF(COUNTIF('CASE DATA'!$C$4:$C$200, "")-COUNTIF('CASE DATA'!$A$4:$A$200, "")&gt;0, "YES","NO"),"N/A")</f>
        <v>N/A</v>
      </c>
      <c r="O33" s="185" t="str">
        <f xml:space="preserve"> IF(M33="eligible",'CASE DATA'!K34,"N/A")</f>
        <v>N/A</v>
      </c>
      <c r="P33" s="185" t="str">
        <f xml:space="preserve"> IF(M33="eligible",'CASE DATA'!I34+'CASE DATA'!J34+'CASE DATA'!L34+'CASE DATA'!M34+'CASE DATA'!N34+'CASE DATA'!O34+'CASE DATA'!M34+'CASE DATA'!Q34+'CASE DATA'!R34,"N/A")</f>
        <v>N/A</v>
      </c>
      <c r="Q33" s="11" t="str">
        <f>IF(M33="eligible",IF(C33+730.5&lt;'BASIC INFO'!$B$3, "YES", "NO"),"N/A")</f>
        <v>N/A</v>
      </c>
      <c r="R33" s="186" t="str">
        <f xml:space="preserve"> IF(OR('CASE DATA'!F34="DEF"), "YES", "NO")</f>
        <v>NO</v>
      </c>
      <c r="S33" s="162" t="str">
        <f>IF(R33="YES",'CASE DATA'!H34,"N/A")</f>
        <v>N/A</v>
      </c>
      <c r="T33" s="185" t="str">
        <f xml:space="preserve"> IF(R33="YES",'CASE DATA'!K34,"N/A")</f>
        <v>N/A</v>
      </c>
      <c r="U33" s="185" t="str">
        <f>IF(R33="YES",'CASE DATA'!I34+'CASE DATA'!J34+'CASE DATA'!L34+'CASE DATA'!M34+'CASE DATA'!N34+'CASE DATA'!O34+'CASE DATA'!P34+'CASE DATA'!Q34+'CASE DATA'!R34,"N/A")</f>
        <v>N/A</v>
      </c>
      <c r="V33" s="189" t="str">
        <f>IF(OR('CASE DATA'!E34="123.46",'CASE DATA'!E34="123.47"),"YES","NO")</f>
        <v>NO</v>
      </c>
      <c r="W33" s="189"/>
      <c r="X33" s="185" t="str">
        <f>IF(V33="YES",IF(C33+730.5&lt;'BASIC INFO'!$B$3, "YES","NO"), "N/A")</f>
        <v>N/A</v>
      </c>
      <c r="Y33" s="189" t="str">
        <f t="shared" si="0"/>
        <v>NO</v>
      </c>
      <c r="Z33" s="187" t="str">
        <f xml:space="preserve"> IF('BASIC INFO'!$B$6+6574.5&gt;C33, "YES", "NO")</f>
        <v>YES</v>
      </c>
    </row>
    <row r="34" spans="1:26" x14ac:dyDescent="0.25">
      <c r="A34" s="162">
        <f xml:space="preserve"> 'CASE DATA'!A35</f>
        <v>0</v>
      </c>
      <c r="B34" s="162">
        <f xml:space="preserve"> 'CASE DATA'!E35</f>
        <v>0</v>
      </c>
      <c r="C34" s="163">
        <f xml:space="preserve"> 'CASE DATA'!C35</f>
        <v>0</v>
      </c>
      <c r="D34" s="11" t="str">
        <f xml:space="preserve"> IF(OR('CASE DATA'!F35="JUV", 'CASE DATA'!F35="JWV"), "YES", "NO")</f>
        <v>NO</v>
      </c>
      <c r="E34" s="11"/>
      <c r="F34" s="11" t="str">
        <f>IF(D34="YES",IF(COUNTIF('CASE DATA'!$C$4:$C$200, "")-COUNTIF('CASE DATA'!$A$4:$A$200, "")&gt;0, "YES","NO"),"N/A")</f>
        <v>N/A</v>
      </c>
      <c r="G34" s="164" t="str">
        <f xml:space="preserve"> _xlfn.IFS(D34="NO", "N/A", AND('BASIC INFO'!$B$3&gt;'BASIC INFO'!$B$6+6574.5, C34+730.5&lt;'BASIC INFO'!$B$3), "YES", 'BASIC INFO'!$B$3&lt;('BASIC INFO'!$B$6+6574.5), "NOT YET 18", C34+730.5&gt;'BASIC INFO'!$B$3, "NOT YET 2 YEARS")</f>
        <v>N/A</v>
      </c>
      <c r="H34" s="186" t="str">
        <f xml:space="preserve"> IF(LEFT('CASE DATA'!E35,4)&lt;&gt;"321.",IF(OR('CASE DATA'!F35="DISM", 'CASE DATA'!F35="ACQ", 'CASE DATA'!F35="NOTF", 'CASE DATA'!F35="WTHD", 'CASE DATA'!F35="TNSF"), "YES", "NO"), "TRAFFIC")</f>
        <v>NO</v>
      </c>
      <c r="I34" s="185" t="str">
        <f xml:space="preserve"> IF(H34="YES",'CASE DATA'!K35,"N/A")</f>
        <v>N/A</v>
      </c>
      <c r="J34" s="185" t="str">
        <f>IF(H34="YES",'CASE DATA'!I35+'CASE DATA'!J35+'CASE DATA'!L35+'CASE DATA'!M35+'CASE DATA'!N35+'CASE DATA'!O35+'CASE DATA'!P35+'CASE DATA'!Q35+'CASE DATA'!R35,"N/A")</f>
        <v>N/A</v>
      </c>
      <c r="K34" s="162" t="str">
        <f xml:space="preserve"> IF(H34="YES",IF(C34+180&lt;'BASIC INFO'!$B$3, "YES", "NO"),"N/A")</f>
        <v>N/A</v>
      </c>
      <c r="L34" s="185" t="str">
        <f>IF(OR('CASE DATA'!F35="GTR", 'CASE DATA'!F35="GPL"),IF(OR('CASE DATA'!E35="81.6(2)", 'CASE DATA'!E35="99F.15(6)(b)(1)", 'CASE DATA'!E35= "124.401(1)(a)", 'CASE DATA'!E35= "124.401(1)(b)", 'CASE DATA'!E35= "124.401(1)(c)", 'CASE DATA'!E35= "124.401(1)(d)", 'CASE DATA'!E35="124.401(4)", 'CASE DATA'!E35="124.401(1)(b)", 'CASE DATA'!E35="124.401(1)(c)", 'CASE DATA'!E35="124.401D(2)(b)", 'CASE DATA'!E35="124.401D(2)(c)", 'CASE DATA'!E35="124.406(1)(a)", 'CASE DATA'!E35="124.406(1)(b) ", 'CASE DATA'!E35="124.406(2)(a)", 'CASE DATA'!E35="124.406(2)(b) ", 'CASE DATA'!E35="124.406(3)", 'CASE DATA'!E35="124.406A ", 'CASE DATA'!E35="124.407(2)(a)", 'CASE DATA'!E35="124B.9(1)", 'CASE DATA'!E35="124B.9(2)", 'CASE DATA'!E35="321J.2(2)(c)", 'CASE DATA'!E35="453B.12(2)", 'CASE DATA'!E35="453B.12(3)", 'CASE DATA'!E35="453B.12(4)", 'CASE DATA'!E35="462A.14(2)(c)", 'CASE DATA'!E35="462A.14(2)(d)", 'CASE DATA'!E35="462A.14(2)(e)", 'CASE DATA'!E35="705.1(2)", 'CASE DATA'!E35="706.3(1)", 'CASE DATA'!E35="706.3(2)", 'CASE DATA'!E35="706A.2(1)", 'CASE DATA'!E35="706A.2(2)", 'CASE DATA'!E35="706A.2(4)", 'CASE DATA'!E35="706B.2(1)(a)", 'CASE DATA'!E35="706B.2(1)(b)", 'CASE DATA'!E35="706B.2(1)(c)", 'CASE DATA'!E35="706B.2(1)(d)", 'CASE DATA'!E35="707.2", 'CASE DATA'!E35="707.3", 'CASE DATA'!E35="707.3A", 'CASE DATA'!E35="707.4", 'CASE DATA'!E35="707.5(1)(a)", 'CASE DATA'!E35="707.6A(1)", 'CASE DATA'!E35="707.6A(2)", 'CASE DATA'!E35="707.6A(3)", 'CASE DATA'!E35="707.6A(4)", 'CASE DATA'!E35="707.7(1)", 'CASE DATA'!E35="707.7(3)", 'CASE DATA'!E35="707.7(2)", 'CASE DATA'!E35="707.8(1)", 'CASE DATA'!E35="707.8(2)", 'CASE DATA'!E35="707.8(3)", 'CASE DATA'!E35="707.8(4)", 'CASE DATA'!E35="707.8(5)", 'CASE DATA'!E35="707.8(6)", 'CASE DATA'!E35="707.9", 'CASE DATA'!E35="707.11", 'CASE DATA'!E35="707A.2", 'CASE DATA'!E35="708.2(4)", 'CASE DATA'!E35="708.2(5)", 'CASE DATA'!E35="708.2A(4)", 'CASE DATA'!E35="708.2A(5)", 'CASE DATA'!E35="708.2C(2)", 'CASE DATA'!E35="708.2C(4)", 'CASE DATA'!E35="708.3(1)", 'CASE DATA'!E35="708.3(2)", 'CASE DATA'!E35="708.3A(1)", 'CASE DATA'!E35="708.3A(2)", 'CASE DATA'!E35="708.3B", 'CASE DATA'!E35="708.4(1)", 'CASE DATA'!E35="708.4(2)", 'CASE DATA'!E35="708.5", 'CASE DATA'!E35="708.8", 'CASE DATA'!E35="708.11(3)(a)", 'CASE DATA'!E35="708.11(3)(b)", 'CASE DATA'!E35="708.12(3)(f)", 'CASE DATA'!E35="708.13(3)", 'CASE DATA'!E35="708.14", 'CASE DATA'!E35="708A.2", 'CASE DATA'!E35="708A.4(1)", 'CASE DATA'!E35="708A.4(2)", 'CASE DATA'!E35="708A.5", 'CASE DATA'!E35="708A.6(1)", 'CASE DATA'!E35="708.A.6(2)", 'CASE DATA'!E35="709.2", 'CASE DATA'!E35="709.3", 'CASE DATA'!E35="709.4", 'CASE DATA'!E35="709.8(1)(a)", 'CASE DATA'!E35="709.8(1)(b)", 'CASE DATA'!E35="709.8(1)(c)", 'CASE DATA'!E35="709.8(1)(d)", 'CASE DATA'!E35="709.8(1)(e)", 'CASE DATA'!E35="709.11(1)", 'CASE DATA'!E35="709.11(2)", 'CASE DATA'!E35="709.15(2)(a)(1)", 'CASE DATA'!E35="709.15(3)(a)(1)", 'CASE DATA'!E35="709.18", 'CASE DATA'!E35="709A.6(2)", 'CASE DATA'!E35="709D.3(1)", 'CASE DATA'!E35="709D.3(2)", 'CASE DATA'!E35="709.D.3(3)", 'CASE DATA'!E35="710.2", 'CASE DATA'!E35="710.3", 'CASE DATA'!E35="710.4", 'CASE DATA'!E35="710.5", 'CASE DATA'!E35="710.10(1)", 'CASE DATA'!E35="710.10(2)", 'CASE DATA'!E35="710.10(3)", 'CASE DATA'!E35="710.11", 'CASE DATA'!E35="710A.2(1)", 'CASE DATA'!E35="710A.2(2)", 'CASE DATA'!E35="710A.2(3)", 'CASE DATA'!E35="710A.2(4)", 'CASE DATA'!E35="710A.2(5)", 'CASE DATA'!E35="710A.2(6)", 'CASE DATA'!E35="710A.2(7)", 'CASE DATA'!E35="710A.2A", 'CASE DATA'!E35="711.2", 'CASE DATA'!E35="711.3", 'CASE DATA'!E35="711.4", 'CASE DATA'!E35="712.2", 'CASE DATA'!E35="712.3", 'CASE DATA'!E35="712.6(1)", 'CASE DATA'!E35="712.7", 'CASE DATA'!E35="712.8", 'CASE DATA'!E35="", 'CASE DATA'!E35="713.3", 'CASE DATA'!E35="713.4", 'CASE DATA'!E35="713.5", 'CASE DATA'!E35="713.6", 'CASE DATA'!E35="713.6A(1)", 'CASE DATA'!E35="714.2(1)", 'CASE DATA'!E35="714.2(2)", 'CASE DATA'!E35="714.3A(2)(b)", 'CASE DATA'!E35="714.9", 'CASE DATA'!E35="714.10", 'CASE DATA'!E35="714.26(2)(a)", 'CASE DATA'!E35="714.26(2)(b)", 'CASE DATA'!E35="715A.2(2)(a)", 'CASE DATA'!E35="715A.6(2)(a)", 'CASE DATA'!E35="715A.6(2)(b)", 'CASE DATA'!E35="715A.8(3)(a)", 'CASE DATA'!E35="715A.8(3)(b)", 'CASE DATA'!E35="715A.10(1)", 'CASE DATA'!E35="715A.10(2)", 'CASE DATA'!E35="716.3", 'CASE DATA'!E35="716.4", 'CASE DATA'!E35="716.8(6)", 'CASE DATA'!E35="716.10(2)(a)", 'CASE DATA'!E35="716.10(2)(b)", 'CASE DATA'!E35="716.10(2)(c)", 'CASE DATA'!E35="716.10(2)(d)", 'CASE DATA'!E35="716.12", 'CASE DATA'!E35="719.1(1)(f)", 'CASE DATA'!E35="719.1(2)(e)", 'CASE DATA'!E35="719.1(2)(f)", 'CASE DATA'!E35="719.1(2)(g)", 'CASE DATA'!E35="719.4(1)", 'CASE DATA'!E35="719.4(4)", 'CASE DATA'!E35="719.5(1)", 'CASE DATA'!E35="719.5(2)", 'CASE DATA'!E35="719.6(1)", 'CASE DATA'!E35="719.6(2)", 'CASE DATA'!E35="719.7(4)(a)", 'CASE DATA'!E35="719.7(4)(b)", 'CASE DATA'!E35="719.7A(3)", 'CASE DATA'!E35="719.9", 'CASE DATA'!E35="719.8", 'CASE DATA'!E35="720.2", 'CASE DATA'!E35="720.3", 'CASE DATA'!E35="721.1", 'CASE DATA'!E35="722.1", 'CASE DATA'!E35="", 'CASE DATA'!E35="722.2", 'CASE DATA'!E35="722.10", 'CASE DATA'!E35="723(5)(3)(c)", 'CASE DATA'!E35="723A.2", 'CASE DATA'!E35="723A.3(1)", 'CASE DATA'!E35="723A.3(2)", 'CASE DATA'!E35="724.1B", 'CASE DATA'!E35="724.1C", 'CASE DATA'!E35="724.3", 'CASE DATA'!E35="724.4B", 'CASE DATA'!E35="724.10", 'CASE DATA'!E35="724.16(2)", 'CASE DATA'!E35="724.16A(1)(a)", 'CASE DATA'!E35="724.16A(1)(b)", 'CASE DATA'!E35="724.17", 'CASE DATA'!E35="724.21", 'CASE DATA'!E35="724.26(1)", 'CASE DATA'!E35="922(g)(8)", 'CASE DATA'!E35="724.29A(2)", 'CASE DATA'!E35="724.29A(3)", 'CASE DATA'!E35="724.30(1)", 'CASE DATA'!E35="724.30(2)", 'CASE DATA'!E35="725.1(2)(b)", 'CASE DATA'!E35="725.2(1)", 'CASE DATA'!E35="725.2(2)", 'CASE DATA'!E35="725.3(2)", 'CASE DATA'!E35="725.3(1)", 'CASE DATA'!E35="725.7(2)(a)(3)", 'CASE DATA'!E35="725.7(2)(a)(4)", 'CASE DATA'!E35="725.7(2)(b)(2)", 'CASE DATA'!E35="725.7(2)(b(3)", 'CASE DATA'!E35="726.7(2)(c)(1)", 'CASE DATA'!E35="726.7(2)(c)(2)", 'CASE DATA'!E35="725.7(2)(d)", 'CASE DATA'!E35="726.2", 'CASE DATA'!E35="726.3", 'CASE DATA'!E35="726.5", 'CASE DATA'!E35="726.6(4)", 'CASE DATA'!E35="726.6(5)", 'CASE DATA'!E35="726.6(6)", 'CASE DATA'!E35="726.6A", 'CASE DATA'!E35="726.7(2)", 'CASE DATA'!E35="726.8(2)", 'CASE DATA'!E35="728.12(1)", 'CASE DATA'!E35="728.12(2)"),"felony","eligible"),"N/A")</f>
        <v>N/A</v>
      </c>
      <c r="M34" s="185" t="str">
        <f>IF(L34="eligible",IF(OR('CASE DATA'!E35="123.46",'CASE DATA'!E35="123.47",'CASE DATA'!E35="235B.20",'CASE DATA'!E35="321.218",'CASE DATA'!E35="321A.32",'CASE DATA'!E35="321J.21",'CASE DATA'!E35="321J.2",'CASE DATA'!E35="707.5",'CASE DATA'!E35="708.2(3)",'CASE DATA'!E35="708.2A",'CASE DATA'!E35="708.7",'CASE DATA'!E35="708.11",'CASE DATA'!E35="708.12",'CASE DATA'!E35="716.8(3)",'CASE DATA'!E35="716.8(4)", LEFT('CASE DATA'!E35,4)="717C", LEFT('CASE DATA'!E35, 3)="719", LEFT('CASE DATA'!E35,3)="720", 'CASE DATA'!E35="721.2", 'CASE DATA'!E35="721.10", 'CASE DATA'!E35="723.1", LEFT('CASE DATA'!E35,3)="724", LEFT('CASE DATA'!E35,3)="726", LEFT('CASE DATA'!E35,3)="728", LEFT('CASE DATA'!E35,4)="901A"),"ineligible misd", "eligible"),"N/A")</f>
        <v>N/A</v>
      </c>
      <c r="N34" s="185" t="str">
        <f>IF(L34="eligible",IF(COUNTIF('CASE DATA'!$C$4:$C$200, "")-COUNTIF('CASE DATA'!$A$4:$A$200, "")&gt;0, "YES","NO"),"N/A")</f>
        <v>N/A</v>
      </c>
      <c r="O34" s="185" t="str">
        <f xml:space="preserve"> IF(M34="eligible",'CASE DATA'!K35,"N/A")</f>
        <v>N/A</v>
      </c>
      <c r="P34" s="185" t="str">
        <f xml:space="preserve"> IF(M34="eligible",'CASE DATA'!I35+'CASE DATA'!J35+'CASE DATA'!L35+'CASE DATA'!M35+'CASE DATA'!N35+'CASE DATA'!O35+'CASE DATA'!M35+'CASE DATA'!Q35+'CASE DATA'!R35,"N/A")</f>
        <v>N/A</v>
      </c>
      <c r="Q34" s="11" t="str">
        <f>IF(M34="eligible",IF(C34+730.5&lt;'BASIC INFO'!$B$3, "YES", "NO"),"N/A")</f>
        <v>N/A</v>
      </c>
      <c r="R34" s="186" t="str">
        <f xml:space="preserve"> IF(OR('CASE DATA'!F35="DEF"), "YES", "NO")</f>
        <v>NO</v>
      </c>
      <c r="S34" s="162" t="str">
        <f>IF(R34="YES",'CASE DATA'!H35,"N/A")</f>
        <v>N/A</v>
      </c>
      <c r="T34" s="185" t="str">
        <f xml:space="preserve"> IF(R34="YES",'CASE DATA'!K35,"N/A")</f>
        <v>N/A</v>
      </c>
      <c r="U34" s="185" t="str">
        <f>IF(R34="YES",'CASE DATA'!I35+'CASE DATA'!J35+'CASE DATA'!L35+'CASE DATA'!M35+'CASE DATA'!N35+'CASE DATA'!O35+'CASE DATA'!P35+'CASE DATA'!Q35+'CASE DATA'!R35,"N/A")</f>
        <v>N/A</v>
      </c>
      <c r="V34" s="189" t="str">
        <f>IF(OR('CASE DATA'!E35="123.46",'CASE DATA'!E35="123.47"),"YES","NO")</f>
        <v>NO</v>
      </c>
      <c r="W34" s="189"/>
      <c r="X34" s="185" t="str">
        <f>IF(V34="YES",IF(C34+730.5&lt;'BASIC INFO'!$B$3, "YES","NO"), "N/A")</f>
        <v>N/A</v>
      </c>
      <c r="Y34" s="189" t="str">
        <f t="shared" si="0"/>
        <v>NO</v>
      </c>
      <c r="Z34" s="187" t="str">
        <f xml:space="preserve"> IF('BASIC INFO'!$B$6+6574.5&gt;C34, "YES", "NO")</f>
        <v>YES</v>
      </c>
    </row>
    <row r="35" spans="1:26" x14ac:dyDescent="0.25">
      <c r="A35" s="162">
        <f xml:space="preserve"> 'CASE DATA'!A36</f>
        <v>0</v>
      </c>
      <c r="B35" s="162">
        <f xml:space="preserve"> 'CASE DATA'!E36</f>
        <v>0</v>
      </c>
      <c r="C35" s="163">
        <f xml:space="preserve"> 'CASE DATA'!C36</f>
        <v>0</v>
      </c>
      <c r="D35" s="11" t="str">
        <f xml:space="preserve"> IF(OR('CASE DATA'!F36="JUV", 'CASE DATA'!F36="JWV"), "YES", "NO")</f>
        <v>NO</v>
      </c>
      <c r="E35" s="11"/>
      <c r="F35" s="11" t="str">
        <f>IF(D35="YES",IF(COUNTIF('CASE DATA'!$C$4:$C$200, "")-COUNTIF('CASE DATA'!$A$4:$A$200, "")&gt;0, "YES","NO"),"N/A")</f>
        <v>N/A</v>
      </c>
      <c r="G35" s="164" t="str">
        <f xml:space="preserve"> _xlfn.IFS(D35="NO", "N/A", AND('BASIC INFO'!$B$3&gt;'BASIC INFO'!$B$6+6574.5, C35+730.5&lt;'BASIC INFO'!$B$3), "YES", 'BASIC INFO'!$B$3&lt;('BASIC INFO'!$B$6+6574.5), "NOT YET 18", C35+730.5&gt;'BASIC INFO'!$B$3, "NOT YET 2 YEARS")</f>
        <v>N/A</v>
      </c>
      <c r="H35" s="186" t="str">
        <f xml:space="preserve"> IF(LEFT('CASE DATA'!E36,4)&lt;&gt;"321.",IF(OR('CASE DATA'!F36="DISM", 'CASE DATA'!F36="ACQ", 'CASE DATA'!F36="NOTF", 'CASE DATA'!F36="WTHD", 'CASE DATA'!F36="TNSF"), "YES", "NO"), "TRAFFIC")</f>
        <v>NO</v>
      </c>
      <c r="I35" s="185" t="str">
        <f xml:space="preserve"> IF(H35="YES",'CASE DATA'!K36,"N/A")</f>
        <v>N/A</v>
      </c>
      <c r="J35" s="185" t="str">
        <f>IF(H35="YES",'CASE DATA'!I36+'CASE DATA'!J36+'CASE DATA'!L36+'CASE DATA'!M36+'CASE DATA'!N36+'CASE DATA'!O36+'CASE DATA'!P36+'CASE DATA'!Q36+'CASE DATA'!R36,"N/A")</f>
        <v>N/A</v>
      </c>
      <c r="K35" s="162" t="str">
        <f xml:space="preserve"> IF(H35="YES",IF(C35+180&lt;'BASIC INFO'!$B$3, "YES", "NO"),"N/A")</f>
        <v>N/A</v>
      </c>
      <c r="L35" s="185" t="str">
        <f>IF(OR('CASE DATA'!F36="GTR", 'CASE DATA'!F36="GPL"),IF(OR('CASE DATA'!E36="81.6(2)", 'CASE DATA'!E36="99F.15(6)(b)(1)", 'CASE DATA'!E36= "124.401(1)(a)", 'CASE DATA'!E36= "124.401(1)(b)", 'CASE DATA'!E36= "124.401(1)(c)", 'CASE DATA'!E36= "124.401(1)(d)", 'CASE DATA'!E36="124.401(4)", 'CASE DATA'!E36="124.401(1)(b)", 'CASE DATA'!E36="124.401(1)(c)", 'CASE DATA'!E36="124.401D(2)(b)", 'CASE DATA'!E36="124.401D(2)(c)", 'CASE DATA'!E36="124.406(1)(a)", 'CASE DATA'!E36="124.406(1)(b) ", 'CASE DATA'!E36="124.406(2)(a)", 'CASE DATA'!E36="124.406(2)(b) ", 'CASE DATA'!E36="124.406(3)", 'CASE DATA'!E36="124.406A ", 'CASE DATA'!E36="124.407(2)(a)", 'CASE DATA'!E36="124B.9(1)", 'CASE DATA'!E36="124B.9(2)", 'CASE DATA'!E36="321J.2(2)(c)", 'CASE DATA'!E36="453B.12(2)", 'CASE DATA'!E36="453B.12(3)", 'CASE DATA'!E36="453B.12(4)", 'CASE DATA'!E36="462A.14(2)(c)", 'CASE DATA'!E36="462A.14(2)(d)", 'CASE DATA'!E36="462A.14(2)(e)", 'CASE DATA'!E36="705.1(2)", 'CASE DATA'!E36="706.3(1)", 'CASE DATA'!E36="706.3(2)", 'CASE DATA'!E36="706A.2(1)", 'CASE DATA'!E36="706A.2(2)", 'CASE DATA'!E36="706A.2(4)", 'CASE DATA'!E36="706B.2(1)(a)", 'CASE DATA'!E36="706B.2(1)(b)", 'CASE DATA'!E36="706B.2(1)(c)", 'CASE DATA'!E36="706B.2(1)(d)", 'CASE DATA'!E36="707.2", 'CASE DATA'!E36="707.3", 'CASE DATA'!E36="707.3A", 'CASE DATA'!E36="707.4", 'CASE DATA'!E36="707.5(1)(a)", 'CASE DATA'!E36="707.6A(1)", 'CASE DATA'!E36="707.6A(2)", 'CASE DATA'!E36="707.6A(3)", 'CASE DATA'!E36="707.6A(4)", 'CASE DATA'!E36="707.7(1)", 'CASE DATA'!E36="707.7(3)", 'CASE DATA'!E36="707.7(2)", 'CASE DATA'!E36="707.8(1)", 'CASE DATA'!E36="707.8(2)", 'CASE DATA'!E36="707.8(3)", 'CASE DATA'!E36="707.8(4)", 'CASE DATA'!E36="707.8(5)", 'CASE DATA'!E36="707.8(6)", 'CASE DATA'!E36="707.9", 'CASE DATA'!E36="707.11", 'CASE DATA'!E36="707A.2", 'CASE DATA'!E36="708.2(4)", 'CASE DATA'!E36="708.2(5)", 'CASE DATA'!E36="708.2A(4)", 'CASE DATA'!E36="708.2A(5)", 'CASE DATA'!E36="708.2C(2)", 'CASE DATA'!E36="708.2C(4)", 'CASE DATA'!E36="708.3(1)", 'CASE DATA'!E36="708.3(2)", 'CASE DATA'!E36="708.3A(1)", 'CASE DATA'!E36="708.3A(2)", 'CASE DATA'!E36="708.3B", 'CASE DATA'!E36="708.4(1)", 'CASE DATA'!E36="708.4(2)", 'CASE DATA'!E36="708.5", 'CASE DATA'!E36="708.8", 'CASE DATA'!E36="708.11(3)(a)", 'CASE DATA'!E36="708.11(3)(b)", 'CASE DATA'!E36="708.12(3)(f)", 'CASE DATA'!E36="708.13(3)", 'CASE DATA'!E36="708.14", 'CASE DATA'!E36="708A.2", 'CASE DATA'!E36="708A.4(1)", 'CASE DATA'!E36="708A.4(2)", 'CASE DATA'!E36="708A.5", 'CASE DATA'!E36="708A.6(1)", 'CASE DATA'!E36="708.A.6(2)", 'CASE DATA'!E36="709.2", 'CASE DATA'!E36="709.3", 'CASE DATA'!E36="709.4", 'CASE DATA'!E36="709.8(1)(a)", 'CASE DATA'!E36="709.8(1)(b)", 'CASE DATA'!E36="709.8(1)(c)", 'CASE DATA'!E36="709.8(1)(d)", 'CASE DATA'!E36="709.8(1)(e)", 'CASE DATA'!E36="709.11(1)", 'CASE DATA'!E36="709.11(2)", 'CASE DATA'!E36="709.15(2)(a)(1)", 'CASE DATA'!E36="709.15(3)(a)(1)", 'CASE DATA'!E36="709.18", 'CASE DATA'!E36="709A.6(2)", 'CASE DATA'!E36="709D.3(1)", 'CASE DATA'!E36="709D.3(2)", 'CASE DATA'!E36="709.D.3(3)", 'CASE DATA'!E36="710.2", 'CASE DATA'!E36="710.3", 'CASE DATA'!E36="710.4", 'CASE DATA'!E36="710.5", 'CASE DATA'!E36="710.10(1)", 'CASE DATA'!E36="710.10(2)", 'CASE DATA'!E36="710.10(3)", 'CASE DATA'!E36="710.11", 'CASE DATA'!E36="710A.2(1)", 'CASE DATA'!E36="710A.2(2)", 'CASE DATA'!E36="710A.2(3)", 'CASE DATA'!E36="710A.2(4)", 'CASE DATA'!E36="710A.2(5)", 'CASE DATA'!E36="710A.2(6)", 'CASE DATA'!E36="710A.2(7)", 'CASE DATA'!E36="710A.2A", 'CASE DATA'!E36="711.2", 'CASE DATA'!E36="711.3", 'CASE DATA'!E36="711.4", 'CASE DATA'!E36="712.2", 'CASE DATA'!E36="712.3", 'CASE DATA'!E36="712.6(1)", 'CASE DATA'!E36="712.7", 'CASE DATA'!E36="712.8", 'CASE DATA'!E36="", 'CASE DATA'!E36="713.3", 'CASE DATA'!E36="713.4", 'CASE DATA'!E36="713.5", 'CASE DATA'!E36="713.6", 'CASE DATA'!E36="713.6A(1)", 'CASE DATA'!E36="714.2(1)", 'CASE DATA'!E36="714.2(2)", 'CASE DATA'!E36="714.3A(2)(b)", 'CASE DATA'!E36="714.9", 'CASE DATA'!E36="714.10", 'CASE DATA'!E36="714.26(2)(a)", 'CASE DATA'!E36="714.26(2)(b)", 'CASE DATA'!E36="715A.2(2)(a)", 'CASE DATA'!E36="715A.6(2)(a)", 'CASE DATA'!E36="715A.6(2)(b)", 'CASE DATA'!E36="715A.8(3)(a)", 'CASE DATA'!E36="715A.8(3)(b)", 'CASE DATA'!E36="715A.10(1)", 'CASE DATA'!E36="715A.10(2)", 'CASE DATA'!E36="716.3", 'CASE DATA'!E36="716.4", 'CASE DATA'!E36="716.8(6)", 'CASE DATA'!E36="716.10(2)(a)", 'CASE DATA'!E36="716.10(2)(b)", 'CASE DATA'!E36="716.10(2)(c)", 'CASE DATA'!E36="716.10(2)(d)", 'CASE DATA'!E36="716.12", 'CASE DATA'!E36="719.1(1)(f)", 'CASE DATA'!E36="719.1(2)(e)", 'CASE DATA'!E36="719.1(2)(f)", 'CASE DATA'!E36="719.1(2)(g)", 'CASE DATA'!E36="719.4(1)", 'CASE DATA'!E36="719.4(4)", 'CASE DATA'!E36="719.5(1)", 'CASE DATA'!E36="719.5(2)", 'CASE DATA'!E36="719.6(1)", 'CASE DATA'!E36="719.6(2)", 'CASE DATA'!E36="719.7(4)(a)", 'CASE DATA'!E36="719.7(4)(b)", 'CASE DATA'!E36="719.7A(3)", 'CASE DATA'!E36="719.9", 'CASE DATA'!E36="719.8", 'CASE DATA'!E36="720.2", 'CASE DATA'!E36="720.3", 'CASE DATA'!E36="721.1", 'CASE DATA'!E36="722.1", 'CASE DATA'!E36="", 'CASE DATA'!E36="722.2", 'CASE DATA'!E36="722.10", 'CASE DATA'!E36="723(5)(3)(c)", 'CASE DATA'!E36="723A.2", 'CASE DATA'!E36="723A.3(1)", 'CASE DATA'!E36="723A.3(2)", 'CASE DATA'!E36="724.1B", 'CASE DATA'!E36="724.1C", 'CASE DATA'!E36="724.3", 'CASE DATA'!E36="724.4B", 'CASE DATA'!E36="724.10", 'CASE DATA'!E36="724.16(2)", 'CASE DATA'!E36="724.16A(1)(a)", 'CASE DATA'!E36="724.16A(1)(b)", 'CASE DATA'!E36="724.17", 'CASE DATA'!E36="724.21", 'CASE DATA'!E36="724.26(1)", 'CASE DATA'!E36="922(g)(8)", 'CASE DATA'!E36="724.29A(2)", 'CASE DATA'!E36="724.29A(3)", 'CASE DATA'!E36="724.30(1)", 'CASE DATA'!E36="724.30(2)", 'CASE DATA'!E36="725.1(2)(b)", 'CASE DATA'!E36="725.2(1)", 'CASE DATA'!E36="725.2(2)", 'CASE DATA'!E36="725.3(2)", 'CASE DATA'!E36="725.3(1)", 'CASE DATA'!E36="725.7(2)(a)(3)", 'CASE DATA'!E36="725.7(2)(a)(4)", 'CASE DATA'!E36="725.7(2)(b)(2)", 'CASE DATA'!E36="725.7(2)(b(3)", 'CASE DATA'!E36="726.7(2)(c)(1)", 'CASE DATA'!E36="726.7(2)(c)(2)", 'CASE DATA'!E36="725.7(2)(d)", 'CASE DATA'!E36="726.2", 'CASE DATA'!E36="726.3", 'CASE DATA'!E36="726.5", 'CASE DATA'!E36="726.6(4)", 'CASE DATA'!E36="726.6(5)", 'CASE DATA'!E36="726.6(6)", 'CASE DATA'!E36="726.6A", 'CASE DATA'!E36="726.7(2)", 'CASE DATA'!E36="726.8(2)", 'CASE DATA'!E36="728.12(1)", 'CASE DATA'!E36="728.12(2)"),"felony","eligible"),"N/A")</f>
        <v>N/A</v>
      </c>
      <c r="M35" s="185" t="str">
        <f>IF(L35="eligible",IF(OR('CASE DATA'!E36="123.46",'CASE DATA'!E36="123.47",'CASE DATA'!E36="235B.20",'CASE DATA'!E36="321.218",'CASE DATA'!E36="321A.32",'CASE DATA'!E36="321J.21",'CASE DATA'!E36="321J.2",'CASE DATA'!E36="707.5",'CASE DATA'!E36="708.2(3)",'CASE DATA'!E36="708.2A",'CASE DATA'!E36="708.7",'CASE DATA'!E36="708.11",'CASE DATA'!E36="708.12",'CASE DATA'!E36="716.8(3)",'CASE DATA'!E36="716.8(4)", LEFT('CASE DATA'!E36,4)="717C", LEFT('CASE DATA'!E36, 3)="719", LEFT('CASE DATA'!E36,3)="720", 'CASE DATA'!E36="721.2", 'CASE DATA'!E36="721.10", 'CASE DATA'!E36="723.1", LEFT('CASE DATA'!E36,3)="724", LEFT('CASE DATA'!E36,3)="726", LEFT('CASE DATA'!E36,3)="728", LEFT('CASE DATA'!E36,4)="901A"),"ineligible misd", "eligible"),"N/A")</f>
        <v>N/A</v>
      </c>
      <c r="N35" s="185" t="str">
        <f>IF(L35="eligible",IF(COUNTIF('CASE DATA'!$C$4:$C$200, "")-COUNTIF('CASE DATA'!$A$4:$A$200, "")&gt;0, "YES","NO"),"N/A")</f>
        <v>N/A</v>
      </c>
      <c r="O35" s="185" t="str">
        <f xml:space="preserve"> IF(M35="eligible",'CASE DATA'!K36,"N/A")</f>
        <v>N/A</v>
      </c>
      <c r="P35" s="185" t="str">
        <f xml:space="preserve"> IF(M35="eligible",'CASE DATA'!I36+'CASE DATA'!J36+'CASE DATA'!L36+'CASE DATA'!M36+'CASE DATA'!N36+'CASE DATA'!O36+'CASE DATA'!M36+'CASE DATA'!Q36+'CASE DATA'!R36,"N/A")</f>
        <v>N/A</v>
      </c>
      <c r="Q35" s="11" t="str">
        <f>IF(M35="eligible",IF(C35+730.5&lt;'BASIC INFO'!$B$3, "YES", "NO"),"N/A")</f>
        <v>N/A</v>
      </c>
      <c r="R35" s="186" t="str">
        <f xml:space="preserve"> IF(OR('CASE DATA'!F36="DEF"), "YES", "NO")</f>
        <v>NO</v>
      </c>
      <c r="S35" s="162" t="str">
        <f>IF(R35="YES",'CASE DATA'!H36,"N/A")</f>
        <v>N/A</v>
      </c>
      <c r="T35" s="185" t="str">
        <f xml:space="preserve"> IF(R35="YES",'CASE DATA'!K36,"N/A")</f>
        <v>N/A</v>
      </c>
      <c r="U35" s="185" t="str">
        <f>IF(R35="YES",'CASE DATA'!I36+'CASE DATA'!J36+'CASE DATA'!L36+'CASE DATA'!M36+'CASE DATA'!N36+'CASE DATA'!O36+'CASE DATA'!P36+'CASE DATA'!Q36+'CASE DATA'!R36,"N/A")</f>
        <v>N/A</v>
      </c>
      <c r="V35" s="189" t="str">
        <f>IF(OR('CASE DATA'!E36="123.46",'CASE DATA'!E36="123.47"),"YES","NO")</f>
        <v>NO</v>
      </c>
      <c r="W35" s="189"/>
      <c r="X35" s="185" t="str">
        <f>IF(V35="YES",IF(C35+730.5&lt;'BASIC INFO'!$B$3, "YES","NO"), "N/A")</f>
        <v>N/A</v>
      </c>
      <c r="Y35" s="189" t="str">
        <f t="shared" si="0"/>
        <v>NO</v>
      </c>
      <c r="Z35" s="187" t="str">
        <f xml:space="preserve"> IF('BASIC INFO'!$B$6+6574.5&gt;C35, "YES", "NO")</f>
        <v>YES</v>
      </c>
    </row>
    <row r="36" spans="1:26" x14ac:dyDescent="0.25">
      <c r="A36" s="162">
        <f xml:space="preserve"> 'CASE DATA'!A37</f>
        <v>0</v>
      </c>
      <c r="B36" s="162">
        <f xml:space="preserve"> 'CASE DATA'!E37</f>
        <v>0</v>
      </c>
      <c r="C36" s="163">
        <f xml:space="preserve"> 'CASE DATA'!C37</f>
        <v>0</v>
      </c>
      <c r="D36" s="11" t="str">
        <f xml:space="preserve"> IF(OR('CASE DATA'!F37="JUV", 'CASE DATA'!F37="JWV"), "YES", "NO")</f>
        <v>NO</v>
      </c>
      <c r="E36" s="11"/>
      <c r="F36" s="11" t="str">
        <f>IF(D36="YES",IF(COUNTIF('CASE DATA'!$C$4:$C$200, "")-COUNTIF('CASE DATA'!$A$4:$A$200, "")&gt;0, "YES","NO"),"N/A")</f>
        <v>N/A</v>
      </c>
      <c r="G36" s="164" t="str">
        <f xml:space="preserve"> _xlfn.IFS(D36="NO", "N/A", AND('BASIC INFO'!$B$3&gt;'BASIC INFO'!$B$6+6574.5, C36+730.5&lt;'BASIC INFO'!$B$3), "YES", 'BASIC INFO'!$B$3&lt;('BASIC INFO'!$B$6+6574.5), "NOT YET 18", C36+730.5&gt;'BASIC INFO'!$B$3, "NOT YET 2 YEARS")</f>
        <v>N/A</v>
      </c>
      <c r="H36" s="186" t="str">
        <f xml:space="preserve"> IF(LEFT('CASE DATA'!E37,4)&lt;&gt;"321.",IF(OR('CASE DATA'!F37="DISM", 'CASE DATA'!F37="ACQ", 'CASE DATA'!F37="NOTF", 'CASE DATA'!F37="WTHD", 'CASE DATA'!F37="TNSF"), "YES", "NO"), "TRAFFIC")</f>
        <v>NO</v>
      </c>
      <c r="I36" s="185" t="str">
        <f xml:space="preserve"> IF(H36="YES",'CASE DATA'!K37,"N/A")</f>
        <v>N/A</v>
      </c>
      <c r="J36" s="185" t="str">
        <f>IF(H36="YES",'CASE DATA'!I37+'CASE DATA'!J37+'CASE DATA'!L37+'CASE DATA'!M37+'CASE DATA'!N37+'CASE DATA'!O37+'CASE DATA'!P37+'CASE DATA'!Q37+'CASE DATA'!R37,"N/A")</f>
        <v>N/A</v>
      </c>
      <c r="K36" s="162" t="str">
        <f xml:space="preserve"> IF(H36="YES",IF(C36+180&lt;'BASIC INFO'!$B$3, "YES", "NO"),"N/A")</f>
        <v>N/A</v>
      </c>
      <c r="L36" s="185" t="str">
        <f>IF(OR('CASE DATA'!F37="GTR", 'CASE DATA'!F37="GPL"),IF(OR('CASE DATA'!E37="81.6(2)", 'CASE DATA'!E37="99F.15(6)(b)(1)", 'CASE DATA'!E37= "124.401(1)(a)", 'CASE DATA'!E37= "124.401(1)(b)", 'CASE DATA'!E37= "124.401(1)(c)", 'CASE DATA'!E37= "124.401(1)(d)", 'CASE DATA'!E37="124.401(4)", 'CASE DATA'!E37="124.401(1)(b)", 'CASE DATA'!E37="124.401(1)(c)", 'CASE DATA'!E37="124.401D(2)(b)", 'CASE DATA'!E37="124.401D(2)(c)", 'CASE DATA'!E37="124.406(1)(a)", 'CASE DATA'!E37="124.406(1)(b) ", 'CASE DATA'!E37="124.406(2)(a)", 'CASE DATA'!E37="124.406(2)(b) ", 'CASE DATA'!E37="124.406(3)", 'CASE DATA'!E37="124.406A ", 'CASE DATA'!E37="124.407(2)(a)", 'CASE DATA'!E37="124B.9(1)", 'CASE DATA'!E37="124B.9(2)", 'CASE DATA'!E37="321J.2(2)(c)", 'CASE DATA'!E37="453B.12(2)", 'CASE DATA'!E37="453B.12(3)", 'CASE DATA'!E37="453B.12(4)", 'CASE DATA'!E37="462A.14(2)(c)", 'CASE DATA'!E37="462A.14(2)(d)", 'CASE DATA'!E37="462A.14(2)(e)", 'CASE DATA'!E37="705.1(2)", 'CASE DATA'!E37="706.3(1)", 'CASE DATA'!E37="706.3(2)", 'CASE DATA'!E37="706A.2(1)", 'CASE DATA'!E37="706A.2(2)", 'CASE DATA'!E37="706A.2(4)", 'CASE DATA'!E37="706B.2(1)(a)", 'CASE DATA'!E37="706B.2(1)(b)", 'CASE DATA'!E37="706B.2(1)(c)", 'CASE DATA'!E37="706B.2(1)(d)", 'CASE DATA'!E37="707.2", 'CASE DATA'!E37="707.3", 'CASE DATA'!E37="707.3A", 'CASE DATA'!E37="707.4", 'CASE DATA'!E37="707.5(1)(a)", 'CASE DATA'!E37="707.6A(1)", 'CASE DATA'!E37="707.6A(2)", 'CASE DATA'!E37="707.6A(3)", 'CASE DATA'!E37="707.6A(4)", 'CASE DATA'!E37="707.7(1)", 'CASE DATA'!E37="707.7(3)", 'CASE DATA'!E37="707.7(2)", 'CASE DATA'!E37="707.8(1)", 'CASE DATA'!E37="707.8(2)", 'CASE DATA'!E37="707.8(3)", 'CASE DATA'!E37="707.8(4)", 'CASE DATA'!E37="707.8(5)", 'CASE DATA'!E37="707.8(6)", 'CASE DATA'!E37="707.9", 'CASE DATA'!E37="707.11", 'CASE DATA'!E37="707A.2", 'CASE DATA'!E37="708.2(4)", 'CASE DATA'!E37="708.2(5)", 'CASE DATA'!E37="708.2A(4)", 'CASE DATA'!E37="708.2A(5)", 'CASE DATA'!E37="708.2C(2)", 'CASE DATA'!E37="708.2C(4)", 'CASE DATA'!E37="708.3(1)", 'CASE DATA'!E37="708.3(2)", 'CASE DATA'!E37="708.3A(1)", 'CASE DATA'!E37="708.3A(2)", 'CASE DATA'!E37="708.3B", 'CASE DATA'!E37="708.4(1)", 'CASE DATA'!E37="708.4(2)", 'CASE DATA'!E37="708.5", 'CASE DATA'!E37="708.8", 'CASE DATA'!E37="708.11(3)(a)", 'CASE DATA'!E37="708.11(3)(b)", 'CASE DATA'!E37="708.12(3)(f)", 'CASE DATA'!E37="708.13(3)", 'CASE DATA'!E37="708.14", 'CASE DATA'!E37="708A.2", 'CASE DATA'!E37="708A.4(1)", 'CASE DATA'!E37="708A.4(2)", 'CASE DATA'!E37="708A.5", 'CASE DATA'!E37="708A.6(1)", 'CASE DATA'!E37="708.A.6(2)", 'CASE DATA'!E37="709.2", 'CASE DATA'!E37="709.3", 'CASE DATA'!E37="709.4", 'CASE DATA'!E37="709.8(1)(a)", 'CASE DATA'!E37="709.8(1)(b)", 'CASE DATA'!E37="709.8(1)(c)", 'CASE DATA'!E37="709.8(1)(d)", 'CASE DATA'!E37="709.8(1)(e)", 'CASE DATA'!E37="709.11(1)", 'CASE DATA'!E37="709.11(2)", 'CASE DATA'!E37="709.15(2)(a)(1)", 'CASE DATA'!E37="709.15(3)(a)(1)", 'CASE DATA'!E37="709.18", 'CASE DATA'!E37="709A.6(2)", 'CASE DATA'!E37="709D.3(1)", 'CASE DATA'!E37="709D.3(2)", 'CASE DATA'!E37="709.D.3(3)", 'CASE DATA'!E37="710.2", 'CASE DATA'!E37="710.3", 'CASE DATA'!E37="710.4", 'CASE DATA'!E37="710.5", 'CASE DATA'!E37="710.10(1)", 'CASE DATA'!E37="710.10(2)", 'CASE DATA'!E37="710.10(3)", 'CASE DATA'!E37="710.11", 'CASE DATA'!E37="710A.2(1)", 'CASE DATA'!E37="710A.2(2)", 'CASE DATA'!E37="710A.2(3)", 'CASE DATA'!E37="710A.2(4)", 'CASE DATA'!E37="710A.2(5)", 'CASE DATA'!E37="710A.2(6)", 'CASE DATA'!E37="710A.2(7)", 'CASE DATA'!E37="710A.2A", 'CASE DATA'!E37="711.2", 'CASE DATA'!E37="711.3", 'CASE DATA'!E37="711.4", 'CASE DATA'!E37="712.2", 'CASE DATA'!E37="712.3", 'CASE DATA'!E37="712.6(1)", 'CASE DATA'!E37="712.7", 'CASE DATA'!E37="712.8", 'CASE DATA'!E37="", 'CASE DATA'!E37="713.3", 'CASE DATA'!E37="713.4", 'CASE DATA'!E37="713.5", 'CASE DATA'!E37="713.6", 'CASE DATA'!E37="713.6A(1)", 'CASE DATA'!E37="714.2(1)", 'CASE DATA'!E37="714.2(2)", 'CASE DATA'!E37="714.3A(2)(b)", 'CASE DATA'!E37="714.9", 'CASE DATA'!E37="714.10", 'CASE DATA'!E37="714.26(2)(a)", 'CASE DATA'!E37="714.26(2)(b)", 'CASE DATA'!E37="715A.2(2)(a)", 'CASE DATA'!E37="715A.6(2)(a)", 'CASE DATA'!E37="715A.6(2)(b)", 'CASE DATA'!E37="715A.8(3)(a)", 'CASE DATA'!E37="715A.8(3)(b)", 'CASE DATA'!E37="715A.10(1)", 'CASE DATA'!E37="715A.10(2)", 'CASE DATA'!E37="716.3", 'CASE DATA'!E37="716.4", 'CASE DATA'!E37="716.8(6)", 'CASE DATA'!E37="716.10(2)(a)", 'CASE DATA'!E37="716.10(2)(b)", 'CASE DATA'!E37="716.10(2)(c)", 'CASE DATA'!E37="716.10(2)(d)", 'CASE DATA'!E37="716.12", 'CASE DATA'!E37="719.1(1)(f)", 'CASE DATA'!E37="719.1(2)(e)", 'CASE DATA'!E37="719.1(2)(f)", 'CASE DATA'!E37="719.1(2)(g)", 'CASE DATA'!E37="719.4(1)", 'CASE DATA'!E37="719.4(4)", 'CASE DATA'!E37="719.5(1)", 'CASE DATA'!E37="719.5(2)", 'CASE DATA'!E37="719.6(1)", 'CASE DATA'!E37="719.6(2)", 'CASE DATA'!E37="719.7(4)(a)", 'CASE DATA'!E37="719.7(4)(b)", 'CASE DATA'!E37="719.7A(3)", 'CASE DATA'!E37="719.9", 'CASE DATA'!E37="719.8", 'CASE DATA'!E37="720.2", 'CASE DATA'!E37="720.3", 'CASE DATA'!E37="721.1", 'CASE DATA'!E37="722.1", 'CASE DATA'!E37="", 'CASE DATA'!E37="722.2", 'CASE DATA'!E37="722.10", 'CASE DATA'!E37="723(5)(3)(c)", 'CASE DATA'!E37="723A.2", 'CASE DATA'!E37="723A.3(1)", 'CASE DATA'!E37="723A.3(2)", 'CASE DATA'!E37="724.1B", 'CASE DATA'!E37="724.1C", 'CASE DATA'!E37="724.3", 'CASE DATA'!E37="724.4B", 'CASE DATA'!E37="724.10", 'CASE DATA'!E37="724.16(2)", 'CASE DATA'!E37="724.16A(1)(a)", 'CASE DATA'!E37="724.16A(1)(b)", 'CASE DATA'!E37="724.17", 'CASE DATA'!E37="724.21", 'CASE DATA'!E37="724.26(1)", 'CASE DATA'!E37="922(g)(8)", 'CASE DATA'!E37="724.29A(2)", 'CASE DATA'!E37="724.29A(3)", 'CASE DATA'!E37="724.30(1)", 'CASE DATA'!E37="724.30(2)", 'CASE DATA'!E37="725.1(2)(b)", 'CASE DATA'!E37="725.2(1)", 'CASE DATA'!E37="725.2(2)", 'CASE DATA'!E37="725.3(2)", 'CASE DATA'!E37="725.3(1)", 'CASE DATA'!E37="725.7(2)(a)(3)", 'CASE DATA'!E37="725.7(2)(a)(4)", 'CASE DATA'!E37="725.7(2)(b)(2)", 'CASE DATA'!E37="725.7(2)(b(3)", 'CASE DATA'!E37="726.7(2)(c)(1)", 'CASE DATA'!E37="726.7(2)(c)(2)", 'CASE DATA'!E37="725.7(2)(d)", 'CASE DATA'!E37="726.2", 'CASE DATA'!E37="726.3", 'CASE DATA'!E37="726.5", 'CASE DATA'!E37="726.6(4)", 'CASE DATA'!E37="726.6(5)", 'CASE DATA'!E37="726.6(6)", 'CASE DATA'!E37="726.6A", 'CASE DATA'!E37="726.7(2)", 'CASE DATA'!E37="726.8(2)", 'CASE DATA'!E37="728.12(1)", 'CASE DATA'!E37="728.12(2)"),"felony","eligible"),"N/A")</f>
        <v>N/A</v>
      </c>
      <c r="M36" s="185" t="str">
        <f>IF(L36="eligible",IF(OR('CASE DATA'!E37="123.46",'CASE DATA'!E37="123.47",'CASE DATA'!E37="235B.20",'CASE DATA'!E37="321.218",'CASE DATA'!E37="321A.32",'CASE DATA'!E37="321J.21",'CASE DATA'!E37="321J.2",'CASE DATA'!E37="707.5",'CASE DATA'!E37="708.2(3)",'CASE DATA'!E37="708.2A",'CASE DATA'!E37="708.7",'CASE DATA'!E37="708.11",'CASE DATA'!E37="708.12",'CASE DATA'!E37="716.8(3)",'CASE DATA'!E37="716.8(4)", LEFT('CASE DATA'!E37,4)="717C", LEFT('CASE DATA'!E37, 3)="719", LEFT('CASE DATA'!E37,3)="720", 'CASE DATA'!E37="721.2", 'CASE DATA'!E37="721.10", 'CASE DATA'!E37="723.1", LEFT('CASE DATA'!E37,3)="724", LEFT('CASE DATA'!E37,3)="726", LEFT('CASE DATA'!E37,3)="728", LEFT('CASE DATA'!E37,4)="901A"),"ineligible misd", "eligible"),"N/A")</f>
        <v>N/A</v>
      </c>
      <c r="N36" s="185" t="str">
        <f>IF(L36="eligible",IF(COUNTIF('CASE DATA'!$C$4:$C$200, "")-COUNTIF('CASE DATA'!$A$4:$A$200, "")&gt;0, "YES","NO"),"N/A")</f>
        <v>N/A</v>
      </c>
      <c r="O36" s="185" t="str">
        <f xml:space="preserve"> IF(M36="eligible",'CASE DATA'!K37,"N/A")</f>
        <v>N/A</v>
      </c>
      <c r="P36" s="185" t="str">
        <f xml:space="preserve"> IF(M36="eligible",'CASE DATA'!I37+'CASE DATA'!J37+'CASE DATA'!L37+'CASE DATA'!M37+'CASE DATA'!N37+'CASE DATA'!O37+'CASE DATA'!M37+'CASE DATA'!Q37+'CASE DATA'!R37,"N/A")</f>
        <v>N/A</v>
      </c>
      <c r="Q36" s="11" t="str">
        <f>IF(M36="eligible",IF(C36+730.5&lt;'BASIC INFO'!$B$3, "YES", "NO"),"N/A")</f>
        <v>N/A</v>
      </c>
      <c r="R36" s="186" t="str">
        <f xml:space="preserve"> IF(OR('CASE DATA'!F37="DEF"), "YES", "NO")</f>
        <v>NO</v>
      </c>
      <c r="S36" s="162" t="str">
        <f>IF(R36="YES",'CASE DATA'!H37,"N/A")</f>
        <v>N/A</v>
      </c>
      <c r="T36" s="185" t="str">
        <f xml:space="preserve"> IF(R36="YES",'CASE DATA'!K37,"N/A")</f>
        <v>N/A</v>
      </c>
      <c r="U36" s="185" t="str">
        <f>IF(R36="YES",'CASE DATA'!I37+'CASE DATA'!J37+'CASE DATA'!L37+'CASE DATA'!M37+'CASE DATA'!N37+'CASE DATA'!O37+'CASE DATA'!P37+'CASE DATA'!Q37+'CASE DATA'!R37,"N/A")</f>
        <v>N/A</v>
      </c>
      <c r="V36" s="189" t="str">
        <f>IF(OR('CASE DATA'!E37="123.46",'CASE DATA'!E37="123.47"),"YES","NO")</f>
        <v>NO</v>
      </c>
      <c r="W36" s="189"/>
      <c r="X36" s="185" t="str">
        <f>IF(V36="YES",IF(C36+730.5&lt;'BASIC INFO'!$B$3, "YES","NO"), "N/A")</f>
        <v>N/A</v>
      </c>
      <c r="Y36" s="189" t="str">
        <f t="shared" si="0"/>
        <v>NO</v>
      </c>
      <c r="Z36" s="187" t="str">
        <f xml:space="preserve"> IF('BASIC INFO'!$B$6+6574.5&gt;C36, "YES", "NO")</f>
        <v>YES</v>
      </c>
    </row>
    <row r="37" spans="1:26" x14ac:dyDescent="0.25">
      <c r="A37" s="162">
        <f xml:space="preserve"> 'CASE DATA'!A38</f>
        <v>0</v>
      </c>
      <c r="B37" s="162">
        <f xml:space="preserve"> 'CASE DATA'!E38</f>
        <v>0</v>
      </c>
      <c r="C37" s="163">
        <f xml:space="preserve"> 'CASE DATA'!C38</f>
        <v>0</v>
      </c>
      <c r="D37" s="11" t="str">
        <f xml:space="preserve"> IF(OR('CASE DATA'!F38="JUV", 'CASE DATA'!F38="JWV"), "YES", "NO")</f>
        <v>NO</v>
      </c>
      <c r="E37" s="11"/>
      <c r="F37" s="11" t="str">
        <f>IF(D37="YES",IF(COUNTIF('CASE DATA'!$C$4:$C$200, "")-COUNTIF('CASE DATA'!$A$4:$A$200, "")&gt;0, "YES","NO"),"N/A")</f>
        <v>N/A</v>
      </c>
      <c r="G37" s="164" t="str">
        <f xml:space="preserve"> _xlfn.IFS(D37="NO", "N/A", AND('BASIC INFO'!$B$3&gt;'BASIC INFO'!$B$6+6574.5, C37+730.5&lt;'BASIC INFO'!$B$3), "YES", 'BASIC INFO'!$B$3&lt;('BASIC INFO'!$B$6+6574.5), "NOT YET 18", C37+730.5&gt;'BASIC INFO'!$B$3, "NOT YET 2 YEARS")</f>
        <v>N/A</v>
      </c>
      <c r="H37" s="186" t="str">
        <f xml:space="preserve"> IF(LEFT('CASE DATA'!E38,4)&lt;&gt;"321.",IF(OR('CASE DATA'!F38="DISM", 'CASE DATA'!F38="ACQ", 'CASE DATA'!F38="NOTF", 'CASE DATA'!F38="WTHD", 'CASE DATA'!F38="TNSF"), "YES", "NO"), "TRAFFIC")</f>
        <v>NO</v>
      </c>
      <c r="I37" s="185" t="str">
        <f xml:space="preserve"> IF(H37="YES",'CASE DATA'!K38,"N/A")</f>
        <v>N/A</v>
      </c>
      <c r="J37" s="185" t="str">
        <f>IF(H37="YES",'CASE DATA'!I38+'CASE DATA'!J38+'CASE DATA'!L38+'CASE DATA'!M38+'CASE DATA'!N38+'CASE DATA'!O38+'CASE DATA'!P38+'CASE DATA'!Q38+'CASE DATA'!R38,"N/A")</f>
        <v>N/A</v>
      </c>
      <c r="K37" s="162" t="str">
        <f xml:space="preserve"> IF(H37="YES",IF(C37+180&lt;'BASIC INFO'!$B$3, "YES", "NO"),"N/A")</f>
        <v>N/A</v>
      </c>
      <c r="L37" s="185" t="str">
        <f>IF(OR('CASE DATA'!F38="GTR", 'CASE DATA'!F38="GPL"),IF(OR('CASE DATA'!E38="81.6(2)", 'CASE DATA'!E38="99F.15(6)(b)(1)", 'CASE DATA'!E38= "124.401(1)(a)", 'CASE DATA'!E38= "124.401(1)(b)", 'CASE DATA'!E38= "124.401(1)(c)", 'CASE DATA'!E38= "124.401(1)(d)", 'CASE DATA'!E38="124.401(4)", 'CASE DATA'!E38="124.401(1)(b)", 'CASE DATA'!E38="124.401(1)(c)", 'CASE DATA'!E38="124.401D(2)(b)", 'CASE DATA'!E38="124.401D(2)(c)", 'CASE DATA'!E38="124.406(1)(a)", 'CASE DATA'!E38="124.406(1)(b) ", 'CASE DATA'!E38="124.406(2)(a)", 'CASE DATA'!E38="124.406(2)(b) ", 'CASE DATA'!E38="124.406(3)", 'CASE DATA'!E38="124.406A ", 'CASE DATA'!E38="124.407(2)(a)", 'CASE DATA'!E38="124B.9(1)", 'CASE DATA'!E38="124B.9(2)", 'CASE DATA'!E38="321J.2(2)(c)", 'CASE DATA'!E38="453B.12(2)", 'CASE DATA'!E38="453B.12(3)", 'CASE DATA'!E38="453B.12(4)", 'CASE DATA'!E38="462A.14(2)(c)", 'CASE DATA'!E38="462A.14(2)(d)", 'CASE DATA'!E38="462A.14(2)(e)", 'CASE DATA'!E38="705.1(2)", 'CASE DATA'!E38="706.3(1)", 'CASE DATA'!E38="706.3(2)", 'CASE DATA'!E38="706A.2(1)", 'CASE DATA'!E38="706A.2(2)", 'CASE DATA'!E38="706A.2(4)", 'CASE DATA'!E38="706B.2(1)(a)", 'CASE DATA'!E38="706B.2(1)(b)", 'CASE DATA'!E38="706B.2(1)(c)", 'CASE DATA'!E38="706B.2(1)(d)", 'CASE DATA'!E38="707.2", 'CASE DATA'!E38="707.3", 'CASE DATA'!E38="707.3A", 'CASE DATA'!E38="707.4", 'CASE DATA'!E38="707.5(1)(a)", 'CASE DATA'!E38="707.6A(1)", 'CASE DATA'!E38="707.6A(2)", 'CASE DATA'!E38="707.6A(3)", 'CASE DATA'!E38="707.6A(4)", 'CASE DATA'!E38="707.7(1)", 'CASE DATA'!E38="707.7(3)", 'CASE DATA'!E38="707.7(2)", 'CASE DATA'!E38="707.8(1)", 'CASE DATA'!E38="707.8(2)", 'CASE DATA'!E38="707.8(3)", 'CASE DATA'!E38="707.8(4)", 'CASE DATA'!E38="707.8(5)", 'CASE DATA'!E38="707.8(6)", 'CASE DATA'!E38="707.9", 'CASE DATA'!E38="707.11", 'CASE DATA'!E38="707A.2", 'CASE DATA'!E38="708.2(4)", 'CASE DATA'!E38="708.2(5)", 'CASE DATA'!E38="708.2A(4)", 'CASE DATA'!E38="708.2A(5)", 'CASE DATA'!E38="708.2C(2)", 'CASE DATA'!E38="708.2C(4)", 'CASE DATA'!E38="708.3(1)", 'CASE DATA'!E38="708.3(2)", 'CASE DATA'!E38="708.3A(1)", 'CASE DATA'!E38="708.3A(2)", 'CASE DATA'!E38="708.3B", 'CASE DATA'!E38="708.4(1)", 'CASE DATA'!E38="708.4(2)", 'CASE DATA'!E38="708.5", 'CASE DATA'!E38="708.8", 'CASE DATA'!E38="708.11(3)(a)", 'CASE DATA'!E38="708.11(3)(b)", 'CASE DATA'!E38="708.12(3)(f)", 'CASE DATA'!E38="708.13(3)", 'CASE DATA'!E38="708.14", 'CASE DATA'!E38="708A.2", 'CASE DATA'!E38="708A.4(1)", 'CASE DATA'!E38="708A.4(2)", 'CASE DATA'!E38="708A.5", 'CASE DATA'!E38="708A.6(1)", 'CASE DATA'!E38="708.A.6(2)", 'CASE DATA'!E38="709.2", 'CASE DATA'!E38="709.3", 'CASE DATA'!E38="709.4", 'CASE DATA'!E38="709.8(1)(a)", 'CASE DATA'!E38="709.8(1)(b)", 'CASE DATA'!E38="709.8(1)(c)", 'CASE DATA'!E38="709.8(1)(d)", 'CASE DATA'!E38="709.8(1)(e)", 'CASE DATA'!E38="709.11(1)", 'CASE DATA'!E38="709.11(2)", 'CASE DATA'!E38="709.15(2)(a)(1)", 'CASE DATA'!E38="709.15(3)(a)(1)", 'CASE DATA'!E38="709.18", 'CASE DATA'!E38="709A.6(2)", 'CASE DATA'!E38="709D.3(1)", 'CASE DATA'!E38="709D.3(2)", 'CASE DATA'!E38="709.D.3(3)", 'CASE DATA'!E38="710.2", 'CASE DATA'!E38="710.3", 'CASE DATA'!E38="710.4", 'CASE DATA'!E38="710.5", 'CASE DATA'!E38="710.10(1)", 'CASE DATA'!E38="710.10(2)", 'CASE DATA'!E38="710.10(3)", 'CASE DATA'!E38="710.11", 'CASE DATA'!E38="710A.2(1)", 'CASE DATA'!E38="710A.2(2)", 'CASE DATA'!E38="710A.2(3)", 'CASE DATA'!E38="710A.2(4)", 'CASE DATA'!E38="710A.2(5)", 'CASE DATA'!E38="710A.2(6)", 'CASE DATA'!E38="710A.2(7)", 'CASE DATA'!E38="710A.2A", 'CASE DATA'!E38="711.2", 'CASE DATA'!E38="711.3", 'CASE DATA'!E38="711.4", 'CASE DATA'!E38="712.2", 'CASE DATA'!E38="712.3", 'CASE DATA'!E38="712.6(1)", 'CASE DATA'!E38="712.7", 'CASE DATA'!E38="712.8", 'CASE DATA'!E38="", 'CASE DATA'!E38="713.3", 'CASE DATA'!E38="713.4", 'CASE DATA'!E38="713.5", 'CASE DATA'!E38="713.6", 'CASE DATA'!E38="713.6A(1)", 'CASE DATA'!E38="714.2(1)", 'CASE DATA'!E38="714.2(2)", 'CASE DATA'!E38="714.3A(2)(b)", 'CASE DATA'!E38="714.9", 'CASE DATA'!E38="714.10", 'CASE DATA'!E38="714.26(2)(a)", 'CASE DATA'!E38="714.26(2)(b)", 'CASE DATA'!E38="715A.2(2)(a)", 'CASE DATA'!E38="715A.6(2)(a)", 'CASE DATA'!E38="715A.6(2)(b)", 'CASE DATA'!E38="715A.8(3)(a)", 'CASE DATA'!E38="715A.8(3)(b)", 'CASE DATA'!E38="715A.10(1)", 'CASE DATA'!E38="715A.10(2)", 'CASE DATA'!E38="716.3", 'CASE DATA'!E38="716.4", 'CASE DATA'!E38="716.8(6)", 'CASE DATA'!E38="716.10(2)(a)", 'CASE DATA'!E38="716.10(2)(b)", 'CASE DATA'!E38="716.10(2)(c)", 'CASE DATA'!E38="716.10(2)(d)", 'CASE DATA'!E38="716.12", 'CASE DATA'!E38="719.1(1)(f)", 'CASE DATA'!E38="719.1(2)(e)", 'CASE DATA'!E38="719.1(2)(f)", 'CASE DATA'!E38="719.1(2)(g)", 'CASE DATA'!E38="719.4(1)", 'CASE DATA'!E38="719.4(4)", 'CASE DATA'!E38="719.5(1)", 'CASE DATA'!E38="719.5(2)", 'CASE DATA'!E38="719.6(1)", 'CASE DATA'!E38="719.6(2)", 'CASE DATA'!E38="719.7(4)(a)", 'CASE DATA'!E38="719.7(4)(b)", 'CASE DATA'!E38="719.7A(3)", 'CASE DATA'!E38="719.9", 'CASE DATA'!E38="719.8", 'CASE DATA'!E38="720.2", 'CASE DATA'!E38="720.3", 'CASE DATA'!E38="721.1", 'CASE DATA'!E38="722.1", 'CASE DATA'!E38="", 'CASE DATA'!E38="722.2", 'CASE DATA'!E38="722.10", 'CASE DATA'!E38="723(5)(3)(c)", 'CASE DATA'!E38="723A.2", 'CASE DATA'!E38="723A.3(1)", 'CASE DATA'!E38="723A.3(2)", 'CASE DATA'!E38="724.1B", 'CASE DATA'!E38="724.1C", 'CASE DATA'!E38="724.3", 'CASE DATA'!E38="724.4B", 'CASE DATA'!E38="724.10", 'CASE DATA'!E38="724.16(2)", 'CASE DATA'!E38="724.16A(1)(a)", 'CASE DATA'!E38="724.16A(1)(b)", 'CASE DATA'!E38="724.17", 'CASE DATA'!E38="724.21", 'CASE DATA'!E38="724.26(1)", 'CASE DATA'!E38="922(g)(8)", 'CASE DATA'!E38="724.29A(2)", 'CASE DATA'!E38="724.29A(3)", 'CASE DATA'!E38="724.30(1)", 'CASE DATA'!E38="724.30(2)", 'CASE DATA'!E38="725.1(2)(b)", 'CASE DATA'!E38="725.2(1)", 'CASE DATA'!E38="725.2(2)", 'CASE DATA'!E38="725.3(2)", 'CASE DATA'!E38="725.3(1)", 'CASE DATA'!E38="725.7(2)(a)(3)", 'CASE DATA'!E38="725.7(2)(a)(4)", 'CASE DATA'!E38="725.7(2)(b)(2)", 'CASE DATA'!E38="725.7(2)(b(3)", 'CASE DATA'!E38="726.7(2)(c)(1)", 'CASE DATA'!E38="726.7(2)(c)(2)", 'CASE DATA'!E38="725.7(2)(d)", 'CASE DATA'!E38="726.2", 'CASE DATA'!E38="726.3", 'CASE DATA'!E38="726.5", 'CASE DATA'!E38="726.6(4)", 'CASE DATA'!E38="726.6(5)", 'CASE DATA'!E38="726.6(6)", 'CASE DATA'!E38="726.6A", 'CASE DATA'!E38="726.7(2)", 'CASE DATA'!E38="726.8(2)", 'CASE DATA'!E38="728.12(1)", 'CASE DATA'!E38="728.12(2)"),"felony","eligible"),"N/A")</f>
        <v>N/A</v>
      </c>
      <c r="M37" s="185" t="str">
        <f>IF(L37="eligible",IF(OR('CASE DATA'!E38="123.46",'CASE DATA'!E38="123.47",'CASE DATA'!E38="235B.20",'CASE DATA'!E38="321.218",'CASE DATA'!E38="321A.32",'CASE DATA'!E38="321J.21",'CASE DATA'!E38="321J.2",'CASE DATA'!E38="707.5",'CASE DATA'!E38="708.2(3)",'CASE DATA'!E38="708.2A",'CASE DATA'!E38="708.7",'CASE DATA'!E38="708.11",'CASE DATA'!E38="708.12",'CASE DATA'!E38="716.8(3)",'CASE DATA'!E38="716.8(4)", LEFT('CASE DATA'!E38,4)="717C", LEFT('CASE DATA'!E38, 3)="719", LEFT('CASE DATA'!E38,3)="720", 'CASE DATA'!E38="721.2", 'CASE DATA'!E38="721.10", 'CASE DATA'!E38="723.1", LEFT('CASE DATA'!E38,3)="724", LEFT('CASE DATA'!E38,3)="726", LEFT('CASE DATA'!E38,3)="728", LEFT('CASE DATA'!E38,4)="901A"),"ineligible misd", "eligible"),"N/A")</f>
        <v>N/A</v>
      </c>
      <c r="N37" s="185" t="str">
        <f>IF(L37="eligible",IF(COUNTIF('CASE DATA'!$C$4:$C$200, "")-COUNTIF('CASE DATA'!$A$4:$A$200, "")&gt;0, "YES","NO"),"N/A")</f>
        <v>N/A</v>
      </c>
      <c r="O37" s="185" t="str">
        <f xml:space="preserve"> IF(M37="eligible",'CASE DATA'!K38,"N/A")</f>
        <v>N/A</v>
      </c>
      <c r="P37" s="185" t="str">
        <f xml:space="preserve"> IF(M37="eligible",'CASE DATA'!I38+'CASE DATA'!J38+'CASE DATA'!L38+'CASE DATA'!M38+'CASE DATA'!N38+'CASE DATA'!O38+'CASE DATA'!M38+'CASE DATA'!Q38+'CASE DATA'!R38,"N/A")</f>
        <v>N/A</v>
      </c>
      <c r="Q37" s="11" t="str">
        <f>IF(M37="eligible",IF(C37+730.5&lt;'BASIC INFO'!$B$3, "YES", "NO"),"N/A")</f>
        <v>N/A</v>
      </c>
      <c r="R37" s="186" t="str">
        <f xml:space="preserve"> IF(OR('CASE DATA'!F38="DEF"), "YES", "NO")</f>
        <v>NO</v>
      </c>
      <c r="S37" s="162" t="str">
        <f>IF(R37="YES",'CASE DATA'!H38,"N/A")</f>
        <v>N/A</v>
      </c>
      <c r="T37" s="185" t="str">
        <f xml:space="preserve"> IF(R37="YES",'CASE DATA'!K38,"N/A")</f>
        <v>N/A</v>
      </c>
      <c r="U37" s="185" t="str">
        <f>IF(R37="YES",'CASE DATA'!I38+'CASE DATA'!J38+'CASE DATA'!L38+'CASE DATA'!M38+'CASE DATA'!N38+'CASE DATA'!O38+'CASE DATA'!P38+'CASE DATA'!Q38+'CASE DATA'!R38,"N/A")</f>
        <v>N/A</v>
      </c>
      <c r="V37" s="189" t="str">
        <f>IF(OR('CASE DATA'!E38="123.46",'CASE DATA'!E38="123.47"),"YES","NO")</f>
        <v>NO</v>
      </c>
      <c r="W37" s="189"/>
      <c r="X37" s="185" t="str">
        <f>IF(V37="YES",IF(C37+730.5&lt;'BASIC INFO'!$B$3, "YES","NO"), "N/A")</f>
        <v>N/A</v>
      </c>
      <c r="Y37" s="189" t="str">
        <f t="shared" si="0"/>
        <v>NO</v>
      </c>
      <c r="Z37" s="187" t="str">
        <f xml:space="preserve"> IF('BASIC INFO'!$B$6+6574.5&gt;C37, "YES", "NO")</f>
        <v>YES</v>
      </c>
    </row>
    <row r="38" spans="1:26" x14ac:dyDescent="0.25">
      <c r="A38" s="162">
        <f xml:space="preserve"> 'CASE DATA'!A39</f>
        <v>0</v>
      </c>
      <c r="B38" s="162">
        <f xml:space="preserve"> 'CASE DATA'!E39</f>
        <v>0</v>
      </c>
      <c r="C38" s="163">
        <f xml:space="preserve"> 'CASE DATA'!C39</f>
        <v>0</v>
      </c>
      <c r="D38" s="11" t="str">
        <f xml:space="preserve"> IF(OR('CASE DATA'!F39="JUV", 'CASE DATA'!F39="JWV"), "YES", "NO")</f>
        <v>NO</v>
      </c>
      <c r="E38" s="11"/>
      <c r="F38" s="11" t="str">
        <f>IF(D38="YES",IF(COUNTIF('CASE DATA'!$C$4:$C$200, "")-COUNTIF('CASE DATA'!$A$4:$A$200, "")&gt;0, "YES","NO"),"N/A")</f>
        <v>N/A</v>
      </c>
      <c r="G38" s="164" t="str">
        <f xml:space="preserve"> _xlfn.IFS(D38="NO", "N/A", AND('BASIC INFO'!$B$3&gt;'BASIC INFO'!$B$6+6574.5, C38+730.5&lt;'BASIC INFO'!$B$3), "YES", 'BASIC INFO'!$B$3&lt;('BASIC INFO'!$B$6+6574.5), "NOT YET 18", C38+730.5&gt;'BASIC INFO'!$B$3, "NOT YET 2 YEARS")</f>
        <v>N/A</v>
      </c>
      <c r="H38" s="186" t="str">
        <f xml:space="preserve"> IF(LEFT('CASE DATA'!E39,4)&lt;&gt;"321.",IF(OR('CASE DATA'!F39="DISM", 'CASE DATA'!F39="ACQ", 'CASE DATA'!F39="NOTF", 'CASE DATA'!F39="WTHD", 'CASE DATA'!F39="TNSF"), "YES", "NO"), "TRAFFIC")</f>
        <v>NO</v>
      </c>
      <c r="I38" s="185" t="str">
        <f xml:space="preserve"> IF(H38="YES",'CASE DATA'!K39,"N/A")</f>
        <v>N/A</v>
      </c>
      <c r="J38" s="185" t="str">
        <f>IF(H38="YES",'CASE DATA'!I39+'CASE DATA'!J39+'CASE DATA'!L39+'CASE DATA'!M39+'CASE DATA'!N39+'CASE DATA'!O39+'CASE DATA'!P39+'CASE DATA'!Q39+'CASE DATA'!R39,"N/A")</f>
        <v>N/A</v>
      </c>
      <c r="K38" s="162" t="str">
        <f xml:space="preserve"> IF(H38="YES",IF(C38+180&lt;'BASIC INFO'!$B$3, "YES", "NO"),"N/A")</f>
        <v>N/A</v>
      </c>
      <c r="L38" s="185" t="str">
        <f>IF(OR('CASE DATA'!F39="GTR", 'CASE DATA'!F39="GPL"),IF(OR('CASE DATA'!E39="81.6(2)", 'CASE DATA'!E39="99F.15(6)(b)(1)", 'CASE DATA'!E39= "124.401(1)(a)", 'CASE DATA'!E39= "124.401(1)(b)", 'CASE DATA'!E39= "124.401(1)(c)", 'CASE DATA'!E39= "124.401(1)(d)", 'CASE DATA'!E39="124.401(4)", 'CASE DATA'!E39="124.401(1)(b)", 'CASE DATA'!E39="124.401(1)(c)", 'CASE DATA'!E39="124.401D(2)(b)", 'CASE DATA'!E39="124.401D(2)(c)", 'CASE DATA'!E39="124.406(1)(a)", 'CASE DATA'!E39="124.406(1)(b) ", 'CASE DATA'!E39="124.406(2)(a)", 'CASE DATA'!E39="124.406(2)(b) ", 'CASE DATA'!E39="124.406(3)", 'CASE DATA'!E39="124.406A ", 'CASE DATA'!E39="124.407(2)(a)", 'CASE DATA'!E39="124B.9(1)", 'CASE DATA'!E39="124B.9(2)", 'CASE DATA'!E39="321J.2(2)(c)", 'CASE DATA'!E39="453B.12(2)", 'CASE DATA'!E39="453B.12(3)", 'CASE DATA'!E39="453B.12(4)", 'CASE DATA'!E39="462A.14(2)(c)", 'CASE DATA'!E39="462A.14(2)(d)", 'CASE DATA'!E39="462A.14(2)(e)", 'CASE DATA'!E39="705.1(2)", 'CASE DATA'!E39="706.3(1)", 'CASE DATA'!E39="706.3(2)", 'CASE DATA'!E39="706A.2(1)", 'CASE DATA'!E39="706A.2(2)", 'CASE DATA'!E39="706A.2(4)", 'CASE DATA'!E39="706B.2(1)(a)", 'CASE DATA'!E39="706B.2(1)(b)", 'CASE DATA'!E39="706B.2(1)(c)", 'CASE DATA'!E39="706B.2(1)(d)", 'CASE DATA'!E39="707.2", 'CASE DATA'!E39="707.3", 'CASE DATA'!E39="707.3A", 'CASE DATA'!E39="707.4", 'CASE DATA'!E39="707.5(1)(a)", 'CASE DATA'!E39="707.6A(1)", 'CASE DATA'!E39="707.6A(2)", 'CASE DATA'!E39="707.6A(3)", 'CASE DATA'!E39="707.6A(4)", 'CASE DATA'!E39="707.7(1)", 'CASE DATA'!E39="707.7(3)", 'CASE DATA'!E39="707.7(2)", 'CASE DATA'!E39="707.8(1)", 'CASE DATA'!E39="707.8(2)", 'CASE DATA'!E39="707.8(3)", 'CASE DATA'!E39="707.8(4)", 'CASE DATA'!E39="707.8(5)", 'CASE DATA'!E39="707.8(6)", 'CASE DATA'!E39="707.9", 'CASE DATA'!E39="707.11", 'CASE DATA'!E39="707A.2", 'CASE DATA'!E39="708.2(4)", 'CASE DATA'!E39="708.2(5)", 'CASE DATA'!E39="708.2A(4)", 'CASE DATA'!E39="708.2A(5)", 'CASE DATA'!E39="708.2C(2)", 'CASE DATA'!E39="708.2C(4)", 'CASE DATA'!E39="708.3(1)", 'CASE DATA'!E39="708.3(2)", 'CASE DATA'!E39="708.3A(1)", 'CASE DATA'!E39="708.3A(2)", 'CASE DATA'!E39="708.3B", 'CASE DATA'!E39="708.4(1)", 'CASE DATA'!E39="708.4(2)", 'CASE DATA'!E39="708.5", 'CASE DATA'!E39="708.8", 'CASE DATA'!E39="708.11(3)(a)", 'CASE DATA'!E39="708.11(3)(b)", 'CASE DATA'!E39="708.12(3)(f)", 'CASE DATA'!E39="708.13(3)", 'CASE DATA'!E39="708.14", 'CASE DATA'!E39="708A.2", 'CASE DATA'!E39="708A.4(1)", 'CASE DATA'!E39="708A.4(2)", 'CASE DATA'!E39="708A.5", 'CASE DATA'!E39="708A.6(1)", 'CASE DATA'!E39="708.A.6(2)", 'CASE DATA'!E39="709.2", 'CASE DATA'!E39="709.3", 'CASE DATA'!E39="709.4", 'CASE DATA'!E39="709.8(1)(a)", 'CASE DATA'!E39="709.8(1)(b)", 'CASE DATA'!E39="709.8(1)(c)", 'CASE DATA'!E39="709.8(1)(d)", 'CASE DATA'!E39="709.8(1)(e)", 'CASE DATA'!E39="709.11(1)", 'CASE DATA'!E39="709.11(2)", 'CASE DATA'!E39="709.15(2)(a)(1)", 'CASE DATA'!E39="709.15(3)(a)(1)", 'CASE DATA'!E39="709.18", 'CASE DATA'!E39="709A.6(2)", 'CASE DATA'!E39="709D.3(1)", 'CASE DATA'!E39="709D.3(2)", 'CASE DATA'!E39="709.D.3(3)", 'CASE DATA'!E39="710.2", 'CASE DATA'!E39="710.3", 'CASE DATA'!E39="710.4", 'CASE DATA'!E39="710.5", 'CASE DATA'!E39="710.10(1)", 'CASE DATA'!E39="710.10(2)", 'CASE DATA'!E39="710.10(3)", 'CASE DATA'!E39="710.11", 'CASE DATA'!E39="710A.2(1)", 'CASE DATA'!E39="710A.2(2)", 'CASE DATA'!E39="710A.2(3)", 'CASE DATA'!E39="710A.2(4)", 'CASE DATA'!E39="710A.2(5)", 'CASE DATA'!E39="710A.2(6)", 'CASE DATA'!E39="710A.2(7)", 'CASE DATA'!E39="710A.2A", 'CASE DATA'!E39="711.2", 'CASE DATA'!E39="711.3", 'CASE DATA'!E39="711.4", 'CASE DATA'!E39="712.2", 'CASE DATA'!E39="712.3", 'CASE DATA'!E39="712.6(1)", 'CASE DATA'!E39="712.7", 'CASE DATA'!E39="712.8", 'CASE DATA'!E39="", 'CASE DATA'!E39="713.3", 'CASE DATA'!E39="713.4", 'CASE DATA'!E39="713.5", 'CASE DATA'!E39="713.6", 'CASE DATA'!E39="713.6A(1)", 'CASE DATA'!E39="714.2(1)", 'CASE DATA'!E39="714.2(2)", 'CASE DATA'!E39="714.3A(2)(b)", 'CASE DATA'!E39="714.9", 'CASE DATA'!E39="714.10", 'CASE DATA'!E39="714.26(2)(a)", 'CASE DATA'!E39="714.26(2)(b)", 'CASE DATA'!E39="715A.2(2)(a)", 'CASE DATA'!E39="715A.6(2)(a)", 'CASE DATA'!E39="715A.6(2)(b)", 'CASE DATA'!E39="715A.8(3)(a)", 'CASE DATA'!E39="715A.8(3)(b)", 'CASE DATA'!E39="715A.10(1)", 'CASE DATA'!E39="715A.10(2)", 'CASE DATA'!E39="716.3", 'CASE DATA'!E39="716.4", 'CASE DATA'!E39="716.8(6)", 'CASE DATA'!E39="716.10(2)(a)", 'CASE DATA'!E39="716.10(2)(b)", 'CASE DATA'!E39="716.10(2)(c)", 'CASE DATA'!E39="716.10(2)(d)", 'CASE DATA'!E39="716.12", 'CASE DATA'!E39="719.1(1)(f)", 'CASE DATA'!E39="719.1(2)(e)", 'CASE DATA'!E39="719.1(2)(f)", 'CASE DATA'!E39="719.1(2)(g)", 'CASE DATA'!E39="719.4(1)", 'CASE DATA'!E39="719.4(4)", 'CASE DATA'!E39="719.5(1)", 'CASE DATA'!E39="719.5(2)", 'CASE DATA'!E39="719.6(1)", 'CASE DATA'!E39="719.6(2)", 'CASE DATA'!E39="719.7(4)(a)", 'CASE DATA'!E39="719.7(4)(b)", 'CASE DATA'!E39="719.7A(3)", 'CASE DATA'!E39="719.9", 'CASE DATA'!E39="719.8", 'CASE DATA'!E39="720.2", 'CASE DATA'!E39="720.3", 'CASE DATA'!E39="721.1", 'CASE DATA'!E39="722.1", 'CASE DATA'!E39="", 'CASE DATA'!E39="722.2", 'CASE DATA'!E39="722.10", 'CASE DATA'!E39="723(5)(3)(c)", 'CASE DATA'!E39="723A.2", 'CASE DATA'!E39="723A.3(1)", 'CASE DATA'!E39="723A.3(2)", 'CASE DATA'!E39="724.1B", 'CASE DATA'!E39="724.1C", 'CASE DATA'!E39="724.3", 'CASE DATA'!E39="724.4B", 'CASE DATA'!E39="724.10", 'CASE DATA'!E39="724.16(2)", 'CASE DATA'!E39="724.16A(1)(a)", 'CASE DATA'!E39="724.16A(1)(b)", 'CASE DATA'!E39="724.17", 'CASE DATA'!E39="724.21", 'CASE DATA'!E39="724.26(1)", 'CASE DATA'!E39="922(g)(8)", 'CASE DATA'!E39="724.29A(2)", 'CASE DATA'!E39="724.29A(3)", 'CASE DATA'!E39="724.30(1)", 'CASE DATA'!E39="724.30(2)", 'CASE DATA'!E39="725.1(2)(b)", 'CASE DATA'!E39="725.2(1)", 'CASE DATA'!E39="725.2(2)", 'CASE DATA'!E39="725.3(2)", 'CASE DATA'!E39="725.3(1)", 'CASE DATA'!E39="725.7(2)(a)(3)", 'CASE DATA'!E39="725.7(2)(a)(4)", 'CASE DATA'!E39="725.7(2)(b)(2)", 'CASE DATA'!E39="725.7(2)(b(3)", 'CASE DATA'!E39="726.7(2)(c)(1)", 'CASE DATA'!E39="726.7(2)(c)(2)", 'CASE DATA'!E39="725.7(2)(d)", 'CASE DATA'!E39="726.2", 'CASE DATA'!E39="726.3", 'CASE DATA'!E39="726.5", 'CASE DATA'!E39="726.6(4)", 'CASE DATA'!E39="726.6(5)", 'CASE DATA'!E39="726.6(6)", 'CASE DATA'!E39="726.6A", 'CASE DATA'!E39="726.7(2)", 'CASE DATA'!E39="726.8(2)", 'CASE DATA'!E39="728.12(1)", 'CASE DATA'!E39="728.12(2)"),"felony","eligible"),"N/A")</f>
        <v>N/A</v>
      </c>
      <c r="M38" s="185" t="str">
        <f>IF(L38="eligible",IF(OR('CASE DATA'!E39="123.46",'CASE DATA'!E39="123.47",'CASE DATA'!E39="235B.20",'CASE DATA'!E39="321.218",'CASE DATA'!E39="321A.32",'CASE DATA'!E39="321J.21",'CASE DATA'!E39="321J.2",'CASE DATA'!E39="707.5",'CASE DATA'!E39="708.2(3)",'CASE DATA'!E39="708.2A",'CASE DATA'!E39="708.7",'CASE DATA'!E39="708.11",'CASE DATA'!E39="708.12",'CASE DATA'!E39="716.8(3)",'CASE DATA'!E39="716.8(4)", LEFT('CASE DATA'!E39,4)="717C", LEFT('CASE DATA'!E39, 3)="719", LEFT('CASE DATA'!E39,3)="720", 'CASE DATA'!E39="721.2", 'CASE DATA'!E39="721.10", 'CASE DATA'!E39="723.1", LEFT('CASE DATA'!E39,3)="724", LEFT('CASE DATA'!E39,3)="726", LEFT('CASE DATA'!E39,3)="728", LEFT('CASE DATA'!E39,4)="901A"),"ineligible misd", "eligible"),"N/A")</f>
        <v>N/A</v>
      </c>
      <c r="N38" s="185" t="str">
        <f>IF(L38="eligible",IF(COUNTIF('CASE DATA'!$C$4:$C$200, "")-COUNTIF('CASE DATA'!$A$4:$A$200, "")&gt;0, "YES","NO"),"N/A")</f>
        <v>N/A</v>
      </c>
      <c r="O38" s="185" t="str">
        <f xml:space="preserve"> IF(M38="eligible",'CASE DATA'!K39,"N/A")</f>
        <v>N/A</v>
      </c>
      <c r="P38" s="185" t="str">
        <f xml:space="preserve"> IF(M38="eligible",'CASE DATA'!I39+'CASE DATA'!J39+'CASE DATA'!L39+'CASE DATA'!M39+'CASE DATA'!N39+'CASE DATA'!O39+'CASE DATA'!M39+'CASE DATA'!Q39+'CASE DATA'!R39,"N/A")</f>
        <v>N/A</v>
      </c>
      <c r="Q38" s="11" t="str">
        <f>IF(M38="eligible",IF(C38+730.5&lt;'BASIC INFO'!$B$3, "YES", "NO"),"N/A")</f>
        <v>N/A</v>
      </c>
      <c r="R38" s="186" t="str">
        <f xml:space="preserve"> IF(OR('CASE DATA'!F39="DEF"), "YES", "NO")</f>
        <v>NO</v>
      </c>
      <c r="S38" s="162" t="str">
        <f>IF(R38="YES",'CASE DATA'!H39,"N/A")</f>
        <v>N/A</v>
      </c>
      <c r="T38" s="185" t="str">
        <f xml:space="preserve"> IF(R38="YES",'CASE DATA'!K39,"N/A")</f>
        <v>N/A</v>
      </c>
      <c r="U38" s="185" t="str">
        <f>IF(R38="YES",'CASE DATA'!I39+'CASE DATA'!J39+'CASE DATA'!L39+'CASE DATA'!M39+'CASE DATA'!N39+'CASE DATA'!O39+'CASE DATA'!P39+'CASE DATA'!Q39+'CASE DATA'!R39,"N/A")</f>
        <v>N/A</v>
      </c>
      <c r="V38" s="189" t="str">
        <f>IF(OR('CASE DATA'!E39="123.46",'CASE DATA'!E39="123.47"),"YES","NO")</f>
        <v>NO</v>
      </c>
      <c r="W38" s="189"/>
      <c r="X38" s="185" t="str">
        <f>IF(V38="YES",IF(C38+730.5&lt;'BASIC INFO'!$B$3, "YES","NO"), "N/A")</f>
        <v>N/A</v>
      </c>
      <c r="Y38" s="189" t="str">
        <f t="shared" si="0"/>
        <v>NO</v>
      </c>
      <c r="Z38" s="187" t="str">
        <f xml:space="preserve"> IF('BASIC INFO'!$B$6+6574.5&gt;C38, "YES", "NO")</f>
        <v>YES</v>
      </c>
    </row>
    <row r="39" spans="1:26" x14ac:dyDescent="0.25">
      <c r="A39" s="162">
        <f xml:space="preserve"> 'CASE DATA'!A40</f>
        <v>0</v>
      </c>
      <c r="B39" s="162">
        <f xml:space="preserve"> 'CASE DATA'!E40</f>
        <v>0</v>
      </c>
      <c r="C39" s="163">
        <f xml:space="preserve"> 'CASE DATA'!C40</f>
        <v>0</v>
      </c>
      <c r="D39" s="11" t="str">
        <f xml:space="preserve"> IF(OR('CASE DATA'!F40="JUV", 'CASE DATA'!F40="JWV"), "YES", "NO")</f>
        <v>NO</v>
      </c>
      <c r="E39" s="11"/>
      <c r="F39" s="11" t="str">
        <f>IF(D39="YES",IF(COUNTIF('CASE DATA'!$C$4:$C$200, "")-COUNTIF('CASE DATA'!$A$4:$A$200, "")&gt;0, "YES","NO"),"N/A")</f>
        <v>N/A</v>
      </c>
      <c r="G39" s="164" t="str">
        <f xml:space="preserve"> _xlfn.IFS(D39="NO", "N/A", AND('BASIC INFO'!$B$3&gt;'BASIC INFO'!$B$6+6574.5, C39+730.5&lt;'BASIC INFO'!$B$3), "YES", 'BASIC INFO'!$B$3&lt;('BASIC INFO'!$B$6+6574.5), "NOT YET 18", C39+730.5&gt;'BASIC INFO'!$B$3, "NOT YET 2 YEARS")</f>
        <v>N/A</v>
      </c>
      <c r="H39" s="186" t="str">
        <f xml:space="preserve"> IF(LEFT('CASE DATA'!E40,4)&lt;&gt;"321.",IF(OR('CASE DATA'!F40="DISM", 'CASE DATA'!F40="ACQ", 'CASE DATA'!F40="NOTF", 'CASE DATA'!F40="WTHD", 'CASE DATA'!F40="TNSF"), "YES", "NO"), "TRAFFIC")</f>
        <v>NO</v>
      </c>
      <c r="I39" s="185" t="str">
        <f xml:space="preserve"> IF(H39="YES",'CASE DATA'!K40,"N/A")</f>
        <v>N/A</v>
      </c>
      <c r="J39" s="185" t="str">
        <f>IF(H39="YES",'CASE DATA'!I40+'CASE DATA'!J40+'CASE DATA'!L40+'CASE DATA'!M40+'CASE DATA'!N40+'CASE DATA'!O40+'CASE DATA'!P40+'CASE DATA'!Q40+'CASE DATA'!R40,"N/A")</f>
        <v>N/A</v>
      </c>
      <c r="K39" s="162" t="str">
        <f xml:space="preserve"> IF(H39="YES",IF(C39+180&lt;'BASIC INFO'!$B$3, "YES", "NO"),"N/A")</f>
        <v>N/A</v>
      </c>
      <c r="L39" s="185" t="str">
        <f>IF(OR('CASE DATA'!F40="GTR", 'CASE DATA'!F40="GPL"),IF(OR('CASE DATA'!E40="81.6(2)", 'CASE DATA'!E40="99F.15(6)(b)(1)", 'CASE DATA'!E40= "124.401(1)(a)", 'CASE DATA'!E40= "124.401(1)(b)", 'CASE DATA'!E40= "124.401(1)(c)", 'CASE DATA'!E40= "124.401(1)(d)", 'CASE DATA'!E40="124.401(4)", 'CASE DATA'!E40="124.401(1)(b)", 'CASE DATA'!E40="124.401(1)(c)", 'CASE DATA'!E40="124.401D(2)(b)", 'CASE DATA'!E40="124.401D(2)(c)", 'CASE DATA'!E40="124.406(1)(a)", 'CASE DATA'!E40="124.406(1)(b) ", 'CASE DATA'!E40="124.406(2)(a)", 'CASE DATA'!E40="124.406(2)(b) ", 'CASE DATA'!E40="124.406(3)", 'CASE DATA'!E40="124.406A ", 'CASE DATA'!E40="124.407(2)(a)", 'CASE DATA'!E40="124B.9(1)", 'CASE DATA'!E40="124B.9(2)", 'CASE DATA'!E40="321J.2(2)(c)", 'CASE DATA'!E40="453B.12(2)", 'CASE DATA'!E40="453B.12(3)", 'CASE DATA'!E40="453B.12(4)", 'CASE DATA'!E40="462A.14(2)(c)", 'CASE DATA'!E40="462A.14(2)(d)", 'CASE DATA'!E40="462A.14(2)(e)", 'CASE DATA'!E40="705.1(2)", 'CASE DATA'!E40="706.3(1)", 'CASE DATA'!E40="706.3(2)", 'CASE DATA'!E40="706A.2(1)", 'CASE DATA'!E40="706A.2(2)", 'CASE DATA'!E40="706A.2(4)", 'CASE DATA'!E40="706B.2(1)(a)", 'CASE DATA'!E40="706B.2(1)(b)", 'CASE DATA'!E40="706B.2(1)(c)", 'CASE DATA'!E40="706B.2(1)(d)", 'CASE DATA'!E40="707.2", 'CASE DATA'!E40="707.3", 'CASE DATA'!E40="707.3A", 'CASE DATA'!E40="707.4", 'CASE DATA'!E40="707.5(1)(a)", 'CASE DATA'!E40="707.6A(1)", 'CASE DATA'!E40="707.6A(2)", 'CASE DATA'!E40="707.6A(3)", 'CASE DATA'!E40="707.6A(4)", 'CASE DATA'!E40="707.7(1)", 'CASE DATA'!E40="707.7(3)", 'CASE DATA'!E40="707.7(2)", 'CASE DATA'!E40="707.8(1)", 'CASE DATA'!E40="707.8(2)", 'CASE DATA'!E40="707.8(3)", 'CASE DATA'!E40="707.8(4)", 'CASE DATA'!E40="707.8(5)", 'CASE DATA'!E40="707.8(6)", 'CASE DATA'!E40="707.9", 'CASE DATA'!E40="707.11", 'CASE DATA'!E40="707A.2", 'CASE DATA'!E40="708.2(4)", 'CASE DATA'!E40="708.2(5)", 'CASE DATA'!E40="708.2A(4)", 'CASE DATA'!E40="708.2A(5)", 'CASE DATA'!E40="708.2C(2)", 'CASE DATA'!E40="708.2C(4)", 'CASE DATA'!E40="708.3(1)", 'CASE DATA'!E40="708.3(2)", 'CASE DATA'!E40="708.3A(1)", 'CASE DATA'!E40="708.3A(2)", 'CASE DATA'!E40="708.3B", 'CASE DATA'!E40="708.4(1)", 'CASE DATA'!E40="708.4(2)", 'CASE DATA'!E40="708.5", 'CASE DATA'!E40="708.8", 'CASE DATA'!E40="708.11(3)(a)", 'CASE DATA'!E40="708.11(3)(b)", 'CASE DATA'!E40="708.12(3)(f)", 'CASE DATA'!E40="708.13(3)", 'CASE DATA'!E40="708.14", 'CASE DATA'!E40="708A.2", 'CASE DATA'!E40="708A.4(1)", 'CASE DATA'!E40="708A.4(2)", 'CASE DATA'!E40="708A.5", 'CASE DATA'!E40="708A.6(1)", 'CASE DATA'!E40="708.A.6(2)", 'CASE DATA'!E40="709.2", 'CASE DATA'!E40="709.3", 'CASE DATA'!E40="709.4", 'CASE DATA'!E40="709.8(1)(a)", 'CASE DATA'!E40="709.8(1)(b)", 'CASE DATA'!E40="709.8(1)(c)", 'CASE DATA'!E40="709.8(1)(d)", 'CASE DATA'!E40="709.8(1)(e)", 'CASE DATA'!E40="709.11(1)", 'CASE DATA'!E40="709.11(2)", 'CASE DATA'!E40="709.15(2)(a)(1)", 'CASE DATA'!E40="709.15(3)(a)(1)", 'CASE DATA'!E40="709.18", 'CASE DATA'!E40="709A.6(2)", 'CASE DATA'!E40="709D.3(1)", 'CASE DATA'!E40="709D.3(2)", 'CASE DATA'!E40="709.D.3(3)", 'CASE DATA'!E40="710.2", 'CASE DATA'!E40="710.3", 'CASE DATA'!E40="710.4", 'CASE DATA'!E40="710.5", 'CASE DATA'!E40="710.10(1)", 'CASE DATA'!E40="710.10(2)", 'CASE DATA'!E40="710.10(3)", 'CASE DATA'!E40="710.11", 'CASE DATA'!E40="710A.2(1)", 'CASE DATA'!E40="710A.2(2)", 'CASE DATA'!E40="710A.2(3)", 'CASE DATA'!E40="710A.2(4)", 'CASE DATA'!E40="710A.2(5)", 'CASE DATA'!E40="710A.2(6)", 'CASE DATA'!E40="710A.2(7)", 'CASE DATA'!E40="710A.2A", 'CASE DATA'!E40="711.2", 'CASE DATA'!E40="711.3", 'CASE DATA'!E40="711.4", 'CASE DATA'!E40="712.2", 'CASE DATA'!E40="712.3", 'CASE DATA'!E40="712.6(1)", 'CASE DATA'!E40="712.7", 'CASE DATA'!E40="712.8", 'CASE DATA'!E40="", 'CASE DATA'!E40="713.3", 'CASE DATA'!E40="713.4", 'CASE DATA'!E40="713.5", 'CASE DATA'!E40="713.6", 'CASE DATA'!E40="713.6A(1)", 'CASE DATA'!E40="714.2(1)", 'CASE DATA'!E40="714.2(2)", 'CASE DATA'!E40="714.3A(2)(b)", 'CASE DATA'!E40="714.9", 'CASE DATA'!E40="714.10", 'CASE DATA'!E40="714.26(2)(a)", 'CASE DATA'!E40="714.26(2)(b)", 'CASE DATA'!E40="715A.2(2)(a)", 'CASE DATA'!E40="715A.6(2)(a)", 'CASE DATA'!E40="715A.6(2)(b)", 'CASE DATA'!E40="715A.8(3)(a)", 'CASE DATA'!E40="715A.8(3)(b)", 'CASE DATA'!E40="715A.10(1)", 'CASE DATA'!E40="715A.10(2)", 'CASE DATA'!E40="716.3", 'CASE DATA'!E40="716.4", 'CASE DATA'!E40="716.8(6)", 'CASE DATA'!E40="716.10(2)(a)", 'CASE DATA'!E40="716.10(2)(b)", 'CASE DATA'!E40="716.10(2)(c)", 'CASE DATA'!E40="716.10(2)(d)", 'CASE DATA'!E40="716.12", 'CASE DATA'!E40="719.1(1)(f)", 'CASE DATA'!E40="719.1(2)(e)", 'CASE DATA'!E40="719.1(2)(f)", 'CASE DATA'!E40="719.1(2)(g)", 'CASE DATA'!E40="719.4(1)", 'CASE DATA'!E40="719.4(4)", 'CASE DATA'!E40="719.5(1)", 'CASE DATA'!E40="719.5(2)", 'CASE DATA'!E40="719.6(1)", 'CASE DATA'!E40="719.6(2)", 'CASE DATA'!E40="719.7(4)(a)", 'CASE DATA'!E40="719.7(4)(b)", 'CASE DATA'!E40="719.7A(3)", 'CASE DATA'!E40="719.9", 'CASE DATA'!E40="719.8", 'CASE DATA'!E40="720.2", 'CASE DATA'!E40="720.3", 'CASE DATA'!E40="721.1", 'CASE DATA'!E40="722.1", 'CASE DATA'!E40="", 'CASE DATA'!E40="722.2", 'CASE DATA'!E40="722.10", 'CASE DATA'!E40="723(5)(3)(c)", 'CASE DATA'!E40="723A.2", 'CASE DATA'!E40="723A.3(1)", 'CASE DATA'!E40="723A.3(2)", 'CASE DATA'!E40="724.1B", 'CASE DATA'!E40="724.1C", 'CASE DATA'!E40="724.3", 'CASE DATA'!E40="724.4B", 'CASE DATA'!E40="724.10", 'CASE DATA'!E40="724.16(2)", 'CASE DATA'!E40="724.16A(1)(a)", 'CASE DATA'!E40="724.16A(1)(b)", 'CASE DATA'!E40="724.17", 'CASE DATA'!E40="724.21", 'CASE DATA'!E40="724.26(1)", 'CASE DATA'!E40="922(g)(8)", 'CASE DATA'!E40="724.29A(2)", 'CASE DATA'!E40="724.29A(3)", 'CASE DATA'!E40="724.30(1)", 'CASE DATA'!E40="724.30(2)", 'CASE DATA'!E40="725.1(2)(b)", 'CASE DATA'!E40="725.2(1)", 'CASE DATA'!E40="725.2(2)", 'CASE DATA'!E40="725.3(2)", 'CASE DATA'!E40="725.3(1)", 'CASE DATA'!E40="725.7(2)(a)(3)", 'CASE DATA'!E40="725.7(2)(a)(4)", 'CASE DATA'!E40="725.7(2)(b)(2)", 'CASE DATA'!E40="725.7(2)(b(3)", 'CASE DATA'!E40="726.7(2)(c)(1)", 'CASE DATA'!E40="726.7(2)(c)(2)", 'CASE DATA'!E40="725.7(2)(d)", 'CASE DATA'!E40="726.2", 'CASE DATA'!E40="726.3", 'CASE DATA'!E40="726.5", 'CASE DATA'!E40="726.6(4)", 'CASE DATA'!E40="726.6(5)", 'CASE DATA'!E40="726.6(6)", 'CASE DATA'!E40="726.6A", 'CASE DATA'!E40="726.7(2)", 'CASE DATA'!E40="726.8(2)", 'CASE DATA'!E40="728.12(1)", 'CASE DATA'!E40="728.12(2)"),"felony","eligible"),"N/A")</f>
        <v>N/A</v>
      </c>
      <c r="M39" s="185" t="str">
        <f>IF(L39="eligible",IF(OR('CASE DATA'!E40="123.46",'CASE DATA'!E40="123.47",'CASE DATA'!E40="235B.20",'CASE DATA'!E40="321.218",'CASE DATA'!E40="321A.32",'CASE DATA'!E40="321J.21",'CASE DATA'!E40="321J.2",'CASE DATA'!E40="707.5",'CASE DATA'!E40="708.2(3)",'CASE DATA'!E40="708.2A",'CASE DATA'!E40="708.7",'CASE DATA'!E40="708.11",'CASE DATA'!E40="708.12",'CASE DATA'!E40="716.8(3)",'CASE DATA'!E40="716.8(4)", LEFT('CASE DATA'!E40,4)="717C", LEFT('CASE DATA'!E40, 3)="719", LEFT('CASE DATA'!E40,3)="720", 'CASE DATA'!E40="721.2", 'CASE DATA'!E40="721.10", 'CASE DATA'!E40="723.1", LEFT('CASE DATA'!E40,3)="724", LEFT('CASE DATA'!E40,3)="726", LEFT('CASE DATA'!E40,3)="728", LEFT('CASE DATA'!E40,4)="901A"),"ineligible misd", "eligible"),"N/A")</f>
        <v>N/A</v>
      </c>
      <c r="N39" s="185" t="str">
        <f>IF(L39="eligible",IF(COUNTIF('CASE DATA'!$C$4:$C$200, "")-COUNTIF('CASE DATA'!$A$4:$A$200, "")&gt;0, "YES","NO"),"N/A")</f>
        <v>N/A</v>
      </c>
      <c r="O39" s="185" t="str">
        <f xml:space="preserve"> IF(M39="eligible",'CASE DATA'!K40,"N/A")</f>
        <v>N/A</v>
      </c>
      <c r="P39" s="185" t="str">
        <f xml:space="preserve"> IF(M39="eligible",'CASE DATA'!I40+'CASE DATA'!J40+'CASE DATA'!L40+'CASE DATA'!M40+'CASE DATA'!N40+'CASE DATA'!O40+'CASE DATA'!M40+'CASE DATA'!Q40+'CASE DATA'!R40,"N/A")</f>
        <v>N/A</v>
      </c>
      <c r="Q39" s="11" t="str">
        <f>IF(M39="eligible",IF(C39+730.5&lt;'BASIC INFO'!$B$3, "YES", "NO"),"N/A")</f>
        <v>N/A</v>
      </c>
      <c r="R39" s="186" t="str">
        <f xml:space="preserve"> IF(OR('CASE DATA'!F40="DEF"), "YES", "NO")</f>
        <v>NO</v>
      </c>
      <c r="S39" s="162" t="str">
        <f>IF(R39="YES",'CASE DATA'!H40,"N/A")</f>
        <v>N/A</v>
      </c>
      <c r="T39" s="185" t="str">
        <f xml:space="preserve"> IF(R39="YES",'CASE DATA'!K40,"N/A")</f>
        <v>N/A</v>
      </c>
      <c r="U39" s="185" t="str">
        <f>IF(R39="YES",'CASE DATA'!I40+'CASE DATA'!J40+'CASE DATA'!L40+'CASE DATA'!M40+'CASE DATA'!N40+'CASE DATA'!O40+'CASE DATA'!P40+'CASE DATA'!Q40+'CASE DATA'!R40,"N/A")</f>
        <v>N/A</v>
      </c>
      <c r="V39" s="189" t="str">
        <f>IF(OR('CASE DATA'!E40="123.46",'CASE DATA'!E40="123.47"),"YES","NO")</f>
        <v>NO</v>
      </c>
      <c r="W39" s="189"/>
      <c r="X39" s="185" t="str">
        <f>IF(V39="YES",IF(C39+730.5&lt;'BASIC INFO'!$B$3, "YES","NO"), "N/A")</f>
        <v>N/A</v>
      </c>
      <c r="Y39" s="189" t="str">
        <f t="shared" si="0"/>
        <v>NO</v>
      </c>
      <c r="Z39" s="187" t="str">
        <f xml:space="preserve"> IF('BASIC INFO'!$B$6+6574.5&gt;C39, "YES", "NO")</f>
        <v>YES</v>
      </c>
    </row>
    <row r="40" spans="1:26" x14ac:dyDescent="0.25">
      <c r="A40" s="162">
        <f xml:space="preserve"> 'CASE DATA'!A41</f>
        <v>0</v>
      </c>
      <c r="B40" s="162">
        <f xml:space="preserve"> 'CASE DATA'!E41</f>
        <v>0</v>
      </c>
      <c r="C40" s="163">
        <f xml:space="preserve"> 'CASE DATA'!C41</f>
        <v>0</v>
      </c>
      <c r="D40" s="11" t="str">
        <f xml:space="preserve"> IF(OR('CASE DATA'!F41="JUV", 'CASE DATA'!F41="JWV"), "YES", "NO")</f>
        <v>NO</v>
      </c>
      <c r="E40" s="11"/>
      <c r="F40" s="11" t="str">
        <f>IF(D40="YES",IF(COUNTIF('CASE DATA'!$C$4:$C$200, "")-COUNTIF('CASE DATA'!$A$4:$A$200, "")&gt;0, "YES","NO"),"N/A")</f>
        <v>N/A</v>
      </c>
      <c r="G40" s="164" t="str">
        <f xml:space="preserve"> _xlfn.IFS(D40="NO", "N/A", AND('BASIC INFO'!$B$3&gt;'BASIC INFO'!$B$6+6574.5, C40+730.5&lt;'BASIC INFO'!$B$3), "YES", 'BASIC INFO'!$B$3&lt;('BASIC INFO'!$B$6+6574.5), "NOT YET 18", C40+730.5&gt;'BASIC INFO'!$B$3, "NOT YET 2 YEARS")</f>
        <v>N/A</v>
      </c>
      <c r="H40" s="186" t="str">
        <f xml:space="preserve"> IF(LEFT('CASE DATA'!E41,4)&lt;&gt;"321.",IF(OR('CASE DATA'!F41="DISM", 'CASE DATA'!F41="ACQ", 'CASE DATA'!F41="NOTF", 'CASE DATA'!F41="WTHD", 'CASE DATA'!F41="TNSF"), "YES", "NO"), "TRAFFIC")</f>
        <v>NO</v>
      </c>
      <c r="I40" s="185" t="str">
        <f xml:space="preserve"> IF(H40="YES",'CASE DATA'!K41,"N/A")</f>
        <v>N/A</v>
      </c>
      <c r="J40" s="185" t="str">
        <f>IF(H40="YES",'CASE DATA'!I41+'CASE DATA'!J41+'CASE DATA'!L41+'CASE DATA'!M41+'CASE DATA'!N41+'CASE DATA'!O41+'CASE DATA'!P41+'CASE DATA'!Q41+'CASE DATA'!R41,"N/A")</f>
        <v>N/A</v>
      </c>
      <c r="K40" s="162" t="str">
        <f xml:space="preserve"> IF(H40="YES",IF(C40+180&lt;'BASIC INFO'!$B$3, "YES", "NO"),"N/A")</f>
        <v>N/A</v>
      </c>
      <c r="L40" s="185" t="str">
        <f>IF(OR('CASE DATA'!F41="GTR", 'CASE DATA'!F41="GPL"),IF(OR('CASE DATA'!E41="81.6(2)", 'CASE DATA'!E41="99F.15(6)(b)(1)", 'CASE DATA'!E41= "124.401(1)(a)", 'CASE DATA'!E41= "124.401(1)(b)", 'CASE DATA'!E41= "124.401(1)(c)", 'CASE DATA'!E41= "124.401(1)(d)", 'CASE DATA'!E41="124.401(4)", 'CASE DATA'!E41="124.401(1)(b)", 'CASE DATA'!E41="124.401(1)(c)", 'CASE DATA'!E41="124.401D(2)(b)", 'CASE DATA'!E41="124.401D(2)(c)", 'CASE DATA'!E41="124.406(1)(a)", 'CASE DATA'!E41="124.406(1)(b) ", 'CASE DATA'!E41="124.406(2)(a)", 'CASE DATA'!E41="124.406(2)(b) ", 'CASE DATA'!E41="124.406(3)", 'CASE DATA'!E41="124.406A ", 'CASE DATA'!E41="124.407(2)(a)", 'CASE DATA'!E41="124B.9(1)", 'CASE DATA'!E41="124B.9(2)", 'CASE DATA'!E41="321J.2(2)(c)", 'CASE DATA'!E41="453B.12(2)", 'CASE DATA'!E41="453B.12(3)", 'CASE DATA'!E41="453B.12(4)", 'CASE DATA'!E41="462A.14(2)(c)", 'CASE DATA'!E41="462A.14(2)(d)", 'CASE DATA'!E41="462A.14(2)(e)", 'CASE DATA'!E41="705.1(2)", 'CASE DATA'!E41="706.3(1)", 'CASE DATA'!E41="706.3(2)", 'CASE DATA'!E41="706A.2(1)", 'CASE DATA'!E41="706A.2(2)", 'CASE DATA'!E41="706A.2(4)", 'CASE DATA'!E41="706B.2(1)(a)", 'CASE DATA'!E41="706B.2(1)(b)", 'CASE DATA'!E41="706B.2(1)(c)", 'CASE DATA'!E41="706B.2(1)(d)", 'CASE DATA'!E41="707.2", 'CASE DATA'!E41="707.3", 'CASE DATA'!E41="707.3A", 'CASE DATA'!E41="707.4", 'CASE DATA'!E41="707.5(1)(a)", 'CASE DATA'!E41="707.6A(1)", 'CASE DATA'!E41="707.6A(2)", 'CASE DATA'!E41="707.6A(3)", 'CASE DATA'!E41="707.6A(4)", 'CASE DATA'!E41="707.7(1)", 'CASE DATA'!E41="707.7(3)", 'CASE DATA'!E41="707.7(2)", 'CASE DATA'!E41="707.8(1)", 'CASE DATA'!E41="707.8(2)", 'CASE DATA'!E41="707.8(3)", 'CASE DATA'!E41="707.8(4)", 'CASE DATA'!E41="707.8(5)", 'CASE DATA'!E41="707.8(6)", 'CASE DATA'!E41="707.9", 'CASE DATA'!E41="707.11", 'CASE DATA'!E41="707A.2", 'CASE DATA'!E41="708.2(4)", 'CASE DATA'!E41="708.2(5)", 'CASE DATA'!E41="708.2A(4)", 'CASE DATA'!E41="708.2A(5)", 'CASE DATA'!E41="708.2C(2)", 'CASE DATA'!E41="708.2C(4)", 'CASE DATA'!E41="708.3(1)", 'CASE DATA'!E41="708.3(2)", 'CASE DATA'!E41="708.3A(1)", 'CASE DATA'!E41="708.3A(2)", 'CASE DATA'!E41="708.3B", 'CASE DATA'!E41="708.4(1)", 'CASE DATA'!E41="708.4(2)", 'CASE DATA'!E41="708.5", 'CASE DATA'!E41="708.8", 'CASE DATA'!E41="708.11(3)(a)", 'CASE DATA'!E41="708.11(3)(b)", 'CASE DATA'!E41="708.12(3)(f)", 'CASE DATA'!E41="708.13(3)", 'CASE DATA'!E41="708.14", 'CASE DATA'!E41="708A.2", 'CASE DATA'!E41="708A.4(1)", 'CASE DATA'!E41="708A.4(2)", 'CASE DATA'!E41="708A.5", 'CASE DATA'!E41="708A.6(1)", 'CASE DATA'!E41="708.A.6(2)", 'CASE DATA'!E41="709.2", 'CASE DATA'!E41="709.3", 'CASE DATA'!E41="709.4", 'CASE DATA'!E41="709.8(1)(a)", 'CASE DATA'!E41="709.8(1)(b)", 'CASE DATA'!E41="709.8(1)(c)", 'CASE DATA'!E41="709.8(1)(d)", 'CASE DATA'!E41="709.8(1)(e)", 'CASE DATA'!E41="709.11(1)", 'CASE DATA'!E41="709.11(2)", 'CASE DATA'!E41="709.15(2)(a)(1)", 'CASE DATA'!E41="709.15(3)(a)(1)", 'CASE DATA'!E41="709.18", 'CASE DATA'!E41="709A.6(2)", 'CASE DATA'!E41="709D.3(1)", 'CASE DATA'!E41="709D.3(2)", 'CASE DATA'!E41="709.D.3(3)", 'CASE DATA'!E41="710.2", 'CASE DATA'!E41="710.3", 'CASE DATA'!E41="710.4", 'CASE DATA'!E41="710.5", 'CASE DATA'!E41="710.10(1)", 'CASE DATA'!E41="710.10(2)", 'CASE DATA'!E41="710.10(3)", 'CASE DATA'!E41="710.11", 'CASE DATA'!E41="710A.2(1)", 'CASE DATA'!E41="710A.2(2)", 'CASE DATA'!E41="710A.2(3)", 'CASE DATA'!E41="710A.2(4)", 'CASE DATA'!E41="710A.2(5)", 'CASE DATA'!E41="710A.2(6)", 'CASE DATA'!E41="710A.2(7)", 'CASE DATA'!E41="710A.2A", 'CASE DATA'!E41="711.2", 'CASE DATA'!E41="711.3", 'CASE DATA'!E41="711.4", 'CASE DATA'!E41="712.2", 'CASE DATA'!E41="712.3", 'CASE DATA'!E41="712.6(1)", 'CASE DATA'!E41="712.7", 'CASE DATA'!E41="712.8", 'CASE DATA'!E41="", 'CASE DATA'!E41="713.3", 'CASE DATA'!E41="713.4", 'CASE DATA'!E41="713.5", 'CASE DATA'!E41="713.6", 'CASE DATA'!E41="713.6A(1)", 'CASE DATA'!E41="714.2(1)", 'CASE DATA'!E41="714.2(2)", 'CASE DATA'!E41="714.3A(2)(b)", 'CASE DATA'!E41="714.9", 'CASE DATA'!E41="714.10", 'CASE DATA'!E41="714.26(2)(a)", 'CASE DATA'!E41="714.26(2)(b)", 'CASE DATA'!E41="715A.2(2)(a)", 'CASE DATA'!E41="715A.6(2)(a)", 'CASE DATA'!E41="715A.6(2)(b)", 'CASE DATA'!E41="715A.8(3)(a)", 'CASE DATA'!E41="715A.8(3)(b)", 'CASE DATA'!E41="715A.10(1)", 'CASE DATA'!E41="715A.10(2)", 'CASE DATA'!E41="716.3", 'CASE DATA'!E41="716.4", 'CASE DATA'!E41="716.8(6)", 'CASE DATA'!E41="716.10(2)(a)", 'CASE DATA'!E41="716.10(2)(b)", 'CASE DATA'!E41="716.10(2)(c)", 'CASE DATA'!E41="716.10(2)(d)", 'CASE DATA'!E41="716.12", 'CASE DATA'!E41="719.1(1)(f)", 'CASE DATA'!E41="719.1(2)(e)", 'CASE DATA'!E41="719.1(2)(f)", 'CASE DATA'!E41="719.1(2)(g)", 'CASE DATA'!E41="719.4(1)", 'CASE DATA'!E41="719.4(4)", 'CASE DATA'!E41="719.5(1)", 'CASE DATA'!E41="719.5(2)", 'CASE DATA'!E41="719.6(1)", 'CASE DATA'!E41="719.6(2)", 'CASE DATA'!E41="719.7(4)(a)", 'CASE DATA'!E41="719.7(4)(b)", 'CASE DATA'!E41="719.7A(3)", 'CASE DATA'!E41="719.9", 'CASE DATA'!E41="719.8", 'CASE DATA'!E41="720.2", 'CASE DATA'!E41="720.3", 'CASE DATA'!E41="721.1", 'CASE DATA'!E41="722.1", 'CASE DATA'!E41="", 'CASE DATA'!E41="722.2", 'CASE DATA'!E41="722.10", 'CASE DATA'!E41="723(5)(3)(c)", 'CASE DATA'!E41="723A.2", 'CASE DATA'!E41="723A.3(1)", 'CASE DATA'!E41="723A.3(2)", 'CASE DATA'!E41="724.1B", 'CASE DATA'!E41="724.1C", 'CASE DATA'!E41="724.3", 'CASE DATA'!E41="724.4B", 'CASE DATA'!E41="724.10", 'CASE DATA'!E41="724.16(2)", 'CASE DATA'!E41="724.16A(1)(a)", 'CASE DATA'!E41="724.16A(1)(b)", 'CASE DATA'!E41="724.17", 'CASE DATA'!E41="724.21", 'CASE DATA'!E41="724.26(1)", 'CASE DATA'!E41="922(g)(8)", 'CASE DATA'!E41="724.29A(2)", 'CASE DATA'!E41="724.29A(3)", 'CASE DATA'!E41="724.30(1)", 'CASE DATA'!E41="724.30(2)", 'CASE DATA'!E41="725.1(2)(b)", 'CASE DATA'!E41="725.2(1)", 'CASE DATA'!E41="725.2(2)", 'CASE DATA'!E41="725.3(2)", 'CASE DATA'!E41="725.3(1)", 'CASE DATA'!E41="725.7(2)(a)(3)", 'CASE DATA'!E41="725.7(2)(a)(4)", 'CASE DATA'!E41="725.7(2)(b)(2)", 'CASE DATA'!E41="725.7(2)(b(3)", 'CASE DATA'!E41="726.7(2)(c)(1)", 'CASE DATA'!E41="726.7(2)(c)(2)", 'CASE DATA'!E41="725.7(2)(d)", 'CASE DATA'!E41="726.2", 'CASE DATA'!E41="726.3", 'CASE DATA'!E41="726.5", 'CASE DATA'!E41="726.6(4)", 'CASE DATA'!E41="726.6(5)", 'CASE DATA'!E41="726.6(6)", 'CASE DATA'!E41="726.6A", 'CASE DATA'!E41="726.7(2)", 'CASE DATA'!E41="726.8(2)", 'CASE DATA'!E41="728.12(1)", 'CASE DATA'!E41="728.12(2)"),"felony","eligible"),"N/A")</f>
        <v>N/A</v>
      </c>
      <c r="M40" s="185" t="str">
        <f>IF(L40="eligible",IF(OR('CASE DATA'!E41="123.46",'CASE DATA'!E41="123.47",'CASE DATA'!E41="235B.20",'CASE DATA'!E41="321.218",'CASE DATA'!E41="321A.32",'CASE DATA'!E41="321J.21",'CASE DATA'!E41="321J.2",'CASE DATA'!E41="707.5",'CASE DATA'!E41="708.2(3)",'CASE DATA'!E41="708.2A",'CASE DATA'!E41="708.7",'CASE DATA'!E41="708.11",'CASE DATA'!E41="708.12",'CASE DATA'!E41="716.8(3)",'CASE DATA'!E41="716.8(4)", LEFT('CASE DATA'!E41,4)="717C", LEFT('CASE DATA'!E41, 3)="719", LEFT('CASE DATA'!E41,3)="720", 'CASE DATA'!E41="721.2", 'CASE DATA'!E41="721.10", 'CASE DATA'!E41="723.1", LEFT('CASE DATA'!E41,3)="724", LEFT('CASE DATA'!E41,3)="726", LEFT('CASE DATA'!E41,3)="728", LEFT('CASE DATA'!E41,4)="901A"),"ineligible misd", "eligible"),"N/A")</f>
        <v>N/A</v>
      </c>
      <c r="N40" s="185" t="str">
        <f>IF(L40="eligible",IF(COUNTIF('CASE DATA'!$C$4:$C$200, "")-COUNTIF('CASE DATA'!$A$4:$A$200, "")&gt;0, "YES","NO"),"N/A")</f>
        <v>N/A</v>
      </c>
      <c r="O40" s="185" t="str">
        <f xml:space="preserve"> IF(M40="eligible",'CASE DATA'!K41,"N/A")</f>
        <v>N/A</v>
      </c>
      <c r="P40" s="185" t="str">
        <f xml:space="preserve"> IF(M40="eligible",'CASE DATA'!I41+'CASE DATA'!J41+'CASE DATA'!L41+'CASE DATA'!M41+'CASE DATA'!N41+'CASE DATA'!O41+'CASE DATA'!M41+'CASE DATA'!Q41+'CASE DATA'!R41,"N/A")</f>
        <v>N/A</v>
      </c>
      <c r="Q40" s="11" t="str">
        <f>IF(M40="eligible",IF(C40+730.5&lt;'BASIC INFO'!$B$3, "YES", "NO"),"N/A")</f>
        <v>N/A</v>
      </c>
      <c r="R40" s="186" t="str">
        <f xml:space="preserve"> IF(OR('CASE DATA'!F41="DEF"), "YES", "NO")</f>
        <v>NO</v>
      </c>
      <c r="S40" s="162" t="str">
        <f>IF(R40="YES",'CASE DATA'!H41,"N/A")</f>
        <v>N/A</v>
      </c>
      <c r="T40" s="185" t="str">
        <f xml:space="preserve"> IF(R40="YES",'CASE DATA'!K41,"N/A")</f>
        <v>N/A</v>
      </c>
      <c r="U40" s="185" t="str">
        <f>IF(R40="YES",'CASE DATA'!I41+'CASE DATA'!J41+'CASE DATA'!L41+'CASE DATA'!M41+'CASE DATA'!N41+'CASE DATA'!O41+'CASE DATA'!P41+'CASE DATA'!Q41+'CASE DATA'!R41,"N/A")</f>
        <v>N/A</v>
      </c>
      <c r="V40" s="189" t="str">
        <f>IF(OR('CASE DATA'!E41="123.46",'CASE DATA'!E41="123.47"),"YES","NO")</f>
        <v>NO</v>
      </c>
      <c r="W40" s="189"/>
      <c r="X40" s="185" t="str">
        <f>IF(V40="YES",IF(C40+730.5&lt;'BASIC INFO'!$B$3, "YES","NO"), "N/A")</f>
        <v>N/A</v>
      </c>
      <c r="Y40" s="189" t="str">
        <f t="shared" si="0"/>
        <v>NO</v>
      </c>
      <c r="Z40" s="187" t="str">
        <f xml:space="preserve"> IF('BASIC INFO'!$B$6+6574.5&gt;C40, "YES", "NO")</f>
        <v>YES</v>
      </c>
    </row>
    <row r="41" spans="1:26" x14ac:dyDescent="0.25">
      <c r="A41" s="162">
        <f xml:space="preserve"> 'CASE DATA'!A42</f>
        <v>0</v>
      </c>
      <c r="B41" s="162">
        <f xml:space="preserve"> 'CASE DATA'!E42</f>
        <v>0</v>
      </c>
      <c r="C41" s="163">
        <f xml:space="preserve"> 'CASE DATA'!C42</f>
        <v>0</v>
      </c>
      <c r="D41" s="11" t="str">
        <f xml:space="preserve"> IF(OR('CASE DATA'!F42="JUV", 'CASE DATA'!F42="JWV"), "YES", "NO")</f>
        <v>NO</v>
      </c>
      <c r="E41" s="11"/>
      <c r="F41" s="11" t="str">
        <f>IF(D41="YES",IF(COUNTIF('CASE DATA'!$C$4:$C$200, "")-COUNTIF('CASE DATA'!$A$4:$A$200, "")&gt;0, "YES","NO"),"N/A")</f>
        <v>N/A</v>
      </c>
      <c r="G41" s="164" t="str">
        <f xml:space="preserve"> _xlfn.IFS(D41="NO", "N/A", AND('BASIC INFO'!$B$3&gt;'BASIC INFO'!$B$6+6574.5, C41+730.5&lt;'BASIC INFO'!$B$3), "YES", 'BASIC INFO'!$B$3&lt;('BASIC INFO'!$B$6+6574.5), "NOT YET 18", C41+730.5&gt;'BASIC INFO'!$B$3, "NOT YET 2 YEARS")</f>
        <v>N/A</v>
      </c>
      <c r="H41" s="186" t="str">
        <f xml:space="preserve"> IF(LEFT('CASE DATA'!E42,4)&lt;&gt;"321.",IF(OR('CASE DATA'!F42="DISM", 'CASE DATA'!F42="ACQ", 'CASE DATA'!F42="NOTF", 'CASE DATA'!F42="WTHD", 'CASE DATA'!F42="TNSF"), "YES", "NO"), "TRAFFIC")</f>
        <v>NO</v>
      </c>
      <c r="I41" s="185" t="str">
        <f xml:space="preserve"> IF(H41="YES",'CASE DATA'!K42,"N/A")</f>
        <v>N/A</v>
      </c>
      <c r="J41" s="185" t="str">
        <f>IF(H41="YES",'CASE DATA'!I42+'CASE DATA'!J42+'CASE DATA'!L42+'CASE DATA'!M42+'CASE DATA'!N42+'CASE DATA'!O42+'CASE DATA'!P42+'CASE DATA'!Q42+'CASE DATA'!R42,"N/A")</f>
        <v>N/A</v>
      </c>
      <c r="K41" s="162" t="str">
        <f xml:space="preserve"> IF(H41="YES",IF(C41+180&lt;'BASIC INFO'!$B$3, "YES", "NO"),"N/A")</f>
        <v>N/A</v>
      </c>
      <c r="L41" s="185" t="str">
        <f>IF(OR('CASE DATA'!F42="GTR", 'CASE DATA'!F42="GPL"),IF(OR('CASE DATA'!E42="81.6(2)", 'CASE DATA'!E42="99F.15(6)(b)(1)", 'CASE DATA'!E42= "124.401(1)(a)", 'CASE DATA'!E42= "124.401(1)(b)", 'CASE DATA'!E42= "124.401(1)(c)", 'CASE DATA'!E42= "124.401(1)(d)", 'CASE DATA'!E42="124.401(4)", 'CASE DATA'!E42="124.401(1)(b)", 'CASE DATA'!E42="124.401(1)(c)", 'CASE DATA'!E42="124.401D(2)(b)", 'CASE DATA'!E42="124.401D(2)(c)", 'CASE DATA'!E42="124.406(1)(a)", 'CASE DATA'!E42="124.406(1)(b) ", 'CASE DATA'!E42="124.406(2)(a)", 'CASE DATA'!E42="124.406(2)(b) ", 'CASE DATA'!E42="124.406(3)", 'CASE DATA'!E42="124.406A ", 'CASE DATA'!E42="124.407(2)(a)", 'CASE DATA'!E42="124B.9(1)", 'CASE DATA'!E42="124B.9(2)", 'CASE DATA'!E42="321J.2(2)(c)", 'CASE DATA'!E42="453B.12(2)", 'CASE DATA'!E42="453B.12(3)", 'CASE DATA'!E42="453B.12(4)", 'CASE DATA'!E42="462A.14(2)(c)", 'CASE DATA'!E42="462A.14(2)(d)", 'CASE DATA'!E42="462A.14(2)(e)", 'CASE DATA'!E42="705.1(2)", 'CASE DATA'!E42="706.3(1)", 'CASE DATA'!E42="706.3(2)", 'CASE DATA'!E42="706A.2(1)", 'CASE DATA'!E42="706A.2(2)", 'CASE DATA'!E42="706A.2(4)", 'CASE DATA'!E42="706B.2(1)(a)", 'CASE DATA'!E42="706B.2(1)(b)", 'CASE DATA'!E42="706B.2(1)(c)", 'CASE DATA'!E42="706B.2(1)(d)", 'CASE DATA'!E42="707.2", 'CASE DATA'!E42="707.3", 'CASE DATA'!E42="707.3A", 'CASE DATA'!E42="707.4", 'CASE DATA'!E42="707.5(1)(a)", 'CASE DATA'!E42="707.6A(1)", 'CASE DATA'!E42="707.6A(2)", 'CASE DATA'!E42="707.6A(3)", 'CASE DATA'!E42="707.6A(4)", 'CASE DATA'!E42="707.7(1)", 'CASE DATA'!E42="707.7(3)", 'CASE DATA'!E42="707.7(2)", 'CASE DATA'!E42="707.8(1)", 'CASE DATA'!E42="707.8(2)", 'CASE DATA'!E42="707.8(3)", 'CASE DATA'!E42="707.8(4)", 'CASE DATA'!E42="707.8(5)", 'CASE DATA'!E42="707.8(6)", 'CASE DATA'!E42="707.9", 'CASE DATA'!E42="707.11", 'CASE DATA'!E42="707A.2", 'CASE DATA'!E42="708.2(4)", 'CASE DATA'!E42="708.2(5)", 'CASE DATA'!E42="708.2A(4)", 'CASE DATA'!E42="708.2A(5)", 'CASE DATA'!E42="708.2C(2)", 'CASE DATA'!E42="708.2C(4)", 'CASE DATA'!E42="708.3(1)", 'CASE DATA'!E42="708.3(2)", 'CASE DATA'!E42="708.3A(1)", 'CASE DATA'!E42="708.3A(2)", 'CASE DATA'!E42="708.3B", 'CASE DATA'!E42="708.4(1)", 'CASE DATA'!E42="708.4(2)", 'CASE DATA'!E42="708.5", 'CASE DATA'!E42="708.8", 'CASE DATA'!E42="708.11(3)(a)", 'CASE DATA'!E42="708.11(3)(b)", 'CASE DATA'!E42="708.12(3)(f)", 'CASE DATA'!E42="708.13(3)", 'CASE DATA'!E42="708.14", 'CASE DATA'!E42="708A.2", 'CASE DATA'!E42="708A.4(1)", 'CASE DATA'!E42="708A.4(2)", 'CASE DATA'!E42="708A.5", 'CASE DATA'!E42="708A.6(1)", 'CASE DATA'!E42="708.A.6(2)", 'CASE DATA'!E42="709.2", 'CASE DATA'!E42="709.3", 'CASE DATA'!E42="709.4", 'CASE DATA'!E42="709.8(1)(a)", 'CASE DATA'!E42="709.8(1)(b)", 'CASE DATA'!E42="709.8(1)(c)", 'CASE DATA'!E42="709.8(1)(d)", 'CASE DATA'!E42="709.8(1)(e)", 'CASE DATA'!E42="709.11(1)", 'CASE DATA'!E42="709.11(2)", 'CASE DATA'!E42="709.15(2)(a)(1)", 'CASE DATA'!E42="709.15(3)(a)(1)", 'CASE DATA'!E42="709.18", 'CASE DATA'!E42="709A.6(2)", 'CASE DATA'!E42="709D.3(1)", 'CASE DATA'!E42="709D.3(2)", 'CASE DATA'!E42="709.D.3(3)", 'CASE DATA'!E42="710.2", 'CASE DATA'!E42="710.3", 'CASE DATA'!E42="710.4", 'CASE DATA'!E42="710.5", 'CASE DATA'!E42="710.10(1)", 'CASE DATA'!E42="710.10(2)", 'CASE DATA'!E42="710.10(3)", 'CASE DATA'!E42="710.11", 'CASE DATA'!E42="710A.2(1)", 'CASE DATA'!E42="710A.2(2)", 'CASE DATA'!E42="710A.2(3)", 'CASE DATA'!E42="710A.2(4)", 'CASE DATA'!E42="710A.2(5)", 'CASE DATA'!E42="710A.2(6)", 'CASE DATA'!E42="710A.2(7)", 'CASE DATA'!E42="710A.2A", 'CASE DATA'!E42="711.2", 'CASE DATA'!E42="711.3", 'CASE DATA'!E42="711.4", 'CASE DATA'!E42="712.2", 'CASE DATA'!E42="712.3", 'CASE DATA'!E42="712.6(1)", 'CASE DATA'!E42="712.7", 'CASE DATA'!E42="712.8", 'CASE DATA'!E42="", 'CASE DATA'!E42="713.3", 'CASE DATA'!E42="713.4", 'CASE DATA'!E42="713.5", 'CASE DATA'!E42="713.6", 'CASE DATA'!E42="713.6A(1)", 'CASE DATA'!E42="714.2(1)", 'CASE DATA'!E42="714.2(2)", 'CASE DATA'!E42="714.3A(2)(b)", 'CASE DATA'!E42="714.9", 'CASE DATA'!E42="714.10", 'CASE DATA'!E42="714.26(2)(a)", 'CASE DATA'!E42="714.26(2)(b)", 'CASE DATA'!E42="715A.2(2)(a)", 'CASE DATA'!E42="715A.6(2)(a)", 'CASE DATA'!E42="715A.6(2)(b)", 'CASE DATA'!E42="715A.8(3)(a)", 'CASE DATA'!E42="715A.8(3)(b)", 'CASE DATA'!E42="715A.10(1)", 'CASE DATA'!E42="715A.10(2)", 'CASE DATA'!E42="716.3", 'CASE DATA'!E42="716.4", 'CASE DATA'!E42="716.8(6)", 'CASE DATA'!E42="716.10(2)(a)", 'CASE DATA'!E42="716.10(2)(b)", 'CASE DATA'!E42="716.10(2)(c)", 'CASE DATA'!E42="716.10(2)(d)", 'CASE DATA'!E42="716.12", 'CASE DATA'!E42="719.1(1)(f)", 'CASE DATA'!E42="719.1(2)(e)", 'CASE DATA'!E42="719.1(2)(f)", 'CASE DATA'!E42="719.1(2)(g)", 'CASE DATA'!E42="719.4(1)", 'CASE DATA'!E42="719.4(4)", 'CASE DATA'!E42="719.5(1)", 'CASE DATA'!E42="719.5(2)", 'CASE DATA'!E42="719.6(1)", 'CASE DATA'!E42="719.6(2)", 'CASE DATA'!E42="719.7(4)(a)", 'CASE DATA'!E42="719.7(4)(b)", 'CASE DATA'!E42="719.7A(3)", 'CASE DATA'!E42="719.9", 'CASE DATA'!E42="719.8", 'CASE DATA'!E42="720.2", 'CASE DATA'!E42="720.3", 'CASE DATA'!E42="721.1", 'CASE DATA'!E42="722.1", 'CASE DATA'!E42="", 'CASE DATA'!E42="722.2", 'CASE DATA'!E42="722.10", 'CASE DATA'!E42="723(5)(3)(c)", 'CASE DATA'!E42="723A.2", 'CASE DATA'!E42="723A.3(1)", 'CASE DATA'!E42="723A.3(2)", 'CASE DATA'!E42="724.1B", 'CASE DATA'!E42="724.1C", 'CASE DATA'!E42="724.3", 'CASE DATA'!E42="724.4B", 'CASE DATA'!E42="724.10", 'CASE DATA'!E42="724.16(2)", 'CASE DATA'!E42="724.16A(1)(a)", 'CASE DATA'!E42="724.16A(1)(b)", 'CASE DATA'!E42="724.17", 'CASE DATA'!E42="724.21", 'CASE DATA'!E42="724.26(1)", 'CASE DATA'!E42="922(g)(8)", 'CASE DATA'!E42="724.29A(2)", 'CASE DATA'!E42="724.29A(3)", 'CASE DATA'!E42="724.30(1)", 'CASE DATA'!E42="724.30(2)", 'CASE DATA'!E42="725.1(2)(b)", 'CASE DATA'!E42="725.2(1)", 'CASE DATA'!E42="725.2(2)", 'CASE DATA'!E42="725.3(2)", 'CASE DATA'!E42="725.3(1)", 'CASE DATA'!E42="725.7(2)(a)(3)", 'CASE DATA'!E42="725.7(2)(a)(4)", 'CASE DATA'!E42="725.7(2)(b)(2)", 'CASE DATA'!E42="725.7(2)(b(3)", 'CASE DATA'!E42="726.7(2)(c)(1)", 'CASE DATA'!E42="726.7(2)(c)(2)", 'CASE DATA'!E42="725.7(2)(d)", 'CASE DATA'!E42="726.2", 'CASE DATA'!E42="726.3", 'CASE DATA'!E42="726.5", 'CASE DATA'!E42="726.6(4)", 'CASE DATA'!E42="726.6(5)", 'CASE DATA'!E42="726.6(6)", 'CASE DATA'!E42="726.6A", 'CASE DATA'!E42="726.7(2)", 'CASE DATA'!E42="726.8(2)", 'CASE DATA'!E42="728.12(1)", 'CASE DATA'!E42="728.12(2)"),"felony","eligible"),"N/A")</f>
        <v>N/A</v>
      </c>
      <c r="M41" s="185" t="str">
        <f>IF(L41="eligible",IF(OR('CASE DATA'!E42="123.46",'CASE DATA'!E42="123.47",'CASE DATA'!E42="235B.20",'CASE DATA'!E42="321.218",'CASE DATA'!E42="321A.32",'CASE DATA'!E42="321J.21",'CASE DATA'!E42="321J.2",'CASE DATA'!E42="707.5",'CASE DATA'!E42="708.2(3)",'CASE DATA'!E42="708.2A",'CASE DATA'!E42="708.7",'CASE DATA'!E42="708.11",'CASE DATA'!E42="708.12",'CASE DATA'!E42="716.8(3)",'CASE DATA'!E42="716.8(4)", LEFT('CASE DATA'!E42,4)="717C", LEFT('CASE DATA'!E42, 3)="719", LEFT('CASE DATA'!E42,3)="720", 'CASE DATA'!E42="721.2", 'CASE DATA'!E42="721.10", 'CASE DATA'!E42="723.1", LEFT('CASE DATA'!E42,3)="724", LEFT('CASE DATA'!E42,3)="726", LEFT('CASE DATA'!E42,3)="728", LEFT('CASE DATA'!E42,4)="901A"),"ineligible misd", "eligible"),"N/A")</f>
        <v>N/A</v>
      </c>
      <c r="N41" s="185" t="str">
        <f>IF(L41="eligible",IF(COUNTIF('CASE DATA'!$C$4:$C$200, "")-COUNTIF('CASE DATA'!$A$4:$A$200, "")&gt;0, "YES","NO"),"N/A")</f>
        <v>N/A</v>
      </c>
      <c r="O41" s="185" t="str">
        <f xml:space="preserve"> IF(M41="eligible",'CASE DATA'!K42,"N/A")</f>
        <v>N/A</v>
      </c>
      <c r="P41" s="185" t="str">
        <f xml:space="preserve"> IF(M41="eligible",'CASE DATA'!I42+'CASE DATA'!J42+'CASE DATA'!L42+'CASE DATA'!M42+'CASE DATA'!N42+'CASE DATA'!O42+'CASE DATA'!M42+'CASE DATA'!Q42+'CASE DATA'!R42,"N/A")</f>
        <v>N/A</v>
      </c>
      <c r="Q41" s="11" t="str">
        <f>IF(M41="eligible",IF(C41+730.5&lt;'BASIC INFO'!$B$3, "YES", "NO"),"N/A")</f>
        <v>N/A</v>
      </c>
      <c r="R41" s="186" t="str">
        <f xml:space="preserve"> IF(OR('CASE DATA'!F42="DEF"), "YES", "NO")</f>
        <v>NO</v>
      </c>
      <c r="S41" s="162" t="str">
        <f>IF(R41="YES",'CASE DATA'!H42,"N/A")</f>
        <v>N/A</v>
      </c>
      <c r="T41" s="185" t="str">
        <f xml:space="preserve"> IF(R41="YES",'CASE DATA'!K42,"N/A")</f>
        <v>N/A</v>
      </c>
      <c r="U41" s="185" t="str">
        <f>IF(R41="YES",'CASE DATA'!I42+'CASE DATA'!J42+'CASE DATA'!L42+'CASE DATA'!M42+'CASE DATA'!N42+'CASE DATA'!O42+'CASE DATA'!P42+'CASE DATA'!Q42+'CASE DATA'!R42,"N/A")</f>
        <v>N/A</v>
      </c>
      <c r="V41" s="189" t="str">
        <f>IF(OR('CASE DATA'!E42="123.46",'CASE DATA'!E42="123.47"),"YES","NO")</f>
        <v>NO</v>
      </c>
      <c r="W41" s="189"/>
      <c r="X41" s="185" t="str">
        <f>IF(V41="YES",IF(C41+730.5&lt;'BASIC INFO'!$B$3, "YES","NO"), "N/A")</f>
        <v>N/A</v>
      </c>
      <c r="Y41" s="189" t="str">
        <f t="shared" si="0"/>
        <v>NO</v>
      </c>
      <c r="Z41" s="187" t="str">
        <f xml:space="preserve"> IF('BASIC INFO'!$B$6+6574.5&gt;C41, "YES", "NO")</f>
        <v>YES</v>
      </c>
    </row>
    <row r="42" spans="1:26" x14ac:dyDescent="0.25">
      <c r="A42" s="162">
        <f xml:space="preserve"> 'CASE DATA'!A43</f>
        <v>0</v>
      </c>
      <c r="B42" s="162">
        <f xml:space="preserve"> 'CASE DATA'!E43</f>
        <v>0</v>
      </c>
      <c r="C42" s="163">
        <f xml:space="preserve"> 'CASE DATA'!C43</f>
        <v>0</v>
      </c>
      <c r="D42" s="11" t="str">
        <f xml:space="preserve"> IF(OR('CASE DATA'!F43="JUV", 'CASE DATA'!F43="JWV"), "YES", "NO")</f>
        <v>NO</v>
      </c>
      <c r="E42" s="11"/>
      <c r="F42" s="11" t="str">
        <f>IF(D42="YES",IF(COUNTIF('CASE DATA'!$C$4:$C$200, "")-COUNTIF('CASE DATA'!$A$4:$A$200, "")&gt;0, "YES","NO"),"N/A")</f>
        <v>N/A</v>
      </c>
      <c r="G42" s="164" t="str">
        <f xml:space="preserve"> _xlfn.IFS(D42="NO", "N/A", AND('BASIC INFO'!$B$3&gt;'BASIC INFO'!$B$6+6574.5, C42+730.5&lt;'BASIC INFO'!$B$3), "YES", 'BASIC INFO'!$B$3&lt;('BASIC INFO'!$B$6+6574.5), "NOT YET 18", C42+730.5&gt;'BASIC INFO'!$B$3, "NOT YET 2 YEARS")</f>
        <v>N/A</v>
      </c>
      <c r="H42" s="186" t="str">
        <f xml:space="preserve"> IF(LEFT('CASE DATA'!E43,4)&lt;&gt;"321.",IF(OR('CASE DATA'!F43="DISM", 'CASE DATA'!F43="ACQ", 'CASE DATA'!F43="NOTF", 'CASE DATA'!F43="WTHD", 'CASE DATA'!F43="TNSF"), "YES", "NO"), "TRAFFIC")</f>
        <v>NO</v>
      </c>
      <c r="I42" s="185" t="str">
        <f xml:space="preserve"> IF(H42="YES",'CASE DATA'!K43,"N/A")</f>
        <v>N/A</v>
      </c>
      <c r="J42" s="185" t="str">
        <f>IF(H42="YES",'CASE DATA'!I43+'CASE DATA'!J43+'CASE DATA'!L43+'CASE DATA'!M43+'CASE DATA'!N43+'CASE DATA'!O43+'CASE DATA'!P43+'CASE DATA'!Q43+'CASE DATA'!R43,"N/A")</f>
        <v>N/A</v>
      </c>
      <c r="K42" s="162" t="str">
        <f xml:space="preserve"> IF(H42="YES",IF(C42+180&lt;'BASIC INFO'!$B$3, "YES", "NO"),"N/A")</f>
        <v>N/A</v>
      </c>
      <c r="L42" s="185" t="str">
        <f>IF(OR('CASE DATA'!F43="GTR", 'CASE DATA'!F43="GPL"),IF(OR('CASE DATA'!E43="81.6(2)", 'CASE DATA'!E43="99F.15(6)(b)(1)", 'CASE DATA'!E43= "124.401(1)(a)", 'CASE DATA'!E43= "124.401(1)(b)", 'CASE DATA'!E43= "124.401(1)(c)", 'CASE DATA'!E43= "124.401(1)(d)", 'CASE DATA'!E43="124.401(4)", 'CASE DATA'!E43="124.401(1)(b)", 'CASE DATA'!E43="124.401(1)(c)", 'CASE DATA'!E43="124.401D(2)(b)", 'CASE DATA'!E43="124.401D(2)(c)", 'CASE DATA'!E43="124.406(1)(a)", 'CASE DATA'!E43="124.406(1)(b) ", 'CASE DATA'!E43="124.406(2)(a)", 'CASE DATA'!E43="124.406(2)(b) ", 'CASE DATA'!E43="124.406(3)", 'CASE DATA'!E43="124.406A ", 'CASE DATA'!E43="124.407(2)(a)", 'CASE DATA'!E43="124B.9(1)", 'CASE DATA'!E43="124B.9(2)", 'CASE DATA'!E43="321J.2(2)(c)", 'CASE DATA'!E43="453B.12(2)", 'CASE DATA'!E43="453B.12(3)", 'CASE DATA'!E43="453B.12(4)", 'CASE DATA'!E43="462A.14(2)(c)", 'CASE DATA'!E43="462A.14(2)(d)", 'CASE DATA'!E43="462A.14(2)(e)", 'CASE DATA'!E43="705.1(2)", 'CASE DATA'!E43="706.3(1)", 'CASE DATA'!E43="706.3(2)", 'CASE DATA'!E43="706A.2(1)", 'CASE DATA'!E43="706A.2(2)", 'CASE DATA'!E43="706A.2(4)", 'CASE DATA'!E43="706B.2(1)(a)", 'CASE DATA'!E43="706B.2(1)(b)", 'CASE DATA'!E43="706B.2(1)(c)", 'CASE DATA'!E43="706B.2(1)(d)", 'CASE DATA'!E43="707.2", 'CASE DATA'!E43="707.3", 'CASE DATA'!E43="707.3A", 'CASE DATA'!E43="707.4", 'CASE DATA'!E43="707.5(1)(a)", 'CASE DATA'!E43="707.6A(1)", 'CASE DATA'!E43="707.6A(2)", 'CASE DATA'!E43="707.6A(3)", 'CASE DATA'!E43="707.6A(4)", 'CASE DATA'!E43="707.7(1)", 'CASE DATA'!E43="707.7(3)", 'CASE DATA'!E43="707.7(2)", 'CASE DATA'!E43="707.8(1)", 'CASE DATA'!E43="707.8(2)", 'CASE DATA'!E43="707.8(3)", 'CASE DATA'!E43="707.8(4)", 'CASE DATA'!E43="707.8(5)", 'CASE DATA'!E43="707.8(6)", 'CASE DATA'!E43="707.9", 'CASE DATA'!E43="707.11", 'CASE DATA'!E43="707A.2", 'CASE DATA'!E43="708.2(4)", 'CASE DATA'!E43="708.2(5)", 'CASE DATA'!E43="708.2A(4)", 'CASE DATA'!E43="708.2A(5)", 'CASE DATA'!E43="708.2C(2)", 'CASE DATA'!E43="708.2C(4)", 'CASE DATA'!E43="708.3(1)", 'CASE DATA'!E43="708.3(2)", 'CASE DATA'!E43="708.3A(1)", 'CASE DATA'!E43="708.3A(2)", 'CASE DATA'!E43="708.3B", 'CASE DATA'!E43="708.4(1)", 'CASE DATA'!E43="708.4(2)", 'CASE DATA'!E43="708.5", 'CASE DATA'!E43="708.8", 'CASE DATA'!E43="708.11(3)(a)", 'CASE DATA'!E43="708.11(3)(b)", 'CASE DATA'!E43="708.12(3)(f)", 'CASE DATA'!E43="708.13(3)", 'CASE DATA'!E43="708.14", 'CASE DATA'!E43="708A.2", 'CASE DATA'!E43="708A.4(1)", 'CASE DATA'!E43="708A.4(2)", 'CASE DATA'!E43="708A.5", 'CASE DATA'!E43="708A.6(1)", 'CASE DATA'!E43="708.A.6(2)", 'CASE DATA'!E43="709.2", 'CASE DATA'!E43="709.3", 'CASE DATA'!E43="709.4", 'CASE DATA'!E43="709.8(1)(a)", 'CASE DATA'!E43="709.8(1)(b)", 'CASE DATA'!E43="709.8(1)(c)", 'CASE DATA'!E43="709.8(1)(d)", 'CASE DATA'!E43="709.8(1)(e)", 'CASE DATA'!E43="709.11(1)", 'CASE DATA'!E43="709.11(2)", 'CASE DATA'!E43="709.15(2)(a)(1)", 'CASE DATA'!E43="709.15(3)(a)(1)", 'CASE DATA'!E43="709.18", 'CASE DATA'!E43="709A.6(2)", 'CASE DATA'!E43="709D.3(1)", 'CASE DATA'!E43="709D.3(2)", 'CASE DATA'!E43="709.D.3(3)", 'CASE DATA'!E43="710.2", 'CASE DATA'!E43="710.3", 'CASE DATA'!E43="710.4", 'CASE DATA'!E43="710.5", 'CASE DATA'!E43="710.10(1)", 'CASE DATA'!E43="710.10(2)", 'CASE DATA'!E43="710.10(3)", 'CASE DATA'!E43="710.11", 'CASE DATA'!E43="710A.2(1)", 'CASE DATA'!E43="710A.2(2)", 'CASE DATA'!E43="710A.2(3)", 'CASE DATA'!E43="710A.2(4)", 'CASE DATA'!E43="710A.2(5)", 'CASE DATA'!E43="710A.2(6)", 'CASE DATA'!E43="710A.2(7)", 'CASE DATA'!E43="710A.2A", 'CASE DATA'!E43="711.2", 'CASE DATA'!E43="711.3", 'CASE DATA'!E43="711.4", 'CASE DATA'!E43="712.2", 'CASE DATA'!E43="712.3", 'CASE DATA'!E43="712.6(1)", 'CASE DATA'!E43="712.7", 'CASE DATA'!E43="712.8", 'CASE DATA'!E43="", 'CASE DATA'!E43="713.3", 'CASE DATA'!E43="713.4", 'CASE DATA'!E43="713.5", 'CASE DATA'!E43="713.6", 'CASE DATA'!E43="713.6A(1)", 'CASE DATA'!E43="714.2(1)", 'CASE DATA'!E43="714.2(2)", 'CASE DATA'!E43="714.3A(2)(b)", 'CASE DATA'!E43="714.9", 'CASE DATA'!E43="714.10", 'CASE DATA'!E43="714.26(2)(a)", 'CASE DATA'!E43="714.26(2)(b)", 'CASE DATA'!E43="715A.2(2)(a)", 'CASE DATA'!E43="715A.6(2)(a)", 'CASE DATA'!E43="715A.6(2)(b)", 'CASE DATA'!E43="715A.8(3)(a)", 'CASE DATA'!E43="715A.8(3)(b)", 'CASE DATA'!E43="715A.10(1)", 'CASE DATA'!E43="715A.10(2)", 'CASE DATA'!E43="716.3", 'CASE DATA'!E43="716.4", 'CASE DATA'!E43="716.8(6)", 'CASE DATA'!E43="716.10(2)(a)", 'CASE DATA'!E43="716.10(2)(b)", 'CASE DATA'!E43="716.10(2)(c)", 'CASE DATA'!E43="716.10(2)(d)", 'CASE DATA'!E43="716.12", 'CASE DATA'!E43="719.1(1)(f)", 'CASE DATA'!E43="719.1(2)(e)", 'CASE DATA'!E43="719.1(2)(f)", 'CASE DATA'!E43="719.1(2)(g)", 'CASE DATA'!E43="719.4(1)", 'CASE DATA'!E43="719.4(4)", 'CASE DATA'!E43="719.5(1)", 'CASE DATA'!E43="719.5(2)", 'CASE DATA'!E43="719.6(1)", 'CASE DATA'!E43="719.6(2)", 'CASE DATA'!E43="719.7(4)(a)", 'CASE DATA'!E43="719.7(4)(b)", 'CASE DATA'!E43="719.7A(3)", 'CASE DATA'!E43="719.9", 'CASE DATA'!E43="719.8", 'CASE DATA'!E43="720.2", 'CASE DATA'!E43="720.3", 'CASE DATA'!E43="721.1", 'CASE DATA'!E43="722.1", 'CASE DATA'!E43="", 'CASE DATA'!E43="722.2", 'CASE DATA'!E43="722.10", 'CASE DATA'!E43="723(5)(3)(c)", 'CASE DATA'!E43="723A.2", 'CASE DATA'!E43="723A.3(1)", 'CASE DATA'!E43="723A.3(2)", 'CASE DATA'!E43="724.1B", 'CASE DATA'!E43="724.1C", 'CASE DATA'!E43="724.3", 'CASE DATA'!E43="724.4B", 'CASE DATA'!E43="724.10", 'CASE DATA'!E43="724.16(2)", 'CASE DATA'!E43="724.16A(1)(a)", 'CASE DATA'!E43="724.16A(1)(b)", 'CASE DATA'!E43="724.17", 'CASE DATA'!E43="724.21", 'CASE DATA'!E43="724.26(1)", 'CASE DATA'!E43="922(g)(8)", 'CASE DATA'!E43="724.29A(2)", 'CASE DATA'!E43="724.29A(3)", 'CASE DATA'!E43="724.30(1)", 'CASE DATA'!E43="724.30(2)", 'CASE DATA'!E43="725.1(2)(b)", 'CASE DATA'!E43="725.2(1)", 'CASE DATA'!E43="725.2(2)", 'CASE DATA'!E43="725.3(2)", 'CASE DATA'!E43="725.3(1)", 'CASE DATA'!E43="725.7(2)(a)(3)", 'CASE DATA'!E43="725.7(2)(a)(4)", 'CASE DATA'!E43="725.7(2)(b)(2)", 'CASE DATA'!E43="725.7(2)(b(3)", 'CASE DATA'!E43="726.7(2)(c)(1)", 'CASE DATA'!E43="726.7(2)(c)(2)", 'CASE DATA'!E43="725.7(2)(d)", 'CASE DATA'!E43="726.2", 'CASE DATA'!E43="726.3", 'CASE DATA'!E43="726.5", 'CASE DATA'!E43="726.6(4)", 'CASE DATA'!E43="726.6(5)", 'CASE DATA'!E43="726.6(6)", 'CASE DATA'!E43="726.6A", 'CASE DATA'!E43="726.7(2)", 'CASE DATA'!E43="726.8(2)", 'CASE DATA'!E43="728.12(1)", 'CASE DATA'!E43="728.12(2)"),"felony","eligible"),"N/A")</f>
        <v>N/A</v>
      </c>
      <c r="M42" s="185" t="str">
        <f>IF(L42="eligible",IF(OR('CASE DATA'!E43="123.46",'CASE DATA'!E43="123.47",'CASE DATA'!E43="235B.20",'CASE DATA'!E43="321.218",'CASE DATA'!E43="321A.32",'CASE DATA'!E43="321J.21",'CASE DATA'!E43="321J.2",'CASE DATA'!E43="707.5",'CASE DATA'!E43="708.2(3)",'CASE DATA'!E43="708.2A",'CASE DATA'!E43="708.7",'CASE DATA'!E43="708.11",'CASE DATA'!E43="708.12",'CASE DATA'!E43="716.8(3)",'CASE DATA'!E43="716.8(4)", LEFT('CASE DATA'!E43,4)="717C", LEFT('CASE DATA'!E43, 3)="719", LEFT('CASE DATA'!E43,3)="720", 'CASE DATA'!E43="721.2", 'CASE DATA'!E43="721.10", 'CASE DATA'!E43="723.1", LEFT('CASE DATA'!E43,3)="724", LEFT('CASE DATA'!E43,3)="726", LEFT('CASE DATA'!E43,3)="728", LEFT('CASE DATA'!E43,4)="901A"),"ineligible misd", "eligible"),"N/A")</f>
        <v>N/A</v>
      </c>
      <c r="N42" s="185" t="str">
        <f>IF(L42="eligible",IF(COUNTIF('CASE DATA'!$C$4:$C$200, "")-COUNTIF('CASE DATA'!$A$4:$A$200, "")&gt;0, "YES","NO"),"N/A")</f>
        <v>N/A</v>
      </c>
      <c r="O42" s="185" t="str">
        <f xml:space="preserve"> IF(M42="eligible",'CASE DATA'!K43,"N/A")</f>
        <v>N/A</v>
      </c>
      <c r="P42" s="185" t="str">
        <f xml:space="preserve"> IF(M42="eligible",'CASE DATA'!I43+'CASE DATA'!J43+'CASE DATA'!L43+'CASE DATA'!M43+'CASE DATA'!N43+'CASE DATA'!O43+'CASE DATA'!M43+'CASE DATA'!Q43+'CASE DATA'!R43,"N/A")</f>
        <v>N/A</v>
      </c>
      <c r="Q42" s="11" t="str">
        <f>IF(M42="eligible",IF(C42+730.5&lt;'BASIC INFO'!$B$3, "YES", "NO"),"N/A")</f>
        <v>N/A</v>
      </c>
      <c r="R42" s="186" t="str">
        <f xml:space="preserve"> IF(OR('CASE DATA'!F43="DEF"), "YES", "NO")</f>
        <v>NO</v>
      </c>
      <c r="S42" s="162" t="str">
        <f>IF(R42="YES",'CASE DATA'!H43,"N/A")</f>
        <v>N/A</v>
      </c>
      <c r="T42" s="185" t="str">
        <f xml:space="preserve"> IF(R42="YES",'CASE DATA'!K43,"N/A")</f>
        <v>N/A</v>
      </c>
      <c r="U42" s="185" t="str">
        <f>IF(R42="YES",'CASE DATA'!I43+'CASE DATA'!J43+'CASE DATA'!L43+'CASE DATA'!M43+'CASE DATA'!N43+'CASE DATA'!O43+'CASE DATA'!P43+'CASE DATA'!Q43+'CASE DATA'!R43,"N/A")</f>
        <v>N/A</v>
      </c>
      <c r="V42" s="189" t="str">
        <f>IF(OR('CASE DATA'!E43="123.46",'CASE DATA'!E43="123.47"),"YES","NO")</f>
        <v>NO</v>
      </c>
      <c r="W42" s="189"/>
      <c r="X42" s="185" t="str">
        <f>IF(V42="YES",IF(C42+730.5&lt;'BASIC INFO'!$B$3, "YES","NO"), "N/A")</f>
        <v>N/A</v>
      </c>
      <c r="Y42" s="189" t="str">
        <f t="shared" si="0"/>
        <v>NO</v>
      </c>
      <c r="Z42" s="187" t="str">
        <f xml:space="preserve"> IF('BASIC INFO'!$B$6+6574.5&gt;C42, "YES", "NO")</f>
        <v>YES</v>
      </c>
    </row>
    <row r="43" spans="1:26" x14ac:dyDescent="0.25">
      <c r="A43" s="162">
        <f xml:space="preserve"> 'CASE DATA'!A44</f>
        <v>0</v>
      </c>
      <c r="B43" s="162">
        <f xml:space="preserve"> 'CASE DATA'!E44</f>
        <v>0</v>
      </c>
      <c r="C43" s="163">
        <f xml:space="preserve"> 'CASE DATA'!C44</f>
        <v>0</v>
      </c>
      <c r="D43" s="11" t="str">
        <f xml:space="preserve"> IF(OR('CASE DATA'!F44="JUV", 'CASE DATA'!F44="JWV"), "YES", "NO")</f>
        <v>NO</v>
      </c>
      <c r="E43" s="11"/>
      <c r="F43" s="11" t="str">
        <f>IF(D43="YES",IF(COUNTIF('CASE DATA'!$C$4:$C$200, "")-COUNTIF('CASE DATA'!$A$4:$A$200, "")&gt;0, "YES","NO"),"N/A")</f>
        <v>N/A</v>
      </c>
      <c r="G43" s="164" t="str">
        <f xml:space="preserve"> _xlfn.IFS(D43="NO", "N/A", AND('BASIC INFO'!$B$3&gt;'BASIC INFO'!$B$6+6574.5, C43+730.5&lt;'BASIC INFO'!$B$3), "YES", 'BASIC INFO'!$B$3&lt;('BASIC INFO'!$B$6+6574.5), "NOT YET 18", C43+730.5&gt;'BASIC INFO'!$B$3, "NOT YET 2 YEARS")</f>
        <v>N/A</v>
      </c>
      <c r="H43" s="186" t="str">
        <f xml:space="preserve"> IF(LEFT('CASE DATA'!E44,4)&lt;&gt;"321.",IF(OR('CASE DATA'!F44="DISM", 'CASE DATA'!F44="ACQ", 'CASE DATA'!F44="NOTF", 'CASE DATA'!F44="WTHD", 'CASE DATA'!F44="TNSF"), "YES", "NO"), "TRAFFIC")</f>
        <v>NO</v>
      </c>
      <c r="I43" s="185" t="str">
        <f xml:space="preserve"> IF(H43="YES",'CASE DATA'!K44,"N/A")</f>
        <v>N/A</v>
      </c>
      <c r="J43" s="185" t="str">
        <f>IF(H43="YES",'CASE DATA'!I44+'CASE DATA'!J44+'CASE DATA'!L44+'CASE DATA'!M44+'CASE DATA'!N44+'CASE DATA'!O44+'CASE DATA'!P44+'CASE DATA'!Q44+'CASE DATA'!R44,"N/A")</f>
        <v>N/A</v>
      </c>
      <c r="K43" s="162" t="str">
        <f xml:space="preserve"> IF(H43="YES",IF(C43+180&lt;'BASIC INFO'!$B$3, "YES", "NO"),"N/A")</f>
        <v>N/A</v>
      </c>
      <c r="L43" s="185" t="str">
        <f>IF(OR('CASE DATA'!F44="GTR", 'CASE DATA'!F44="GPL"),IF(OR('CASE DATA'!E44="81.6(2)", 'CASE DATA'!E44="99F.15(6)(b)(1)", 'CASE DATA'!E44= "124.401(1)(a)", 'CASE DATA'!E44= "124.401(1)(b)", 'CASE DATA'!E44= "124.401(1)(c)", 'CASE DATA'!E44= "124.401(1)(d)", 'CASE DATA'!E44="124.401(4)", 'CASE DATA'!E44="124.401(1)(b)", 'CASE DATA'!E44="124.401(1)(c)", 'CASE DATA'!E44="124.401D(2)(b)", 'CASE DATA'!E44="124.401D(2)(c)", 'CASE DATA'!E44="124.406(1)(a)", 'CASE DATA'!E44="124.406(1)(b) ", 'CASE DATA'!E44="124.406(2)(a)", 'CASE DATA'!E44="124.406(2)(b) ", 'CASE DATA'!E44="124.406(3)", 'CASE DATA'!E44="124.406A ", 'CASE DATA'!E44="124.407(2)(a)", 'CASE DATA'!E44="124B.9(1)", 'CASE DATA'!E44="124B.9(2)", 'CASE DATA'!E44="321J.2(2)(c)", 'CASE DATA'!E44="453B.12(2)", 'CASE DATA'!E44="453B.12(3)", 'CASE DATA'!E44="453B.12(4)", 'CASE DATA'!E44="462A.14(2)(c)", 'CASE DATA'!E44="462A.14(2)(d)", 'CASE DATA'!E44="462A.14(2)(e)", 'CASE DATA'!E44="705.1(2)", 'CASE DATA'!E44="706.3(1)", 'CASE DATA'!E44="706.3(2)", 'CASE DATA'!E44="706A.2(1)", 'CASE DATA'!E44="706A.2(2)", 'CASE DATA'!E44="706A.2(4)", 'CASE DATA'!E44="706B.2(1)(a)", 'CASE DATA'!E44="706B.2(1)(b)", 'CASE DATA'!E44="706B.2(1)(c)", 'CASE DATA'!E44="706B.2(1)(d)", 'CASE DATA'!E44="707.2", 'CASE DATA'!E44="707.3", 'CASE DATA'!E44="707.3A", 'CASE DATA'!E44="707.4", 'CASE DATA'!E44="707.5(1)(a)", 'CASE DATA'!E44="707.6A(1)", 'CASE DATA'!E44="707.6A(2)", 'CASE DATA'!E44="707.6A(3)", 'CASE DATA'!E44="707.6A(4)", 'CASE DATA'!E44="707.7(1)", 'CASE DATA'!E44="707.7(3)", 'CASE DATA'!E44="707.7(2)", 'CASE DATA'!E44="707.8(1)", 'CASE DATA'!E44="707.8(2)", 'CASE DATA'!E44="707.8(3)", 'CASE DATA'!E44="707.8(4)", 'CASE DATA'!E44="707.8(5)", 'CASE DATA'!E44="707.8(6)", 'CASE DATA'!E44="707.9", 'CASE DATA'!E44="707.11", 'CASE DATA'!E44="707A.2", 'CASE DATA'!E44="708.2(4)", 'CASE DATA'!E44="708.2(5)", 'CASE DATA'!E44="708.2A(4)", 'CASE DATA'!E44="708.2A(5)", 'CASE DATA'!E44="708.2C(2)", 'CASE DATA'!E44="708.2C(4)", 'CASE DATA'!E44="708.3(1)", 'CASE DATA'!E44="708.3(2)", 'CASE DATA'!E44="708.3A(1)", 'CASE DATA'!E44="708.3A(2)", 'CASE DATA'!E44="708.3B", 'CASE DATA'!E44="708.4(1)", 'CASE DATA'!E44="708.4(2)", 'CASE DATA'!E44="708.5", 'CASE DATA'!E44="708.8", 'CASE DATA'!E44="708.11(3)(a)", 'CASE DATA'!E44="708.11(3)(b)", 'CASE DATA'!E44="708.12(3)(f)", 'CASE DATA'!E44="708.13(3)", 'CASE DATA'!E44="708.14", 'CASE DATA'!E44="708A.2", 'CASE DATA'!E44="708A.4(1)", 'CASE DATA'!E44="708A.4(2)", 'CASE DATA'!E44="708A.5", 'CASE DATA'!E44="708A.6(1)", 'CASE DATA'!E44="708.A.6(2)", 'CASE DATA'!E44="709.2", 'CASE DATA'!E44="709.3", 'CASE DATA'!E44="709.4", 'CASE DATA'!E44="709.8(1)(a)", 'CASE DATA'!E44="709.8(1)(b)", 'CASE DATA'!E44="709.8(1)(c)", 'CASE DATA'!E44="709.8(1)(d)", 'CASE DATA'!E44="709.8(1)(e)", 'CASE DATA'!E44="709.11(1)", 'CASE DATA'!E44="709.11(2)", 'CASE DATA'!E44="709.15(2)(a)(1)", 'CASE DATA'!E44="709.15(3)(a)(1)", 'CASE DATA'!E44="709.18", 'CASE DATA'!E44="709A.6(2)", 'CASE DATA'!E44="709D.3(1)", 'CASE DATA'!E44="709D.3(2)", 'CASE DATA'!E44="709.D.3(3)", 'CASE DATA'!E44="710.2", 'CASE DATA'!E44="710.3", 'CASE DATA'!E44="710.4", 'CASE DATA'!E44="710.5", 'CASE DATA'!E44="710.10(1)", 'CASE DATA'!E44="710.10(2)", 'CASE DATA'!E44="710.10(3)", 'CASE DATA'!E44="710.11", 'CASE DATA'!E44="710A.2(1)", 'CASE DATA'!E44="710A.2(2)", 'CASE DATA'!E44="710A.2(3)", 'CASE DATA'!E44="710A.2(4)", 'CASE DATA'!E44="710A.2(5)", 'CASE DATA'!E44="710A.2(6)", 'CASE DATA'!E44="710A.2(7)", 'CASE DATA'!E44="710A.2A", 'CASE DATA'!E44="711.2", 'CASE DATA'!E44="711.3", 'CASE DATA'!E44="711.4", 'CASE DATA'!E44="712.2", 'CASE DATA'!E44="712.3", 'CASE DATA'!E44="712.6(1)", 'CASE DATA'!E44="712.7", 'CASE DATA'!E44="712.8", 'CASE DATA'!E44="", 'CASE DATA'!E44="713.3", 'CASE DATA'!E44="713.4", 'CASE DATA'!E44="713.5", 'CASE DATA'!E44="713.6", 'CASE DATA'!E44="713.6A(1)", 'CASE DATA'!E44="714.2(1)", 'CASE DATA'!E44="714.2(2)", 'CASE DATA'!E44="714.3A(2)(b)", 'CASE DATA'!E44="714.9", 'CASE DATA'!E44="714.10", 'CASE DATA'!E44="714.26(2)(a)", 'CASE DATA'!E44="714.26(2)(b)", 'CASE DATA'!E44="715A.2(2)(a)", 'CASE DATA'!E44="715A.6(2)(a)", 'CASE DATA'!E44="715A.6(2)(b)", 'CASE DATA'!E44="715A.8(3)(a)", 'CASE DATA'!E44="715A.8(3)(b)", 'CASE DATA'!E44="715A.10(1)", 'CASE DATA'!E44="715A.10(2)", 'CASE DATA'!E44="716.3", 'CASE DATA'!E44="716.4", 'CASE DATA'!E44="716.8(6)", 'CASE DATA'!E44="716.10(2)(a)", 'CASE DATA'!E44="716.10(2)(b)", 'CASE DATA'!E44="716.10(2)(c)", 'CASE DATA'!E44="716.10(2)(d)", 'CASE DATA'!E44="716.12", 'CASE DATA'!E44="719.1(1)(f)", 'CASE DATA'!E44="719.1(2)(e)", 'CASE DATA'!E44="719.1(2)(f)", 'CASE DATA'!E44="719.1(2)(g)", 'CASE DATA'!E44="719.4(1)", 'CASE DATA'!E44="719.4(4)", 'CASE DATA'!E44="719.5(1)", 'CASE DATA'!E44="719.5(2)", 'CASE DATA'!E44="719.6(1)", 'CASE DATA'!E44="719.6(2)", 'CASE DATA'!E44="719.7(4)(a)", 'CASE DATA'!E44="719.7(4)(b)", 'CASE DATA'!E44="719.7A(3)", 'CASE DATA'!E44="719.9", 'CASE DATA'!E44="719.8", 'CASE DATA'!E44="720.2", 'CASE DATA'!E44="720.3", 'CASE DATA'!E44="721.1", 'CASE DATA'!E44="722.1", 'CASE DATA'!E44="", 'CASE DATA'!E44="722.2", 'CASE DATA'!E44="722.10", 'CASE DATA'!E44="723(5)(3)(c)", 'CASE DATA'!E44="723A.2", 'CASE DATA'!E44="723A.3(1)", 'CASE DATA'!E44="723A.3(2)", 'CASE DATA'!E44="724.1B", 'CASE DATA'!E44="724.1C", 'CASE DATA'!E44="724.3", 'CASE DATA'!E44="724.4B", 'CASE DATA'!E44="724.10", 'CASE DATA'!E44="724.16(2)", 'CASE DATA'!E44="724.16A(1)(a)", 'CASE DATA'!E44="724.16A(1)(b)", 'CASE DATA'!E44="724.17", 'CASE DATA'!E44="724.21", 'CASE DATA'!E44="724.26(1)", 'CASE DATA'!E44="922(g)(8)", 'CASE DATA'!E44="724.29A(2)", 'CASE DATA'!E44="724.29A(3)", 'CASE DATA'!E44="724.30(1)", 'CASE DATA'!E44="724.30(2)", 'CASE DATA'!E44="725.1(2)(b)", 'CASE DATA'!E44="725.2(1)", 'CASE DATA'!E44="725.2(2)", 'CASE DATA'!E44="725.3(2)", 'CASE DATA'!E44="725.3(1)", 'CASE DATA'!E44="725.7(2)(a)(3)", 'CASE DATA'!E44="725.7(2)(a)(4)", 'CASE DATA'!E44="725.7(2)(b)(2)", 'CASE DATA'!E44="725.7(2)(b(3)", 'CASE DATA'!E44="726.7(2)(c)(1)", 'CASE DATA'!E44="726.7(2)(c)(2)", 'CASE DATA'!E44="725.7(2)(d)", 'CASE DATA'!E44="726.2", 'CASE DATA'!E44="726.3", 'CASE DATA'!E44="726.5", 'CASE DATA'!E44="726.6(4)", 'CASE DATA'!E44="726.6(5)", 'CASE DATA'!E44="726.6(6)", 'CASE DATA'!E44="726.6A", 'CASE DATA'!E44="726.7(2)", 'CASE DATA'!E44="726.8(2)", 'CASE DATA'!E44="728.12(1)", 'CASE DATA'!E44="728.12(2)"),"felony","eligible"),"N/A")</f>
        <v>N/A</v>
      </c>
      <c r="M43" s="185" t="str">
        <f>IF(L43="eligible",IF(OR('CASE DATA'!E44="123.46",'CASE DATA'!E44="123.47",'CASE DATA'!E44="235B.20",'CASE DATA'!E44="321.218",'CASE DATA'!E44="321A.32",'CASE DATA'!E44="321J.21",'CASE DATA'!E44="321J.2",'CASE DATA'!E44="707.5",'CASE DATA'!E44="708.2(3)",'CASE DATA'!E44="708.2A",'CASE DATA'!E44="708.7",'CASE DATA'!E44="708.11",'CASE DATA'!E44="708.12",'CASE DATA'!E44="716.8(3)",'CASE DATA'!E44="716.8(4)", LEFT('CASE DATA'!E44,4)="717C", LEFT('CASE DATA'!E44, 3)="719", LEFT('CASE DATA'!E44,3)="720", 'CASE DATA'!E44="721.2", 'CASE DATA'!E44="721.10", 'CASE DATA'!E44="723.1", LEFT('CASE DATA'!E44,3)="724", LEFT('CASE DATA'!E44,3)="726", LEFT('CASE DATA'!E44,3)="728", LEFT('CASE DATA'!E44,4)="901A"),"ineligible misd", "eligible"),"N/A")</f>
        <v>N/A</v>
      </c>
      <c r="N43" s="185" t="str">
        <f>IF(L43="eligible",IF(COUNTIF('CASE DATA'!$C$4:$C$200, "")-COUNTIF('CASE DATA'!$A$4:$A$200, "")&gt;0, "YES","NO"),"N/A")</f>
        <v>N/A</v>
      </c>
      <c r="O43" s="185" t="str">
        <f xml:space="preserve"> IF(M43="eligible",'CASE DATA'!K44,"N/A")</f>
        <v>N/A</v>
      </c>
      <c r="P43" s="185" t="str">
        <f xml:space="preserve"> IF(M43="eligible",'CASE DATA'!I44+'CASE DATA'!J44+'CASE DATA'!L44+'CASE DATA'!M44+'CASE DATA'!N44+'CASE DATA'!O44+'CASE DATA'!M44+'CASE DATA'!Q44+'CASE DATA'!R44,"N/A")</f>
        <v>N/A</v>
      </c>
      <c r="Q43" s="11" t="str">
        <f>IF(M43="eligible",IF(C43+730.5&lt;'BASIC INFO'!$B$3, "YES", "NO"),"N/A")</f>
        <v>N/A</v>
      </c>
      <c r="R43" s="186" t="str">
        <f xml:space="preserve"> IF(OR('CASE DATA'!F44="DEF"), "YES", "NO")</f>
        <v>NO</v>
      </c>
      <c r="S43" s="162" t="str">
        <f>IF(R43="YES",'CASE DATA'!H44,"N/A")</f>
        <v>N/A</v>
      </c>
      <c r="T43" s="185" t="str">
        <f xml:space="preserve"> IF(R43="YES",'CASE DATA'!K44,"N/A")</f>
        <v>N/A</v>
      </c>
      <c r="U43" s="185" t="str">
        <f>IF(R43="YES",'CASE DATA'!I44+'CASE DATA'!J44+'CASE DATA'!L44+'CASE DATA'!M44+'CASE DATA'!N44+'CASE DATA'!O44+'CASE DATA'!P44+'CASE DATA'!Q44+'CASE DATA'!R44,"N/A")</f>
        <v>N/A</v>
      </c>
      <c r="V43" s="189" t="str">
        <f>IF(OR('CASE DATA'!E44="123.46",'CASE DATA'!E44="123.47"),"YES","NO")</f>
        <v>NO</v>
      </c>
      <c r="W43" s="189"/>
      <c r="X43" s="185" t="str">
        <f>IF(V43="YES",IF(C43+730.5&lt;'BASIC INFO'!$B$3, "YES","NO"), "N/A")</f>
        <v>N/A</v>
      </c>
      <c r="Y43" s="189" t="str">
        <f t="shared" si="0"/>
        <v>NO</v>
      </c>
      <c r="Z43" s="187" t="str">
        <f xml:space="preserve"> IF('BASIC INFO'!$B$6+6574.5&gt;C43, "YES", "NO")</f>
        <v>YES</v>
      </c>
    </row>
    <row r="44" spans="1:26" x14ac:dyDescent="0.25">
      <c r="A44" s="162">
        <f xml:space="preserve"> 'CASE DATA'!A45</f>
        <v>0</v>
      </c>
      <c r="B44" s="162">
        <f xml:space="preserve"> 'CASE DATA'!E45</f>
        <v>0</v>
      </c>
      <c r="C44" s="163">
        <f xml:space="preserve"> 'CASE DATA'!C45</f>
        <v>0</v>
      </c>
      <c r="D44" s="11" t="str">
        <f xml:space="preserve"> IF(OR('CASE DATA'!F45="JUV", 'CASE DATA'!F45="JWV"), "YES", "NO")</f>
        <v>NO</v>
      </c>
      <c r="E44" s="11"/>
      <c r="F44" s="11" t="str">
        <f>IF(D44="YES",IF(COUNTIF('CASE DATA'!$C$4:$C$200, "")-COUNTIF('CASE DATA'!$A$4:$A$200, "")&gt;0, "YES","NO"),"N/A")</f>
        <v>N/A</v>
      </c>
      <c r="G44" s="164" t="str">
        <f xml:space="preserve"> _xlfn.IFS(D44="NO", "N/A", AND('BASIC INFO'!$B$3&gt;'BASIC INFO'!$B$6+6574.5, C44+730.5&lt;'BASIC INFO'!$B$3), "YES", 'BASIC INFO'!$B$3&lt;('BASIC INFO'!$B$6+6574.5), "NOT YET 18", C44+730.5&gt;'BASIC INFO'!$B$3, "NOT YET 2 YEARS")</f>
        <v>N/A</v>
      </c>
      <c r="H44" s="186" t="str">
        <f xml:space="preserve"> IF(LEFT('CASE DATA'!E45,4)&lt;&gt;"321.",IF(OR('CASE DATA'!F45="DISM", 'CASE DATA'!F45="ACQ", 'CASE DATA'!F45="NOTF", 'CASE DATA'!F45="WTHD", 'CASE DATA'!F45="TNSF"), "YES", "NO"), "TRAFFIC")</f>
        <v>NO</v>
      </c>
      <c r="I44" s="185" t="str">
        <f xml:space="preserve"> IF(H44="YES",'CASE DATA'!K45,"N/A")</f>
        <v>N/A</v>
      </c>
      <c r="J44" s="185" t="str">
        <f>IF(H44="YES",'CASE DATA'!I45+'CASE DATA'!J45+'CASE DATA'!L45+'CASE DATA'!M45+'CASE DATA'!N45+'CASE DATA'!O45+'CASE DATA'!P45+'CASE DATA'!Q45+'CASE DATA'!R45,"N/A")</f>
        <v>N/A</v>
      </c>
      <c r="K44" s="162" t="str">
        <f xml:space="preserve"> IF(H44="YES",IF(C44+180&lt;'BASIC INFO'!$B$3, "YES", "NO"),"N/A")</f>
        <v>N/A</v>
      </c>
      <c r="L44" s="185" t="str">
        <f>IF(OR('CASE DATA'!F45="GTR", 'CASE DATA'!F45="GPL"),IF(OR('CASE DATA'!E45="81.6(2)", 'CASE DATA'!E45="99F.15(6)(b)(1)", 'CASE DATA'!E45= "124.401(1)(a)", 'CASE DATA'!E45= "124.401(1)(b)", 'CASE DATA'!E45= "124.401(1)(c)", 'CASE DATA'!E45= "124.401(1)(d)", 'CASE DATA'!E45="124.401(4)", 'CASE DATA'!E45="124.401(1)(b)", 'CASE DATA'!E45="124.401(1)(c)", 'CASE DATA'!E45="124.401D(2)(b)", 'CASE DATA'!E45="124.401D(2)(c)", 'CASE DATA'!E45="124.406(1)(a)", 'CASE DATA'!E45="124.406(1)(b) ", 'CASE DATA'!E45="124.406(2)(a)", 'CASE DATA'!E45="124.406(2)(b) ", 'CASE DATA'!E45="124.406(3)", 'CASE DATA'!E45="124.406A ", 'CASE DATA'!E45="124.407(2)(a)", 'CASE DATA'!E45="124B.9(1)", 'CASE DATA'!E45="124B.9(2)", 'CASE DATA'!E45="321J.2(2)(c)", 'CASE DATA'!E45="453B.12(2)", 'CASE DATA'!E45="453B.12(3)", 'CASE DATA'!E45="453B.12(4)", 'CASE DATA'!E45="462A.14(2)(c)", 'CASE DATA'!E45="462A.14(2)(d)", 'CASE DATA'!E45="462A.14(2)(e)", 'CASE DATA'!E45="705.1(2)", 'CASE DATA'!E45="706.3(1)", 'CASE DATA'!E45="706.3(2)", 'CASE DATA'!E45="706A.2(1)", 'CASE DATA'!E45="706A.2(2)", 'CASE DATA'!E45="706A.2(4)", 'CASE DATA'!E45="706B.2(1)(a)", 'CASE DATA'!E45="706B.2(1)(b)", 'CASE DATA'!E45="706B.2(1)(c)", 'CASE DATA'!E45="706B.2(1)(d)", 'CASE DATA'!E45="707.2", 'CASE DATA'!E45="707.3", 'CASE DATA'!E45="707.3A", 'CASE DATA'!E45="707.4", 'CASE DATA'!E45="707.5(1)(a)", 'CASE DATA'!E45="707.6A(1)", 'CASE DATA'!E45="707.6A(2)", 'CASE DATA'!E45="707.6A(3)", 'CASE DATA'!E45="707.6A(4)", 'CASE DATA'!E45="707.7(1)", 'CASE DATA'!E45="707.7(3)", 'CASE DATA'!E45="707.7(2)", 'CASE DATA'!E45="707.8(1)", 'CASE DATA'!E45="707.8(2)", 'CASE DATA'!E45="707.8(3)", 'CASE DATA'!E45="707.8(4)", 'CASE DATA'!E45="707.8(5)", 'CASE DATA'!E45="707.8(6)", 'CASE DATA'!E45="707.9", 'CASE DATA'!E45="707.11", 'CASE DATA'!E45="707A.2", 'CASE DATA'!E45="708.2(4)", 'CASE DATA'!E45="708.2(5)", 'CASE DATA'!E45="708.2A(4)", 'CASE DATA'!E45="708.2A(5)", 'CASE DATA'!E45="708.2C(2)", 'CASE DATA'!E45="708.2C(4)", 'CASE DATA'!E45="708.3(1)", 'CASE DATA'!E45="708.3(2)", 'CASE DATA'!E45="708.3A(1)", 'CASE DATA'!E45="708.3A(2)", 'CASE DATA'!E45="708.3B", 'CASE DATA'!E45="708.4(1)", 'CASE DATA'!E45="708.4(2)", 'CASE DATA'!E45="708.5", 'CASE DATA'!E45="708.8", 'CASE DATA'!E45="708.11(3)(a)", 'CASE DATA'!E45="708.11(3)(b)", 'CASE DATA'!E45="708.12(3)(f)", 'CASE DATA'!E45="708.13(3)", 'CASE DATA'!E45="708.14", 'CASE DATA'!E45="708A.2", 'CASE DATA'!E45="708A.4(1)", 'CASE DATA'!E45="708A.4(2)", 'CASE DATA'!E45="708A.5", 'CASE DATA'!E45="708A.6(1)", 'CASE DATA'!E45="708.A.6(2)", 'CASE DATA'!E45="709.2", 'CASE DATA'!E45="709.3", 'CASE DATA'!E45="709.4", 'CASE DATA'!E45="709.8(1)(a)", 'CASE DATA'!E45="709.8(1)(b)", 'CASE DATA'!E45="709.8(1)(c)", 'CASE DATA'!E45="709.8(1)(d)", 'CASE DATA'!E45="709.8(1)(e)", 'CASE DATA'!E45="709.11(1)", 'CASE DATA'!E45="709.11(2)", 'CASE DATA'!E45="709.15(2)(a)(1)", 'CASE DATA'!E45="709.15(3)(a)(1)", 'CASE DATA'!E45="709.18", 'CASE DATA'!E45="709A.6(2)", 'CASE DATA'!E45="709D.3(1)", 'CASE DATA'!E45="709D.3(2)", 'CASE DATA'!E45="709.D.3(3)", 'CASE DATA'!E45="710.2", 'CASE DATA'!E45="710.3", 'CASE DATA'!E45="710.4", 'CASE DATA'!E45="710.5", 'CASE DATA'!E45="710.10(1)", 'CASE DATA'!E45="710.10(2)", 'CASE DATA'!E45="710.10(3)", 'CASE DATA'!E45="710.11", 'CASE DATA'!E45="710A.2(1)", 'CASE DATA'!E45="710A.2(2)", 'CASE DATA'!E45="710A.2(3)", 'CASE DATA'!E45="710A.2(4)", 'CASE DATA'!E45="710A.2(5)", 'CASE DATA'!E45="710A.2(6)", 'CASE DATA'!E45="710A.2(7)", 'CASE DATA'!E45="710A.2A", 'CASE DATA'!E45="711.2", 'CASE DATA'!E45="711.3", 'CASE DATA'!E45="711.4", 'CASE DATA'!E45="712.2", 'CASE DATA'!E45="712.3", 'CASE DATA'!E45="712.6(1)", 'CASE DATA'!E45="712.7", 'CASE DATA'!E45="712.8", 'CASE DATA'!E45="", 'CASE DATA'!E45="713.3", 'CASE DATA'!E45="713.4", 'CASE DATA'!E45="713.5", 'CASE DATA'!E45="713.6", 'CASE DATA'!E45="713.6A(1)", 'CASE DATA'!E45="714.2(1)", 'CASE DATA'!E45="714.2(2)", 'CASE DATA'!E45="714.3A(2)(b)", 'CASE DATA'!E45="714.9", 'CASE DATA'!E45="714.10", 'CASE DATA'!E45="714.26(2)(a)", 'CASE DATA'!E45="714.26(2)(b)", 'CASE DATA'!E45="715A.2(2)(a)", 'CASE DATA'!E45="715A.6(2)(a)", 'CASE DATA'!E45="715A.6(2)(b)", 'CASE DATA'!E45="715A.8(3)(a)", 'CASE DATA'!E45="715A.8(3)(b)", 'CASE DATA'!E45="715A.10(1)", 'CASE DATA'!E45="715A.10(2)", 'CASE DATA'!E45="716.3", 'CASE DATA'!E45="716.4", 'CASE DATA'!E45="716.8(6)", 'CASE DATA'!E45="716.10(2)(a)", 'CASE DATA'!E45="716.10(2)(b)", 'CASE DATA'!E45="716.10(2)(c)", 'CASE DATA'!E45="716.10(2)(d)", 'CASE DATA'!E45="716.12", 'CASE DATA'!E45="719.1(1)(f)", 'CASE DATA'!E45="719.1(2)(e)", 'CASE DATA'!E45="719.1(2)(f)", 'CASE DATA'!E45="719.1(2)(g)", 'CASE DATA'!E45="719.4(1)", 'CASE DATA'!E45="719.4(4)", 'CASE DATA'!E45="719.5(1)", 'CASE DATA'!E45="719.5(2)", 'CASE DATA'!E45="719.6(1)", 'CASE DATA'!E45="719.6(2)", 'CASE DATA'!E45="719.7(4)(a)", 'CASE DATA'!E45="719.7(4)(b)", 'CASE DATA'!E45="719.7A(3)", 'CASE DATA'!E45="719.9", 'CASE DATA'!E45="719.8", 'CASE DATA'!E45="720.2", 'CASE DATA'!E45="720.3", 'CASE DATA'!E45="721.1", 'CASE DATA'!E45="722.1", 'CASE DATA'!E45="", 'CASE DATA'!E45="722.2", 'CASE DATA'!E45="722.10", 'CASE DATA'!E45="723(5)(3)(c)", 'CASE DATA'!E45="723A.2", 'CASE DATA'!E45="723A.3(1)", 'CASE DATA'!E45="723A.3(2)", 'CASE DATA'!E45="724.1B", 'CASE DATA'!E45="724.1C", 'CASE DATA'!E45="724.3", 'CASE DATA'!E45="724.4B", 'CASE DATA'!E45="724.10", 'CASE DATA'!E45="724.16(2)", 'CASE DATA'!E45="724.16A(1)(a)", 'CASE DATA'!E45="724.16A(1)(b)", 'CASE DATA'!E45="724.17", 'CASE DATA'!E45="724.21", 'CASE DATA'!E45="724.26(1)", 'CASE DATA'!E45="922(g)(8)", 'CASE DATA'!E45="724.29A(2)", 'CASE DATA'!E45="724.29A(3)", 'CASE DATA'!E45="724.30(1)", 'CASE DATA'!E45="724.30(2)", 'CASE DATA'!E45="725.1(2)(b)", 'CASE DATA'!E45="725.2(1)", 'CASE DATA'!E45="725.2(2)", 'CASE DATA'!E45="725.3(2)", 'CASE DATA'!E45="725.3(1)", 'CASE DATA'!E45="725.7(2)(a)(3)", 'CASE DATA'!E45="725.7(2)(a)(4)", 'CASE DATA'!E45="725.7(2)(b)(2)", 'CASE DATA'!E45="725.7(2)(b(3)", 'CASE DATA'!E45="726.7(2)(c)(1)", 'CASE DATA'!E45="726.7(2)(c)(2)", 'CASE DATA'!E45="725.7(2)(d)", 'CASE DATA'!E45="726.2", 'CASE DATA'!E45="726.3", 'CASE DATA'!E45="726.5", 'CASE DATA'!E45="726.6(4)", 'CASE DATA'!E45="726.6(5)", 'CASE DATA'!E45="726.6(6)", 'CASE DATA'!E45="726.6A", 'CASE DATA'!E45="726.7(2)", 'CASE DATA'!E45="726.8(2)", 'CASE DATA'!E45="728.12(1)", 'CASE DATA'!E45="728.12(2)"),"felony","eligible"),"N/A")</f>
        <v>N/A</v>
      </c>
      <c r="M44" s="185" t="str">
        <f>IF(L44="eligible",IF(OR('CASE DATA'!E45="123.46",'CASE DATA'!E45="123.47",'CASE DATA'!E45="235B.20",'CASE DATA'!E45="321.218",'CASE DATA'!E45="321A.32",'CASE DATA'!E45="321J.21",'CASE DATA'!E45="321J.2",'CASE DATA'!E45="707.5",'CASE DATA'!E45="708.2(3)",'CASE DATA'!E45="708.2A",'CASE DATA'!E45="708.7",'CASE DATA'!E45="708.11",'CASE DATA'!E45="708.12",'CASE DATA'!E45="716.8(3)",'CASE DATA'!E45="716.8(4)", LEFT('CASE DATA'!E45,4)="717C", LEFT('CASE DATA'!E45, 3)="719", LEFT('CASE DATA'!E45,3)="720", 'CASE DATA'!E45="721.2", 'CASE DATA'!E45="721.10", 'CASE DATA'!E45="723.1", LEFT('CASE DATA'!E45,3)="724", LEFT('CASE DATA'!E45,3)="726", LEFT('CASE DATA'!E45,3)="728", LEFT('CASE DATA'!E45,4)="901A"),"ineligible misd", "eligible"),"N/A")</f>
        <v>N/A</v>
      </c>
      <c r="N44" s="185" t="str">
        <f>IF(L44="eligible",IF(COUNTIF('CASE DATA'!$C$4:$C$200, "")-COUNTIF('CASE DATA'!$A$4:$A$200, "")&gt;0, "YES","NO"),"N/A")</f>
        <v>N/A</v>
      </c>
      <c r="O44" s="185" t="str">
        <f xml:space="preserve"> IF(M44="eligible",'CASE DATA'!K45,"N/A")</f>
        <v>N/A</v>
      </c>
      <c r="P44" s="185" t="str">
        <f xml:space="preserve"> IF(M44="eligible",'CASE DATA'!I45+'CASE DATA'!J45+'CASE DATA'!L45+'CASE DATA'!M45+'CASE DATA'!N45+'CASE DATA'!O45+'CASE DATA'!M45+'CASE DATA'!Q45+'CASE DATA'!R45,"N/A")</f>
        <v>N/A</v>
      </c>
      <c r="Q44" s="11" t="str">
        <f>IF(M44="eligible",IF(C44+730.5&lt;'BASIC INFO'!$B$3, "YES", "NO"),"N/A")</f>
        <v>N/A</v>
      </c>
      <c r="R44" s="186" t="str">
        <f xml:space="preserve"> IF(OR('CASE DATA'!F45="DEF"), "YES", "NO")</f>
        <v>NO</v>
      </c>
      <c r="S44" s="162" t="str">
        <f>IF(R44="YES",'CASE DATA'!H45,"N/A")</f>
        <v>N/A</v>
      </c>
      <c r="T44" s="185" t="str">
        <f xml:space="preserve"> IF(R44="YES",'CASE DATA'!K45,"N/A")</f>
        <v>N/A</v>
      </c>
      <c r="U44" s="185" t="str">
        <f>IF(R44="YES",'CASE DATA'!I45+'CASE DATA'!J45+'CASE DATA'!L45+'CASE DATA'!M45+'CASE DATA'!N45+'CASE DATA'!O45+'CASE DATA'!P45+'CASE DATA'!Q45+'CASE DATA'!R45,"N/A")</f>
        <v>N/A</v>
      </c>
      <c r="V44" s="189" t="str">
        <f>IF(OR('CASE DATA'!E45="123.46",'CASE DATA'!E45="123.47"),"YES","NO")</f>
        <v>NO</v>
      </c>
      <c r="W44" s="189"/>
      <c r="X44" s="185" t="str">
        <f>IF(V44="YES",IF(C44+730.5&lt;'BASIC INFO'!$B$3, "YES","NO"), "N/A")</f>
        <v>N/A</v>
      </c>
      <c r="Y44" s="189" t="str">
        <f t="shared" si="0"/>
        <v>NO</v>
      </c>
      <c r="Z44" s="187" t="str">
        <f xml:space="preserve"> IF('BASIC INFO'!$B$6+6574.5&gt;C44, "YES", "NO")</f>
        <v>YES</v>
      </c>
    </row>
    <row r="45" spans="1:26" x14ac:dyDescent="0.25">
      <c r="A45" s="162">
        <f xml:space="preserve"> 'CASE DATA'!A46</f>
        <v>0</v>
      </c>
      <c r="B45" s="162">
        <f xml:space="preserve"> 'CASE DATA'!E46</f>
        <v>0</v>
      </c>
      <c r="C45" s="163">
        <f xml:space="preserve"> 'CASE DATA'!C46</f>
        <v>0</v>
      </c>
      <c r="D45" s="11" t="str">
        <f xml:space="preserve"> IF(OR('CASE DATA'!F46="JUV", 'CASE DATA'!F46="JWV"), "YES", "NO")</f>
        <v>NO</v>
      </c>
      <c r="E45" s="11"/>
      <c r="F45" s="11" t="str">
        <f>IF(D45="YES",IF(COUNTIF('CASE DATA'!$C$4:$C$200, "")-COUNTIF('CASE DATA'!$A$4:$A$200, "")&gt;0, "YES","NO"),"N/A")</f>
        <v>N/A</v>
      </c>
      <c r="G45" s="164" t="str">
        <f xml:space="preserve"> _xlfn.IFS(D45="NO", "N/A", AND('BASIC INFO'!$B$3&gt;'BASIC INFO'!$B$6+6574.5, C45+730.5&lt;'BASIC INFO'!$B$3), "YES", 'BASIC INFO'!$B$3&lt;('BASIC INFO'!$B$6+6574.5), "NOT YET 18", C45+730.5&gt;'BASIC INFO'!$B$3, "NOT YET 2 YEARS")</f>
        <v>N/A</v>
      </c>
      <c r="H45" s="186" t="str">
        <f xml:space="preserve"> IF(LEFT('CASE DATA'!E46,4)&lt;&gt;"321.",IF(OR('CASE DATA'!F46="DISM", 'CASE DATA'!F46="ACQ", 'CASE DATA'!F46="NOTF", 'CASE DATA'!F46="WTHD", 'CASE DATA'!F46="TNSF"), "YES", "NO"), "TRAFFIC")</f>
        <v>NO</v>
      </c>
      <c r="I45" s="185" t="str">
        <f xml:space="preserve"> IF(H45="YES",'CASE DATA'!K46,"N/A")</f>
        <v>N/A</v>
      </c>
      <c r="J45" s="185" t="str">
        <f>IF(H45="YES",'CASE DATA'!I46+'CASE DATA'!J46+'CASE DATA'!L46+'CASE DATA'!M46+'CASE DATA'!N46+'CASE DATA'!O46+'CASE DATA'!P46+'CASE DATA'!Q46+'CASE DATA'!R46,"N/A")</f>
        <v>N/A</v>
      </c>
      <c r="K45" s="162" t="str">
        <f xml:space="preserve"> IF(H45="YES",IF(C45+180&lt;'BASIC INFO'!$B$3, "YES", "NO"),"N/A")</f>
        <v>N/A</v>
      </c>
      <c r="L45" s="185" t="str">
        <f>IF(OR('CASE DATA'!F46="GTR", 'CASE DATA'!F46="GPL"),IF(OR('CASE DATA'!E46="81.6(2)", 'CASE DATA'!E46="99F.15(6)(b)(1)", 'CASE DATA'!E46= "124.401(1)(a)", 'CASE DATA'!E46= "124.401(1)(b)", 'CASE DATA'!E46= "124.401(1)(c)", 'CASE DATA'!E46= "124.401(1)(d)", 'CASE DATA'!E46="124.401(4)", 'CASE DATA'!E46="124.401(1)(b)", 'CASE DATA'!E46="124.401(1)(c)", 'CASE DATA'!E46="124.401D(2)(b)", 'CASE DATA'!E46="124.401D(2)(c)", 'CASE DATA'!E46="124.406(1)(a)", 'CASE DATA'!E46="124.406(1)(b) ", 'CASE DATA'!E46="124.406(2)(a)", 'CASE DATA'!E46="124.406(2)(b) ", 'CASE DATA'!E46="124.406(3)", 'CASE DATA'!E46="124.406A ", 'CASE DATA'!E46="124.407(2)(a)", 'CASE DATA'!E46="124B.9(1)", 'CASE DATA'!E46="124B.9(2)", 'CASE DATA'!E46="321J.2(2)(c)", 'CASE DATA'!E46="453B.12(2)", 'CASE DATA'!E46="453B.12(3)", 'CASE DATA'!E46="453B.12(4)", 'CASE DATA'!E46="462A.14(2)(c)", 'CASE DATA'!E46="462A.14(2)(d)", 'CASE DATA'!E46="462A.14(2)(e)", 'CASE DATA'!E46="705.1(2)", 'CASE DATA'!E46="706.3(1)", 'CASE DATA'!E46="706.3(2)", 'CASE DATA'!E46="706A.2(1)", 'CASE DATA'!E46="706A.2(2)", 'CASE DATA'!E46="706A.2(4)", 'CASE DATA'!E46="706B.2(1)(a)", 'CASE DATA'!E46="706B.2(1)(b)", 'CASE DATA'!E46="706B.2(1)(c)", 'CASE DATA'!E46="706B.2(1)(d)", 'CASE DATA'!E46="707.2", 'CASE DATA'!E46="707.3", 'CASE DATA'!E46="707.3A", 'CASE DATA'!E46="707.4", 'CASE DATA'!E46="707.5(1)(a)", 'CASE DATA'!E46="707.6A(1)", 'CASE DATA'!E46="707.6A(2)", 'CASE DATA'!E46="707.6A(3)", 'CASE DATA'!E46="707.6A(4)", 'CASE DATA'!E46="707.7(1)", 'CASE DATA'!E46="707.7(3)", 'CASE DATA'!E46="707.7(2)", 'CASE DATA'!E46="707.8(1)", 'CASE DATA'!E46="707.8(2)", 'CASE DATA'!E46="707.8(3)", 'CASE DATA'!E46="707.8(4)", 'CASE DATA'!E46="707.8(5)", 'CASE DATA'!E46="707.8(6)", 'CASE DATA'!E46="707.9", 'CASE DATA'!E46="707.11", 'CASE DATA'!E46="707A.2", 'CASE DATA'!E46="708.2(4)", 'CASE DATA'!E46="708.2(5)", 'CASE DATA'!E46="708.2A(4)", 'CASE DATA'!E46="708.2A(5)", 'CASE DATA'!E46="708.2C(2)", 'CASE DATA'!E46="708.2C(4)", 'CASE DATA'!E46="708.3(1)", 'CASE DATA'!E46="708.3(2)", 'CASE DATA'!E46="708.3A(1)", 'CASE DATA'!E46="708.3A(2)", 'CASE DATA'!E46="708.3B", 'CASE DATA'!E46="708.4(1)", 'CASE DATA'!E46="708.4(2)", 'CASE DATA'!E46="708.5", 'CASE DATA'!E46="708.8", 'CASE DATA'!E46="708.11(3)(a)", 'CASE DATA'!E46="708.11(3)(b)", 'CASE DATA'!E46="708.12(3)(f)", 'CASE DATA'!E46="708.13(3)", 'CASE DATA'!E46="708.14", 'CASE DATA'!E46="708A.2", 'CASE DATA'!E46="708A.4(1)", 'CASE DATA'!E46="708A.4(2)", 'CASE DATA'!E46="708A.5", 'CASE DATA'!E46="708A.6(1)", 'CASE DATA'!E46="708.A.6(2)", 'CASE DATA'!E46="709.2", 'CASE DATA'!E46="709.3", 'CASE DATA'!E46="709.4", 'CASE DATA'!E46="709.8(1)(a)", 'CASE DATA'!E46="709.8(1)(b)", 'CASE DATA'!E46="709.8(1)(c)", 'CASE DATA'!E46="709.8(1)(d)", 'CASE DATA'!E46="709.8(1)(e)", 'CASE DATA'!E46="709.11(1)", 'CASE DATA'!E46="709.11(2)", 'CASE DATA'!E46="709.15(2)(a)(1)", 'CASE DATA'!E46="709.15(3)(a)(1)", 'CASE DATA'!E46="709.18", 'CASE DATA'!E46="709A.6(2)", 'CASE DATA'!E46="709D.3(1)", 'CASE DATA'!E46="709D.3(2)", 'CASE DATA'!E46="709.D.3(3)", 'CASE DATA'!E46="710.2", 'CASE DATA'!E46="710.3", 'CASE DATA'!E46="710.4", 'CASE DATA'!E46="710.5", 'CASE DATA'!E46="710.10(1)", 'CASE DATA'!E46="710.10(2)", 'CASE DATA'!E46="710.10(3)", 'CASE DATA'!E46="710.11", 'CASE DATA'!E46="710A.2(1)", 'CASE DATA'!E46="710A.2(2)", 'CASE DATA'!E46="710A.2(3)", 'CASE DATA'!E46="710A.2(4)", 'CASE DATA'!E46="710A.2(5)", 'CASE DATA'!E46="710A.2(6)", 'CASE DATA'!E46="710A.2(7)", 'CASE DATA'!E46="710A.2A", 'CASE DATA'!E46="711.2", 'CASE DATA'!E46="711.3", 'CASE DATA'!E46="711.4", 'CASE DATA'!E46="712.2", 'CASE DATA'!E46="712.3", 'CASE DATA'!E46="712.6(1)", 'CASE DATA'!E46="712.7", 'CASE DATA'!E46="712.8", 'CASE DATA'!E46="", 'CASE DATA'!E46="713.3", 'CASE DATA'!E46="713.4", 'CASE DATA'!E46="713.5", 'CASE DATA'!E46="713.6", 'CASE DATA'!E46="713.6A(1)", 'CASE DATA'!E46="714.2(1)", 'CASE DATA'!E46="714.2(2)", 'CASE DATA'!E46="714.3A(2)(b)", 'CASE DATA'!E46="714.9", 'CASE DATA'!E46="714.10", 'CASE DATA'!E46="714.26(2)(a)", 'CASE DATA'!E46="714.26(2)(b)", 'CASE DATA'!E46="715A.2(2)(a)", 'CASE DATA'!E46="715A.6(2)(a)", 'CASE DATA'!E46="715A.6(2)(b)", 'CASE DATA'!E46="715A.8(3)(a)", 'CASE DATA'!E46="715A.8(3)(b)", 'CASE DATA'!E46="715A.10(1)", 'CASE DATA'!E46="715A.10(2)", 'CASE DATA'!E46="716.3", 'CASE DATA'!E46="716.4", 'CASE DATA'!E46="716.8(6)", 'CASE DATA'!E46="716.10(2)(a)", 'CASE DATA'!E46="716.10(2)(b)", 'CASE DATA'!E46="716.10(2)(c)", 'CASE DATA'!E46="716.10(2)(d)", 'CASE DATA'!E46="716.12", 'CASE DATA'!E46="719.1(1)(f)", 'CASE DATA'!E46="719.1(2)(e)", 'CASE DATA'!E46="719.1(2)(f)", 'CASE DATA'!E46="719.1(2)(g)", 'CASE DATA'!E46="719.4(1)", 'CASE DATA'!E46="719.4(4)", 'CASE DATA'!E46="719.5(1)", 'CASE DATA'!E46="719.5(2)", 'CASE DATA'!E46="719.6(1)", 'CASE DATA'!E46="719.6(2)", 'CASE DATA'!E46="719.7(4)(a)", 'CASE DATA'!E46="719.7(4)(b)", 'CASE DATA'!E46="719.7A(3)", 'CASE DATA'!E46="719.9", 'CASE DATA'!E46="719.8", 'CASE DATA'!E46="720.2", 'CASE DATA'!E46="720.3", 'CASE DATA'!E46="721.1", 'CASE DATA'!E46="722.1", 'CASE DATA'!E46="", 'CASE DATA'!E46="722.2", 'CASE DATA'!E46="722.10", 'CASE DATA'!E46="723(5)(3)(c)", 'CASE DATA'!E46="723A.2", 'CASE DATA'!E46="723A.3(1)", 'CASE DATA'!E46="723A.3(2)", 'CASE DATA'!E46="724.1B", 'CASE DATA'!E46="724.1C", 'CASE DATA'!E46="724.3", 'CASE DATA'!E46="724.4B", 'CASE DATA'!E46="724.10", 'CASE DATA'!E46="724.16(2)", 'CASE DATA'!E46="724.16A(1)(a)", 'CASE DATA'!E46="724.16A(1)(b)", 'CASE DATA'!E46="724.17", 'CASE DATA'!E46="724.21", 'CASE DATA'!E46="724.26(1)", 'CASE DATA'!E46="922(g)(8)", 'CASE DATA'!E46="724.29A(2)", 'CASE DATA'!E46="724.29A(3)", 'CASE DATA'!E46="724.30(1)", 'CASE DATA'!E46="724.30(2)", 'CASE DATA'!E46="725.1(2)(b)", 'CASE DATA'!E46="725.2(1)", 'CASE DATA'!E46="725.2(2)", 'CASE DATA'!E46="725.3(2)", 'CASE DATA'!E46="725.3(1)", 'CASE DATA'!E46="725.7(2)(a)(3)", 'CASE DATA'!E46="725.7(2)(a)(4)", 'CASE DATA'!E46="725.7(2)(b)(2)", 'CASE DATA'!E46="725.7(2)(b(3)", 'CASE DATA'!E46="726.7(2)(c)(1)", 'CASE DATA'!E46="726.7(2)(c)(2)", 'CASE DATA'!E46="725.7(2)(d)", 'CASE DATA'!E46="726.2", 'CASE DATA'!E46="726.3", 'CASE DATA'!E46="726.5", 'CASE DATA'!E46="726.6(4)", 'CASE DATA'!E46="726.6(5)", 'CASE DATA'!E46="726.6(6)", 'CASE DATA'!E46="726.6A", 'CASE DATA'!E46="726.7(2)", 'CASE DATA'!E46="726.8(2)", 'CASE DATA'!E46="728.12(1)", 'CASE DATA'!E46="728.12(2)"),"felony","eligible"),"N/A")</f>
        <v>N/A</v>
      </c>
      <c r="M45" s="185" t="str">
        <f>IF(L45="eligible",IF(OR('CASE DATA'!E46="123.46",'CASE DATA'!E46="123.47",'CASE DATA'!E46="235B.20",'CASE DATA'!E46="321.218",'CASE DATA'!E46="321A.32",'CASE DATA'!E46="321J.21",'CASE DATA'!E46="321J.2",'CASE DATA'!E46="707.5",'CASE DATA'!E46="708.2(3)",'CASE DATA'!E46="708.2A",'CASE DATA'!E46="708.7",'CASE DATA'!E46="708.11",'CASE DATA'!E46="708.12",'CASE DATA'!E46="716.8(3)",'CASE DATA'!E46="716.8(4)", LEFT('CASE DATA'!E46,4)="717C", LEFT('CASE DATA'!E46, 3)="719", LEFT('CASE DATA'!E46,3)="720", 'CASE DATA'!E46="721.2", 'CASE DATA'!E46="721.10", 'CASE DATA'!E46="723.1", LEFT('CASE DATA'!E46,3)="724", LEFT('CASE DATA'!E46,3)="726", LEFT('CASE DATA'!E46,3)="728", LEFT('CASE DATA'!E46,4)="901A"),"ineligible misd", "eligible"),"N/A")</f>
        <v>N/A</v>
      </c>
      <c r="N45" s="185" t="str">
        <f>IF(L45="eligible",IF(COUNTIF('CASE DATA'!$C$4:$C$200, "")-COUNTIF('CASE DATA'!$A$4:$A$200, "")&gt;0, "YES","NO"),"N/A")</f>
        <v>N/A</v>
      </c>
      <c r="O45" s="185" t="str">
        <f xml:space="preserve"> IF(M45="eligible",'CASE DATA'!K46,"N/A")</f>
        <v>N/A</v>
      </c>
      <c r="P45" s="185" t="str">
        <f xml:space="preserve"> IF(M45="eligible",'CASE DATA'!I46+'CASE DATA'!J46+'CASE DATA'!L46+'CASE DATA'!M46+'CASE DATA'!N46+'CASE DATA'!O46+'CASE DATA'!M46+'CASE DATA'!Q46+'CASE DATA'!R46,"N/A")</f>
        <v>N/A</v>
      </c>
      <c r="Q45" s="11" t="str">
        <f>IF(M45="eligible",IF(C45+730.5&lt;'BASIC INFO'!$B$3, "YES", "NO"),"N/A")</f>
        <v>N/A</v>
      </c>
      <c r="R45" s="186" t="str">
        <f xml:space="preserve"> IF(OR('CASE DATA'!F46="DEF"), "YES", "NO")</f>
        <v>NO</v>
      </c>
      <c r="S45" s="162" t="str">
        <f>IF(R45="YES",'CASE DATA'!H46,"N/A")</f>
        <v>N/A</v>
      </c>
      <c r="T45" s="185" t="str">
        <f xml:space="preserve"> IF(R45="YES",'CASE DATA'!K46,"N/A")</f>
        <v>N/A</v>
      </c>
      <c r="U45" s="185" t="str">
        <f>IF(R45="YES",'CASE DATA'!I46+'CASE DATA'!J46+'CASE DATA'!L46+'CASE DATA'!M46+'CASE DATA'!N46+'CASE DATA'!O46+'CASE DATA'!P46+'CASE DATA'!Q46+'CASE DATA'!R46,"N/A")</f>
        <v>N/A</v>
      </c>
      <c r="V45" s="189" t="str">
        <f>IF(OR('CASE DATA'!E46="123.46",'CASE DATA'!E46="123.47"),"YES","NO")</f>
        <v>NO</v>
      </c>
      <c r="W45" s="189"/>
      <c r="X45" s="185" t="str">
        <f>IF(V45="YES",IF(C45+730.5&lt;'BASIC INFO'!$B$3, "YES","NO"), "N/A")</f>
        <v>N/A</v>
      </c>
      <c r="Y45" s="189" t="str">
        <f t="shared" si="0"/>
        <v>NO</v>
      </c>
      <c r="Z45" s="187" t="str">
        <f xml:space="preserve"> IF('BASIC INFO'!$B$6+6574.5&gt;C45, "YES", "NO")</f>
        <v>YES</v>
      </c>
    </row>
    <row r="46" spans="1:26" x14ac:dyDescent="0.25">
      <c r="A46" s="162">
        <f xml:space="preserve"> 'CASE DATA'!A47</f>
        <v>0</v>
      </c>
      <c r="B46" s="162">
        <f xml:space="preserve"> 'CASE DATA'!E47</f>
        <v>0</v>
      </c>
      <c r="C46" s="163">
        <f xml:space="preserve"> 'CASE DATA'!C47</f>
        <v>0</v>
      </c>
      <c r="D46" s="11" t="str">
        <f xml:space="preserve"> IF(OR('CASE DATA'!F47="JUV", 'CASE DATA'!F47="JWV"), "YES", "NO")</f>
        <v>NO</v>
      </c>
      <c r="E46" s="11"/>
      <c r="F46" s="11" t="str">
        <f>IF(D46="YES",IF(COUNTIF('CASE DATA'!$C$4:$C$200, "")-COUNTIF('CASE DATA'!$A$4:$A$200, "")&gt;0, "YES","NO"),"N/A")</f>
        <v>N/A</v>
      </c>
      <c r="G46" s="164" t="str">
        <f xml:space="preserve"> _xlfn.IFS(D46="NO", "N/A", AND('BASIC INFO'!$B$3&gt;'BASIC INFO'!$B$6+6574.5, C46+730.5&lt;'BASIC INFO'!$B$3), "YES", 'BASIC INFO'!$B$3&lt;('BASIC INFO'!$B$6+6574.5), "NOT YET 18", C46+730.5&gt;'BASIC INFO'!$B$3, "NOT YET 2 YEARS")</f>
        <v>N/A</v>
      </c>
      <c r="H46" s="186" t="str">
        <f xml:space="preserve"> IF(LEFT('CASE DATA'!E47,4)&lt;&gt;"321.",IF(OR('CASE DATA'!F47="DISM", 'CASE DATA'!F47="ACQ", 'CASE DATA'!F47="NOTF", 'CASE DATA'!F47="WTHD", 'CASE DATA'!F47="TNSF"), "YES", "NO"), "TRAFFIC")</f>
        <v>NO</v>
      </c>
      <c r="I46" s="185" t="str">
        <f xml:space="preserve"> IF(H46="YES",'CASE DATA'!K47,"N/A")</f>
        <v>N/A</v>
      </c>
      <c r="J46" s="185" t="str">
        <f>IF(H46="YES",'CASE DATA'!I47+'CASE DATA'!J47+'CASE DATA'!L47+'CASE DATA'!M47+'CASE DATA'!N47+'CASE DATA'!O47+'CASE DATA'!P47+'CASE DATA'!Q47+'CASE DATA'!R47,"N/A")</f>
        <v>N/A</v>
      </c>
      <c r="K46" s="162" t="str">
        <f xml:space="preserve"> IF(H46="YES",IF(C46+180&lt;'BASIC INFO'!$B$3, "YES", "NO"),"N/A")</f>
        <v>N/A</v>
      </c>
      <c r="L46" s="185" t="str">
        <f>IF(OR('CASE DATA'!F47="GTR", 'CASE DATA'!F47="GPL"),IF(OR('CASE DATA'!E47="81.6(2)", 'CASE DATA'!E47="99F.15(6)(b)(1)", 'CASE DATA'!E47= "124.401(1)(a)", 'CASE DATA'!E47= "124.401(1)(b)", 'CASE DATA'!E47= "124.401(1)(c)", 'CASE DATA'!E47= "124.401(1)(d)", 'CASE DATA'!E47="124.401(4)", 'CASE DATA'!E47="124.401(1)(b)", 'CASE DATA'!E47="124.401(1)(c)", 'CASE DATA'!E47="124.401D(2)(b)", 'CASE DATA'!E47="124.401D(2)(c)", 'CASE DATA'!E47="124.406(1)(a)", 'CASE DATA'!E47="124.406(1)(b) ", 'CASE DATA'!E47="124.406(2)(a)", 'CASE DATA'!E47="124.406(2)(b) ", 'CASE DATA'!E47="124.406(3)", 'CASE DATA'!E47="124.406A ", 'CASE DATA'!E47="124.407(2)(a)", 'CASE DATA'!E47="124B.9(1)", 'CASE DATA'!E47="124B.9(2)", 'CASE DATA'!E47="321J.2(2)(c)", 'CASE DATA'!E47="453B.12(2)", 'CASE DATA'!E47="453B.12(3)", 'CASE DATA'!E47="453B.12(4)", 'CASE DATA'!E47="462A.14(2)(c)", 'CASE DATA'!E47="462A.14(2)(d)", 'CASE DATA'!E47="462A.14(2)(e)", 'CASE DATA'!E47="705.1(2)", 'CASE DATA'!E47="706.3(1)", 'CASE DATA'!E47="706.3(2)", 'CASE DATA'!E47="706A.2(1)", 'CASE DATA'!E47="706A.2(2)", 'CASE DATA'!E47="706A.2(4)", 'CASE DATA'!E47="706B.2(1)(a)", 'CASE DATA'!E47="706B.2(1)(b)", 'CASE DATA'!E47="706B.2(1)(c)", 'CASE DATA'!E47="706B.2(1)(d)", 'CASE DATA'!E47="707.2", 'CASE DATA'!E47="707.3", 'CASE DATA'!E47="707.3A", 'CASE DATA'!E47="707.4", 'CASE DATA'!E47="707.5(1)(a)", 'CASE DATA'!E47="707.6A(1)", 'CASE DATA'!E47="707.6A(2)", 'CASE DATA'!E47="707.6A(3)", 'CASE DATA'!E47="707.6A(4)", 'CASE DATA'!E47="707.7(1)", 'CASE DATA'!E47="707.7(3)", 'CASE DATA'!E47="707.7(2)", 'CASE DATA'!E47="707.8(1)", 'CASE DATA'!E47="707.8(2)", 'CASE DATA'!E47="707.8(3)", 'CASE DATA'!E47="707.8(4)", 'CASE DATA'!E47="707.8(5)", 'CASE DATA'!E47="707.8(6)", 'CASE DATA'!E47="707.9", 'CASE DATA'!E47="707.11", 'CASE DATA'!E47="707A.2", 'CASE DATA'!E47="708.2(4)", 'CASE DATA'!E47="708.2(5)", 'CASE DATA'!E47="708.2A(4)", 'CASE DATA'!E47="708.2A(5)", 'CASE DATA'!E47="708.2C(2)", 'CASE DATA'!E47="708.2C(4)", 'CASE DATA'!E47="708.3(1)", 'CASE DATA'!E47="708.3(2)", 'CASE DATA'!E47="708.3A(1)", 'CASE DATA'!E47="708.3A(2)", 'CASE DATA'!E47="708.3B", 'CASE DATA'!E47="708.4(1)", 'CASE DATA'!E47="708.4(2)", 'CASE DATA'!E47="708.5", 'CASE DATA'!E47="708.8", 'CASE DATA'!E47="708.11(3)(a)", 'CASE DATA'!E47="708.11(3)(b)", 'CASE DATA'!E47="708.12(3)(f)", 'CASE DATA'!E47="708.13(3)", 'CASE DATA'!E47="708.14", 'CASE DATA'!E47="708A.2", 'CASE DATA'!E47="708A.4(1)", 'CASE DATA'!E47="708A.4(2)", 'CASE DATA'!E47="708A.5", 'CASE DATA'!E47="708A.6(1)", 'CASE DATA'!E47="708.A.6(2)", 'CASE DATA'!E47="709.2", 'CASE DATA'!E47="709.3", 'CASE DATA'!E47="709.4", 'CASE DATA'!E47="709.8(1)(a)", 'CASE DATA'!E47="709.8(1)(b)", 'CASE DATA'!E47="709.8(1)(c)", 'CASE DATA'!E47="709.8(1)(d)", 'CASE DATA'!E47="709.8(1)(e)", 'CASE DATA'!E47="709.11(1)", 'CASE DATA'!E47="709.11(2)", 'CASE DATA'!E47="709.15(2)(a)(1)", 'CASE DATA'!E47="709.15(3)(a)(1)", 'CASE DATA'!E47="709.18", 'CASE DATA'!E47="709A.6(2)", 'CASE DATA'!E47="709D.3(1)", 'CASE DATA'!E47="709D.3(2)", 'CASE DATA'!E47="709.D.3(3)", 'CASE DATA'!E47="710.2", 'CASE DATA'!E47="710.3", 'CASE DATA'!E47="710.4", 'CASE DATA'!E47="710.5", 'CASE DATA'!E47="710.10(1)", 'CASE DATA'!E47="710.10(2)", 'CASE DATA'!E47="710.10(3)", 'CASE DATA'!E47="710.11", 'CASE DATA'!E47="710A.2(1)", 'CASE DATA'!E47="710A.2(2)", 'CASE DATA'!E47="710A.2(3)", 'CASE DATA'!E47="710A.2(4)", 'CASE DATA'!E47="710A.2(5)", 'CASE DATA'!E47="710A.2(6)", 'CASE DATA'!E47="710A.2(7)", 'CASE DATA'!E47="710A.2A", 'CASE DATA'!E47="711.2", 'CASE DATA'!E47="711.3", 'CASE DATA'!E47="711.4", 'CASE DATA'!E47="712.2", 'CASE DATA'!E47="712.3", 'CASE DATA'!E47="712.6(1)", 'CASE DATA'!E47="712.7", 'CASE DATA'!E47="712.8", 'CASE DATA'!E47="", 'CASE DATA'!E47="713.3", 'CASE DATA'!E47="713.4", 'CASE DATA'!E47="713.5", 'CASE DATA'!E47="713.6", 'CASE DATA'!E47="713.6A(1)", 'CASE DATA'!E47="714.2(1)", 'CASE DATA'!E47="714.2(2)", 'CASE DATA'!E47="714.3A(2)(b)", 'CASE DATA'!E47="714.9", 'CASE DATA'!E47="714.10", 'CASE DATA'!E47="714.26(2)(a)", 'CASE DATA'!E47="714.26(2)(b)", 'CASE DATA'!E47="715A.2(2)(a)", 'CASE DATA'!E47="715A.6(2)(a)", 'CASE DATA'!E47="715A.6(2)(b)", 'CASE DATA'!E47="715A.8(3)(a)", 'CASE DATA'!E47="715A.8(3)(b)", 'CASE DATA'!E47="715A.10(1)", 'CASE DATA'!E47="715A.10(2)", 'CASE DATA'!E47="716.3", 'CASE DATA'!E47="716.4", 'CASE DATA'!E47="716.8(6)", 'CASE DATA'!E47="716.10(2)(a)", 'CASE DATA'!E47="716.10(2)(b)", 'CASE DATA'!E47="716.10(2)(c)", 'CASE DATA'!E47="716.10(2)(d)", 'CASE DATA'!E47="716.12", 'CASE DATA'!E47="719.1(1)(f)", 'CASE DATA'!E47="719.1(2)(e)", 'CASE DATA'!E47="719.1(2)(f)", 'CASE DATA'!E47="719.1(2)(g)", 'CASE DATA'!E47="719.4(1)", 'CASE DATA'!E47="719.4(4)", 'CASE DATA'!E47="719.5(1)", 'CASE DATA'!E47="719.5(2)", 'CASE DATA'!E47="719.6(1)", 'CASE DATA'!E47="719.6(2)", 'CASE DATA'!E47="719.7(4)(a)", 'CASE DATA'!E47="719.7(4)(b)", 'CASE DATA'!E47="719.7A(3)", 'CASE DATA'!E47="719.9", 'CASE DATA'!E47="719.8", 'CASE DATA'!E47="720.2", 'CASE DATA'!E47="720.3", 'CASE DATA'!E47="721.1", 'CASE DATA'!E47="722.1", 'CASE DATA'!E47="", 'CASE DATA'!E47="722.2", 'CASE DATA'!E47="722.10", 'CASE DATA'!E47="723(5)(3)(c)", 'CASE DATA'!E47="723A.2", 'CASE DATA'!E47="723A.3(1)", 'CASE DATA'!E47="723A.3(2)", 'CASE DATA'!E47="724.1B", 'CASE DATA'!E47="724.1C", 'CASE DATA'!E47="724.3", 'CASE DATA'!E47="724.4B", 'CASE DATA'!E47="724.10", 'CASE DATA'!E47="724.16(2)", 'CASE DATA'!E47="724.16A(1)(a)", 'CASE DATA'!E47="724.16A(1)(b)", 'CASE DATA'!E47="724.17", 'CASE DATA'!E47="724.21", 'CASE DATA'!E47="724.26(1)", 'CASE DATA'!E47="922(g)(8)", 'CASE DATA'!E47="724.29A(2)", 'CASE DATA'!E47="724.29A(3)", 'CASE DATA'!E47="724.30(1)", 'CASE DATA'!E47="724.30(2)", 'CASE DATA'!E47="725.1(2)(b)", 'CASE DATA'!E47="725.2(1)", 'CASE DATA'!E47="725.2(2)", 'CASE DATA'!E47="725.3(2)", 'CASE DATA'!E47="725.3(1)", 'CASE DATA'!E47="725.7(2)(a)(3)", 'CASE DATA'!E47="725.7(2)(a)(4)", 'CASE DATA'!E47="725.7(2)(b)(2)", 'CASE DATA'!E47="725.7(2)(b(3)", 'CASE DATA'!E47="726.7(2)(c)(1)", 'CASE DATA'!E47="726.7(2)(c)(2)", 'CASE DATA'!E47="725.7(2)(d)", 'CASE DATA'!E47="726.2", 'CASE DATA'!E47="726.3", 'CASE DATA'!E47="726.5", 'CASE DATA'!E47="726.6(4)", 'CASE DATA'!E47="726.6(5)", 'CASE DATA'!E47="726.6(6)", 'CASE DATA'!E47="726.6A", 'CASE DATA'!E47="726.7(2)", 'CASE DATA'!E47="726.8(2)", 'CASE DATA'!E47="728.12(1)", 'CASE DATA'!E47="728.12(2)"),"felony","eligible"),"N/A")</f>
        <v>N/A</v>
      </c>
      <c r="M46" s="185" t="str">
        <f>IF(L46="eligible",IF(OR('CASE DATA'!E47="123.46",'CASE DATA'!E47="123.47",'CASE DATA'!E47="235B.20",'CASE DATA'!E47="321.218",'CASE DATA'!E47="321A.32",'CASE DATA'!E47="321J.21",'CASE DATA'!E47="321J.2",'CASE DATA'!E47="707.5",'CASE DATA'!E47="708.2(3)",'CASE DATA'!E47="708.2A",'CASE DATA'!E47="708.7",'CASE DATA'!E47="708.11",'CASE DATA'!E47="708.12",'CASE DATA'!E47="716.8(3)",'CASE DATA'!E47="716.8(4)", LEFT('CASE DATA'!E47,4)="717C", LEFT('CASE DATA'!E47, 3)="719", LEFT('CASE DATA'!E47,3)="720", 'CASE DATA'!E47="721.2", 'CASE DATA'!E47="721.10", 'CASE DATA'!E47="723.1", LEFT('CASE DATA'!E47,3)="724", LEFT('CASE DATA'!E47,3)="726", LEFT('CASE DATA'!E47,3)="728", LEFT('CASE DATA'!E47,4)="901A"),"ineligible misd", "eligible"),"N/A")</f>
        <v>N/A</v>
      </c>
      <c r="N46" s="185" t="str">
        <f>IF(L46="eligible",IF(COUNTIF('CASE DATA'!$C$4:$C$200, "")-COUNTIF('CASE DATA'!$A$4:$A$200, "")&gt;0, "YES","NO"),"N/A")</f>
        <v>N/A</v>
      </c>
      <c r="O46" s="185" t="str">
        <f xml:space="preserve"> IF(M46="eligible",'CASE DATA'!K47,"N/A")</f>
        <v>N/A</v>
      </c>
      <c r="P46" s="185" t="str">
        <f xml:space="preserve"> IF(M46="eligible",'CASE DATA'!I47+'CASE DATA'!J47+'CASE DATA'!L47+'CASE DATA'!M47+'CASE DATA'!N47+'CASE DATA'!O47+'CASE DATA'!M47+'CASE DATA'!Q47+'CASE DATA'!R47,"N/A")</f>
        <v>N/A</v>
      </c>
      <c r="Q46" s="11" t="str">
        <f>IF(M46="eligible",IF(C46+730.5&lt;'BASIC INFO'!$B$3, "YES", "NO"),"N/A")</f>
        <v>N/A</v>
      </c>
      <c r="R46" s="186" t="str">
        <f xml:space="preserve"> IF(OR('CASE DATA'!F47="DEF"), "YES", "NO")</f>
        <v>NO</v>
      </c>
      <c r="S46" s="162" t="str">
        <f>IF(R46="YES",'CASE DATA'!H47,"N/A")</f>
        <v>N/A</v>
      </c>
      <c r="T46" s="185" t="str">
        <f xml:space="preserve"> IF(R46="YES",'CASE DATA'!K47,"N/A")</f>
        <v>N/A</v>
      </c>
      <c r="U46" s="185" t="str">
        <f>IF(R46="YES",'CASE DATA'!I47+'CASE DATA'!J47+'CASE DATA'!L47+'CASE DATA'!M47+'CASE DATA'!N47+'CASE DATA'!O47+'CASE DATA'!P47+'CASE DATA'!Q47+'CASE DATA'!R47,"N/A")</f>
        <v>N/A</v>
      </c>
      <c r="V46" s="189" t="str">
        <f>IF(OR('CASE DATA'!E47="123.46",'CASE DATA'!E47="123.47"),"YES","NO")</f>
        <v>NO</v>
      </c>
      <c r="W46" s="189"/>
      <c r="X46" s="185" t="str">
        <f>IF(V46="YES",IF(C46+730.5&lt;'BASIC INFO'!$B$3, "YES","NO"), "N/A")</f>
        <v>N/A</v>
      </c>
      <c r="Y46" s="189" t="str">
        <f t="shared" si="0"/>
        <v>NO</v>
      </c>
      <c r="Z46" s="187" t="str">
        <f xml:space="preserve"> IF('BASIC INFO'!$B$6+6574.5&gt;C46, "YES", "NO")</f>
        <v>YES</v>
      </c>
    </row>
    <row r="47" spans="1:26" x14ac:dyDescent="0.25">
      <c r="A47" s="162">
        <f xml:space="preserve"> 'CASE DATA'!A48</f>
        <v>0</v>
      </c>
      <c r="B47" s="162">
        <f xml:space="preserve"> 'CASE DATA'!E48</f>
        <v>0</v>
      </c>
      <c r="C47" s="163">
        <f xml:space="preserve"> 'CASE DATA'!C48</f>
        <v>0</v>
      </c>
      <c r="D47" s="11" t="str">
        <f xml:space="preserve"> IF(OR('CASE DATA'!F48="JUV", 'CASE DATA'!F48="JWV"), "YES", "NO")</f>
        <v>NO</v>
      </c>
      <c r="E47" s="11"/>
      <c r="F47" s="11" t="str">
        <f>IF(D47="YES",IF(COUNTIF('CASE DATA'!$C$4:$C$200, "")-COUNTIF('CASE DATA'!$A$4:$A$200, "")&gt;0, "YES","NO"),"N/A")</f>
        <v>N/A</v>
      </c>
      <c r="G47" s="164" t="str">
        <f xml:space="preserve"> _xlfn.IFS(D47="NO", "N/A", AND('BASIC INFO'!$B$3&gt;'BASIC INFO'!$B$6+6574.5, C47+730.5&lt;'BASIC INFO'!$B$3), "YES", 'BASIC INFO'!$B$3&lt;('BASIC INFO'!$B$6+6574.5), "NOT YET 18", C47+730.5&gt;'BASIC INFO'!$B$3, "NOT YET 2 YEARS")</f>
        <v>N/A</v>
      </c>
      <c r="H47" s="186" t="str">
        <f xml:space="preserve"> IF(LEFT('CASE DATA'!E48,4)&lt;&gt;"321.",IF(OR('CASE DATA'!F48="DISM", 'CASE DATA'!F48="ACQ", 'CASE DATA'!F48="NOTF", 'CASE DATA'!F48="WTHD", 'CASE DATA'!F48="TNSF"), "YES", "NO"), "TRAFFIC")</f>
        <v>NO</v>
      </c>
      <c r="I47" s="185" t="str">
        <f xml:space="preserve"> IF(H47="YES",'CASE DATA'!K48,"N/A")</f>
        <v>N/A</v>
      </c>
      <c r="J47" s="185" t="str">
        <f>IF(H47="YES",'CASE DATA'!I48+'CASE DATA'!J48+'CASE DATA'!L48+'CASE DATA'!M48+'CASE DATA'!N48+'CASE DATA'!O48+'CASE DATA'!P48+'CASE DATA'!Q48+'CASE DATA'!R48,"N/A")</f>
        <v>N/A</v>
      </c>
      <c r="K47" s="162" t="str">
        <f xml:space="preserve"> IF(H47="YES",IF(C47+180&lt;'BASIC INFO'!$B$3, "YES", "NO"),"N/A")</f>
        <v>N/A</v>
      </c>
      <c r="L47" s="185" t="str">
        <f>IF(OR('CASE DATA'!F48="GTR", 'CASE DATA'!F48="GPL"),IF(OR('CASE DATA'!E48="81.6(2)", 'CASE DATA'!E48="99F.15(6)(b)(1)", 'CASE DATA'!E48= "124.401(1)(a)", 'CASE DATA'!E48= "124.401(1)(b)", 'CASE DATA'!E48= "124.401(1)(c)", 'CASE DATA'!E48= "124.401(1)(d)", 'CASE DATA'!E48="124.401(4)", 'CASE DATA'!E48="124.401(1)(b)", 'CASE DATA'!E48="124.401(1)(c)", 'CASE DATA'!E48="124.401D(2)(b)", 'CASE DATA'!E48="124.401D(2)(c)", 'CASE DATA'!E48="124.406(1)(a)", 'CASE DATA'!E48="124.406(1)(b) ", 'CASE DATA'!E48="124.406(2)(a)", 'CASE DATA'!E48="124.406(2)(b) ", 'CASE DATA'!E48="124.406(3)", 'CASE DATA'!E48="124.406A ", 'CASE DATA'!E48="124.407(2)(a)", 'CASE DATA'!E48="124B.9(1)", 'CASE DATA'!E48="124B.9(2)", 'CASE DATA'!E48="321J.2(2)(c)", 'CASE DATA'!E48="453B.12(2)", 'CASE DATA'!E48="453B.12(3)", 'CASE DATA'!E48="453B.12(4)", 'CASE DATA'!E48="462A.14(2)(c)", 'CASE DATA'!E48="462A.14(2)(d)", 'CASE DATA'!E48="462A.14(2)(e)", 'CASE DATA'!E48="705.1(2)", 'CASE DATA'!E48="706.3(1)", 'CASE DATA'!E48="706.3(2)", 'CASE DATA'!E48="706A.2(1)", 'CASE DATA'!E48="706A.2(2)", 'CASE DATA'!E48="706A.2(4)", 'CASE DATA'!E48="706B.2(1)(a)", 'CASE DATA'!E48="706B.2(1)(b)", 'CASE DATA'!E48="706B.2(1)(c)", 'CASE DATA'!E48="706B.2(1)(d)", 'CASE DATA'!E48="707.2", 'CASE DATA'!E48="707.3", 'CASE DATA'!E48="707.3A", 'CASE DATA'!E48="707.4", 'CASE DATA'!E48="707.5(1)(a)", 'CASE DATA'!E48="707.6A(1)", 'CASE DATA'!E48="707.6A(2)", 'CASE DATA'!E48="707.6A(3)", 'CASE DATA'!E48="707.6A(4)", 'CASE DATA'!E48="707.7(1)", 'CASE DATA'!E48="707.7(3)", 'CASE DATA'!E48="707.7(2)", 'CASE DATA'!E48="707.8(1)", 'CASE DATA'!E48="707.8(2)", 'CASE DATA'!E48="707.8(3)", 'CASE DATA'!E48="707.8(4)", 'CASE DATA'!E48="707.8(5)", 'CASE DATA'!E48="707.8(6)", 'CASE DATA'!E48="707.9", 'CASE DATA'!E48="707.11", 'CASE DATA'!E48="707A.2", 'CASE DATA'!E48="708.2(4)", 'CASE DATA'!E48="708.2(5)", 'CASE DATA'!E48="708.2A(4)", 'CASE DATA'!E48="708.2A(5)", 'CASE DATA'!E48="708.2C(2)", 'CASE DATA'!E48="708.2C(4)", 'CASE DATA'!E48="708.3(1)", 'CASE DATA'!E48="708.3(2)", 'CASE DATA'!E48="708.3A(1)", 'CASE DATA'!E48="708.3A(2)", 'CASE DATA'!E48="708.3B", 'CASE DATA'!E48="708.4(1)", 'CASE DATA'!E48="708.4(2)", 'CASE DATA'!E48="708.5", 'CASE DATA'!E48="708.8", 'CASE DATA'!E48="708.11(3)(a)", 'CASE DATA'!E48="708.11(3)(b)", 'CASE DATA'!E48="708.12(3)(f)", 'CASE DATA'!E48="708.13(3)", 'CASE DATA'!E48="708.14", 'CASE DATA'!E48="708A.2", 'CASE DATA'!E48="708A.4(1)", 'CASE DATA'!E48="708A.4(2)", 'CASE DATA'!E48="708A.5", 'CASE DATA'!E48="708A.6(1)", 'CASE DATA'!E48="708.A.6(2)", 'CASE DATA'!E48="709.2", 'CASE DATA'!E48="709.3", 'CASE DATA'!E48="709.4", 'CASE DATA'!E48="709.8(1)(a)", 'CASE DATA'!E48="709.8(1)(b)", 'CASE DATA'!E48="709.8(1)(c)", 'CASE DATA'!E48="709.8(1)(d)", 'CASE DATA'!E48="709.8(1)(e)", 'CASE DATA'!E48="709.11(1)", 'CASE DATA'!E48="709.11(2)", 'CASE DATA'!E48="709.15(2)(a)(1)", 'CASE DATA'!E48="709.15(3)(a)(1)", 'CASE DATA'!E48="709.18", 'CASE DATA'!E48="709A.6(2)", 'CASE DATA'!E48="709D.3(1)", 'CASE DATA'!E48="709D.3(2)", 'CASE DATA'!E48="709.D.3(3)", 'CASE DATA'!E48="710.2", 'CASE DATA'!E48="710.3", 'CASE DATA'!E48="710.4", 'CASE DATA'!E48="710.5", 'CASE DATA'!E48="710.10(1)", 'CASE DATA'!E48="710.10(2)", 'CASE DATA'!E48="710.10(3)", 'CASE DATA'!E48="710.11", 'CASE DATA'!E48="710A.2(1)", 'CASE DATA'!E48="710A.2(2)", 'CASE DATA'!E48="710A.2(3)", 'CASE DATA'!E48="710A.2(4)", 'CASE DATA'!E48="710A.2(5)", 'CASE DATA'!E48="710A.2(6)", 'CASE DATA'!E48="710A.2(7)", 'CASE DATA'!E48="710A.2A", 'CASE DATA'!E48="711.2", 'CASE DATA'!E48="711.3", 'CASE DATA'!E48="711.4", 'CASE DATA'!E48="712.2", 'CASE DATA'!E48="712.3", 'CASE DATA'!E48="712.6(1)", 'CASE DATA'!E48="712.7", 'CASE DATA'!E48="712.8", 'CASE DATA'!E48="", 'CASE DATA'!E48="713.3", 'CASE DATA'!E48="713.4", 'CASE DATA'!E48="713.5", 'CASE DATA'!E48="713.6", 'CASE DATA'!E48="713.6A(1)", 'CASE DATA'!E48="714.2(1)", 'CASE DATA'!E48="714.2(2)", 'CASE DATA'!E48="714.3A(2)(b)", 'CASE DATA'!E48="714.9", 'CASE DATA'!E48="714.10", 'CASE DATA'!E48="714.26(2)(a)", 'CASE DATA'!E48="714.26(2)(b)", 'CASE DATA'!E48="715A.2(2)(a)", 'CASE DATA'!E48="715A.6(2)(a)", 'CASE DATA'!E48="715A.6(2)(b)", 'CASE DATA'!E48="715A.8(3)(a)", 'CASE DATA'!E48="715A.8(3)(b)", 'CASE DATA'!E48="715A.10(1)", 'CASE DATA'!E48="715A.10(2)", 'CASE DATA'!E48="716.3", 'CASE DATA'!E48="716.4", 'CASE DATA'!E48="716.8(6)", 'CASE DATA'!E48="716.10(2)(a)", 'CASE DATA'!E48="716.10(2)(b)", 'CASE DATA'!E48="716.10(2)(c)", 'CASE DATA'!E48="716.10(2)(d)", 'CASE DATA'!E48="716.12", 'CASE DATA'!E48="719.1(1)(f)", 'CASE DATA'!E48="719.1(2)(e)", 'CASE DATA'!E48="719.1(2)(f)", 'CASE DATA'!E48="719.1(2)(g)", 'CASE DATA'!E48="719.4(1)", 'CASE DATA'!E48="719.4(4)", 'CASE DATA'!E48="719.5(1)", 'CASE DATA'!E48="719.5(2)", 'CASE DATA'!E48="719.6(1)", 'CASE DATA'!E48="719.6(2)", 'CASE DATA'!E48="719.7(4)(a)", 'CASE DATA'!E48="719.7(4)(b)", 'CASE DATA'!E48="719.7A(3)", 'CASE DATA'!E48="719.9", 'CASE DATA'!E48="719.8", 'CASE DATA'!E48="720.2", 'CASE DATA'!E48="720.3", 'CASE DATA'!E48="721.1", 'CASE DATA'!E48="722.1", 'CASE DATA'!E48="", 'CASE DATA'!E48="722.2", 'CASE DATA'!E48="722.10", 'CASE DATA'!E48="723(5)(3)(c)", 'CASE DATA'!E48="723A.2", 'CASE DATA'!E48="723A.3(1)", 'CASE DATA'!E48="723A.3(2)", 'CASE DATA'!E48="724.1B", 'CASE DATA'!E48="724.1C", 'CASE DATA'!E48="724.3", 'CASE DATA'!E48="724.4B", 'CASE DATA'!E48="724.10", 'CASE DATA'!E48="724.16(2)", 'CASE DATA'!E48="724.16A(1)(a)", 'CASE DATA'!E48="724.16A(1)(b)", 'CASE DATA'!E48="724.17", 'CASE DATA'!E48="724.21", 'CASE DATA'!E48="724.26(1)", 'CASE DATA'!E48="922(g)(8)", 'CASE DATA'!E48="724.29A(2)", 'CASE DATA'!E48="724.29A(3)", 'CASE DATA'!E48="724.30(1)", 'CASE DATA'!E48="724.30(2)", 'CASE DATA'!E48="725.1(2)(b)", 'CASE DATA'!E48="725.2(1)", 'CASE DATA'!E48="725.2(2)", 'CASE DATA'!E48="725.3(2)", 'CASE DATA'!E48="725.3(1)", 'CASE DATA'!E48="725.7(2)(a)(3)", 'CASE DATA'!E48="725.7(2)(a)(4)", 'CASE DATA'!E48="725.7(2)(b)(2)", 'CASE DATA'!E48="725.7(2)(b(3)", 'CASE DATA'!E48="726.7(2)(c)(1)", 'CASE DATA'!E48="726.7(2)(c)(2)", 'CASE DATA'!E48="725.7(2)(d)", 'CASE DATA'!E48="726.2", 'CASE DATA'!E48="726.3", 'CASE DATA'!E48="726.5", 'CASE DATA'!E48="726.6(4)", 'CASE DATA'!E48="726.6(5)", 'CASE DATA'!E48="726.6(6)", 'CASE DATA'!E48="726.6A", 'CASE DATA'!E48="726.7(2)", 'CASE DATA'!E48="726.8(2)", 'CASE DATA'!E48="728.12(1)", 'CASE DATA'!E48="728.12(2)"),"felony","eligible"),"N/A")</f>
        <v>N/A</v>
      </c>
      <c r="M47" s="185" t="str">
        <f>IF(L47="eligible",IF(OR('CASE DATA'!E48="123.46",'CASE DATA'!E48="123.47",'CASE DATA'!E48="235B.20",'CASE DATA'!E48="321.218",'CASE DATA'!E48="321A.32",'CASE DATA'!E48="321J.21",'CASE DATA'!E48="321J.2",'CASE DATA'!E48="707.5",'CASE DATA'!E48="708.2(3)",'CASE DATA'!E48="708.2A",'CASE DATA'!E48="708.7",'CASE DATA'!E48="708.11",'CASE DATA'!E48="708.12",'CASE DATA'!E48="716.8(3)",'CASE DATA'!E48="716.8(4)", LEFT('CASE DATA'!E48,4)="717C", LEFT('CASE DATA'!E48, 3)="719", LEFT('CASE DATA'!E48,3)="720", 'CASE DATA'!E48="721.2", 'CASE DATA'!E48="721.10", 'CASE DATA'!E48="723.1", LEFT('CASE DATA'!E48,3)="724", LEFT('CASE DATA'!E48,3)="726", LEFT('CASE DATA'!E48,3)="728", LEFT('CASE DATA'!E48,4)="901A"),"ineligible misd", "eligible"),"N/A")</f>
        <v>N/A</v>
      </c>
      <c r="N47" s="185" t="str">
        <f>IF(L47="eligible",IF(COUNTIF('CASE DATA'!$C$4:$C$200, "")-COUNTIF('CASE DATA'!$A$4:$A$200, "")&gt;0, "YES","NO"),"N/A")</f>
        <v>N/A</v>
      </c>
      <c r="O47" s="185" t="str">
        <f xml:space="preserve"> IF(M47="eligible",'CASE DATA'!K48,"N/A")</f>
        <v>N/A</v>
      </c>
      <c r="P47" s="185" t="str">
        <f xml:space="preserve"> IF(M47="eligible",'CASE DATA'!I48+'CASE DATA'!J48+'CASE DATA'!L48+'CASE DATA'!M48+'CASE DATA'!N48+'CASE DATA'!O48+'CASE DATA'!M48+'CASE DATA'!Q48+'CASE DATA'!R48,"N/A")</f>
        <v>N/A</v>
      </c>
      <c r="Q47" s="11" t="str">
        <f>IF(M47="eligible",IF(C47+730.5&lt;'BASIC INFO'!$B$3, "YES", "NO"),"N/A")</f>
        <v>N/A</v>
      </c>
      <c r="R47" s="186" t="str">
        <f xml:space="preserve"> IF(OR('CASE DATA'!F48="DEF"), "YES", "NO")</f>
        <v>NO</v>
      </c>
      <c r="S47" s="162" t="str">
        <f>IF(R47="YES",'CASE DATA'!H48,"N/A")</f>
        <v>N/A</v>
      </c>
      <c r="T47" s="185" t="str">
        <f xml:space="preserve"> IF(R47="YES",'CASE DATA'!K48,"N/A")</f>
        <v>N/A</v>
      </c>
      <c r="U47" s="185" t="str">
        <f>IF(R47="YES",'CASE DATA'!I48+'CASE DATA'!J48+'CASE DATA'!L48+'CASE DATA'!M48+'CASE DATA'!N48+'CASE DATA'!O48+'CASE DATA'!P48+'CASE DATA'!Q48+'CASE DATA'!R48,"N/A")</f>
        <v>N/A</v>
      </c>
      <c r="V47" s="189" t="str">
        <f>IF(OR('CASE DATA'!E48="123.46",'CASE DATA'!E48="123.47"),"YES","NO")</f>
        <v>NO</v>
      </c>
      <c r="W47" s="189"/>
      <c r="X47" s="185" t="str">
        <f>IF(V47="YES",IF(C47+730.5&lt;'BASIC INFO'!$B$3, "YES","NO"), "N/A")</f>
        <v>N/A</v>
      </c>
      <c r="Y47" s="189" t="str">
        <f t="shared" si="0"/>
        <v>NO</v>
      </c>
      <c r="Z47" s="187" t="str">
        <f xml:space="preserve"> IF('BASIC INFO'!$B$6+6574.5&gt;C47, "YES", "NO")</f>
        <v>YES</v>
      </c>
    </row>
    <row r="48" spans="1:26" x14ac:dyDescent="0.25">
      <c r="A48" s="162">
        <f xml:space="preserve"> 'CASE DATA'!A49</f>
        <v>0</v>
      </c>
      <c r="B48" s="162">
        <f xml:space="preserve"> 'CASE DATA'!E49</f>
        <v>0</v>
      </c>
      <c r="C48" s="163">
        <f xml:space="preserve"> 'CASE DATA'!C49</f>
        <v>0</v>
      </c>
      <c r="D48" s="11" t="str">
        <f xml:space="preserve"> IF(OR('CASE DATA'!F49="JUV", 'CASE DATA'!F49="JWV"), "YES", "NO")</f>
        <v>NO</v>
      </c>
      <c r="E48" s="11"/>
      <c r="F48" s="11" t="str">
        <f>IF(D48="YES",IF(COUNTIF('CASE DATA'!$C$4:$C$200, "")-COUNTIF('CASE DATA'!$A$4:$A$200, "")&gt;0, "YES","NO"),"N/A")</f>
        <v>N/A</v>
      </c>
      <c r="G48" s="164" t="str">
        <f xml:space="preserve"> _xlfn.IFS(D48="NO", "N/A", AND('BASIC INFO'!$B$3&gt;'BASIC INFO'!$B$6+6574.5, C48+730.5&lt;'BASIC INFO'!$B$3), "YES", 'BASIC INFO'!$B$3&lt;('BASIC INFO'!$B$6+6574.5), "NOT YET 18", C48+730.5&gt;'BASIC INFO'!$B$3, "NOT YET 2 YEARS")</f>
        <v>N/A</v>
      </c>
      <c r="H48" s="186" t="str">
        <f xml:space="preserve"> IF(LEFT('CASE DATA'!E49,4)&lt;&gt;"321.",IF(OR('CASE DATA'!F49="DISM", 'CASE DATA'!F49="ACQ", 'CASE DATA'!F49="NOTF", 'CASE DATA'!F49="WTHD", 'CASE DATA'!F49="TNSF"), "YES", "NO"), "TRAFFIC")</f>
        <v>NO</v>
      </c>
      <c r="I48" s="185" t="str">
        <f xml:space="preserve"> IF(H48="YES",'CASE DATA'!K49,"N/A")</f>
        <v>N/A</v>
      </c>
      <c r="J48" s="185" t="str">
        <f>IF(H48="YES",'CASE DATA'!I49+'CASE DATA'!J49+'CASE DATA'!L49+'CASE DATA'!M49+'CASE DATA'!N49+'CASE DATA'!O49+'CASE DATA'!P49+'CASE DATA'!Q49+'CASE DATA'!R49,"N/A")</f>
        <v>N/A</v>
      </c>
      <c r="K48" s="162" t="str">
        <f xml:space="preserve"> IF(H48="YES",IF(C48+180&lt;'BASIC INFO'!$B$3, "YES", "NO"),"N/A")</f>
        <v>N/A</v>
      </c>
      <c r="L48" s="185" t="str">
        <f>IF(OR('CASE DATA'!F49="GTR", 'CASE DATA'!F49="GPL"),IF(OR('CASE DATA'!E49="81.6(2)", 'CASE DATA'!E49="99F.15(6)(b)(1)", 'CASE DATA'!E49= "124.401(1)(a)", 'CASE DATA'!E49= "124.401(1)(b)", 'CASE DATA'!E49= "124.401(1)(c)", 'CASE DATA'!E49= "124.401(1)(d)", 'CASE DATA'!E49="124.401(4)", 'CASE DATA'!E49="124.401(1)(b)", 'CASE DATA'!E49="124.401(1)(c)", 'CASE DATA'!E49="124.401D(2)(b)", 'CASE DATA'!E49="124.401D(2)(c)", 'CASE DATA'!E49="124.406(1)(a)", 'CASE DATA'!E49="124.406(1)(b) ", 'CASE DATA'!E49="124.406(2)(a)", 'CASE DATA'!E49="124.406(2)(b) ", 'CASE DATA'!E49="124.406(3)", 'CASE DATA'!E49="124.406A ", 'CASE DATA'!E49="124.407(2)(a)", 'CASE DATA'!E49="124B.9(1)", 'CASE DATA'!E49="124B.9(2)", 'CASE DATA'!E49="321J.2(2)(c)", 'CASE DATA'!E49="453B.12(2)", 'CASE DATA'!E49="453B.12(3)", 'CASE DATA'!E49="453B.12(4)", 'CASE DATA'!E49="462A.14(2)(c)", 'CASE DATA'!E49="462A.14(2)(d)", 'CASE DATA'!E49="462A.14(2)(e)", 'CASE DATA'!E49="705.1(2)", 'CASE DATA'!E49="706.3(1)", 'CASE DATA'!E49="706.3(2)", 'CASE DATA'!E49="706A.2(1)", 'CASE DATA'!E49="706A.2(2)", 'CASE DATA'!E49="706A.2(4)", 'CASE DATA'!E49="706B.2(1)(a)", 'CASE DATA'!E49="706B.2(1)(b)", 'CASE DATA'!E49="706B.2(1)(c)", 'CASE DATA'!E49="706B.2(1)(d)", 'CASE DATA'!E49="707.2", 'CASE DATA'!E49="707.3", 'CASE DATA'!E49="707.3A", 'CASE DATA'!E49="707.4", 'CASE DATA'!E49="707.5(1)(a)", 'CASE DATA'!E49="707.6A(1)", 'CASE DATA'!E49="707.6A(2)", 'CASE DATA'!E49="707.6A(3)", 'CASE DATA'!E49="707.6A(4)", 'CASE DATA'!E49="707.7(1)", 'CASE DATA'!E49="707.7(3)", 'CASE DATA'!E49="707.7(2)", 'CASE DATA'!E49="707.8(1)", 'CASE DATA'!E49="707.8(2)", 'CASE DATA'!E49="707.8(3)", 'CASE DATA'!E49="707.8(4)", 'CASE DATA'!E49="707.8(5)", 'CASE DATA'!E49="707.8(6)", 'CASE DATA'!E49="707.9", 'CASE DATA'!E49="707.11", 'CASE DATA'!E49="707A.2", 'CASE DATA'!E49="708.2(4)", 'CASE DATA'!E49="708.2(5)", 'CASE DATA'!E49="708.2A(4)", 'CASE DATA'!E49="708.2A(5)", 'CASE DATA'!E49="708.2C(2)", 'CASE DATA'!E49="708.2C(4)", 'CASE DATA'!E49="708.3(1)", 'CASE DATA'!E49="708.3(2)", 'CASE DATA'!E49="708.3A(1)", 'CASE DATA'!E49="708.3A(2)", 'CASE DATA'!E49="708.3B", 'CASE DATA'!E49="708.4(1)", 'CASE DATA'!E49="708.4(2)", 'CASE DATA'!E49="708.5", 'CASE DATA'!E49="708.8", 'CASE DATA'!E49="708.11(3)(a)", 'CASE DATA'!E49="708.11(3)(b)", 'CASE DATA'!E49="708.12(3)(f)", 'CASE DATA'!E49="708.13(3)", 'CASE DATA'!E49="708.14", 'CASE DATA'!E49="708A.2", 'CASE DATA'!E49="708A.4(1)", 'CASE DATA'!E49="708A.4(2)", 'CASE DATA'!E49="708A.5", 'CASE DATA'!E49="708A.6(1)", 'CASE DATA'!E49="708.A.6(2)", 'CASE DATA'!E49="709.2", 'CASE DATA'!E49="709.3", 'CASE DATA'!E49="709.4", 'CASE DATA'!E49="709.8(1)(a)", 'CASE DATA'!E49="709.8(1)(b)", 'CASE DATA'!E49="709.8(1)(c)", 'CASE DATA'!E49="709.8(1)(d)", 'CASE DATA'!E49="709.8(1)(e)", 'CASE DATA'!E49="709.11(1)", 'CASE DATA'!E49="709.11(2)", 'CASE DATA'!E49="709.15(2)(a)(1)", 'CASE DATA'!E49="709.15(3)(a)(1)", 'CASE DATA'!E49="709.18", 'CASE DATA'!E49="709A.6(2)", 'CASE DATA'!E49="709D.3(1)", 'CASE DATA'!E49="709D.3(2)", 'CASE DATA'!E49="709.D.3(3)", 'CASE DATA'!E49="710.2", 'CASE DATA'!E49="710.3", 'CASE DATA'!E49="710.4", 'CASE DATA'!E49="710.5", 'CASE DATA'!E49="710.10(1)", 'CASE DATA'!E49="710.10(2)", 'CASE DATA'!E49="710.10(3)", 'CASE DATA'!E49="710.11", 'CASE DATA'!E49="710A.2(1)", 'CASE DATA'!E49="710A.2(2)", 'CASE DATA'!E49="710A.2(3)", 'CASE DATA'!E49="710A.2(4)", 'CASE DATA'!E49="710A.2(5)", 'CASE DATA'!E49="710A.2(6)", 'CASE DATA'!E49="710A.2(7)", 'CASE DATA'!E49="710A.2A", 'CASE DATA'!E49="711.2", 'CASE DATA'!E49="711.3", 'CASE DATA'!E49="711.4", 'CASE DATA'!E49="712.2", 'CASE DATA'!E49="712.3", 'CASE DATA'!E49="712.6(1)", 'CASE DATA'!E49="712.7", 'CASE DATA'!E49="712.8", 'CASE DATA'!E49="", 'CASE DATA'!E49="713.3", 'CASE DATA'!E49="713.4", 'CASE DATA'!E49="713.5", 'CASE DATA'!E49="713.6", 'CASE DATA'!E49="713.6A(1)", 'CASE DATA'!E49="714.2(1)", 'CASE DATA'!E49="714.2(2)", 'CASE DATA'!E49="714.3A(2)(b)", 'CASE DATA'!E49="714.9", 'CASE DATA'!E49="714.10", 'CASE DATA'!E49="714.26(2)(a)", 'CASE DATA'!E49="714.26(2)(b)", 'CASE DATA'!E49="715A.2(2)(a)", 'CASE DATA'!E49="715A.6(2)(a)", 'CASE DATA'!E49="715A.6(2)(b)", 'CASE DATA'!E49="715A.8(3)(a)", 'CASE DATA'!E49="715A.8(3)(b)", 'CASE DATA'!E49="715A.10(1)", 'CASE DATA'!E49="715A.10(2)", 'CASE DATA'!E49="716.3", 'CASE DATA'!E49="716.4", 'CASE DATA'!E49="716.8(6)", 'CASE DATA'!E49="716.10(2)(a)", 'CASE DATA'!E49="716.10(2)(b)", 'CASE DATA'!E49="716.10(2)(c)", 'CASE DATA'!E49="716.10(2)(d)", 'CASE DATA'!E49="716.12", 'CASE DATA'!E49="719.1(1)(f)", 'CASE DATA'!E49="719.1(2)(e)", 'CASE DATA'!E49="719.1(2)(f)", 'CASE DATA'!E49="719.1(2)(g)", 'CASE DATA'!E49="719.4(1)", 'CASE DATA'!E49="719.4(4)", 'CASE DATA'!E49="719.5(1)", 'CASE DATA'!E49="719.5(2)", 'CASE DATA'!E49="719.6(1)", 'CASE DATA'!E49="719.6(2)", 'CASE DATA'!E49="719.7(4)(a)", 'CASE DATA'!E49="719.7(4)(b)", 'CASE DATA'!E49="719.7A(3)", 'CASE DATA'!E49="719.9", 'CASE DATA'!E49="719.8", 'CASE DATA'!E49="720.2", 'CASE DATA'!E49="720.3", 'CASE DATA'!E49="721.1", 'CASE DATA'!E49="722.1", 'CASE DATA'!E49="", 'CASE DATA'!E49="722.2", 'CASE DATA'!E49="722.10", 'CASE DATA'!E49="723(5)(3)(c)", 'CASE DATA'!E49="723A.2", 'CASE DATA'!E49="723A.3(1)", 'CASE DATA'!E49="723A.3(2)", 'CASE DATA'!E49="724.1B", 'CASE DATA'!E49="724.1C", 'CASE DATA'!E49="724.3", 'CASE DATA'!E49="724.4B", 'CASE DATA'!E49="724.10", 'CASE DATA'!E49="724.16(2)", 'CASE DATA'!E49="724.16A(1)(a)", 'CASE DATA'!E49="724.16A(1)(b)", 'CASE DATA'!E49="724.17", 'CASE DATA'!E49="724.21", 'CASE DATA'!E49="724.26(1)", 'CASE DATA'!E49="922(g)(8)", 'CASE DATA'!E49="724.29A(2)", 'CASE DATA'!E49="724.29A(3)", 'CASE DATA'!E49="724.30(1)", 'CASE DATA'!E49="724.30(2)", 'CASE DATA'!E49="725.1(2)(b)", 'CASE DATA'!E49="725.2(1)", 'CASE DATA'!E49="725.2(2)", 'CASE DATA'!E49="725.3(2)", 'CASE DATA'!E49="725.3(1)", 'CASE DATA'!E49="725.7(2)(a)(3)", 'CASE DATA'!E49="725.7(2)(a)(4)", 'CASE DATA'!E49="725.7(2)(b)(2)", 'CASE DATA'!E49="725.7(2)(b(3)", 'CASE DATA'!E49="726.7(2)(c)(1)", 'CASE DATA'!E49="726.7(2)(c)(2)", 'CASE DATA'!E49="725.7(2)(d)", 'CASE DATA'!E49="726.2", 'CASE DATA'!E49="726.3", 'CASE DATA'!E49="726.5", 'CASE DATA'!E49="726.6(4)", 'CASE DATA'!E49="726.6(5)", 'CASE DATA'!E49="726.6(6)", 'CASE DATA'!E49="726.6A", 'CASE DATA'!E49="726.7(2)", 'CASE DATA'!E49="726.8(2)", 'CASE DATA'!E49="728.12(1)", 'CASE DATA'!E49="728.12(2)"),"felony","eligible"),"N/A")</f>
        <v>N/A</v>
      </c>
      <c r="M48" s="185" t="str">
        <f>IF(L48="eligible",IF(OR('CASE DATA'!E49="123.46",'CASE DATA'!E49="123.47",'CASE DATA'!E49="235B.20",'CASE DATA'!E49="321.218",'CASE DATA'!E49="321A.32",'CASE DATA'!E49="321J.21",'CASE DATA'!E49="321J.2",'CASE DATA'!E49="707.5",'CASE DATA'!E49="708.2(3)",'CASE DATA'!E49="708.2A",'CASE DATA'!E49="708.7",'CASE DATA'!E49="708.11",'CASE DATA'!E49="708.12",'CASE DATA'!E49="716.8(3)",'CASE DATA'!E49="716.8(4)", LEFT('CASE DATA'!E49,4)="717C", LEFT('CASE DATA'!E49, 3)="719", LEFT('CASE DATA'!E49,3)="720", 'CASE DATA'!E49="721.2", 'CASE DATA'!E49="721.10", 'CASE DATA'!E49="723.1", LEFT('CASE DATA'!E49,3)="724", LEFT('CASE DATA'!E49,3)="726", LEFT('CASE DATA'!E49,3)="728", LEFT('CASE DATA'!E49,4)="901A"),"ineligible misd", "eligible"),"N/A")</f>
        <v>N/A</v>
      </c>
      <c r="N48" s="185" t="str">
        <f>IF(L48="eligible",IF(COUNTIF('CASE DATA'!$C$4:$C$200, "")-COUNTIF('CASE DATA'!$A$4:$A$200, "")&gt;0, "YES","NO"),"N/A")</f>
        <v>N/A</v>
      </c>
      <c r="O48" s="185" t="str">
        <f xml:space="preserve"> IF(M48="eligible",'CASE DATA'!K49,"N/A")</f>
        <v>N/A</v>
      </c>
      <c r="P48" s="185" t="str">
        <f xml:space="preserve"> IF(M48="eligible",'CASE DATA'!I49+'CASE DATA'!J49+'CASE DATA'!L49+'CASE DATA'!M49+'CASE DATA'!N49+'CASE DATA'!O49+'CASE DATA'!M49+'CASE DATA'!Q49+'CASE DATA'!R49,"N/A")</f>
        <v>N/A</v>
      </c>
      <c r="Q48" s="11" t="str">
        <f>IF(M48="eligible",IF(C48+730.5&lt;'BASIC INFO'!$B$3, "YES", "NO"),"N/A")</f>
        <v>N/A</v>
      </c>
      <c r="R48" s="186" t="str">
        <f xml:space="preserve"> IF(OR('CASE DATA'!F49="DEF"), "YES", "NO")</f>
        <v>NO</v>
      </c>
      <c r="S48" s="162" t="str">
        <f>IF(R48="YES",'CASE DATA'!H49,"N/A")</f>
        <v>N/A</v>
      </c>
      <c r="T48" s="185" t="str">
        <f xml:space="preserve"> IF(R48="YES",'CASE DATA'!K49,"N/A")</f>
        <v>N/A</v>
      </c>
      <c r="U48" s="185" t="str">
        <f>IF(R48="YES",'CASE DATA'!I49+'CASE DATA'!J49+'CASE DATA'!L49+'CASE DATA'!M49+'CASE DATA'!N49+'CASE DATA'!O49+'CASE DATA'!P49+'CASE DATA'!Q49+'CASE DATA'!R49,"N/A")</f>
        <v>N/A</v>
      </c>
      <c r="V48" s="189" t="str">
        <f>IF(OR('CASE DATA'!E49="123.46",'CASE DATA'!E49="123.47"),"YES","NO")</f>
        <v>NO</v>
      </c>
      <c r="W48" s="189"/>
      <c r="X48" s="185" t="str">
        <f>IF(V48="YES",IF(C48+730.5&lt;'BASIC INFO'!$B$3, "YES","NO"), "N/A")</f>
        <v>N/A</v>
      </c>
      <c r="Y48" s="189" t="str">
        <f t="shared" si="0"/>
        <v>NO</v>
      </c>
      <c r="Z48" s="187" t="str">
        <f xml:space="preserve"> IF('BASIC INFO'!$B$6+6574.5&gt;C48, "YES", "NO")</f>
        <v>YES</v>
      </c>
    </row>
    <row r="49" spans="1:26" x14ac:dyDescent="0.25">
      <c r="A49" s="162">
        <f xml:space="preserve"> 'CASE DATA'!A50</f>
        <v>0</v>
      </c>
      <c r="B49" s="162">
        <f xml:space="preserve"> 'CASE DATA'!E50</f>
        <v>0</v>
      </c>
      <c r="C49" s="163">
        <f xml:space="preserve"> 'CASE DATA'!C50</f>
        <v>0</v>
      </c>
      <c r="D49" s="11" t="str">
        <f xml:space="preserve"> IF(OR('CASE DATA'!F50="JUV", 'CASE DATA'!F50="JWV"), "YES", "NO")</f>
        <v>NO</v>
      </c>
      <c r="E49" s="11"/>
      <c r="F49" s="11" t="str">
        <f>IF(D49="YES",IF(COUNTIF('CASE DATA'!$C$4:$C$200, "")-COUNTIF('CASE DATA'!$A$4:$A$200, "")&gt;0, "YES","NO"),"N/A")</f>
        <v>N/A</v>
      </c>
      <c r="G49" s="164" t="str">
        <f xml:space="preserve"> _xlfn.IFS(D49="NO", "N/A", AND('BASIC INFO'!$B$3&gt;'BASIC INFO'!$B$6+6574.5, C49+730.5&lt;'BASIC INFO'!$B$3), "YES", 'BASIC INFO'!$B$3&lt;('BASIC INFO'!$B$6+6574.5), "NOT YET 18", C49+730.5&gt;'BASIC INFO'!$B$3, "NOT YET 2 YEARS")</f>
        <v>N/A</v>
      </c>
      <c r="H49" s="186" t="str">
        <f xml:space="preserve"> IF(LEFT('CASE DATA'!E50,4)&lt;&gt;"321.",IF(OR('CASE DATA'!F50="DISM", 'CASE DATA'!F50="ACQ", 'CASE DATA'!F50="NOTF", 'CASE DATA'!F50="WTHD", 'CASE DATA'!F50="TNSF"), "YES", "NO"), "TRAFFIC")</f>
        <v>NO</v>
      </c>
      <c r="I49" s="185" t="str">
        <f xml:space="preserve"> IF(H49="YES",'CASE DATA'!K50,"N/A")</f>
        <v>N/A</v>
      </c>
      <c r="J49" s="185" t="str">
        <f>IF(H49="YES",'CASE DATA'!I50+'CASE DATA'!J50+'CASE DATA'!L50+'CASE DATA'!M50+'CASE DATA'!N50+'CASE DATA'!O50+'CASE DATA'!P50+'CASE DATA'!Q50+'CASE DATA'!R50,"N/A")</f>
        <v>N/A</v>
      </c>
      <c r="K49" s="162" t="str">
        <f xml:space="preserve"> IF(H49="YES",IF(C49+180&lt;'BASIC INFO'!$B$3, "YES", "NO"),"N/A")</f>
        <v>N/A</v>
      </c>
      <c r="L49" s="185" t="str">
        <f>IF(OR('CASE DATA'!F50="GTR", 'CASE DATA'!F50="GPL"),IF(OR('CASE DATA'!E50="81.6(2)", 'CASE DATA'!E50="99F.15(6)(b)(1)", 'CASE DATA'!E50= "124.401(1)(a)", 'CASE DATA'!E50= "124.401(1)(b)", 'CASE DATA'!E50= "124.401(1)(c)", 'CASE DATA'!E50= "124.401(1)(d)", 'CASE DATA'!E50="124.401(4)", 'CASE DATA'!E50="124.401(1)(b)", 'CASE DATA'!E50="124.401(1)(c)", 'CASE DATA'!E50="124.401D(2)(b)", 'CASE DATA'!E50="124.401D(2)(c)", 'CASE DATA'!E50="124.406(1)(a)", 'CASE DATA'!E50="124.406(1)(b) ", 'CASE DATA'!E50="124.406(2)(a)", 'CASE DATA'!E50="124.406(2)(b) ", 'CASE DATA'!E50="124.406(3)", 'CASE DATA'!E50="124.406A ", 'CASE DATA'!E50="124.407(2)(a)", 'CASE DATA'!E50="124B.9(1)", 'CASE DATA'!E50="124B.9(2)", 'CASE DATA'!E50="321J.2(2)(c)", 'CASE DATA'!E50="453B.12(2)", 'CASE DATA'!E50="453B.12(3)", 'CASE DATA'!E50="453B.12(4)", 'CASE DATA'!E50="462A.14(2)(c)", 'CASE DATA'!E50="462A.14(2)(d)", 'CASE DATA'!E50="462A.14(2)(e)", 'CASE DATA'!E50="705.1(2)", 'CASE DATA'!E50="706.3(1)", 'CASE DATA'!E50="706.3(2)", 'CASE DATA'!E50="706A.2(1)", 'CASE DATA'!E50="706A.2(2)", 'CASE DATA'!E50="706A.2(4)", 'CASE DATA'!E50="706B.2(1)(a)", 'CASE DATA'!E50="706B.2(1)(b)", 'CASE DATA'!E50="706B.2(1)(c)", 'CASE DATA'!E50="706B.2(1)(d)", 'CASE DATA'!E50="707.2", 'CASE DATA'!E50="707.3", 'CASE DATA'!E50="707.3A", 'CASE DATA'!E50="707.4", 'CASE DATA'!E50="707.5(1)(a)", 'CASE DATA'!E50="707.6A(1)", 'CASE DATA'!E50="707.6A(2)", 'CASE DATA'!E50="707.6A(3)", 'CASE DATA'!E50="707.6A(4)", 'CASE DATA'!E50="707.7(1)", 'CASE DATA'!E50="707.7(3)", 'CASE DATA'!E50="707.7(2)", 'CASE DATA'!E50="707.8(1)", 'CASE DATA'!E50="707.8(2)", 'CASE DATA'!E50="707.8(3)", 'CASE DATA'!E50="707.8(4)", 'CASE DATA'!E50="707.8(5)", 'CASE DATA'!E50="707.8(6)", 'CASE DATA'!E50="707.9", 'CASE DATA'!E50="707.11", 'CASE DATA'!E50="707A.2", 'CASE DATA'!E50="708.2(4)", 'CASE DATA'!E50="708.2(5)", 'CASE DATA'!E50="708.2A(4)", 'CASE DATA'!E50="708.2A(5)", 'CASE DATA'!E50="708.2C(2)", 'CASE DATA'!E50="708.2C(4)", 'CASE DATA'!E50="708.3(1)", 'CASE DATA'!E50="708.3(2)", 'CASE DATA'!E50="708.3A(1)", 'CASE DATA'!E50="708.3A(2)", 'CASE DATA'!E50="708.3B", 'CASE DATA'!E50="708.4(1)", 'CASE DATA'!E50="708.4(2)", 'CASE DATA'!E50="708.5", 'CASE DATA'!E50="708.8", 'CASE DATA'!E50="708.11(3)(a)", 'CASE DATA'!E50="708.11(3)(b)", 'CASE DATA'!E50="708.12(3)(f)", 'CASE DATA'!E50="708.13(3)", 'CASE DATA'!E50="708.14", 'CASE DATA'!E50="708A.2", 'CASE DATA'!E50="708A.4(1)", 'CASE DATA'!E50="708A.4(2)", 'CASE DATA'!E50="708A.5", 'CASE DATA'!E50="708A.6(1)", 'CASE DATA'!E50="708.A.6(2)", 'CASE DATA'!E50="709.2", 'CASE DATA'!E50="709.3", 'CASE DATA'!E50="709.4", 'CASE DATA'!E50="709.8(1)(a)", 'CASE DATA'!E50="709.8(1)(b)", 'CASE DATA'!E50="709.8(1)(c)", 'CASE DATA'!E50="709.8(1)(d)", 'CASE DATA'!E50="709.8(1)(e)", 'CASE DATA'!E50="709.11(1)", 'CASE DATA'!E50="709.11(2)", 'CASE DATA'!E50="709.15(2)(a)(1)", 'CASE DATA'!E50="709.15(3)(a)(1)", 'CASE DATA'!E50="709.18", 'CASE DATA'!E50="709A.6(2)", 'CASE DATA'!E50="709D.3(1)", 'CASE DATA'!E50="709D.3(2)", 'CASE DATA'!E50="709.D.3(3)", 'CASE DATA'!E50="710.2", 'CASE DATA'!E50="710.3", 'CASE DATA'!E50="710.4", 'CASE DATA'!E50="710.5", 'CASE DATA'!E50="710.10(1)", 'CASE DATA'!E50="710.10(2)", 'CASE DATA'!E50="710.10(3)", 'CASE DATA'!E50="710.11", 'CASE DATA'!E50="710A.2(1)", 'CASE DATA'!E50="710A.2(2)", 'CASE DATA'!E50="710A.2(3)", 'CASE DATA'!E50="710A.2(4)", 'CASE DATA'!E50="710A.2(5)", 'CASE DATA'!E50="710A.2(6)", 'CASE DATA'!E50="710A.2(7)", 'CASE DATA'!E50="710A.2A", 'CASE DATA'!E50="711.2", 'CASE DATA'!E50="711.3", 'CASE DATA'!E50="711.4", 'CASE DATA'!E50="712.2", 'CASE DATA'!E50="712.3", 'CASE DATA'!E50="712.6(1)", 'CASE DATA'!E50="712.7", 'CASE DATA'!E50="712.8", 'CASE DATA'!E50="", 'CASE DATA'!E50="713.3", 'CASE DATA'!E50="713.4", 'CASE DATA'!E50="713.5", 'CASE DATA'!E50="713.6", 'CASE DATA'!E50="713.6A(1)", 'CASE DATA'!E50="714.2(1)", 'CASE DATA'!E50="714.2(2)", 'CASE DATA'!E50="714.3A(2)(b)", 'CASE DATA'!E50="714.9", 'CASE DATA'!E50="714.10", 'CASE DATA'!E50="714.26(2)(a)", 'CASE DATA'!E50="714.26(2)(b)", 'CASE DATA'!E50="715A.2(2)(a)", 'CASE DATA'!E50="715A.6(2)(a)", 'CASE DATA'!E50="715A.6(2)(b)", 'CASE DATA'!E50="715A.8(3)(a)", 'CASE DATA'!E50="715A.8(3)(b)", 'CASE DATA'!E50="715A.10(1)", 'CASE DATA'!E50="715A.10(2)", 'CASE DATA'!E50="716.3", 'CASE DATA'!E50="716.4", 'CASE DATA'!E50="716.8(6)", 'CASE DATA'!E50="716.10(2)(a)", 'CASE DATA'!E50="716.10(2)(b)", 'CASE DATA'!E50="716.10(2)(c)", 'CASE DATA'!E50="716.10(2)(d)", 'CASE DATA'!E50="716.12", 'CASE DATA'!E50="719.1(1)(f)", 'CASE DATA'!E50="719.1(2)(e)", 'CASE DATA'!E50="719.1(2)(f)", 'CASE DATA'!E50="719.1(2)(g)", 'CASE DATA'!E50="719.4(1)", 'CASE DATA'!E50="719.4(4)", 'CASE DATA'!E50="719.5(1)", 'CASE DATA'!E50="719.5(2)", 'CASE DATA'!E50="719.6(1)", 'CASE DATA'!E50="719.6(2)", 'CASE DATA'!E50="719.7(4)(a)", 'CASE DATA'!E50="719.7(4)(b)", 'CASE DATA'!E50="719.7A(3)", 'CASE DATA'!E50="719.9", 'CASE DATA'!E50="719.8", 'CASE DATA'!E50="720.2", 'CASE DATA'!E50="720.3", 'CASE DATA'!E50="721.1", 'CASE DATA'!E50="722.1", 'CASE DATA'!E50="", 'CASE DATA'!E50="722.2", 'CASE DATA'!E50="722.10", 'CASE DATA'!E50="723(5)(3)(c)", 'CASE DATA'!E50="723A.2", 'CASE DATA'!E50="723A.3(1)", 'CASE DATA'!E50="723A.3(2)", 'CASE DATA'!E50="724.1B", 'CASE DATA'!E50="724.1C", 'CASE DATA'!E50="724.3", 'CASE DATA'!E50="724.4B", 'CASE DATA'!E50="724.10", 'CASE DATA'!E50="724.16(2)", 'CASE DATA'!E50="724.16A(1)(a)", 'CASE DATA'!E50="724.16A(1)(b)", 'CASE DATA'!E50="724.17", 'CASE DATA'!E50="724.21", 'CASE DATA'!E50="724.26(1)", 'CASE DATA'!E50="922(g)(8)", 'CASE DATA'!E50="724.29A(2)", 'CASE DATA'!E50="724.29A(3)", 'CASE DATA'!E50="724.30(1)", 'CASE DATA'!E50="724.30(2)", 'CASE DATA'!E50="725.1(2)(b)", 'CASE DATA'!E50="725.2(1)", 'CASE DATA'!E50="725.2(2)", 'CASE DATA'!E50="725.3(2)", 'CASE DATA'!E50="725.3(1)", 'CASE DATA'!E50="725.7(2)(a)(3)", 'CASE DATA'!E50="725.7(2)(a)(4)", 'CASE DATA'!E50="725.7(2)(b)(2)", 'CASE DATA'!E50="725.7(2)(b(3)", 'CASE DATA'!E50="726.7(2)(c)(1)", 'CASE DATA'!E50="726.7(2)(c)(2)", 'CASE DATA'!E50="725.7(2)(d)", 'CASE DATA'!E50="726.2", 'CASE DATA'!E50="726.3", 'CASE DATA'!E50="726.5", 'CASE DATA'!E50="726.6(4)", 'CASE DATA'!E50="726.6(5)", 'CASE DATA'!E50="726.6(6)", 'CASE DATA'!E50="726.6A", 'CASE DATA'!E50="726.7(2)", 'CASE DATA'!E50="726.8(2)", 'CASE DATA'!E50="728.12(1)", 'CASE DATA'!E50="728.12(2)"),"felony","eligible"),"N/A")</f>
        <v>N/A</v>
      </c>
      <c r="M49" s="185" t="str">
        <f>IF(L49="eligible",IF(OR('CASE DATA'!E50="123.46",'CASE DATA'!E50="123.47",'CASE DATA'!E50="235B.20",'CASE DATA'!E50="321.218",'CASE DATA'!E50="321A.32",'CASE DATA'!E50="321J.21",'CASE DATA'!E50="321J.2",'CASE DATA'!E50="707.5",'CASE DATA'!E50="708.2(3)",'CASE DATA'!E50="708.2A",'CASE DATA'!E50="708.7",'CASE DATA'!E50="708.11",'CASE DATA'!E50="708.12",'CASE DATA'!E50="716.8(3)",'CASE DATA'!E50="716.8(4)", LEFT('CASE DATA'!E50,4)="717C", LEFT('CASE DATA'!E50, 3)="719", LEFT('CASE DATA'!E50,3)="720", 'CASE DATA'!E50="721.2", 'CASE DATA'!E50="721.10", 'CASE DATA'!E50="723.1", LEFT('CASE DATA'!E50,3)="724", LEFT('CASE DATA'!E50,3)="726", LEFT('CASE DATA'!E50,3)="728", LEFT('CASE DATA'!E50,4)="901A"),"ineligible misd", "eligible"),"N/A")</f>
        <v>N/A</v>
      </c>
      <c r="N49" s="185" t="str">
        <f>IF(L49="eligible",IF(COUNTIF('CASE DATA'!$C$4:$C$200, "")-COUNTIF('CASE DATA'!$A$4:$A$200, "")&gt;0, "YES","NO"),"N/A")</f>
        <v>N/A</v>
      </c>
      <c r="O49" s="185" t="str">
        <f xml:space="preserve"> IF(M49="eligible",'CASE DATA'!K50,"N/A")</f>
        <v>N/A</v>
      </c>
      <c r="P49" s="185" t="str">
        <f xml:space="preserve"> IF(M49="eligible",'CASE DATA'!I50+'CASE DATA'!J50+'CASE DATA'!L50+'CASE DATA'!M50+'CASE DATA'!N50+'CASE DATA'!O50+'CASE DATA'!M50+'CASE DATA'!Q50+'CASE DATA'!R50,"N/A")</f>
        <v>N/A</v>
      </c>
      <c r="Q49" s="11" t="str">
        <f>IF(M49="eligible",IF(C49+730.5&lt;'BASIC INFO'!$B$3, "YES", "NO"),"N/A")</f>
        <v>N/A</v>
      </c>
      <c r="R49" s="186" t="str">
        <f xml:space="preserve"> IF(OR('CASE DATA'!F50="DEF"), "YES", "NO")</f>
        <v>NO</v>
      </c>
      <c r="S49" s="162" t="str">
        <f>IF(R49="YES",'CASE DATA'!H50,"N/A")</f>
        <v>N/A</v>
      </c>
      <c r="T49" s="185" t="str">
        <f xml:space="preserve"> IF(R49="YES",'CASE DATA'!K50,"N/A")</f>
        <v>N/A</v>
      </c>
      <c r="U49" s="185" t="str">
        <f>IF(R49="YES",'CASE DATA'!I50+'CASE DATA'!J50+'CASE DATA'!L50+'CASE DATA'!M50+'CASE DATA'!N50+'CASE DATA'!O50+'CASE DATA'!P50+'CASE DATA'!Q50+'CASE DATA'!R50,"N/A")</f>
        <v>N/A</v>
      </c>
      <c r="V49" s="189" t="str">
        <f>IF(OR('CASE DATA'!E50="123.46",'CASE DATA'!E50="123.47"),"YES","NO")</f>
        <v>NO</v>
      </c>
      <c r="W49" s="189"/>
      <c r="X49" s="185" t="str">
        <f>IF(V49="YES",IF(C49+730.5&lt;'BASIC INFO'!$B$3, "YES","NO"), "N/A")</f>
        <v>N/A</v>
      </c>
      <c r="Y49" s="189" t="str">
        <f t="shared" si="0"/>
        <v>NO</v>
      </c>
      <c r="Z49" s="187" t="str">
        <f xml:space="preserve"> IF('BASIC INFO'!$B$6+6574.5&gt;C49, "YES", "NO")</f>
        <v>YES</v>
      </c>
    </row>
    <row r="50" spans="1:26" x14ac:dyDescent="0.25">
      <c r="A50" s="162">
        <f xml:space="preserve"> 'CASE DATA'!A51</f>
        <v>0</v>
      </c>
      <c r="B50" s="162">
        <f xml:space="preserve"> 'CASE DATA'!E51</f>
        <v>0</v>
      </c>
      <c r="C50" s="163">
        <f xml:space="preserve"> 'CASE DATA'!C51</f>
        <v>0</v>
      </c>
      <c r="D50" s="11" t="str">
        <f xml:space="preserve"> IF(OR('CASE DATA'!F51="JUV", 'CASE DATA'!F51="JWV"), "YES", "NO")</f>
        <v>NO</v>
      </c>
      <c r="E50" s="11"/>
      <c r="F50" s="11" t="str">
        <f>IF(D50="YES",IF(COUNTIF('CASE DATA'!$C$4:$C$200, "")-COUNTIF('CASE DATA'!$A$4:$A$200, "")&gt;0, "YES","NO"),"N/A")</f>
        <v>N/A</v>
      </c>
      <c r="G50" s="164" t="str">
        <f xml:space="preserve"> _xlfn.IFS(D50="NO", "N/A", AND('BASIC INFO'!$B$3&gt;'BASIC INFO'!$B$6+6574.5, C50+730.5&lt;'BASIC INFO'!$B$3), "YES", 'BASIC INFO'!$B$3&lt;('BASIC INFO'!$B$6+6574.5), "NOT YET 18", C50+730.5&gt;'BASIC INFO'!$B$3, "NOT YET 2 YEARS")</f>
        <v>N/A</v>
      </c>
      <c r="H50" s="186" t="str">
        <f xml:space="preserve"> IF(LEFT('CASE DATA'!E51,4)&lt;&gt;"321.",IF(OR('CASE DATA'!F51="DISM", 'CASE DATA'!F51="ACQ", 'CASE DATA'!F51="NOTF", 'CASE DATA'!F51="WTHD", 'CASE DATA'!F51="TNSF"), "YES", "NO"), "TRAFFIC")</f>
        <v>NO</v>
      </c>
      <c r="I50" s="185" t="str">
        <f xml:space="preserve"> IF(H50="YES",'CASE DATA'!K51,"N/A")</f>
        <v>N/A</v>
      </c>
      <c r="J50" s="185" t="str">
        <f>IF(H50="YES",'CASE DATA'!I51+'CASE DATA'!J51+'CASE DATA'!L51+'CASE DATA'!M51+'CASE DATA'!N51+'CASE DATA'!O51+'CASE DATA'!P51+'CASE DATA'!Q51+'CASE DATA'!R51,"N/A")</f>
        <v>N/A</v>
      </c>
      <c r="K50" s="162" t="str">
        <f xml:space="preserve"> IF(H50="YES",IF(C50+180&lt;'BASIC INFO'!$B$3, "YES", "NO"),"N/A")</f>
        <v>N/A</v>
      </c>
      <c r="L50" s="185" t="str">
        <f>IF(OR('CASE DATA'!F51="GTR", 'CASE DATA'!F51="GPL"),IF(OR('CASE DATA'!E51="81.6(2)", 'CASE DATA'!E51="99F.15(6)(b)(1)", 'CASE DATA'!E51= "124.401(1)(a)", 'CASE DATA'!E51= "124.401(1)(b)", 'CASE DATA'!E51= "124.401(1)(c)", 'CASE DATA'!E51= "124.401(1)(d)", 'CASE DATA'!E51="124.401(4)", 'CASE DATA'!E51="124.401(1)(b)", 'CASE DATA'!E51="124.401(1)(c)", 'CASE DATA'!E51="124.401D(2)(b)", 'CASE DATA'!E51="124.401D(2)(c)", 'CASE DATA'!E51="124.406(1)(a)", 'CASE DATA'!E51="124.406(1)(b) ", 'CASE DATA'!E51="124.406(2)(a)", 'CASE DATA'!E51="124.406(2)(b) ", 'CASE DATA'!E51="124.406(3)", 'CASE DATA'!E51="124.406A ", 'CASE DATA'!E51="124.407(2)(a)", 'CASE DATA'!E51="124B.9(1)", 'CASE DATA'!E51="124B.9(2)", 'CASE DATA'!E51="321J.2(2)(c)", 'CASE DATA'!E51="453B.12(2)", 'CASE DATA'!E51="453B.12(3)", 'CASE DATA'!E51="453B.12(4)", 'CASE DATA'!E51="462A.14(2)(c)", 'CASE DATA'!E51="462A.14(2)(d)", 'CASE DATA'!E51="462A.14(2)(e)", 'CASE DATA'!E51="705.1(2)", 'CASE DATA'!E51="706.3(1)", 'CASE DATA'!E51="706.3(2)", 'CASE DATA'!E51="706A.2(1)", 'CASE DATA'!E51="706A.2(2)", 'CASE DATA'!E51="706A.2(4)", 'CASE DATA'!E51="706B.2(1)(a)", 'CASE DATA'!E51="706B.2(1)(b)", 'CASE DATA'!E51="706B.2(1)(c)", 'CASE DATA'!E51="706B.2(1)(d)", 'CASE DATA'!E51="707.2", 'CASE DATA'!E51="707.3", 'CASE DATA'!E51="707.3A", 'CASE DATA'!E51="707.4", 'CASE DATA'!E51="707.5(1)(a)", 'CASE DATA'!E51="707.6A(1)", 'CASE DATA'!E51="707.6A(2)", 'CASE DATA'!E51="707.6A(3)", 'CASE DATA'!E51="707.6A(4)", 'CASE DATA'!E51="707.7(1)", 'CASE DATA'!E51="707.7(3)", 'CASE DATA'!E51="707.7(2)", 'CASE DATA'!E51="707.8(1)", 'CASE DATA'!E51="707.8(2)", 'CASE DATA'!E51="707.8(3)", 'CASE DATA'!E51="707.8(4)", 'CASE DATA'!E51="707.8(5)", 'CASE DATA'!E51="707.8(6)", 'CASE DATA'!E51="707.9", 'CASE DATA'!E51="707.11", 'CASE DATA'!E51="707A.2", 'CASE DATA'!E51="708.2(4)", 'CASE DATA'!E51="708.2(5)", 'CASE DATA'!E51="708.2A(4)", 'CASE DATA'!E51="708.2A(5)", 'CASE DATA'!E51="708.2C(2)", 'CASE DATA'!E51="708.2C(4)", 'CASE DATA'!E51="708.3(1)", 'CASE DATA'!E51="708.3(2)", 'CASE DATA'!E51="708.3A(1)", 'CASE DATA'!E51="708.3A(2)", 'CASE DATA'!E51="708.3B", 'CASE DATA'!E51="708.4(1)", 'CASE DATA'!E51="708.4(2)", 'CASE DATA'!E51="708.5", 'CASE DATA'!E51="708.8", 'CASE DATA'!E51="708.11(3)(a)", 'CASE DATA'!E51="708.11(3)(b)", 'CASE DATA'!E51="708.12(3)(f)", 'CASE DATA'!E51="708.13(3)", 'CASE DATA'!E51="708.14", 'CASE DATA'!E51="708A.2", 'CASE DATA'!E51="708A.4(1)", 'CASE DATA'!E51="708A.4(2)", 'CASE DATA'!E51="708A.5", 'CASE DATA'!E51="708A.6(1)", 'CASE DATA'!E51="708.A.6(2)", 'CASE DATA'!E51="709.2", 'CASE DATA'!E51="709.3", 'CASE DATA'!E51="709.4", 'CASE DATA'!E51="709.8(1)(a)", 'CASE DATA'!E51="709.8(1)(b)", 'CASE DATA'!E51="709.8(1)(c)", 'CASE DATA'!E51="709.8(1)(d)", 'CASE DATA'!E51="709.8(1)(e)", 'CASE DATA'!E51="709.11(1)", 'CASE DATA'!E51="709.11(2)", 'CASE DATA'!E51="709.15(2)(a)(1)", 'CASE DATA'!E51="709.15(3)(a)(1)", 'CASE DATA'!E51="709.18", 'CASE DATA'!E51="709A.6(2)", 'CASE DATA'!E51="709D.3(1)", 'CASE DATA'!E51="709D.3(2)", 'CASE DATA'!E51="709.D.3(3)", 'CASE DATA'!E51="710.2", 'CASE DATA'!E51="710.3", 'CASE DATA'!E51="710.4", 'CASE DATA'!E51="710.5", 'CASE DATA'!E51="710.10(1)", 'CASE DATA'!E51="710.10(2)", 'CASE DATA'!E51="710.10(3)", 'CASE DATA'!E51="710.11", 'CASE DATA'!E51="710A.2(1)", 'CASE DATA'!E51="710A.2(2)", 'CASE DATA'!E51="710A.2(3)", 'CASE DATA'!E51="710A.2(4)", 'CASE DATA'!E51="710A.2(5)", 'CASE DATA'!E51="710A.2(6)", 'CASE DATA'!E51="710A.2(7)", 'CASE DATA'!E51="710A.2A", 'CASE DATA'!E51="711.2", 'CASE DATA'!E51="711.3", 'CASE DATA'!E51="711.4", 'CASE DATA'!E51="712.2", 'CASE DATA'!E51="712.3", 'CASE DATA'!E51="712.6(1)", 'CASE DATA'!E51="712.7", 'CASE DATA'!E51="712.8", 'CASE DATA'!E51="", 'CASE DATA'!E51="713.3", 'CASE DATA'!E51="713.4", 'CASE DATA'!E51="713.5", 'CASE DATA'!E51="713.6", 'CASE DATA'!E51="713.6A(1)", 'CASE DATA'!E51="714.2(1)", 'CASE DATA'!E51="714.2(2)", 'CASE DATA'!E51="714.3A(2)(b)", 'CASE DATA'!E51="714.9", 'CASE DATA'!E51="714.10", 'CASE DATA'!E51="714.26(2)(a)", 'CASE DATA'!E51="714.26(2)(b)", 'CASE DATA'!E51="715A.2(2)(a)", 'CASE DATA'!E51="715A.6(2)(a)", 'CASE DATA'!E51="715A.6(2)(b)", 'CASE DATA'!E51="715A.8(3)(a)", 'CASE DATA'!E51="715A.8(3)(b)", 'CASE DATA'!E51="715A.10(1)", 'CASE DATA'!E51="715A.10(2)", 'CASE DATA'!E51="716.3", 'CASE DATA'!E51="716.4", 'CASE DATA'!E51="716.8(6)", 'CASE DATA'!E51="716.10(2)(a)", 'CASE DATA'!E51="716.10(2)(b)", 'CASE DATA'!E51="716.10(2)(c)", 'CASE DATA'!E51="716.10(2)(d)", 'CASE DATA'!E51="716.12", 'CASE DATA'!E51="719.1(1)(f)", 'CASE DATA'!E51="719.1(2)(e)", 'CASE DATA'!E51="719.1(2)(f)", 'CASE DATA'!E51="719.1(2)(g)", 'CASE DATA'!E51="719.4(1)", 'CASE DATA'!E51="719.4(4)", 'CASE DATA'!E51="719.5(1)", 'CASE DATA'!E51="719.5(2)", 'CASE DATA'!E51="719.6(1)", 'CASE DATA'!E51="719.6(2)", 'CASE DATA'!E51="719.7(4)(a)", 'CASE DATA'!E51="719.7(4)(b)", 'CASE DATA'!E51="719.7A(3)", 'CASE DATA'!E51="719.9", 'CASE DATA'!E51="719.8", 'CASE DATA'!E51="720.2", 'CASE DATA'!E51="720.3", 'CASE DATA'!E51="721.1", 'CASE DATA'!E51="722.1", 'CASE DATA'!E51="", 'CASE DATA'!E51="722.2", 'CASE DATA'!E51="722.10", 'CASE DATA'!E51="723(5)(3)(c)", 'CASE DATA'!E51="723A.2", 'CASE DATA'!E51="723A.3(1)", 'CASE DATA'!E51="723A.3(2)", 'CASE DATA'!E51="724.1B", 'CASE DATA'!E51="724.1C", 'CASE DATA'!E51="724.3", 'CASE DATA'!E51="724.4B", 'CASE DATA'!E51="724.10", 'CASE DATA'!E51="724.16(2)", 'CASE DATA'!E51="724.16A(1)(a)", 'CASE DATA'!E51="724.16A(1)(b)", 'CASE DATA'!E51="724.17", 'CASE DATA'!E51="724.21", 'CASE DATA'!E51="724.26(1)", 'CASE DATA'!E51="922(g)(8)", 'CASE DATA'!E51="724.29A(2)", 'CASE DATA'!E51="724.29A(3)", 'CASE DATA'!E51="724.30(1)", 'CASE DATA'!E51="724.30(2)", 'CASE DATA'!E51="725.1(2)(b)", 'CASE DATA'!E51="725.2(1)", 'CASE DATA'!E51="725.2(2)", 'CASE DATA'!E51="725.3(2)", 'CASE DATA'!E51="725.3(1)", 'CASE DATA'!E51="725.7(2)(a)(3)", 'CASE DATA'!E51="725.7(2)(a)(4)", 'CASE DATA'!E51="725.7(2)(b)(2)", 'CASE DATA'!E51="725.7(2)(b(3)", 'CASE DATA'!E51="726.7(2)(c)(1)", 'CASE DATA'!E51="726.7(2)(c)(2)", 'CASE DATA'!E51="725.7(2)(d)", 'CASE DATA'!E51="726.2", 'CASE DATA'!E51="726.3", 'CASE DATA'!E51="726.5", 'CASE DATA'!E51="726.6(4)", 'CASE DATA'!E51="726.6(5)", 'CASE DATA'!E51="726.6(6)", 'CASE DATA'!E51="726.6A", 'CASE DATA'!E51="726.7(2)", 'CASE DATA'!E51="726.8(2)", 'CASE DATA'!E51="728.12(1)", 'CASE DATA'!E51="728.12(2)"),"felony","eligible"),"N/A")</f>
        <v>N/A</v>
      </c>
      <c r="M50" s="185" t="str">
        <f>IF(L50="eligible",IF(OR('CASE DATA'!E51="123.46",'CASE DATA'!E51="123.47",'CASE DATA'!E51="235B.20",'CASE DATA'!E51="321.218",'CASE DATA'!E51="321A.32",'CASE DATA'!E51="321J.21",'CASE DATA'!E51="321J.2",'CASE DATA'!E51="707.5",'CASE DATA'!E51="708.2(3)",'CASE DATA'!E51="708.2A",'CASE DATA'!E51="708.7",'CASE DATA'!E51="708.11",'CASE DATA'!E51="708.12",'CASE DATA'!E51="716.8(3)",'CASE DATA'!E51="716.8(4)", LEFT('CASE DATA'!E51,4)="717C", LEFT('CASE DATA'!E51, 3)="719", LEFT('CASE DATA'!E51,3)="720", 'CASE DATA'!E51="721.2", 'CASE DATA'!E51="721.10", 'CASE DATA'!E51="723.1", LEFT('CASE DATA'!E51,3)="724", LEFT('CASE DATA'!E51,3)="726", LEFT('CASE DATA'!E51,3)="728", LEFT('CASE DATA'!E51,4)="901A"),"ineligible misd", "eligible"),"N/A")</f>
        <v>N/A</v>
      </c>
      <c r="N50" s="185" t="str">
        <f>IF(L50="eligible",IF(COUNTIF('CASE DATA'!$C$4:$C$200, "")-COUNTIF('CASE DATA'!$A$4:$A$200, "")&gt;0, "YES","NO"),"N/A")</f>
        <v>N/A</v>
      </c>
      <c r="O50" s="185" t="str">
        <f xml:space="preserve"> IF(M50="eligible",'CASE DATA'!K51,"N/A")</f>
        <v>N/A</v>
      </c>
      <c r="P50" s="185" t="str">
        <f xml:space="preserve"> IF(M50="eligible",'CASE DATA'!I51+'CASE DATA'!J51+'CASE DATA'!L51+'CASE DATA'!M51+'CASE DATA'!N51+'CASE DATA'!O51+'CASE DATA'!M51+'CASE DATA'!Q51+'CASE DATA'!R51,"N/A")</f>
        <v>N/A</v>
      </c>
      <c r="Q50" s="11" t="str">
        <f>IF(M50="eligible",IF(C50+730.5&lt;'BASIC INFO'!$B$3, "YES", "NO"),"N/A")</f>
        <v>N/A</v>
      </c>
      <c r="R50" s="186" t="str">
        <f xml:space="preserve"> IF(OR('CASE DATA'!F51="DEF"), "YES", "NO")</f>
        <v>NO</v>
      </c>
      <c r="S50" s="162" t="str">
        <f>IF(R50="YES",'CASE DATA'!H51,"N/A")</f>
        <v>N/A</v>
      </c>
      <c r="T50" s="185" t="str">
        <f xml:space="preserve"> IF(R50="YES",'CASE DATA'!K51,"N/A")</f>
        <v>N/A</v>
      </c>
      <c r="U50" s="185" t="str">
        <f>IF(R50="YES",'CASE DATA'!I51+'CASE DATA'!J51+'CASE DATA'!L51+'CASE DATA'!M51+'CASE DATA'!N51+'CASE DATA'!O51+'CASE DATA'!P51+'CASE DATA'!Q51+'CASE DATA'!R51,"N/A")</f>
        <v>N/A</v>
      </c>
      <c r="V50" s="189" t="str">
        <f>IF(OR('CASE DATA'!E51="123.46",'CASE DATA'!E51="123.47"),"YES","NO")</f>
        <v>NO</v>
      </c>
      <c r="W50" s="189"/>
      <c r="X50" s="185" t="str">
        <f>IF(V50="YES",IF(C50+730.5&lt;'BASIC INFO'!$B$3, "YES","NO"), "N/A")</f>
        <v>N/A</v>
      </c>
      <c r="Y50" s="189" t="str">
        <f t="shared" si="0"/>
        <v>NO</v>
      </c>
      <c r="Z50" s="187" t="str">
        <f xml:space="preserve"> IF('BASIC INFO'!$B$6+6574.5&gt;C50, "YES", "NO")</f>
        <v>YES</v>
      </c>
    </row>
    <row r="51" spans="1:26" x14ac:dyDescent="0.25">
      <c r="A51" s="162">
        <f xml:space="preserve"> 'CASE DATA'!A52</f>
        <v>0</v>
      </c>
      <c r="B51" s="162">
        <f xml:space="preserve"> 'CASE DATA'!E52</f>
        <v>0</v>
      </c>
      <c r="C51" s="163">
        <f xml:space="preserve"> 'CASE DATA'!C52</f>
        <v>0</v>
      </c>
      <c r="D51" s="11" t="str">
        <f xml:space="preserve"> IF(OR('CASE DATA'!F52="JUV", 'CASE DATA'!F52="JWV"), "YES", "NO")</f>
        <v>NO</v>
      </c>
      <c r="E51" s="11"/>
      <c r="F51" s="11" t="str">
        <f>IF(D51="YES",IF(COUNTIF('CASE DATA'!$C$4:$C$200, "")-COUNTIF('CASE DATA'!$A$4:$A$200, "")&gt;0, "YES","NO"),"N/A")</f>
        <v>N/A</v>
      </c>
      <c r="G51" s="164" t="str">
        <f xml:space="preserve"> _xlfn.IFS(D51="NO", "N/A", AND('BASIC INFO'!$B$3&gt;'BASIC INFO'!$B$6+6574.5, C51+730.5&lt;'BASIC INFO'!$B$3), "YES", 'BASIC INFO'!$B$3&lt;('BASIC INFO'!$B$6+6574.5), "NOT YET 18", C51+730.5&gt;'BASIC INFO'!$B$3, "NOT YET 2 YEARS")</f>
        <v>N/A</v>
      </c>
      <c r="H51" s="186" t="str">
        <f xml:space="preserve"> IF(LEFT('CASE DATA'!E52,4)&lt;&gt;"321.",IF(OR('CASE DATA'!F52="DISM", 'CASE DATA'!F52="ACQ", 'CASE DATA'!F52="NOTF", 'CASE DATA'!F52="WTHD", 'CASE DATA'!F52="TNSF"), "YES", "NO"), "TRAFFIC")</f>
        <v>NO</v>
      </c>
      <c r="I51" s="185" t="str">
        <f xml:space="preserve"> IF(H51="YES",'CASE DATA'!K52,"N/A")</f>
        <v>N/A</v>
      </c>
      <c r="J51" s="185" t="str">
        <f>IF(H51="YES",'CASE DATA'!I52+'CASE DATA'!J52+'CASE DATA'!L52+'CASE DATA'!M52+'CASE DATA'!N52+'CASE DATA'!O52+'CASE DATA'!P52+'CASE DATA'!Q52+'CASE DATA'!R52,"N/A")</f>
        <v>N/A</v>
      </c>
      <c r="K51" s="162" t="str">
        <f xml:space="preserve"> IF(H51="YES",IF(C51+180&lt;'BASIC INFO'!$B$3, "YES", "NO"),"N/A")</f>
        <v>N/A</v>
      </c>
      <c r="L51" s="185" t="str">
        <f>IF(OR('CASE DATA'!F52="GTR", 'CASE DATA'!F52="GPL"),IF(OR('CASE DATA'!E52="81.6(2)", 'CASE DATA'!E52="99F.15(6)(b)(1)", 'CASE DATA'!E52= "124.401(1)(a)", 'CASE DATA'!E52= "124.401(1)(b)", 'CASE DATA'!E52= "124.401(1)(c)", 'CASE DATA'!E52= "124.401(1)(d)", 'CASE DATA'!E52="124.401(4)", 'CASE DATA'!E52="124.401(1)(b)", 'CASE DATA'!E52="124.401(1)(c)", 'CASE DATA'!E52="124.401D(2)(b)", 'CASE DATA'!E52="124.401D(2)(c)", 'CASE DATA'!E52="124.406(1)(a)", 'CASE DATA'!E52="124.406(1)(b) ", 'CASE DATA'!E52="124.406(2)(a)", 'CASE DATA'!E52="124.406(2)(b) ", 'CASE DATA'!E52="124.406(3)", 'CASE DATA'!E52="124.406A ", 'CASE DATA'!E52="124.407(2)(a)", 'CASE DATA'!E52="124B.9(1)", 'CASE DATA'!E52="124B.9(2)", 'CASE DATA'!E52="321J.2(2)(c)", 'CASE DATA'!E52="453B.12(2)", 'CASE DATA'!E52="453B.12(3)", 'CASE DATA'!E52="453B.12(4)", 'CASE DATA'!E52="462A.14(2)(c)", 'CASE DATA'!E52="462A.14(2)(d)", 'CASE DATA'!E52="462A.14(2)(e)", 'CASE DATA'!E52="705.1(2)", 'CASE DATA'!E52="706.3(1)", 'CASE DATA'!E52="706.3(2)", 'CASE DATA'!E52="706A.2(1)", 'CASE DATA'!E52="706A.2(2)", 'CASE DATA'!E52="706A.2(4)", 'CASE DATA'!E52="706B.2(1)(a)", 'CASE DATA'!E52="706B.2(1)(b)", 'CASE DATA'!E52="706B.2(1)(c)", 'CASE DATA'!E52="706B.2(1)(d)", 'CASE DATA'!E52="707.2", 'CASE DATA'!E52="707.3", 'CASE DATA'!E52="707.3A", 'CASE DATA'!E52="707.4", 'CASE DATA'!E52="707.5(1)(a)", 'CASE DATA'!E52="707.6A(1)", 'CASE DATA'!E52="707.6A(2)", 'CASE DATA'!E52="707.6A(3)", 'CASE DATA'!E52="707.6A(4)", 'CASE DATA'!E52="707.7(1)", 'CASE DATA'!E52="707.7(3)", 'CASE DATA'!E52="707.7(2)", 'CASE DATA'!E52="707.8(1)", 'CASE DATA'!E52="707.8(2)", 'CASE DATA'!E52="707.8(3)", 'CASE DATA'!E52="707.8(4)", 'CASE DATA'!E52="707.8(5)", 'CASE DATA'!E52="707.8(6)", 'CASE DATA'!E52="707.9", 'CASE DATA'!E52="707.11", 'CASE DATA'!E52="707A.2", 'CASE DATA'!E52="708.2(4)", 'CASE DATA'!E52="708.2(5)", 'CASE DATA'!E52="708.2A(4)", 'CASE DATA'!E52="708.2A(5)", 'CASE DATA'!E52="708.2C(2)", 'CASE DATA'!E52="708.2C(4)", 'CASE DATA'!E52="708.3(1)", 'CASE DATA'!E52="708.3(2)", 'CASE DATA'!E52="708.3A(1)", 'CASE DATA'!E52="708.3A(2)", 'CASE DATA'!E52="708.3B", 'CASE DATA'!E52="708.4(1)", 'CASE DATA'!E52="708.4(2)", 'CASE DATA'!E52="708.5", 'CASE DATA'!E52="708.8", 'CASE DATA'!E52="708.11(3)(a)", 'CASE DATA'!E52="708.11(3)(b)", 'CASE DATA'!E52="708.12(3)(f)", 'CASE DATA'!E52="708.13(3)", 'CASE DATA'!E52="708.14", 'CASE DATA'!E52="708A.2", 'CASE DATA'!E52="708A.4(1)", 'CASE DATA'!E52="708A.4(2)", 'CASE DATA'!E52="708A.5", 'CASE DATA'!E52="708A.6(1)", 'CASE DATA'!E52="708.A.6(2)", 'CASE DATA'!E52="709.2", 'CASE DATA'!E52="709.3", 'CASE DATA'!E52="709.4", 'CASE DATA'!E52="709.8(1)(a)", 'CASE DATA'!E52="709.8(1)(b)", 'CASE DATA'!E52="709.8(1)(c)", 'CASE DATA'!E52="709.8(1)(d)", 'CASE DATA'!E52="709.8(1)(e)", 'CASE DATA'!E52="709.11(1)", 'CASE DATA'!E52="709.11(2)", 'CASE DATA'!E52="709.15(2)(a)(1)", 'CASE DATA'!E52="709.15(3)(a)(1)", 'CASE DATA'!E52="709.18", 'CASE DATA'!E52="709A.6(2)", 'CASE DATA'!E52="709D.3(1)", 'CASE DATA'!E52="709D.3(2)", 'CASE DATA'!E52="709.D.3(3)", 'CASE DATA'!E52="710.2", 'CASE DATA'!E52="710.3", 'CASE DATA'!E52="710.4", 'CASE DATA'!E52="710.5", 'CASE DATA'!E52="710.10(1)", 'CASE DATA'!E52="710.10(2)", 'CASE DATA'!E52="710.10(3)", 'CASE DATA'!E52="710.11", 'CASE DATA'!E52="710A.2(1)", 'CASE DATA'!E52="710A.2(2)", 'CASE DATA'!E52="710A.2(3)", 'CASE DATA'!E52="710A.2(4)", 'CASE DATA'!E52="710A.2(5)", 'CASE DATA'!E52="710A.2(6)", 'CASE DATA'!E52="710A.2(7)", 'CASE DATA'!E52="710A.2A", 'CASE DATA'!E52="711.2", 'CASE DATA'!E52="711.3", 'CASE DATA'!E52="711.4", 'CASE DATA'!E52="712.2", 'CASE DATA'!E52="712.3", 'CASE DATA'!E52="712.6(1)", 'CASE DATA'!E52="712.7", 'CASE DATA'!E52="712.8", 'CASE DATA'!E52="", 'CASE DATA'!E52="713.3", 'CASE DATA'!E52="713.4", 'CASE DATA'!E52="713.5", 'CASE DATA'!E52="713.6", 'CASE DATA'!E52="713.6A(1)", 'CASE DATA'!E52="714.2(1)", 'CASE DATA'!E52="714.2(2)", 'CASE DATA'!E52="714.3A(2)(b)", 'CASE DATA'!E52="714.9", 'CASE DATA'!E52="714.10", 'CASE DATA'!E52="714.26(2)(a)", 'CASE DATA'!E52="714.26(2)(b)", 'CASE DATA'!E52="715A.2(2)(a)", 'CASE DATA'!E52="715A.6(2)(a)", 'CASE DATA'!E52="715A.6(2)(b)", 'CASE DATA'!E52="715A.8(3)(a)", 'CASE DATA'!E52="715A.8(3)(b)", 'CASE DATA'!E52="715A.10(1)", 'CASE DATA'!E52="715A.10(2)", 'CASE DATA'!E52="716.3", 'CASE DATA'!E52="716.4", 'CASE DATA'!E52="716.8(6)", 'CASE DATA'!E52="716.10(2)(a)", 'CASE DATA'!E52="716.10(2)(b)", 'CASE DATA'!E52="716.10(2)(c)", 'CASE DATA'!E52="716.10(2)(d)", 'CASE DATA'!E52="716.12", 'CASE DATA'!E52="719.1(1)(f)", 'CASE DATA'!E52="719.1(2)(e)", 'CASE DATA'!E52="719.1(2)(f)", 'CASE DATA'!E52="719.1(2)(g)", 'CASE DATA'!E52="719.4(1)", 'CASE DATA'!E52="719.4(4)", 'CASE DATA'!E52="719.5(1)", 'CASE DATA'!E52="719.5(2)", 'CASE DATA'!E52="719.6(1)", 'CASE DATA'!E52="719.6(2)", 'CASE DATA'!E52="719.7(4)(a)", 'CASE DATA'!E52="719.7(4)(b)", 'CASE DATA'!E52="719.7A(3)", 'CASE DATA'!E52="719.9", 'CASE DATA'!E52="719.8", 'CASE DATA'!E52="720.2", 'CASE DATA'!E52="720.3", 'CASE DATA'!E52="721.1", 'CASE DATA'!E52="722.1", 'CASE DATA'!E52="", 'CASE DATA'!E52="722.2", 'CASE DATA'!E52="722.10", 'CASE DATA'!E52="723(5)(3)(c)", 'CASE DATA'!E52="723A.2", 'CASE DATA'!E52="723A.3(1)", 'CASE DATA'!E52="723A.3(2)", 'CASE DATA'!E52="724.1B", 'CASE DATA'!E52="724.1C", 'CASE DATA'!E52="724.3", 'CASE DATA'!E52="724.4B", 'CASE DATA'!E52="724.10", 'CASE DATA'!E52="724.16(2)", 'CASE DATA'!E52="724.16A(1)(a)", 'CASE DATA'!E52="724.16A(1)(b)", 'CASE DATA'!E52="724.17", 'CASE DATA'!E52="724.21", 'CASE DATA'!E52="724.26(1)", 'CASE DATA'!E52="922(g)(8)", 'CASE DATA'!E52="724.29A(2)", 'CASE DATA'!E52="724.29A(3)", 'CASE DATA'!E52="724.30(1)", 'CASE DATA'!E52="724.30(2)", 'CASE DATA'!E52="725.1(2)(b)", 'CASE DATA'!E52="725.2(1)", 'CASE DATA'!E52="725.2(2)", 'CASE DATA'!E52="725.3(2)", 'CASE DATA'!E52="725.3(1)", 'CASE DATA'!E52="725.7(2)(a)(3)", 'CASE DATA'!E52="725.7(2)(a)(4)", 'CASE DATA'!E52="725.7(2)(b)(2)", 'CASE DATA'!E52="725.7(2)(b(3)", 'CASE DATA'!E52="726.7(2)(c)(1)", 'CASE DATA'!E52="726.7(2)(c)(2)", 'CASE DATA'!E52="725.7(2)(d)", 'CASE DATA'!E52="726.2", 'CASE DATA'!E52="726.3", 'CASE DATA'!E52="726.5", 'CASE DATA'!E52="726.6(4)", 'CASE DATA'!E52="726.6(5)", 'CASE DATA'!E52="726.6(6)", 'CASE DATA'!E52="726.6A", 'CASE DATA'!E52="726.7(2)", 'CASE DATA'!E52="726.8(2)", 'CASE DATA'!E52="728.12(1)", 'CASE DATA'!E52="728.12(2)"),"felony","eligible"),"N/A")</f>
        <v>N/A</v>
      </c>
      <c r="M51" s="185" t="str">
        <f>IF(L51="eligible",IF(OR('CASE DATA'!E52="123.46",'CASE DATA'!E52="123.47",'CASE DATA'!E52="235B.20",'CASE DATA'!E52="321.218",'CASE DATA'!E52="321A.32",'CASE DATA'!E52="321J.21",'CASE DATA'!E52="321J.2",'CASE DATA'!E52="707.5",'CASE DATA'!E52="708.2(3)",'CASE DATA'!E52="708.2A",'CASE DATA'!E52="708.7",'CASE DATA'!E52="708.11",'CASE DATA'!E52="708.12",'CASE DATA'!E52="716.8(3)",'CASE DATA'!E52="716.8(4)", LEFT('CASE DATA'!E52,4)="717C", LEFT('CASE DATA'!E52, 3)="719", LEFT('CASE DATA'!E52,3)="720", 'CASE DATA'!E52="721.2", 'CASE DATA'!E52="721.10", 'CASE DATA'!E52="723.1", LEFT('CASE DATA'!E52,3)="724", LEFT('CASE DATA'!E52,3)="726", LEFT('CASE DATA'!E52,3)="728", LEFT('CASE DATA'!E52,4)="901A"),"ineligible misd", "eligible"),"N/A")</f>
        <v>N/A</v>
      </c>
      <c r="N51" s="185" t="str">
        <f>IF(L51="eligible",IF(COUNTIF('CASE DATA'!$C$4:$C$200, "")-COUNTIF('CASE DATA'!$A$4:$A$200, "")&gt;0, "YES","NO"),"N/A")</f>
        <v>N/A</v>
      </c>
      <c r="O51" s="185" t="str">
        <f xml:space="preserve"> IF(M51="eligible",'CASE DATA'!K52,"N/A")</f>
        <v>N/A</v>
      </c>
      <c r="P51" s="185" t="str">
        <f xml:space="preserve"> IF(M51="eligible",'CASE DATA'!I52+'CASE DATA'!J52+'CASE DATA'!L52+'CASE DATA'!M52+'CASE DATA'!N52+'CASE DATA'!O52+'CASE DATA'!M52+'CASE DATA'!Q52+'CASE DATA'!R52,"N/A")</f>
        <v>N/A</v>
      </c>
      <c r="Q51" s="11" t="str">
        <f>IF(M51="eligible",IF(C51+730.5&lt;'BASIC INFO'!$B$3, "YES", "NO"),"N/A")</f>
        <v>N/A</v>
      </c>
      <c r="R51" s="186" t="str">
        <f xml:space="preserve"> IF(OR('CASE DATA'!F52="DEF"), "YES", "NO")</f>
        <v>NO</v>
      </c>
      <c r="S51" s="162" t="str">
        <f>IF(R51="YES",'CASE DATA'!H52,"N/A")</f>
        <v>N/A</v>
      </c>
      <c r="T51" s="185" t="str">
        <f xml:space="preserve"> IF(R51="YES",'CASE DATA'!K52,"N/A")</f>
        <v>N/A</v>
      </c>
      <c r="U51" s="185" t="str">
        <f>IF(R51="YES",'CASE DATA'!I52+'CASE DATA'!J52+'CASE DATA'!L52+'CASE DATA'!M52+'CASE DATA'!N52+'CASE DATA'!O52+'CASE DATA'!P52+'CASE DATA'!Q52+'CASE DATA'!R52,"N/A")</f>
        <v>N/A</v>
      </c>
      <c r="V51" s="189" t="str">
        <f>IF(OR('CASE DATA'!E52="123.46",'CASE DATA'!E52="123.47"),"YES","NO")</f>
        <v>NO</v>
      </c>
      <c r="W51" s="189"/>
      <c r="X51" s="185" t="str">
        <f>IF(V51="YES",IF(C51+730.5&lt;'BASIC INFO'!$B$3, "YES","NO"), "N/A")</f>
        <v>N/A</v>
      </c>
      <c r="Y51" s="189" t="str">
        <f t="shared" si="0"/>
        <v>NO</v>
      </c>
      <c r="Z51" s="187" t="str">
        <f xml:space="preserve"> IF('BASIC INFO'!$B$6+6574.5&gt;C51, "YES", "NO")</f>
        <v>YES</v>
      </c>
    </row>
    <row r="52" spans="1:26" x14ac:dyDescent="0.25">
      <c r="A52" s="162">
        <f xml:space="preserve"> 'CASE DATA'!A53</f>
        <v>0</v>
      </c>
      <c r="B52" s="162">
        <f xml:space="preserve"> 'CASE DATA'!E53</f>
        <v>0</v>
      </c>
      <c r="C52" s="163">
        <f xml:space="preserve"> 'CASE DATA'!C53</f>
        <v>0</v>
      </c>
      <c r="D52" s="11" t="str">
        <f xml:space="preserve"> IF(OR('CASE DATA'!F53="JUV", 'CASE DATA'!F53="JWV"), "YES", "NO")</f>
        <v>NO</v>
      </c>
      <c r="E52" s="11"/>
      <c r="F52" s="11" t="str">
        <f>IF(D52="YES",IF(COUNTIF('CASE DATA'!$C$4:$C$200, "")-COUNTIF('CASE DATA'!$A$4:$A$200, "")&gt;0, "YES","NO"),"N/A")</f>
        <v>N/A</v>
      </c>
      <c r="G52" s="164" t="str">
        <f xml:space="preserve"> _xlfn.IFS(D52="NO", "N/A", AND('BASIC INFO'!$B$3&gt;'BASIC INFO'!$B$6+6574.5, C52+730.5&lt;'BASIC INFO'!$B$3), "YES", 'BASIC INFO'!$B$3&lt;('BASIC INFO'!$B$6+6574.5), "NOT YET 18", C52+730.5&gt;'BASIC INFO'!$B$3, "NOT YET 2 YEARS")</f>
        <v>N/A</v>
      </c>
      <c r="H52" s="186" t="str">
        <f xml:space="preserve"> IF(LEFT('CASE DATA'!E53,4)&lt;&gt;"321.",IF(OR('CASE DATA'!F53="DISM", 'CASE DATA'!F53="ACQ", 'CASE DATA'!F53="NOTF", 'CASE DATA'!F53="WTHD", 'CASE DATA'!F53="TNSF"), "YES", "NO"), "TRAFFIC")</f>
        <v>NO</v>
      </c>
      <c r="I52" s="185" t="str">
        <f xml:space="preserve"> IF(H52="YES",'CASE DATA'!K53,"N/A")</f>
        <v>N/A</v>
      </c>
      <c r="J52" s="185" t="str">
        <f>IF(H52="YES",'CASE DATA'!I53+'CASE DATA'!J53+'CASE DATA'!L53+'CASE DATA'!M53+'CASE DATA'!N53+'CASE DATA'!O53+'CASE DATA'!P53+'CASE DATA'!Q53+'CASE DATA'!R53,"N/A")</f>
        <v>N/A</v>
      </c>
      <c r="K52" s="162" t="str">
        <f xml:space="preserve"> IF(H52="YES",IF(C52+180&lt;'BASIC INFO'!$B$3, "YES", "NO"),"N/A")</f>
        <v>N/A</v>
      </c>
      <c r="L52" s="185" t="str">
        <f>IF(OR('CASE DATA'!F53="GTR", 'CASE DATA'!F53="GPL"),IF(OR('CASE DATA'!E53="81.6(2)", 'CASE DATA'!E53="99F.15(6)(b)(1)", 'CASE DATA'!E53= "124.401(1)(a)", 'CASE DATA'!E53= "124.401(1)(b)", 'CASE DATA'!E53= "124.401(1)(c)", 'CASE DATA'!E53= "124.401(1)(d)", 'CASE DATA'!E53="124.401(4)", 'CASE DATA'!E53="124.401(1)(b)", 'CASE DATA'!E53="124.401(1)(c)", 'CASE DATA'!E53="124.401D(2)(b)", 'CASE DATA'!E53="124.401D(2)(c)", 'CASE DATA'!E53="124.406(1)(a)", 'CASE DATA'!E53="124.406(1)(b) ", 'CASE DATA'!E53="124.406(2)(a)", 'CASE DATA'!E53="124.406(2)(b) ", 'CASE DATA'!E53="124.406(3)", 'CASE DATA'!E53="124.406A ", 'CASE DATA'!E53="124.407(2)(a)", 'CASE DATA'!E53="124B.9(1)", 'CASE DATA'!E53="124B.9(2)", 'CASE DATA'!E53="321J.2(2)(c)", 'CASE DATA'!E53="453B.12(2)", 'CASE DATA'!E53="453B.12(3)", 'CASE DATA'!E53="453B.12(4)", 'CASE DATA'!E53="462A.14(2)(c)", 'CASE DATA'!E53="462A.14(2)(d)", 'CASE DATA'!E53="462A.14(2)(e)", 'CASE DATA'!E53="705.1(2)", 'CASE DATA'!E53="706.3(1)", 'CASE DATA'!E53="706.3(2)", 'CASE DATA'!E53="706A.2(1)", 'CASE DATA'!E53="706A.2(2)", 'CASE DATA'!E53="706A.2(4)", 'CASE DATA'!E53="706B.2(1)(a)", 'CASE DATA'!E53="706B.2(1)(b)", 'CASE DATA'!E53="706B.2(1)(c)", 'CASE DATA'!E53="706B.2(1)(d)", 'CASE DATA'!E53="707.2", 'CASE DATA'!E53="707.3", 'CASE DATA'!E53="707.3A", 'CASE DATA'!E53="707.4", 'CASE DATA'!E53="707.5(1)(a)", 'CASE DATA'!E53="707.6A(1)", 'CASE DATA'!E53="707.6A(2)", 'CASE DATA'!E53="707.6A(3)", 'CASE DATA'!E53="707.6A(4)", 'CASE DATA'!E53="707.7(1)", 'CASE DATA'!E53="707.7(3)", 'CASE DATA'!E53="707.7(2)", 'CASE DATA'!E53="707.8(1)", 'CASE DATA'!E53="707.8(2)", 'CASE DATA'!E53="707.8(3)", 'CASE DATA'!E53="707.8(4)", 'CASE DATA'!E53="707.8(5)", 'CASE DATA'!E53="707.8(6)", 'CASE DATA'!E53="707.9", 'CASE DATA'!E53="707.11", 'CASE DATA'!E53="707A.2", 'CASE DATA'!E53="708.2(4)", 'CASE DATA'!E53="708.2(5)", 'CASE DATA'!E53="708.2A(4)", 'CASE DATA'!E53="708.2A(5)", 'CASE DATA'!E53="708.2C(2)", 'CASE DATA'!E53="708.2C(4)", 'CASE DATA'!E53="708.3(1)", 'CASE DATA'!E53="708.3(2)", 'CASE DATA'!E53="708.3A(1)", 'CASE DATA'!E53="708.3A(2)", 'CASE DATA'!E53="708.3B", 'CASE DATA'!E53="708.4(1)", 'CASE DATA'!E53="708.4(2)", 'CASE DATA'!E53="708.5", 'CASE DATA'!E53="708.8", 'CASE DATA'!E53="708.11(3)(a)", 'CASE DATA'!E53="708.11(3)(b)", 'CASE DATA'!E53="708.12(3)(f)", 'CASE DATA'!E53="708.13(3)", 'CASE DATA'!E53="708.14", 'CASE DATA'!E53="708A.2", 'CASE DATA'!E53="708A.4(1)", 'CASE DATA'!E53="708A.4(2)", 'CASE DATA'!E53="708A.5", 'CASE DATA'!E53="708A.6(1)", 'CASE DATA'!E53="708.A.6(2)", 'CASE DATA'!E53="709.2", 'CASE DATA'!E53="709.3", 'CASE DATA'!E53="709.4", 'CASE DATA'!E53="709.8(1)(a)", 'CASE DATA'!E53="709.8(1)(b)", 'CASE DATA'!E53="709.8(1)(c)", 'CASE DATA'!E53="709.8(1)(d)", 'CASE DATA'!E53="709.8(1)(e)", 'CASE DATA'!E53="709.11(1)", 'CASE DATA'!E53="709.11(2)", 'CASE DATA'!E53="709.15(2)(a)(1)", 'CASE DATA'!E53="709.15(3)(a)(1)", 'CASE DATA'!E53="709.18", 'CASE DATA'!E53="709A.6(2)", 'CASE DATA'!E53="709D.3(1)", 'CASE DATA'!E53="709D.3(2)", 'CASE DATA'!E53="709.D.3(3)", 'CASE DATA'!E53="710.2", 'CASE DATA'!E53="710.3", 'CASE DATA'!E53="710.4", 'CASE DATA'!E53="710.5", 'CASE DATA'!E53="710.10(1)", 'CASE DATA'!E53="710.10(2)", 'CASE DATA'!E53="710.10(3)", 'CASE DATA'!E53="710.11", 'CASE DATA'!E53="710A.2(1)", 'CASE DATA'!E53="710A.2(2)", 'CASE DATA'!E53="710A.2(3)", 'CASE DATA'!E53="710A.2(4)", 'CASE DATA'!E53="710A.2(5)", 'CASE DATA'!E53="710A.2(6)", 'CASE DATA'!E53="710A.2(7)", 'CASE DATA'!E53="710A.2A", 'CASE DATA'!E53="711.2", 'CASE DATA'!E53="711.3", 'CASE DATA'!E53="711.4", 'CASE DATA'!E53="712.2", 'CASE DATA'!E53="712.3", 'CASE DATA'!E53="712.6(1)", 'CASE DATA'!E53="712.7", 'CASE DATA'!E53="712.8", 'CASE DATA'!E53="", 'CASE DATA'!E53="713.3", 'CASE DATA'!E53="713.4", 'CASE DATA'!E53="713.5", 'CASE DATA'!E53="713.6", 'CASE DATA'!E53="713.6A(1)", 'CASE DATA'!E53="714.2(1)", 'CASE DATA'!E53="714.2(2)", 'CASE DATA'!E53="714.3A(2)(b)", 'CASE DATA'!E53="714.9", 'CASE DATA'!E53="714.10", 'CASE DATA'!E53="714.26(2)(a)", 'CASE DATA'!E53="714.26(2)(b)", 'CASE DATA'!E53="715A.2(2)(a)", 'CASE DATA'!E53="715A.6(2)(a)", 'CASE DATA'!E53="715A.6(2)(b)", 'CASE DATA'!E53="715A.8(3)(a)", 'CASE DATA'!E53="715A.8(3)(b)", 'CASE DATA'!E53="715A.10(1)", 'CASE DATA'!E53="715A.10(2)", 'CASE DATA'!E53="716.3", 'CASE DATA'!E53="716.4", 'CASE DATA'!E53="716.8(6)", 'CASE DATA'!E53="716.10(2)(a)", 'CASE DATA'!E53="716.10(2)(b)", 'CASE DATA'!E53="716.10(2)(c)", 'CASE DATA'!E53="716.10(2)(d)", 'CASE DATA'!E53="716.12", 'CASE DATA'!E53="719.1(1)(f)", 'CASE DATA'!E53="719.1(2)(e)", 'CASE DATA'!E53="719.1(2)(f)", 'CASE DATA'!E53="719.1(2)(g)", 'CASE DATA'!E53="719.4(1)", 'CASE DATA'!E53="719.4(4)", 'CASE DATA'!E53="719.5(1)", 'CASE DATA'!E53="719.5(2)", 'CASE DATA'!E53="719.6(1)", 'CASE DATA'!E53="719.6(2)", 'CASE DATA'!E53="719.7(4)(a)", 'CASE DATA'!E53="719.7(4)(b)", 'CASE DATA'!E53="719.7A(3)", 'CASE DATA'!E53="719.9", 'CASE DATA'!E53="719.8", 'CASE DATA'!E53="720.2", 'CASE DATA'!E53="720.3", 'CASE DATA'!E53="721.1", 'CASE DATA'!E53="722.1", 'CASE DATA'!E53="", 'CASE DATA'!E53="722.2", 'CASE DATA'!E53="722.10", 'CASE DATA'!E53="723(5)(3)(c)", 'CASE DATA'!E53="723A.2", 'CASE DATA'!E53="723A.3(1)", 'CASE DATA'!E53="723A.3(2)", 'CASE DATA'!E53="724.1B", 'CASE DATA'!E53="724.1C", 'CASE DATA'!E53="724.3", 'CASE DATA'!E53="724.4B", 'CASE DATA'!E53="724.10", 'CASE DATA'!E53="724.16(2)", 'CASE DATA'!E53="724.16A(1)(a)", 'CASE DATA'!E53="724.16A(1)(b)", 'CASE DATA'!E53="724.17", 'CASE DATA'!E53="724.21", 'CASE DATA'!E53="724.26(1)", 'CASE DATA'!E53="922(g)(8)", 'CASE DATA'!E53="724.29A(2)", 'CASE DATA'!E53="724.29A(3)", 'CASE DATA'!E53="724.30(1)", 'CASE DATA'!E53="724.30(2)", 'CASE DATA'!E53="725.1(2)(b)", 'CASE DATA'!E53="725.2(1)", 'CASE DATA'!E53="725.2(2)", 'CASE DATA'!E53="725.3(2)", 'CASE DATA'!E53="725.3(1)", 'CASE DATA'!E53="725.7(2)(a)(3)", 'CASE DATA'!E53="725.7(2)(a)(4)", 'CASE DATA'!E53="725.7(2)(b)(2)", 'CASE DATA'!E53="725.7(2)(b(3)", 'CASE DATA'!E53="726.7(2)(c)(1)", 'CASE DATA'!E53="726.7(2)(c)(2)", 'CASE DATA'!E53="725.7(2)(d)", 'CASE DATA'!E53="726.2", 'CASE DATA'!E53="726.3", 'CASE DATA'!E53="726.5", 'CASE DATA'!E53="726.6(4)", 'CASE DATA'!E53="726.6(5)", 'CASE DATA'!E53="726.6(6)", 'CASE DATA'!E53="726.6A", 'CASE DATA'!E53="726.7(2)", 'CASE DATA'!E53="726.8(2)", 'CASE DATA'!E53="728.12(1)", 'CASE DATA'!E53="728.12(2)"),"felony","eligible"),"N/A")</f>
        <v>N/A</v>
      </c>
      <c r="M52" s="185" t="str">
        <f>IF(L52="eligible",IF(OR('CASE DATA'!E53="123.46",'CASE DATA'!E53="123.47",'CASE DATA'!E53="235B.20",'CASE DATA'!E53="321.218",'CASE DATA'!E53="321A.32",'CASE DATA'!E53="321J.21",'CASE DATA'!E53="321J.2",'CASE DATA'!E53="707.5",'CASE DATA'!E53="708.2(3)",'CASE DATA'!E53="708.2A",'CASE DATA'!E53="708.7",'CASE DATA'!E53="708.11",'CASE DATA'!E53="708.12",'CASE DATA'!E53="716.8(3)",'CASE DATA'!E53="716.8(4)", LEFT('CASE DATA'!E53,4)="717C", LEFT('CASE DATA'!E53, 3)="719", LEFT('CASE DATA'!E53,3)="720", 'CASE DATA'!E53="721.2", 'CASE DATA'!E53="721.10", 'CASE DATA'!E53="723.1", LEFT('CASE DATA'!E53,3)="724", LEFT('CASE DATA'!E53,3)="726", LEFT('CASE DATA'!E53,3)="728", LEFT('CASE DATA'!E53,4)="901A"),"ineligible misd", "eligible"),"N/A")</f>
        <v>N/A</v>
      </c>
      <c r="N52" s="185" t="str">
        <f>IF(L52="eligible",IF(COUNTIF('CASE DATA'!$C$4:$C$200, "")-COUNTIF('CASE DATA'!$A$4:$A$200, "")&gt;0, "YES","NO"),"N/A")</f>
        <v>N/A</v>
      </c>
      <c r="O52" s="185" t="str">
        <f xml:space="preserve"> IF(M52="eligible",'CASE DATA'!K53,"N/A")</f>
        <v>N/A</v>
      </c>
      <c r="P52" s="185" t="str">
        <f xml:space="preserve"> IF(M52="eligible",'CASE DATA'!I53+'CASE DATA'!J53+'CASE DATA'!L53+'CASE DATA'!M53+'CASE DATA'!N53+'CASE DATA'!O53+'CASE DATA'!M53+'CASE DATA'!Q53+'CASE DATA'!R53,"N/A")</f>
        <v>N/A</v>
      </c>
      <c r="Q52" s="11" t="str">
        <f>IF(M52="eligible",IF(C52+730.5&lt;'BASIC INFO'!$B$3, "YES", "NO"),"N/A")</f>
        <v>N/A</v>
      </c>
      <c r="R52" s="186" t="str">
        <f xml:space="preserve"> IF(OR('CASE DATA'!F53="DEF"), "YES", "NO")</f>
        <v>NO</v>
      </c>
      <c r="S52" s="162" t="str">
        <f>IF(R52="YES",'CASE DATA'!H53,"N/A")</f>
        <v>N/A</v>
      </c>
      <c r="T52" s="185" t="str">
        <f xml:space="preserve"> IF(R52="YES",'CASE DATA'!K53,"N/A")</f>
        <v>N/A</v>
      </c>
      <c r="U52" s="185" t="str">
        <f>IF(R52="YES",'CASE DATA'!I53+'CASE DATA'!J53+'CASE DATA'!L53+'CASE DATA'!M53+'CASE DATA'!N53+'CASE DATA'!O53+'CASE DATA'!P53+'CASE DATA'!Q53+'CASE DATA'!R53,"N/A")</f>
        <v>N/A</v>
      </c>
      <c r="V52" s="189" t="str">
        <f>IF(OR('CASE DATA'!E53="123.46",'CASE DATA'!E53="123.47"),"YES","NO")</f>
        <v>NO</v>
      </c>
      <c r="W52" s="189"/>
      <c r="X52" s="185" t="str">
        <f>IF(V52="YES",IF(C52+730.5&lt;'BASIC INFO'!$B$3, "YES","NO"), "N/A")</f>
        <v>N/A</v>
      </c>
      <c r="Y52" s="189" t="str">
        <f t="shared" si="0"/>
        <v>NO</v>
      </c>
      <c r="Z52" s="187" t="str">
        <f xml:space="preserve"> IF('BASIC INFO'!$B$6+6574.5&gt;C52, "YES", "NO")</f>
        <v>YES</v>
      </c>
    </row>
    <row r="53" spans="1:26" x14ac:dyDescent="0.25">
      <c r="A53" s="162">
        <f xml:space="preserve"> 'CASE DATA'!A54</f>
        <v>0</v>
      </c>
      <c r="B53" s="162">
        <f xml:space="preserve"> 'CASE DATA'!E54</f>
        <v>0</v>
      </c>
      <c r="C53" s="163">
        <f xml:space="preserve"> 'CASE DATA'!C54</f>
        <v>0</v>
      </c>
      <c r="D53" s="11" t="str">
        <f xml:space="preserve"> IF(OR('CASE DATA'!F54="JUV", 'CASE DATA'!F54="JWV"), "YES", "NO")</f>
        <v>NO</v>
      </c>
      <c r="E53" s="11"/>
      <c r="F53" s="11" t="str">
        <f>IF(D53="YES",IF(COUNTIF('CASE DATA'!$C$4:$C$200, "")-COUNTIF('CASE DATA'!$A$4:$A$200, "")&gt;0, "YES","NO"),"N/A")</f>
        <v>N/A</v>
      </c>
      <c r="G53" s="164" t="str">
        <f xml:space="preserve"> _xlfn.IFS(D53="NO", "N/A", AND('BASIC INFO'!$B$3&gt;'BASIC INFO'!$B$6+6574.5, C53+730.5&lt;'BASIC INFO'!$B$3), "YES", 'BASIC INFO'!$B$3&lt;('BASIC INFO'!$B$6+6574.5), "NOT YET 18", C53+730.5&gt;'BASIC INFO'!$B$3, "NOT YET 2 YEARS")</f>
        <v>N/A</v>
      </c>
      <c r="H53" s="186" t="str">
        <f xml:space="preserve"> IF(LEFT('CASE DATA'!E54,4)&lt;&gt;"321.",IF(OR('CASE DATA'!F54="DISM", 'CASE DATA'!F54="ACQ", 'CASE DATA'!F54="NOTF", 'CASE DATA'!F54="WTHD", 'CASE DATA'!F54="TNSF"), "YES", "NO"), "TRAFFIC")</f>
        <v>NO</v>
      </c>
      <c r="I53" s="185" t="str">
        <f xml:space="preserve"> IF(H53="YES",'CASE DATA'!K54,"N/A")</f>
        <v>N/A</v>
      </c>
      <c r="J53" s="185" t="str">
        <f>IF(H53="YES",'CASE DATA'!I54+'CASE DATA'!J54+'CASE DATA'!L54+'CASE DATA'!M54+'CASE DATA'!N54+'CASE DATA'!O54+'CASE DATA'!P54+'CASE DATA'!Q54+'CASE DATA'!R54,"N/A")</f>
        <v>N/A</v>
      </c>
      <c r="K53" s="162" t="str">
        <f xml:space="preserve"> IF(H53="YES",IF(C53+180&lt;'BASIC INFO'!$B$3, "YES", "NO"),"N/A")</f>
        <v>N/A</v>
      </c>
      <c r="L53" s="185" t="str">
        <f>IF(OR('CASE DATA'!F54="GTR", 'CASE DATA'!F54="GPL"),IF(OR('CASE DATA'!E54="81.6(2)", 'CASE DATA'!E54="99F.15(6)(b)(1)", 'CASE DATA'!E54= "124.401(1)(a)", 'CASE DATA'!E54= "124.401(1)(b)", 'CASE DATA'!E54= "124.401(1)(c)", 'CASE DATA'!E54= "124.401(1)(d)", 'CASE DATA'!E54="124.401(4)", 'CASE DATA'!E54="124.401(1)(b)", 'CASE DATA'!E54="124.401(1)(c)", 'CASE DATA'!E54="124.401D(2)(b)", 'CASE DATA'!E54="124.401D(2)(c)", 'CASE DATA'!E54="124.406(1)(a)", 'CASE DATA'!E54="124.406(1)(b) ", 'CASE DATA'!E54="124.406(2)(a)", 'CASE DATA'!E54="124.406(2)(b) ", 'CASE DATA'!E54="124.406(3)", 'CASE DATA'!E54="124.406A ", 'CASE DATA'!E54="124.407(2)(a)", 'CASE DATA'!E54="124B.9(1)", 'CASE DATA'!E54="124B.9(2)", 'CASE DATA'!E54="321J.2(2)(c)", 'CASE DATA'!E54="453B.12(2)", 'CASE DATA'!E54="453B.12(3)", 'CASE DATA'!E54="453B.12(4)", 'CASE DATA'!E54="462A.14(2)(c)", 'CASE DATA'!E54="462A.14(2)(d)", 'CASE DATA'!E54="462A.14(2)(e)", 'CASE DATA'!E54="705.1(2)", 'CASE DATA'!E54="706.3(1)", 'CASE DATA'!E54="706.3(2)", 'CASE DATA'!E54="706A.2(1)", 'CASE DATA'!E54="706A.2(2)", 'CASE DATA'!E54="706A.2(4)", 'CASE DATA'!E54="706B.2(1)(a)", 'CASE DATA'!E54="706B.2(1)(b)", 'CASE DATA'!E54="706B.2(1)(c)", 'CASE DATA'!E54="706B.2(1)(d)", 'CASE DATA'!E54="707.2", 'CASE DATA'!E54="707.3", 'CASE DATA'!E54="707.3A", 'CASE DATA'!E54="707.4", 'CASE DATA'!E54="707.5(1)(a)", 'CASE DATA'!E54="707.6A(1)", 'CASE DATA'!E54="707.6A(2)", 'CASE DATA'!E54="707.6A(3)", 'CASE DATA'!E54="707.6A(4)", 'CASE DATA'!E54="707.7(1)", 'CASE DATA'!E54="707.7(3)", 'CASE DATA'!E54="707.7(2)", 'CASE DATA'!E54="707.8(1)", 'CASE DATA'!E54="707.8(2)", 'CASE DATA'!E54="707.8(3)", 'CASE DATA'!E54="707.8(4)", 'CASE DATA'!E54="707.8(5)", 'CASE DATA'!E54="707.8(6)", 'CASE DATA'!E54="707.9", 'CASE DATA'!E54="707.11", 'CASE DATA'!E54="707A.2", 'CASE DATA'!E54="708.2(4)", 'CASE DATA'!E54="708.2(5)", 'CASE DATA'!E54="708.2A(4)", 'CASE DATA'!E54="708.2A(5)", 'CASE DATA'!E54="708.2C(2)", 'CASE DATA'!E54="708.2C(4)", 'CASE DATA'!E54="708.3(1)", 'CASE DATA'!E54="708.3(2)", 'CASE DATA'!E54="708.3A(1)", 'CASE DATA'!E54="708.3A(2)", 'CASE DATA'!E54="708.3B", 'CASE DATA'!E54="708.4(1)", 'CASE DATA'!E54="708.4(2)", 'CASE DATA'!E54="708.5", 'CASE DATA'!E54="708.8", 'CASE DATA'!E54="708.11(3)(a)", 'CASE DATA'!E54="708.11(3)(b)", 'CASE DATA'!E54="708.12(3)(f)", 'CASE DATA'!E54="708.13(3)", 'CASE DATA'!E54="708.14", 'CASE DATA'!E54="708A.2", 'CASE DATA'!E54="708A.4(1)", 'CASE DATA'!E54="708A.4(2)", 'CASE DATA'!E54="708A.5", 'CASE DATA'!E54="708A.6(1)", 'CASE DATA'!E54="708.A.6(2)", 'CASE DATA'!E54="709.2", 'CASE DATA'!E54="709.3", 'CASE DATA'!E54="709.4", 'CASE DATA'!E54="709.8(1)(a)", 'CASE DATA'!E54="709.8(1)(b)", 'CASE DATA'!E54="709.8(1)(c)", 'CASE DATA'!E54="709.8(1)(d)", 'CASE DATA'!E54="709.8(1)(e)", 'CASE DATA'!E54="709.11(1)", 'CASE DATA'!E54="709.11(2)", 'CASE DATA'!E54="709.15(2)(a)(1)", 'CASE DATA'!E54="709.15(3)(a)(1)", 'CASE DATA'!E54="709.18", 'CASE DATA'!E54="709A.6(2)", 'CASE DATA'!E54="709D.3(1)", 'CASE DATA'!E54="709D.3(2)", 'CASE DATA'!E54="709.D.3(3)", 'CASE DATA'!E54="710.2", 'CASE DATA'!E54="710.3", 'CASE DATA'!E54="710.4", 'CASE DATA'!E54="710.5", 'CASE DATA'!E54="710.10(1)", 'CASE DATA'!E54="710.10(2)", 'CASE DATA'!E54="710.10(3)", 'CASE DATA'!E54="710.11", 'CASE DATA'!E54="710A.2(1)", 'CASE DATA'!E54="710A.2(2)", 'CASE DATA'!E54="710A.2(3)", 'CASE DATA'!E54="710A.2(4)", 'CASE DATA'!E54="710A.2(5)", 'CASE DATA'!E54="710A.2(6)", 'CASE DATA'!E54="710A.2(7)", 'CASE DATA'!E54="710A.2A", 'CASE DATA'!E54="711.2", 'CASE DATA'!E54="711.3", 'CASE DATA'!E54="711.4", 'CASE DATA'!E54="712.2", 'CASE DATA'!E54="712.3", 'CASE DATA'!E54="712.6(1)", 'CASE DATA'!E54="712.7", 'CASE DATA'!E54="712.8", 'CASE DATA'!E54="", 'CASE DATA'!E54="713.3", 'CASE DATA'!E54="713.4", 'CASE DATA'!E54="713.5", 'CASE DATA'!E54="713.6", 'CASE DATA'!E54="713.6A(1)", 'CASE DATA'!E54="714.2(1)", 'CASE DATA'!E54="714.2(2)", 'CASE DATA'!E54="714.3A(2)(b)", 'CASE DATA'!E54="714.9", 'CASE DATA'!E54="714.10", 'CASE DATA'!E54="714.26(2)(a)", 'CASE DATA'!E54="714.26(2)(b)", 'CASE DATA'!E54="715A.2(2)(a)", 'CASE DATA'!E54="715A.6(2)(a)", 'CASE DATA'!E54="715A.6(2)(b)", 'CASE DATA'!E54="715A.8(3)(a)", 'CASE DATA'!E54="715A.8(3)(b)", 'CASE DATA'!E54="715A.10(1)", 'CASE DATA'!E54="715A.10(2)", 'CASE DATA'!E54="716.3", 'CASE DATA'!E54="716.4", 'CASE DATA'!E54="716.8(6)", 'CASE DATA'!E54="716.10(2)(a)", 'CASE DATA'!E54="716.10(2)(b)", 'CASE DATA'!E54="716.10(2)(c)", 'CASE DATA'!E54="716.10(2)(d)", 'CASE DATA'!E54="716.12", 'CASE DATA'!E54="719.1(1)(f)", 'CASE DATA'!E54="719.1(2)(e)", 'CASE DATA'!E54="719.1(2)(f)", 'CASE DATA'!E54="719.1(2)(g)", 'CASE DATA'!E54="719.4(1)", 'CASE DATA'!E54="719.4(4)", 'CASE DATA'!E54="719.5(1)", 'CASE DATA'!E54="719.5(2)", 'CASE DATA'!E54="719.6(1)", 'CASE DATA'!E54="719.6(2)", 'CASE DATA'!E54="719.7(4)(a)", 'CASE DATA'!E54="719.7(4)(b)", 'CASE DATA'!E54="719.7A(3)", 'CASE DATA'!E54="719.9", 'CASE DATA'!E54="719.8", 'CASE DATA'!E54="720.2", 'CASE DATA'!E54="720.3", 'CASE DATA'!E54="721.1", 'CASE DATA'!E54="722.1", 'CASE DATA'!E54="", 'CASE DATA'!E54="722.2", 'CASE DATA'!E54="722.10", 'CASE DATA'!E54="723(5)(3)(c)", 'CASE DATA'!E54="723A.2", 'CASE DATA'!E54="723A.3(1)", 'CASE DATA'!E54="723A.3(2)", 'CASE DATA'!E54="724.1B", 'CASE DATA'!E54="724.1C", 'CASE DATA'!E54="724.3", 'CASE DATA'!E54="724.4B", 'CASE DATA'!E54="724.10", 'CASE DATA'!E54="724.16(2)", 'CASE DATA'!E54="724.16A(1)(a)", 'CASE DATA'!E54="724.16A(1)(b)", 'CASE DATA'!E54="724.17", 'CASE DATA'!E54="724.21", 'CASE DATA'!E54="724.26(1)", 'CASE DATA'!E54="922(g)(8)", 'CASE DATA'!E54="724.29A(2)", 'CASE DATA'!E54="724.29A(3)", 'CASE DATA'!E54="724.30(1)", 'CASE DATA'!E54="724.30(2)", 'CASE DATA'!E54="725.1(2)(b)", 'CASE DATA'!E54="725.2(1)", 'CASE DATA'!E54="725.2(2)", 'CASE DATA'!E54="725.3(2)", 'CASE DATA'!E54="725.3(1)", 'CASE DATA'!E54="725.7(2)(a)(3)", 'CASE DATA'!E54="725.7(2)(a)(4)", 'CASE DATA'!E54="725.7(2)(b)(2)", 'CASE DATA'!E54="725.7(2)(b(3)", 'CASE DATA'!E54="726.7(2)(c)(1)", 'CASE DATA'!E54="726.7(2)(c)(2)", 'CASE DATA'!E54="725.7(2)(d)", 'CASE DATA'!E54="726.2", 'CASE DATA'!E54="726.3", 'CASE DATA'!E54="726.5", 'CASE DATA'!E54="726.6(4)", 'CASE DATA'!E54="726.6(5)", 'CASE DATA'!E54="726.6(6)", 'CASE DATA'!E54="726.6A", 'CASE DATA'!E54="726.7(2)", 'CASE DATA'!E54="726.8(2)", 'CASE DATA'!E54="728.12(1)", 'CASE DATA'!E54="728.12(2)"),"felony","eligible"),"N/A")</f>
        <v>N/A</v>
      </c>
      <c r="M53" s="185" t="str">
        <f>IF(L53="eligible",IF(OR('CASE DATA'!E54="123.46",'CASE DATA'!E54="123.47",'CASE DATA'!E54="235B.20",'CASE DATA'!E54="321.218",'CASE DATA'!E54="321A.32",'CASE DATA'!E54="321J.21",'CASE DATA'!E54="321J.2",'CASE DATA'!E54="707.5",'CASE DATA'!E54="708.2(3)",'CASE DATA'!E54="708.2A",'CASE DATA'!E54="708.7",'CASE DATA'!E54="708.11",'CASE DATA'!E54="708.12",'CASE DATA'!E54="716.8(3)",'CASE DATA'!E54="716.8(4)", LEFT('CASE DATA'!E54,4)="717C", LEFT('CASE DATA'!E54, 3)="719", LEFT('CASE DATA'!E54,3)="720", 'CASE DATA'!E54="721.2", 'CASE DATA'!E54="721.10", 'CASE DATA'!E54="723.1", LEFT('CASE DATA'!E54,3)="724", LEFT('CASE DATA'!E54,3)="726", LEFT('CASE DATA'!E54,3)="728", LEFT('CASE DATA'!E54,4)="901A"),"ineligible misd", "eligible"),"N/A")</f>
        <v>N/A</v>
      </c>
      <c r="N53" s="185" t="str">
        <f>IF(L53="eligible",IF(COUNTIF('CASE DATA'!$C$4:$C$200, "")-COUNTIF('CASE DATA'!$A$4:$A$200, "")&gt;0, "YES","NO"),"N/A")</f>
        <v>N/A</v>
      </c>
      <c r="O53" s="185" t="str">
        <f xml:space="preserve"> IF(M53="eligible",'CASE DATA'!K54,"N/A")</f>
        <v>N/A</v>
      </c>
      <c r="P53" s="185" t="str">
        <f xml:space="preserve"> IF(M53="eligible",'CASE DATA'!I54+'CASE DATA'!J54+'CASE DATA'!L54+'CASE DATA'!M54+'CASE DATA'!N54+'CASE DATA'!O54+'CASE DATA'!M54+'CASE DATA'!Q54+'CASE DATA'!R54,"N/A")</f>
        <v>N/A</v>
      </c>
      <c r="Q53" s="11" t="str">
        <f>IF(M53="eligible",IF(C53+730.5&lt;'BASIC INFO'!$B$3, "YES", "NO"),"N/A")</f>
        <v>N/A</v>
      </c>
      <c r="R53" s="186" t="str">
        <f xml:space="preserve"> IF(OR('CASE DATA'!F54="DEF"), "YES", "NO")</f>
        <v>NO</v>
      </c>
      <c r="S53" s="162" t="str">
        <f>IF(R53="YES",'CASE DATA'!H54,"N/A")</f>
        <v>N/A</v>
      </c>
      <c r="T53" s="185" t="str">
        <f xml:space="preserve"> IF(R53="YES",'CASE DATA'!K54,"N/A")</f>
        <v>N/A</v>
      </c>
      <c r="U53" s="185" t="str">
        <f>IF(R53="YES",'CASE DATA'!I54+'CASE DATA'!J54+'CASE DATA'!L54+'CASE DATA'!M54+'CASE DATA'!N54+'CASE DATA'!O54+'CASE DATA'!P54+'CASE DATA'!Q54+'CASE DATA'!R54,"N/A")</f>
        <v>N/A</v>
      </c>
      <c r="V53" s="189" t="str">
        <f>IF(OR('CASE DATA'!E54="123.46",'CASE DATA'!E54="123.47"),"YES","NO")</f>
        <v>NO</v>
      </c>
      <c r="W53" s="189"/>
      <c r="X53" s="185" t="str">
        <f>IF(V53="YES",IF(C53+730.5&lt;'BASIC INFO'!$B$3, "YES","NO"), "N/A")</f>
        <v>N/A</v>
      </c>
      <c r="Y53" s="189" t="str">
        <f t="shared" si="0"/>
        <v>NO</v>
      </c>
      <c r="Z53" s="187" t="str">
        <f xml:space="preserve"> IF('BASIC INFO'!$B$6+6574.5&gt;C53, "YES", "NO")</f>
        <v>YES</v>
      </c>
    </row>
    <row r="54" spans="1:26" x14ac:dyDescent="0.25">
      <c r="A54" s="162">
        <f xml:space="preserve"> 'CASE DATA'!A55</f>
        <v>0</v>
      </c>
      <c r="B54" s="162">
        <f xml:space="preserve"> 'CASE DATA'!E55</f>
        <v>0</v>
      </c>
      <c r="C54" s="163">
        <f xml:space="preserve"> 'CASE DATA'!C55</f>
        <v>0</v>
      </c>
      <c r="D54" s="11" t="str">
        <f xml:space="preserve"> IF(OR('CASE DATA'!F55="JUV", 'CASE DATA'!F55="JWV"), "YES", "NO")</f>
        <v>NO</v>
      </c>
      <c r="E54" s="11"/>
      <c r="F54" s="11" t="str">
        <f>IF(D54="YES",IF(COUNTIF('CASE DATA'!$C$4:$C$200, "")-COUNTIF('CASE DATA'!$A$4:$A$200, "")&gt;0, "YES","NO"),"N/A")</f>
        <v>N/A</v>
      </c>
      <c r="G54" s="164" t="str">
        <f xml:space="preserve"> _xlfn.IFS(D54="NO", "N/A", AND('BASIC INFO'!$B$3&gt;'BASIC INFO'!$B$6+6574.5, C54+730.5&lt;'BASIC INFO'!$B$3), "YES", 'BASIC INFO'!$B$3&lt;('BASIC INFO'!$B$6+6574.5), "NOT YET 18", C54+730.5&gt;'BASIC INFO'!$B$3, "NOT YET 2 YEARS")</f>
        <v>N/A</v>
      </c>
      <c r="H54" s="186" t="str">
        <f xml:space="preserve"> IF(LEFT('CASE DATA'!E55,4)&lt;&gt;"321.",IF(OR('CASE DATA'!F55="DISM", 'CASE DATA'!F55="ACQ", 'CASE DATA'!F55="NOTF", 'CASE DATA'!F55="WTHD", 'CASE DATA'!F55="TNSF"), "YES", "NO"), "TRAFFIC")</f>
        <v>NO</v>
      </c>
      <c r="I54" s="185" t="str">
        <f xml:space="preserve"> IF(H54="YES",'CASE DATA'!K55,"N/A")</f>
        <v>N/A</v>
      </c>
      <c r="J54" s="185" t="str">
        <f>IF(H54="YES",'CASE DATA'!I55+'CASE DATA'!J55+'CASE DATA'!L55+'CASE DATA'!M55+'CASE DATA'!N55+'CASE DATA'!O55+'CASE DATA'!P55+'CASE DATA'!Q55+'CASE DATA'!R55,"N/A")</f>
        <v>N/A</v>
      </c>
      <c r="K54" s="162" t="str">
        <f xml:space="preserve"> IF(H54="YES",IF(C54+180&lt;'BASIC INFO'!$B$3, "YES", "NO"),"N/A")</f>
        <v>N/A</v>
      </c>
      <c r="L54" s="185" t="str">
        <f>IF(OR('CASE DATA'!F55="GTR", 'CASE DATA'!F55="GPL"),IF(OR('CASE DATA'!E55="81.6(2)", 'CASE DATA'!E55="99F.15(6)(b)(1)", 'CASE DATA'!E55= "124.401(1)(a)", 'CASE DATA'!E55= "124.401(1)(b)", 'CASE DATA'!E55= "124.401(1)(c)", 'CASE DATA'!E55= "124.401(1)(d)", 'CASE DATA'!E55="124.401(4)", 'CASE DATA'!E55="124.401(1)(b)", 'CASE DATA'!E55="124.401(1)(c)", 'CASE DATA'!E55="124.401D(2)(b)", 'CASE DATA'!E55="124.401D(2)(c)", 'CASE DATA'!E55="124.406(1)(a)", 'CASE DATA'!E55="124.406(1)(b) ", 'CASE DATA'!E55="124.406(2)(a)", 'CASE DATA'!E55="124.406(2)(b) ", 'CASE DATA'!E55="124.406(3)", 'CASE DATA'!E55="124.406A ", 'CASE DATA'!E55="124.407(2)(a)", 'CASE DATA'!E55="124B.9(1)", 'CASE DATA'!E55="124B.9(2)", 'CASE DATA'!E55="321J.2(2)(c)", 'CASE DATA'!E55="453B.12(2)", 'CASE DATA'!E55="453B.12(3)", 'CASE DATA'!E55="453B.12(4)", 'CASE DATA'!E55="462A.14(2)(c)", 'CASE DATA'!E55="462A.14(2)(d)", 'CASE DATA'!E55="462A.14(2)(e)", 'CASE DATA'!E55="705.1(2)", 'CASE DATA'!E55="706.3(1)", 'CASE DATA'!E55="706.3(2)", 'CASE DATA'!E55="706A.2(1)", 'CASE DATA'!E55="706A.2(2)", 'CASE DATA'!E55="706A.2(4)", 'CASE DATA'!E55="706B.2(1)(a)", 'CASE DATA'!E55="706B.2(1)(b)", 'CASE DATA'!E55="706B.2(1)(c)", 'CASE DATA'!E55="706B.2(1)(d)", 'CASE DATA'!E55="707.2", 'CASE DATA'!E55="707.3", 'CASE DATA'!E55="707.3A", 'CASE DATA'!E55="707.4", 'CASE DATA'!E55="707.5(1)(a)", 'CASE DATA'!E55="707.6A(1)", 'CASE DATA'!E55="707.6A(2)", 'CASE DATA'!E55="707.6A(3)", 'CASE DATA'!E55="707.6A(4)", 'CASE DATA'!E55="707.7(1)", 'CASE DATA'!E55="707.7(3)", 'CASE DATA'!E55="707.7(2)", 'CASE DATA'!E55="707.8(1)", 'CASE DATA'!E55="707.8(2)", 'CASE DATA'!E55="707.8(3)", 'CASE DATA'!E55="707.8(4)", 'CASE DATA'!E55="707.8(5)", 'CASE DATA'!E55="707.8(6)", 'CASE DATA'!E55="707.9", 'CASE DATA'!E55="707.11", 'CASE DATA'!E55="707A.2", 'CASE DATA'!E55="708.2(4)", 'CASE DATA'!E55="708.2(5)", 'CASE DATA'!E55="708.2A(4)", 'CASE DATA'!E55="708.2A(5)", 'CASE DATA'!E55="708.2C(2)", 'CASE DATA'!E55="708.2C(4)", 'CASE DATA'!E55="708.3(1)", 'CASE DATA'!E55="708.3(2)", 'CASE DATA'!E55="708.3A(1)", 'CASE DATA'!E55="708.3A(2)", 'CASE DATA'!E55="708.3B", 'CASE DATA'!E55="708.4(1)", 'CASE DATA'!E55="708.4(2)", 'CASE DATA'!E55="708.5", 'CASE DATA'!E55="708.8", 'CASE DATA'!E55="708.11(3)(a)", 'CASE DATA'!E55="708.11(3)(b)", 'CASE DATA'!E55="708.12(3)(f)", 'CASE DATA'!E55="708.13(3)", 'CASE DATA'!E55="708.14", 'CASE DATA'!E55="708A.2", 'CASE DATA'!E55="708A.4(1)", 'CASE DATA'!E55="708A.4(2)", 'CASE DATA'!E55="708A.5", 'CASE DATA'!E55="708A.6(1)", 'CASE DATA'!E55="708.A.6(2)", 'CASE DATA'!E55="709.2", 'CASE DATA'!E55="709.3", 'CASE DATA'!E55="709.4", 'CASE DATA'!E55="709.8(1)(a)", 'CASE DATA'!E55="709.8(1)(b)", 'CASE DATA'!E55="709.8(1)(c)", 'CASE DATA'!E55="709.8(1)(d)", 'CASE DATA'!E55="709.8(1)(e)", 'CASE DATA'!E55="709.11(1)", 'CASE DATA'!E55="709.11(2)", 'CASE DATA'!E55="709.15(2)(a)(1)", 'CASE DATA'!E55="709.15(3)(a)(1)", 'CASE DATA'!E55="709.18", 'CASE DATA'!E55="709A.6(2)", 'CASE DATA'!E55="709D.3(1)", 'CASE DATA'!E55="709D.3(2)", 'CASE DATA'!E55="709.D.3(3)", 'CASE DATA'!E55="710.2", 'CASE DATA'!E55="710.3", 'CASE DATA'!E55="710.4", 'CASE DATA'!E55="710.5", 'CASE DATA'!E55="710.10(1)", 'CASE DATA'!E55="710.10(2)", 'CASE DATA'!E55="710.10(3)", 'CASE DATA'!E55="710.11", 'CASE DATA'!E55="710A.2(1)", 'CASE DATA'!E55="710A.2(2)", 'CASE DATA'!E55="710A.2(3)", 'CASE DATA'!E55="710A.2(4)", 'CASE DATA'!E55="710A.2(5)", 'CASE DATA'!E55="710A.2(6)", 'CASE DATA'!E55="710A.2(7)", 'CASE DATA'!E55="710A.2A", 'CASE DATA'!E55="711.2", 'CASE DATA'!E55="711.3", 'CASE DATA'!E55="711.4", 'CASE DATA'!E55="712.2", 'CASE DATA'!E55="712.3", 'CASE DATA'!E55="712.6(1)", 'CASE DATA'!E55="712.7", 'CASE DATA'!E55="712.8", 'CASE DATA'!E55="", 'CASE DATA'!E55="713.3", 'CASE DATA'!E55="713.4", 'CASE DATA'!E55="713.5", 'CASE DATA'!E55="713.6", 'CASE DATA'!E55="713.6A(1)", 'CASE DATA'!E55="714.2(1)", 'CASE DATA'!E55="714.2(2)", 'CASE DATA'!E55="714.3A(2)(b)", 'CASE DATA'!E55="714.9", 'CASE DATA'!E55="714.10", 'CASE DATA'!E55="714.26(2)(a)", 'CASE DATA'!E55="714.26(2)(b)", 'CASE DATA'!E55="715A.2(2)(a)", 'CASE DATA'!E55="715A.6(2)(a)", 'CASE DATA'!E55="715A.6(2)(b)", 'CASE DATA'!E55="715A.8(3)(a)", 'CASE DATA'!E55="715A.8(3)(b)", 'CASE DATA'!E55="715A.10(1)", 'CASE DATA'!E55="715A.10(2)", 'CASE DATA'!E55="716.3", 'CASE DATA'!E55="716.4", 'CASE DATA'!E55="716.8(6)", 'CASE DATA'!E55="716.10(2)(a)", 'CASE DATA'!E55="716.10(2)(b)", 'CASE DATA'!E55="716.10(2)(c)", 'CASE DATA'!E55="716.10(2)(d)", 'CASE DATA'!E55="716.12", 'CASE DATA'!E55="719.1(1)(f)", 'CASE DATA'!E55="719.1(2)(e)", 'CASE DATA'!E55="719.1(2)(f)", 'CASE DATA'!E55="719.1(2)(g)", 'CASE DATA'!E55="719.4(1)", 'CASE DATA'!E55="719.4(4)", 'CASE DATA'!E55="719.5(1)", 'CASE DATA'!E55="719.5(2)", 'CASE DATA'!E55="719.6(1)", 'CASE DATA'!E55="719.6(2)", 'CASE DATA'!E55="719.7(4)(a)", 'CASE DATA'!E55="719.7(4)(b)", 'CASE DATA'!E55="719.7A(3)", 'CASE DATA'!E55="719.9", 'CASE DATA'!E55="719.8", 'CASE DATA'!E55="720.2", 'CASE DATA'!E55="720.3", 'CASE DATA'!E55="721.1", 'CASE DATA'!E55="722.1", 'CASE DATA'!E55="", 'CASE DATA'!E55="722.2", 'CASE DATA'!E55="722.10", 'CASE DATA'!E55="723(5)(3)(c)", 'CASE DATA'!E55="723A.2", 'CASE DATA'!E55="723A.3(1)", 'CASE DATA'!E55="723A.3(2)", 'CASE DATA'!E55="724.1B", 'CASE DATA'!E55="724.1C", 'CASE DATA'!E55="724.3", 'CASE DATA'!E55="724.4B", 'CASE DATA'!E55="724.10", 'CASE DATA'!E55="724.16(2)", 'CASE DATA'!E55="724.16A(1)(a)", 'CASE DATA'!E55="724.16A(1)(b)", 'CASE DATA'!E55="724.17", 'CASE DATA'!E55="724.21", 'CASE DATA'!E55="724.26(1)", 'CASE DATA'!E55="922(g)(8)", 'CASE DATA'!E55="724.29A(2)", 'CASE DATA'!E55="724.29A(3)", 'CASE DATA'!E55="724.30(1)", 'CASE DATA'!E55="724.30(2)", 'CASE DATA'!E55="725.1(2)(b)", 'CASE DATA'!E55="725.2(1)", 'CASE DATA'!E55="725.2(2)", 'CASE DATA'!E55="725.3(2)", 'CASE DATA'!E55="725.3(1)", 'CASE DATA'!E55="725.7(2)(a)(3)", 'CASE DATA'!E55="725.7(2)(a)(4)", 'CASE DATA'!E55="725.7(2)(b)(2)", 'CASE DATA'!E55="725.7(2)(b(3)", 'CASE DATA'!E55="726.7(2)(c)(1)", 'CASE DATA'!E55="726.7(2)(c)(2)", 'CASE DATA'!E55="725.7(2)(d)", 'CASE DATA'!E55="726.2", 'CASE DATA'!E55="726.3", 'CASE DATA'!E55="726.5", 'CASE DATA'!E55="726.6(4)", 'CASE DATA'!E55="726.6(5)", 'CASE DATA'!E55="726.6(6)", 'CASE DATA'!E55="726.6A", 'CASE DATA'!E55="726.7(2)", 'CASE DATA'!E55="726.8(2)", 'CASE DATA'!E55="728.12(1)", 'CASE DATA'!E55="728.12(2)"),"felony","eligible"),"N/A")</f>
        <v>N/A</v>
      </c>
      <c r="M54" s="185" t="str">
        <f>IF(L54="eligible",IF(OR('CASE DATA'!E55="123.46",'CASE DATA'!E55="123.47",'CASE DATA'!E55="235B.20",'CASE DATA'!E55="321.218",'CASE DATA'!E55="321A.32",'CASE DATA'!E55="321J.21",'CASE DATA'!E55="321J.2",'CASE DATA'!E55="707.5",'CASE DATA'!E55="708.2(3)",'CASE DATA'!E55="708.2A",'CASE DATA'!E55="708.7",'CASE DATA'!E55="708.11",'CASE DATA'!E55="708.12",'CASE DATA'!E55="716.8(3)",'CASE DATA'!E55="716.8(4)", LEFT('CASE DATA'!E55,4)="717C", LEFT('CASE DATA'!E55, 3)="719", LEFT('CASE DATA'!E55,3)="720", 'CASE DATA'!E55="721.2", 'CASE DATA'!E55="721.10", 'CASE DATA'!E55="723.1", LEFT('CASE DATA'!E55,3)="724", LEFT('CASE DATA'!E55,3)="726", LEFT('CASE DATA'!E55,3)="728", LEFT('CASE DATA'!E55,4)="901A"),"ineligible misd", "eligible"),"N/A")</f>
        <v>N/A</v>
      </c>
      <c r="N54" s="185" t="str">
        <f>IF(L54="eligible",IF(COUNTIF('CASE DATA'!$C$4:$C$200, "")-COUNTIF('CASE DATA'!$A$4:$A$200, "")&gt;0, "YES","NO"),"N/A")</f>
        <v>N/A</v>
      </c>
      <c r="O54" s="185" t="str">
        <f xml:space="preserve"> IF(M54="eligible",'CASE DATA'!K55,"N/A")</f>
        <v>N/A</v>
      </c>
      <c r="P54" s="185" t="str">
        <f xml:space="preserve"> IF(M54="eligible",'CASE DATA'!I55+'CASE DATA'!J55+'CASE DATA'!L55+'CASE DATA'!M55+'CASE DATA'!N55+'CASE DATA'!O55+'CASE DATA'!M55+'CASE DATA'!Q55+'CASE DATA'!R55,"N/A")</f>
        <v>N/A</v>
      </c>
      <c r="Q54" s="11" t="str">
        <f>IF(M54="eligible",IF(C54+730.5&lt;'BASIC INFO'!$B$3, "YES", "NO"),"N/A")</f>
        <v>N/A</v>
      </c>
      <c r="R54" s="186" t="str">
        <f xml:space="preserve"> IF(OR('CASE DATA'!F55="DEF"), "YES", "NO")</f>
        <v>NO</v>
      </c>
      <c r="S54" s="162" t="str">
        <f>IF(R54="YES",'CASE DATA'!H55,"N/A")</f>
        <v>N/A</v>
      </c>
      <c r="T54" s="185" t="str">
        <f xml:space="preserve"> IF(R54="YES",'CASE DATA'!K55,"N/A")</f>
        <v>N/A</v>
      </c>
      <c r="U54" s="185" t="str">
        <f>IF(R54="YES",'CASE DATA'!I55+'CASE DATA'!J55+'CASE DATA'!L55+'CASE DATA'!M55+'CASE DATA'!N55+'CASE DATA'!O55+'CASE DATA'!P55+'CASE DATA'!Q55+'CASE DATA'!R55,"N/A")</f>
        <v>N/A</v>
      </c>
      <c r="V54" s="189" t="str">
        <f>IF(OR('CASE DATA'!E55="123.46",'CASE DATA'!E55="123.47"),"YES","NO")</f>
        <v>NO</v>
      </c>
      <c r="W54" s="189"/>
      <c r="X54" s="185" t="str">
        <f>IF(V54="YES",IF(C54+730.5&lt;'BASIC INFO'!$B$3, "YES","NO"), "N/A")</f>
        <v>N/A</v>
      </c>
      <c r="Y54" s="189" t="str">
        <f t="shared" si="0"/>
        <v>NO</v>
      </c>
      <c r="Z54" s="187" t="str">
        <f xml:space="preserve"> IF('BASIC INFO'!$B$6+6574.5&gt;C54, "YES", "NO")</f>
        <v>YES</v>
      </c>
    </row>
    <row r="55" spans="1:26" x14ac:dyDescent="0.25">
      <c r="A55" s="162">
        <f xml:space="preserve"> 'CASE DATA'!A56</f>
        <v>0</v>
      </c>
      <c r="B55" s="162">
        <f xml:space="preserve"> 'CASE DATA'!E56</f>
        <v>0</v>
      </c>
      <c r="C55" s="163">
        <f xml:space="preserve"> 'CASE DATA'!C56</f>
        <v>0</v>
      </c>
      <c r="D55" s="11" t="str">
        <f xml:space="preserve"> IF(OR('CASE DATA'!F56="JUV", 'CASE DATA'!F56="JWV"), "YES", "NO")</f>
        <v>NO</v>
      </c>
      <c r="E55" s="11"/>
      <c r="F55" s="11" t="str">
        <f>IF(D55="YES",IF(COUNTIF('CASE DATA'!$C$4:$C$200, "")-COUNTIF('CASE DATA'!$A$4:$A$200, "")&gt;0, "YES","NO"),"N/A")</f>
        <v>N/A</v>
      </c>
      <c r="G55" s="164" t="str">
        <f xml:space="preserve"> _xlfn.IFS(D55="NO", "N/A", AND('BASIC INFO'!$B$3&gt;'BASIC INFO'!$B$6+6574.5, C55+730.5&lt;'BASIC INFO'!$B$3), "YES", 'BASIC INFO'!$B$3&lt;('BASIC INFO'!$B$6+6574.5), "NOT YET 18", C55+730.5&gt;'BASIC INFO'!$B$3, "NOT YET 2 YEARS")</f>
        <v>N/A</v>
      </c>
      <c r="H55" s="186" t="str">
        <f xml:space="preserve"> IF(LEFT('CASE DATA'!E56,4)&lt;&gt;"321.",IF(OR('CASE DATA'!F56="DISM", 'CASE DATA'!F56="ACQ", 'CASE DATA'!F56="NOTF", 'CASE DATA'!F56="WTHD", 'CASE DATA'!F56="TNSF"), "YES", "NO"), "TRAFFIC")</f>
        <v>NO</v>
      </c>
      <c r="I55" s="185" t="str">
        <f xml:space="preserve"> IF(H55="YES",'CASE DATA'!K56,"N/A")</f>
        <v>N/A</v>
      </c>
      <c r="J55" s="185" t="str">
        <f>IF(H55="YES",'CASE DATA'!I56+'CASE DATA'!J56+'CASE DATA'!L56+'CASE DATA'!M56+'CASE DATA'!N56+'CASE DATA'!O56+'CASE DATA'!P56+'CASE DATA'!Q56+'CASE DATA'!R56,"N/A")</f>
        <v>N/A</v>
      </c>
      <c r="K55" s="162" t="str">
        <f xml:space="preserve"> IF(H55="YES",IF(C55+180&lt;'BASIC INFO'!$B$3, "YES", "NO"),"N/A")</f>
        <v>N/A</v>
      </c>
      <c r="L55" s="185" t="str">
        <f>IF(OR('CASE DATA'!F56="GTR", 'CASE DATA'!F56="GPL"),IF(OR('CASE DATA'!E56="81.6(2)", 'CASE DATA'!E56="99F.15(6)(b)(1)", 'CASE DATA'!E56= "124.401(1)(a)", 'CASE DATA'!E56= "124.401(1)(b)", 'CASE DATA'!E56= "124.401(1)(c)", 'CASE DATA'!E56= "124.401(1)(d)", 'CASE DATA'!E56="124.401(4)", 'CASE DATA'!E56="124.401(1)(b)", 'CASE DATA'!E56="124.401(1)(c)", 'CASE DATA'!E56="124.401D(2)(b)", 'CASE DATA'!E56="124.401D(2)(c)", 'CASE DATA'!E56="124.406(1)(a)", 'CASE DATA'!E56="124.406(1)(b) ", 'CASE DATA'!E56="124.406(2)(a)", 'CASE DATA'!E56="124.406(2)(b) ", 'CASE DATA'!E56="124.406(3)", 'CASE DATA'!E56="124.406A ", 'CASE DATA'!E56="124.407(2)(a)", 'CASE DATA'!E56="124B.9(1)", 'CASE DATA'!E56="124B.9(2)", 'CASE DATA'!E56="321J.2(2)(c)", 'CASE DATA'!E56="453B.12(2)", 'CASE DATA'!E56="453B.12(3)", 'CASE DATA'!E56="453B.12(4)", 'CASE DATA'!E56="462A.14(2)(c)", 'CASE DATA'!E56="462A.14(2)(d)", 'CASE DATA'!E56="462A.14(2)(e)", 'CASE DATA'!E56="705.1(2)", 'CASE DATA'!E56="706.3(1)", 'CASE DATA'!E56="706.3(2)", 'CASE DATA'!E56="706A.2(1)", 'CASE DATA'!E56="706A.2(2)", 'CASE DATA'!E56="706A.2(4)", 'CASE DATA'!E56="706B.2(1)(a)", 'CASE DATA'!E56="706B.2(1)(b)", 'CASE DATA'!E56="706B.2(1)(c)", 'CASE DATA'!E56="706B.2(1)(d)", 'CASE DATA'!E56="707.2", 'CASE DATA'!E56="707.3", 'CASE DATA'!E56="707.3A", 'CASE DATA'!E56="707.4", 'CASE DATA'!E56="707.5(1)(a)", 'CASE DATA'!E56="707.6A(1)", 'CASE DATA'!E56="707.6A(2)", 'CASE DATA'!E56="707.6A(3)", 'CASE DATA'!E56="707.6A(4)", 'CASE DATA'!E56="707.7(1)", 'CASE DATA'!E56="707.7(3)", 'CASE DATA'!E56="707.7(2)", 'CASE DATA'!E56="707.8(1)", 'CASE DATA'!E56="707.8(2)", 'CASE DATA'!E56="707.8(3)", 'CASE DATA'!E56="707.8(4)", 'CASE DATA'!E56="707.8(5)", 'CASE DATA'!E56="707.8(6)", 'CASE DATA'!E56="707.9", 'CASE DATA'!E56="707.11", 'CASE DATA'!E56="707A.2", 'CASE DATA'!E56="708.2(4)", 'CASE DATA'!E56="708.2(5)", 'CASE DATA'!E56="708.2A(4)", 'CASE DATA'!E56="708.2A(5)", 'CASE DATA'!E56="708.2C(2)", 'CASE DATA'!E56="708.2C(4)", 'CASE DATA'!E56="708.3(1)", 'CASE DATA'!E56="708.3(2)", 'CASE DATA'!E56="708.3A(1)", 'CASE DATA'!E56="708.3A(2)", 'CASE DATA'!E56="708.3B", 'CASE DATA'!E56="708.4(1)", 'CASE DATA'!E56="708.4(2)", 'CASE DATA'!E56="708.5", 'CASE DATA'!E56="708.8", 'CASE DATA'!E56="708.11(3)(a)", 'CASE DATA'!E56="708.11(3)(b)", 'CASE DATA'!E56="708.12(3)(f)", 'CASE DATA'!E56="708.13(3)", 'CASE DATA'!E56="708.14", 'CASE DATA'!E56="708A.2", 'CASE DATA'!E56="708A.4(1)", 'CASE DATA'!E56="708A.4(2)", 'CASE DATA'!E56="708A.5", 'CASE DATA'!E56="708A.6(1)", 'CASE DATA'!E56="708.A.6(2)", 'CASE DATA'!E56="709.2", 'CASE DATA'!E56="709.3", 'CASE DATA'!E56="709.4", 'CASE DATA'!E56="709.8(1)(a)", 'CASE DATA'!E56="709.8(1)(b)", 'CASE DATA'!E56="709.8(1)(c)", 'CASE DATA'!E56="709.8(1)(d)", 'CASE DATA'!E56="709.8(1)(e)", 'CASE DATA'!E56="709.11(1)", 'CASE DATA'!E56="709.11(2)", 'CASE DATA'!E56="709.15(2)(a)(1)", 'CASE DATA'!E56="709.15(3)(a)(1)", 'CASE DATA'!E56="709.18", 'CASE DATA'!E56="709A.6(2)", 'CASE DATA'!E56="709D.3(1)", 'CASE DATA'!E56="709D.3(2)", 'CASE DATA'!E56="709.D.3(3)", 'CASE DATA'!E56="710.2", 'CASE DATA'!E56="710.3", 'CASE DATA'!E56="710.4", 'CASE DATA'!E56="710.5", 'CASE DATA'!E56="710.10(1)", 'CASE DATA'!E56="710.10(2)", 'CASE DATA'!E56="710.10(3)", 'CASE DATA'!E56="710.11", 'CASE DATA'!E56="710A.2(1)", 'CASE DATA'!E56="710A.2(2)", 'CASE DATA'!E56="710A.2(3)", 'CASE DATA'!E56="710A.2(4)", 'CASE DATA'!E56="710A.2(5)", 'CASE DATA'!E56="710A.2(6)", 'CASE DATA'!E56="710A.2(7)", 'CASE DATA'!E56="710A.2A", 'CASE DATA'!E56="711.2", 'CASE DATA'!E56="711.3", 'CASE DATA'!E56="711.4", 'CASE DATA'!E56="712.2", 'CASE DATA'!E56="712.3", 'CASE DATA'!E56="712.6(1)", 'CASE DATA'!E56="712.7", 'CASE DATA'!E56="712.8", 'CASE DATA'!E56="", 'CASE DATA'!E56="713.3", 'CASE DATA'!E56="713.4", 'CASE DATA'!E56="713.5", 'CASE DATA'!E56="713.6", 'CASE DATA'!E56="713.6A(1)", 'CASE DATA'!E56="714.2(1)", 'CASE DATA'!E56="714.2(2)", 'CASE DATA'!E56="714.3A(2)(b)", 'CASE DATA'!E56="714.9", 'CASE DATA'!E56="714.10", 'CASE DATA'!E56="714.26(2)(a)", 'CASE DATA'!E56="714.26(2)(b)", 'CASE DATA'!E56="715A.2(2)(a)", 'CASE DATA'!E56="715A.6(2)(a)", 'CASE DATA'!E56="715A.6(2)(b)", 'CASE DATA'!E56="715A.8(3)(a)", 'CASE DATA'!E56="715A.8(3)(b)", 'CASE DATA'!E56="715A.10(1)", 'CASE DATA'!E56="715A.10(2)", 'CASE DATA'!E56="716.3", 'CASE DATA'!E56="716.4", 'CASE DATA'!E56="716.8(6)", 'CASE DATA'!E56="716.10(2)(a)", 'CASE DATA'!E56="716.10(2)(b)", 'CASE DATA'!E56="716.10(2)(c)", 'CASE DATA'!E56="716.10(2)(d)", 'CASE DATA'!E56="716.12", 'CASE DATA'!E56="719.1(1)(f)", 'CASE DATA'!E56="719.1(2)(e)", 'CASE DATA'!E56="719.1(2)(f)", 'CASE DATA'!E56="719.1(2)(g)", 'CASE DATA'!E56="719.4(1)", 'CASE DATA'!E56="719.4(4)", 'CASE DATA'!E56="719.5(1)", 'CASE DATA'!E56="719.5(2)", 'CASE DATA'!E56="719.6(1)", 'CASE DATA'!E56="719.6(2)", 'CASE DATA'!E56="719.7(4)(a)", 'CASE DATA'!E56="719.7(4)(b)", 'CASE DATA'!E56="719.7A(3)", 'CASE DATA'!E56="719.9", 'CASE DATA'!E56="719.8", 'CASE DATA'!E56="720.2", 'CASE DATA'!E56="720.3", 'CASE DATA'!E56="721.1", 'CASE DATA'!E56="722.1", 'CASE DATA'!E56="", 'CASE DATA'!E56="722.2", 'CASE DATA'!E56="722.10", 'CASE DATA'!E56="723(5)(3)(c)", 'CASE DATA'!E56="723A.2", 'CASE DATA'!E56="723A.3(1)", 'CASE DATA'!E56="723A.3(2)", 'CASE DATA'!E56="724.1B", 'CASE DATA'!E56="724.1C", 'CASE DATA'!E56="724.3", 'CASE DATA'!E56="724.4B", 'CASE DATA'!E56="724.10", 'CASE DATA'!E56="724.16(2)", 'CASE DATA'!E56="724.16A(1)(a)", 'CASE DATA'!E56="724.16A(1)(b)", 'CASE DATA'!E56="724.17", 'CASE DATA'!E56="724.21", 'CASE DATA'!E56="724.26(1)", 'CASE DATA'!E56="922(g)(8)", 'CASE DATA'!E56="724.29A(2)", 'CASE DATA'!E56="724.29A(3)", 'CASE DATA'!E56="724.30(1)", 'CASE DATA'!E56="724.30(2)", 'CASE DATA'!E56="725.1(2)(b)", 'CASE DATA'!E56="725.2(1)", 'CASE DATA'!E56="725.2(2)", 'CASE DATA'!E56="725.3(2)", 'CASE DATA'!E56="725.3(1)", 'CASE DATA'!E56="725.7(2)(a)(3)", 'CASE DATA'!E56="725.7(2)(a)(4)", 'CASE DATA'!E56="725.7(2)(b)(2)", 'CASE DATA'!E56="725.7(2)(b(3)", 'CASE DATA'!E56="726.7(2)(c)(1)", 'CASE DATA'!E56="726.7(2)(c)(2)", 'CASE DATA'!E56="725.7(2)(d)", 'CASE DATA'!E56="726.2", 'CASE DATA'!E56="726.3", 'CASE DATA'!E56="726.5", 'CASE DATA'!E56="726.6(4)", 'CASE DATA'!E56="726.6(5)", 'CASE DATA'!E56="726.6(6)", 'CASE DATA'!E56="726.6A", 'CASE DATA'!E56="726.7(2)", 'CASE DATA'!E56="726.8(2)", 'CASE DATA'!E56="728.12(1)", 'CASE DATA'!E56="728.12(2)"),"felony","eligible"),"N/A")</f>
        <v>N/A</v>
      </c>
      <c r="M55" s="185" t="str">
        <f>IF(L55="eligible",IF(OR('CASE DATA'!E56="123.46",'CASE DATA'!E56="123.47",'CASE DATA'!E56="235B.20",'CASE DATA'!E56="321.218",'CASE DATA'!E56="321A.32",'CASE DATA'!E56="321J.21",'CASE DATA'!E56="321J.2",'CASE DATA'!E56="707.5",'CASE DATA'!E56="708.2(3)",'CASE DATA'!E56="708.2A",'CASE DATA'!E56="708.7",'CASE DATA'!E56="708.11",'CASE DATA'!E56="708.12",'CASE DATA'!E56="716.8(3)",'CASE DATA'!E56="716.8(4)", LEFT('CASE DATA'!E56,4)="717C", LEFT('CASE DATA'!E56, 3)="719", LEFT('CASE DATA'!E56,3)="720", 'CASE DATA'!E56="721.2", 'CASE DATA'!E56="721.10", 'CASE DATA'!E56="723.1", LEFT('CASE DATA'!E56,3)="724", LEFT('CASE DATA'!E56,3)="726", LEFT('CASE DATA'!E56,3)="728", LEFT('CASE DATA'!E56,4)="901A"),"ineligible misd", "eligible"),"N/A")</f>
        <v>N/A</v>
      </c>
      <c r="N55" s="185" t="str">
        <f>IF(L55="eligible",IF(COUNTIF('CASE DATA'!$C$4:$C$200, "")-COUNTIF('CASE DATA'!$A$4:$A$200, "")&gt;0, "YES","NO"),"N/A")</f>
        <v>N/A</v>
      </c>
      <c r="O55" s="185" t="str">
        <f xml:space="preserve"> IF(M55="eligible",'CASE DATA'!K56,"N/A")</f>
        <v>N/A</v>
      </c>
      <c r="P55" s="185" t="str">
        <f xml:space="preserve"> IF(M55="eligible",'CASE DATA'!I56+'CASE DATA'!J56+'CASE DATA'!L56+'CASE DATA'!M56+'CASE DATA'!N56+'CASE DATA'!O56+'CASE DATA'!M56+'CASE DATA'!Q56+'CASE DATA'!R56,"N/A")</f>
        <v>N/A</v>
      </c>
      <c r="Q55" s="11" t="str">
        <f>IF(M55="eligible",IF(C55+730.5&lt;'BASIC INFO'!$B$3, "YES", "NO"),"N/A")</f>
        <v>N/A</v>
      </c>
      <c r="R55" s="186" t="str">
        <f xml:space="preserve"> IF(OR('CASE DATA'!F56="DEF"), "YES", "NO")</f>
        <v>NO</v>
      </c>
      <c r="S55" s="162" t="str">
        <f>IF(R55="YES",'CASE DATA'!H56,"N/A")</f>
        <v>N/A</v>
      </c>
      <c r="T55" s="185" t="str">
        <f xml:space="preserve"> IF(R55="YES",'CASE DATA'!K56,"N/A")</f>
        <v>N/A</v>
      </c>
      <c r="U55" s="185" t="str">
        <f>IF(R55="YES",'CASE DATA'!I56+'CASE DATA'!J56+'CASE DATA'!L56+'CASE DATA'!M56+'CASE DATA'!N56+'CASE DATA'!O56+'CASE DATA'!P56+'CASE DATA'!Q56+'CASE DATA'!R56,"N/A")</f>
        <v>N/A</v>
      </c>
      <c r="V55" s="189" t="str">
        <f>IF(OR('CASE DATA'!E56="123.46",'CASE DATA'!E56="123.47"),"YES","NO")</f>
        <v>NO</v>
      </c>
      <c r="W55" s="189"/>
      <c r="X55" s="185" t="str">
        <f>IF(V55="YES",IF(C55+730.5&lt;'BASIC INFO'!$B$3, "YES","NO"), "N/A")</f>
        <v>N/A</v>
      </c>
      <c r="Y55" s="189" t="str">
        <f t="shared" si="0"/>
        <v>NO</v>
      </c>
      <c r="Z55" s="187" t="str">
        <f xml:space="preserve"> IF('BASIC INFO'!$B$6+6574.5&gt;C55, "YES", "NO")</f>
        <v>YES</v>
      </c>
    </row>
    <row r="56" spans="1:26" x14ac:dyDescent="0.25">
      <c r="A56" s="162">
        <f xml:space="preserve"> 'CASE DATA'!A57</f>
        <v>0</v>
      </c>
      <c r="B56" s="162">
        <f xml:space="preserve"> 'CASE DATA'!E57</f>
        <v>0</v>
      </c>
      <c r="C56" s="163">
        <f xml:space="preserve"> 'CASE DATA'!C57</f>
        <v>0</v>
      </c>
      <c r="D56" s="11" t="str">
        <f xml:space="preserve"> IF(OR('CASE DATA'!F57="JUV", 'CASE DATA'!F57="JWV"), "YES", "NO")</f>
        <v>NO</v>
      </c>
      <c r="E56" s="11"/>
      <c r="F56" s="11" t="str">
        <f>IF(D56="YES",IF(COUNTIF('CASE DATA'!$C$4:$C$200, "")-COUNTIF('CASE DATA'!$A$4:$A$200, "")&gt;0, "YES","NO"),"N/A")</f>
        <v>N/A</v>
      </c>
      <c r="G56" s="164" t="str">
        <f xml:space="preserve"> _xlfn.IFS(D56="NO", "N/A", AND('BASIC INFO'!$B$3&gt;'BASIC INFO'!$B$6+6574.5, C56+730.5&lt;'BASIC INFO'!$B$3), "YES", 'BASIC INFO'!$B$3&lt;('BASIC INFO'!$B$6+6574.5), "NOT YET 18", C56+730.5&gt;'BASIC INFO'!$B$3, "NOT YET 2 YEARS")</f>
        <v>N/A</v>
      </c>
      <c r="H56" s="186" t="str">
        <f xml:space="preserve"> IF(LEFT('CASE DATA'!E57,4)&lt;&gt;"321.",IF(OR('CASE DATA'!F57="DISM", 'CASE DATA'!F57="ACQ", 'CASE DATA'!F57="NOTF", 'CASE DATA'!F57="WTHD", 'CASE DATA'!F57="TNSF"), "YES", "NO"), "TRAFFIC")</f>
        <v>NO</v>
      </c>
      <c r="I56" s="185" t="str">
        <f xml:space="preserve"> IF(H56="YES",'CASE DATA'!K57,"N/A")</f>
        <v>N/A</v>
      </c>
      <c r="J56" s="185" t="str">
        <f>IF(H56="YES",'CASE DATA'!I57+'CASE DATA'!J57+'CASE DATA'!L57+'CASE DATA'!M57+'CASE DATA'!N57+'CASE DATA'!O57+'CASE DATA'!P57+'CASE DATA'!Q57+'CASE DATA'!R57,"N/A")</f>
        <v>N/A</v>
      </c>
      <c r="K56" s="162" t="str">
        <f xml:space="preserve"> IF(H56="YES",IF(C56+180&lt;'BASIC INFO'!$B$3, "YES", "NO"),"N/A")</f>
        <v>N/A</v>
      </c>
      <c r="L56" s="185" t="str">
        <f>IF(OR('CASE DATA'!F57="GTR", 'CASE DATA'!F57="GPL"),IF(OR('CASE DATA'!E57="81.6(2)", 'CASE DATA'!E57="99F.15(6)(b)(1)", 'CASE DATA'!E57= "124.401(1)(a)", 'CASE DATA'!E57= "124.401(1)(b)", 'CASE DATA'!E57= "124.401(1)(c)", 'CASE DATA'!E57= "124.401(1)(d)", 'CASE DATA'!E57="124.401(4)", 'CASE DATA'!E57="124.401(1)(b)", 'CASE DATA'!E57="124.401(1)(c)", 'CASE DATA'!E57="124.401D(2)(b)", 'CASE DATA'!E57="124.401D(2)(c)", 'CASE DATA'!E57="124.406(1)(a)", 'CASE DATA'!E57="124.406(1)(b) ", 'CASE DATA'!E57="124.406(2)(a)", 'CASE DATA'!E57="124.406(2)(b) ", 'CASE DATA'!E57="124.406(3)", 'CASE DATA'!E57="124.406A ", 'CASE DATA'!E57="124.407(2)(a)", 'CASE DATA'!E57="124B.9(1)", 'CASE DATA'!E57="124B.9(2)", 'CASE DATA'!E57="321J.2(2)(c)", 'CASE DATA'!E57="453B.12(2)", 'CASE DATA'!E57="453B.12(3)", 'CASE DATA'!E57="453B.12(4)", 'CASE DATA'!E57="462A.14(2)(c)", 'CASE DATA'!E57="462A.14(2)(d)", 'CASE DATA'!E57="462A.14(2)(e)", 'CASE DATA'!E57="705.1(2)", 'CASE DATA'!E57="706.3(1)", 'CASE DATA'!E57="706.3(2)", 'CASE DATA'!E57="706A.2(1)", 'CASE DATA'!E57="706A.2(2)", 'CASE DATA'!E57="706A.2(4)", 'CASE DATA'!E57="706B.2(1)(a)", 'CASE DATA'!E57="706B.2(1)(b)", 'CASE DATA'!E57="706B.2(1)(c)", 'CASE DATA'!E57="706B.2(1)(d)", 'CASE DATA'!E57="707.2", 'CASE DATA'!E57="707.3", 'CASE DATA'!E57="707.3A", 'CASE DATA'!E57="707.4", 'CASE DATA'!E57="707.5(1)(a)", 'CASE DATA'!E57="707.6A(1)", 'CASE DATA'!E57="707.6A(2)", 'CASE DATA'!E57="707.6A(3)", 'CASE DATA'!E57="707.6A(4)", 'CASE DATA'!E57="707.7(1)", 'CASE DATA'!E57="707.7(3)", 'CASE DATA'!E57="707.7(2)", 'CASE DATA'!E57="707.8(1)", 'CASE DATA'!E57="707.8(2)", 'CASE DATA'!E57="707.8(3)", 'CASE DATA'!E57="707.8(4)", 'CASE DATA'!E57="707.8(5)", 'CASE DATA'!E57="707.8(6)", 'CASE DATA'!E57="707.9", 'CASE DATA'!E57="707.11", 'CASE DATA'!E57="707A.2", 'CASE DATA'!E57="708.2(4)", 'CASE DATA'!E57="708.2(5)", 'CASE DATA'!E57="708.2A(4)", 'CASE DATA'!E57="708.2A(5)", 'CASE DATA'!E57="708.2C(2)", 'CASE DATA'!E57="708.2C(4)", 'CASE DATA'!E57="708.3(1)", 'CASE DATA'!E57="708.3(2)", 'CASE DATA'!E57="708.3A(1)", 'CASE DATA'!E57="708.3A(2)", 'CASE DATA'!E57="708.3B", 'CASE DATA'!E57="708.4(1)", 'CASE DATA'!E57="708.4(2)", 'CASE DATA'!E57="708.5", 'CASE DATA'!E57="708.8", 'CASE DATA'!E57="708.11(3)(a)", 'CASE DATA'!E57="708.11(3)(b)", 'CASE DATA'!E57="708.12(3)(f)", 'CASE DATA'!E57="708.13(3)", 'CASE DATA'!E57="708.14", 'CASE DATA'!E57="708A.2", 'CASE DATA'!E57="708A.4(1)", 'CASE DATA'!E57="708A.4(2)", 'CASE DATA'!E57="708A.5", 'CASE DATA'!E57="708A.6(1)", 'CASE DATA'!E57="708.A.6(2)", 'CASE DATA'!E57="709.2", 'CASE DATA'!E57="709.3", 'CASE DATA'!E57="709.4", 'CASE DATA'!E57="709.8(1)(a)", 'CASE DATA'!E57="709.8(1)(b)", 'CASE DATA'!E57="709.8(1)(c)", 'CASE DATA'!E57="709.8(1)(d)", 'CASE DATA'!E57="709.8(1)(e)", 'CASE DATA'!E57="709.11(1)", 'CASE DATA'!E57="709.11(2)", 'CASE DATA'!E57="709.15(2)(a)(1)", 'CASE DATA'!E57="709.15(3)(a)(1)", 'CASE DATA'!E57="709.18", 'CASE DATA'!E57="709A.6(2)", 'CASE DATA'!E57="709D.3(1)", 'CASE DATA'!E57="709D.3(2)", 'CASE DATA'!E57="709.D.3(3)", 'CASE DATA'!E57="710.2", 'CASE DATA'!E57="710.3", 'CASE DATA'!E57="710.4", 'CASE DATA'!E57="710.5", 'CASE DATA'!E57="710.10(1)", 'CASE DATA'!E57="710.10(2)", 'CASE DATA'!E57="710.10(3)", 'CASE DATA'!E57="710.11", 'CASE DATA'!E57="710A.2(1)", 'CASE DATA'!E57="710A.2(2)", 'CASE DATA'!E57="710A.2(3)", 'CASE DATA'!E57="710A.2(4)", 'CASE DATA'!E57="710A.2(5)", 'CASE DATA'!E57="710A.2(6)", 'CASE DATA'!E57="710A.2(7)", 'CASE DATA'!E57="710A.2A", 'CASE DATA'!E57="711.2", 'CASE DATA'!E57="711.3", 'CASE DATA'!E57="711.4", 'CASE DATA'!E57="712.2", 'CASE DATA'!E57="712.3", 'CASE DATA'!E57="712.6(1)", 'CASE DATA'!E57="712.7", 'CASE DATA'!E57="712.8", 'CASE DATA'!E57="", 'CASE DATA'!E57="713.3", 'CASE DATA'!E57="713.4", 'CASE DATA'!E57="713.5", 'CASE DATA'!E57="713.6", 'CASE DATA'!E57="713.6A(1)", 'CASE DATA'!E57="714.2(1)", 'CASE DATA'!E57="714.2(2)", 'CASE DATA'!E57="714.3A(2)(b)", 'CASE DATA'!E57="714.9", 'CASE DATA'!E57="714.10", 'CASE DATA'!E57="714.26(2)(a)", 'CASE DATA'!E57="714.26(2)(b)", 'CASE DATA'!E57="715A.2(2)(a)", 'CASE DATA'!E57="715A.6(2)(a)", 'CASE DATA'!E57="715A.6(2)(b)", 'CASE DATA'!E57="715A.8(3)(a)", 'CASE DATA'!E57="715A.8(3)(b)", 'CASE DATA'!E57="715A.10(1)", 'CASE DATA'!E57="715A.10(2)", 'CASE DATA'!E57="716.3", 'CASE DATA'!E57="716.4", 'CASE DATA'!E57="716.8(6)", 'CASE DATA'!E57="716.10(2)(a)", 'CASE DATA'!E57="716.10(2)(b)", 'CASE DATA'!E57="716.10(2)(c)", 'CASE DATA'!E57="716.10(2)(d)", 'CASE DATA'!E57="716.12", 'CASE DATA'!E57="719.1(1)(f)", 'CASE DATA'!E57="719.1(2)(e)", 'CASE DATA'!E57="719.1(2)(f)", 'CASE DATA'!E57="719.1(2)(g)", 'CASE DATA'!E57="719.4(1)", 'CASE DATA'!E57="719.4(4)", 'CASE DATA'!E57="719.5(1)", 'CASE DATA'!E57="719.5(2)", 'CASE DATA'!E57="719.6(1)", 'CASE DATA'!E57="719.6(2)", 'CASE DATA'!E57="719.7(4)(a)", 'CASE DATA'!E57="719.7(4)(b)", 'CASE DATA'!E57="719.7A(3)", 'CASE DATA'!E57="719.9", 'CASE DATA'!E57="719.8", 'CASE DATA'!E57="720.2", 'CASE DATA'!E57="720.3", 'CASE DATA'!E57="721.1", 'CASE DATA'!E57="722.1", 'CASE DATA'!E57="", 'CASE DATA'!E57="722.2", 'CASE DATA'!E57="722.10", 'CASE DATA'!E57="723(5)(3)(c)", 'CASE DATA'!E57="723A.2", 'CASE DATA'!E57="723A.3(1)", 'CASE DATA'!E57="723A.3(2)", 'CASE DATA'!E57="724.1B", 'CASE DATA'!E57="724.1C", 'CASE DATA'!E57="724.3", 'CASE DATA'!E57="724.4B", 'CASE DATA'!E57="724.10", 'CASE DATA'!E57="724.16(2)", 'CASE DATA'!E57="724.16A(1)(a)", 'CASE DATA'!E57="724.16A(1)(b)", 'CASE DATA'!E57="724.17", 'CASE DATA'!E57="724.21", 'CASE DATA'!E57="724.26(1)", 'CASE DATA'!E57="922(g)(8)", 'CASE DATA'!E57="724.29A(2)", 'CASE DATA'!E57="724.29A(3)", 'CASE DATA'!E57="724.30(1)", 'CASE DATA'!E57="724.30(2)", 'CASE DATA'!E57="725.1(2)(b)", 'CASE DATA'!E57="725.2(1)", 'CASE DATA'!E57="725.2(2)", 'CASE DATA'!E57="725.3(2)", 'CASE DATA'!E57="725.3(1)", 'CASE DATA'!E57="725.7(2)(a)(3)", 'CASE DATA'!E57="725.7(2)(a)(4)", 'CASE DATA'!E57="725.7(2)(b)(2)", 'CASE DATA'!E57="725.7(2)(b(3)", 'CASE DATA'!E57="726.7(2)(c)(1)", 'CASE DATA'!E57="726.7(2)(c)(2)", 'CASE DATA'!E57="725.7(2)(d)", 'CASE DATA'!E57="726.2", 'CASE DATA'!E57="726.3", 'CASE DATA'!E57="726.5", 'CASE DATA'!E57="726.6(4)", 'CASE DATA'!E57="726.6(5)", 'CASE DATA'!E57="726.6(6)", 'CASE DATA'!E57="726.6A", 'CASE DATA'!E57="726.7(2)", 'CASE DATA'!E57="726.8(2)", 'CASE DATA'!E57="728.12(1)", 'CASE DATA'!E57="728.12(2)"),"felony","eligible"),"N/A")</f>
        <v>N/A</v>
      </c>
      <c r="M56" s="185" t="str">
        <f>IF(L56="eligible",IF(OR('CASE DATA'!E57="123.46",'CASE DATA'!E57="123.47",'CASE DATA'!E57="235B.20",'CASE DATA'!E57="321.218",'CASE DATA'!E57="321A.32",'CASE DATA'!E57="321J.21",'CASE DATA'!E57="321J.2",'CASE DATA'!E57="707.5",'CASE DATA'!E57="708.2(3)",'CASE DATA'!E57="708.2A",'CASE DATA'!E57="708.7",'CASE DATA'!E57="708.11",'CASE DATA'!E57="708.12",'CASE DATA'!E57="716.8(3)",'CASE DATA'!E57="716.8(4)", LEFT('CASE DATA'!E57,4)="717C", LEFT('CASE DATA'!E57, 3)="719", LEFT('CASE DATA'!E57,3)="720", 'CASE DATA'!E57="721.2", 'CASE DATA'!E57="721.10", 'CASE DATA'!E57="723.1", LEFT('CASE DATA'!E57,3)="724", LEFT('CASE DATA'!E57,3)="726", LEFT('CASE DATA'!E57,3)="728", LEFT('CASE DATA'!E57,4)="901A"),"ineligible misd", "eligible"),"N/A")</f>
        <v>N/A</v>
      </c>
      <c r="N56" s="185" t="str">
        <f>IF(L56="eligible",IF(COUNTIF('CASE DATA'!$C$4:$C$200, "")-COUNTIF('CASE DATA'!$A$4:$A$200, "")&gt;0, "YES","NO"),"N/A")</f>
        <v>N/A</v>
      </c>
      <c r="O56" s="185" t="str">
        <f xml:space="preserve"> IF(M56="eligible",'CASE DATA'!K57,"N/A")</f>
        <v>N/A</v>
      </c>
      <c r="P56" s="185" t="str">
        <f xml:space="preserve"> IF(M56="eligible",'CASE DATA'!I57+'CASE DATA'!J57+'CASE DATA'!L57+'CASE DATA'!M57+'CASE DATA'!N57+'CASE DATA'!O57+'CASE DATA'!M57+'CASE DATA'!Q57+'CASE DATA'!R57,"N/A")</f>
        <v>N/A</v>
      </c>
      <c r="Q56" s="11" t="str">
        <f>IF(M56="eligible",IF(C56+730.5&lt;'BASIC INFO'!$B$3, "YES", "NO"),"N/A")</f>
        <v>N/A</v>
      </c>
      <c r="R56" s="186" t="str">
        <f xml:space="preserve"> IF(OR('CASE DATA'!F57="DEF"), "YES", "NO")</f>
        <v>NO</v>
      </c>
      <c r="S56" s="162" t="str">
        <f>IF(R56="YES",'CASE DATA'!H57,"N/A")</f>
        <v>N/A</v>
      </c>
      <c r="T56" s="185" t="str">
        <f xml:space="preserve"> IF(R56="YES",'CASE DATA'!K57,"N/A")</f>
        <v>N/A</v>
      </c>
      <c r="U56" s="185" t="str">
        <f>IF(R56="YES",'CASE DATA'!I57+'CASE DATA'!J57+'CASE DATA'!L57+'CASE DATA'!M57+'CASE DATA'!N57+'CASE DATA'!O57+'CASE DATA'!P57+'CASE DATA'!Q57+'CASE DATA'!R57,"N/A")</f>
        <v>N/A</v>
      </c>
      <c r="V56" s="189" t="str">
        <f>IF(OR('CASE DATA'!E57="123.46",'CASE DATA'!E57="123.47"),"YES","NO")</f>
        <v>NO</v>
      </c>
      <c r="W56" s="189"/>
      <c r="X56" s="185" t="str">
        <f>IF(V56="YES",IF(C56+730.5&lt;'BASIC INFO'!$B$3, "YES","NO"), "N/A")</f>
        <v>N/A</v>
      </c>
      <c r="Y56" s="189" t="str">
        <f t="shared" si="0"/>
        <v>NO</v>
      </c>
      <c r="Z56" s="187" t="str">
        <f xml:space="preserve"> IF('BASIC INFO'!$B$6+6574.5&gt;C56, "YES", "NO")</f>
        <v>YES</v>
      </c>
    </row>
    <row r="57" spans="1:26" x14ac:dyDescent="0.25">
      <c r="A57" s="162">
        <f xml:space="preserve"> 'CASE DATA'!A58</f>
        <v>0</v>
      </c>
      <c r="B57" s="162">
        <f xml:space="preserve"> 'CASE DATA'!E58</f>
        <v>0</v>
      </c>
      <c r="C57" s="163">
        <f xml:space="preserve"> 'CASE DATA'!C58</f>
        <v>0</v>
      </c>
      <c r="D57" s="11" t="str">
        <f xml:space="preserve"> IF(OR('CASE DATA'!F58="JUV", 'CASE DATA'!F58="JWV"), "YES", "NO")</f>
        <v>NO</v>
      </c>
      <c r="E57" s="11"/>
      <c r="F57" s="11" t="str">
        <f>IF(D57="YES",IF(COUNTIF('CASE DATA'!$C$4:$C$200, "")-COUNTIF('CASE DATA'!$A$4:$A$200, "")&gt;0, "YES","NO"),"N/A")</f>
        <v>N/A</v>
      </c>
      <c r="G57" s="164" t="str">
        <f xml:space="preserve"> _xlfn.IFS(D57="NO", "N/A", AND('BASIC INFO'!$B$3&gt;'BASIC INFO'!$B$6+6574.5, C57+730.5&lt;'BASIC INFO'!$B$3), "YES", 'BASIC INFO'!$B$3&lt;('BASIC INFO'!$B$6+6574.5), "NOT YET 18", C57+730.5&gt;'BASIC INFO'!$B$3, "NOT YET 2 YEARS")</f>
        <v>N/A</v>
      </c>
      <c r="H57" s="186" t="str">
        <f xml:space="preserve"> IF(LEFT('CASE DATA'!E58,4)&lt;&gt;"321.",IF(OR('CASE DATA'!F58="DISM", 'CASE DATA'!F58="ACQ", 'CASE DATA'!F58="NOTF", 'CASE DATA'!F58="WTHD", 'CASE DATA'!F58="TNSF"), "YES", "NO"), "TRAFFIC")</f>
        <v>NO</v>
      </c>
      <c r="I57" s="185" t="str">
        <f xml:space="preserve"> IF(H57="YES",'CASE DATA'!K58,"N/A")</f>
        <v>N/A</v>
      </c>
      <c r="J57" s="185" t="str">
        <f>IF(H57="YES",'CASE DATA'!I58+'CASE DATA'!J58+'CASE DATA'!L58+'CASE DATA'!M58+'CASE DATA'!N58+'CASE DATA'!O58+'CASE DATA'!P58+'CASE DATA'!Q58+'CASE DATA'!R58,"N/A")</f>
        <v>N/A</v>
      </c>
      <c r="K57" s="162" t="str">
        <f xml:space="preserve"> IF(H57="YES",IF(C57+180&lt;'BASIC INFO'!$B$3, "YES", "NO"),"N/A")</f>
        <v>N/A</v>
      </c>
      <c r="L57" s="185" t="str">
        <f>IF(OR('CASE DATA'!F58="GTR", 'CASE DATA'!F58="GPL"),IF(OR('CASE DATA'!E58="81.6(2)", 'CASE DATA'!E58="99F.15(6)(b)(1)", 'CASE DATA'!E58= "124.401(1)(a)", 'CASE DATA'!E58= "124.401(1)(b)", 'CASE DATA'!E58= "124.401(1)(c)", 'CASE DATA'!E58= "124.401(1)(d)", 'CASE DATA'!E58="124.401(4)", 'CASE DATA'!E58="124.401(1)(b)", 'CASE DATA'!E58="124.401(1)(c)", 'CASE DATA'!E58="124.401D(2)(b)", 'CASE DATA'!E58="124.401D(2)(c)", 'CASE DATA'!E58="124.406(1)(a)", 'CASE DATA'!E58="124.406(1)(b) ", 'CASE DATA'!E58="124.406(2)(a)", 'CASE DATA'!E58="124.406(2)(b) ", 'CASE DATA'!E58="124.406(3)", 'CASE DATA'!E58="124.406A ", 'CASE DATA'!E58="124.407(2)(a)", 'CASE DATA'!E58="124B.9(1)", 'CASE DATA'!E58="124B.9(2)", 'CASE DATA'!E58="321J.2(2)(c)", 'CASE DATA'!E58="453B.12(2)", 'CASE DATA'!E58="453B.12(3)", 'CASE DATA'!E58="453B.12(4)", 'CASE DATA'!E58="462A.14(2)(c)", 'CASE DATA'!E58="462A.14(2)(d)", 'CASE DATA'!E58="462A.14(2)(e)", 'CASE DATA'!E58="705.1(2)", 'CASE DATA'!E58="706.3(1)", 'CASE DATA'!E58="706.3(2)", 'CASE DATA'!E58="706A.2(1)", 'CASE DATA'!E58="706A.2(2)", 'CASE DATA'!E58="706A.2(4)", 'CASE DATA'!E58="706B.2(1)(a)", 'CASE DATA'!E58="706B.2(1)(b)", 'CASE DATA'!E58="706B.2(1)(c)", 'CASE DATA'!E58="706B.2(1)(d)", 'CASE DATA'!E58="707.2", 'CASE DATA'!E58="707.3", 'CASE DATA'!E58="707.3A", 'CASE DATA'!E58="707.4", 'CASE DATA'!E58="707.5(1)(a)", 'CASE DATA'!E58="707.6A(1)", 'CASE DATA'!E58="707.6A(2)", 'CASE DATA'!E58="707.6A(3)", 'CASE DATA'!E58="707.6A(4)", 'CASE DATA'!E58="707.7(1)", 'CASE DATA'!E58="707.7(3)", 'CASE DATA'!E58="707.7(2)", 'CASE DATA'!E58="707.8(1)", 'CASE DATA'!E58="707.8(2)", 'CASE DATA'!E58="707.8(3)", 'CASE DATA'!E58="707.8(4)", 'CASE DATA'!E58="707.8(5)", 'CASE DATA'!E58="707.8(6)", 'CASE DATA'!E58="707.9", 'CASE DATA'!E58="707.11", 'CASE DATA'!E58="707A.2", 'CASE DATA'!E58="708.2(4)", 'CASE DATA'!E58="708.2(5)", 'CASE DATA'!E58="708.2A(4)", 'CASE DATA'!E58="708.2A(5)", 'CASE DATA'!E58="708.2C(2)", 'CASE DATA'!E58="708.2C(4)", 'CASE DATA'!E58="708.3(1)", 'CASE DATA'!E58="708.3(2)", 'CASE DATA'!E58="708.3A(1)", 'CASE DATA'!E58="708.3A(2)", 'CASE DATA'!E58="708.3B", 'CASE DATA'!E58="708.4(1)", 'CASE DATA'!E58="708.4(2)", 'CASE DATA'!E58="708.5", 'CASE DATA'!E58="708.8", 'CASE DATA'!E58="708.11(3)(a)", 'CASE DATA'!E58="708.11(3)(b)", 'CASE DATA'!E58="708.12(3)(f)", 'CASE DATA'!E58="708.13(3)", 'CASE DATA'!E58="708.14", 'CASE DATA'!E58="708A.2", 'CASE DATA'!E58="708A.4(1)", 'CASE DATA'!E58="708A.4(2)", 'CASE DATA'!E58="708A.5", 'CASE DATA'!E58="708A.6(1)", 'CASE DATA'!E58="708.A.6(2)", 'CASE DATA'!E58="709.2", 'CASE DATA'!E58="709.3", 'CASE DATA'!E58="709.4", 'CASE DATA'!E58="709.8(1)(a)", 'CASE DATA'!E58="709.8(1)(b)", 'CASE DATA'!E58="709.8(1)(c)", 'CASE DATA'!E58="709.8(1)(d)", 'CASE DATA'!E58="709.8(1)(e)", 'CASE DATA'!E58="709.11(1)", 'CASE DATA'!E58="709.11(2)", 'CASE DATA'!E58="709.15(2)(a)(1)", 'CASE DATA'!E58="709.15(3)(a)(1)", 'CASE DATA'!E58="709.18", 'CASE DATA'!E58="709A.6(2)", 'CASE DATA'!E58="709D.3(1)", 'CASE DATA'!E58="709D.3(2)", 'CASE DATA'!E58="709.D.3(3)", 'CASE DATA'!E58="710.2", 'CASE DATA'!E58="710.3", 'CASE DATA'!E58="710.4", 'CASE DATA'!E58="710.5", 'CASE DATA'!E58="710.10(1)", 'CASE DATA'!E58="710.10(2)", 'CASE DATA'!E58="710.10(3)", 'CASE DATA'!E58="710.11", 'CASE DATA'!E58="710A.2(1)", 'CASE DATA'!E58="710A.2(2)", 'CASE DATA'!E58="710A.2(3)", 'CASE DATA'!E58="710A.2(4)", 'CASE DATA'!E58="710A.2(5)", 'CASE DATA'!E58="710A.2(6)", 'CASE DATA'!E58="710A.2(7)", 'CASE DATA'!E58="710A.2A", 'CASE DATA'!E58="711.2", 'CASE DATA'!E58="711.3", 'CASE DATA'!E58="711.4", 'CASE DATA'!E58="712.2", 'CASE DATA'!E58="712.3", 'CASE DATA'!E58="712.6(1)", 'CASE DATA'!E58="712.7", 'CASE DATA'!E58="712.8", 'CASE DATA'!E58="", 'CASE DATA'!E58="713.3", 'CASE DATA'!E58="713.4", 'CASE DATA'!E58="713.5", 'CASE DATA'!E58="713.6", 'CASE DATA'!E58="713.6A(1)", 'CASE DATA'!E58="714.2(1)", 'CASE DATA'!E58="714.2(2)", 'CASE DATA'!E58="714.3A(2)(b)", 'CASE DATA'!E58="714.9", 'CASE DATA'!E58="714.10", 'CASE DATA'!E58="714.26(2)(a)", 'CASE DATA'!E58="714.26(2)(b)", 'CASE DATA'!E58="715A.2(2)(a)", 'CASE DATA'!E58="715A.6(2)(a)", 'CASE DATA'!E58="715A.6(2)(b)", 'CASE DATA'!E58="715A.8(3)(a)", 'CASE DATA'!E58="715A.8(3)(b)", 'CASE DATA'!E58="715A.10(1)", 'CASE DATA'!E58="715A.10(2)", 'CASE DATA'!E58="716.3", 'CASE DATA'!E58="716.4", 'CASE DATA'!E58="716.8(6)", 'CASE DATA'!E58="716.10(2)(a)", 'CASE DATA'!E58="716.10(2)(b)", 'CASE DATA'!E58="716.10(2)(c)", 'CASE DATA'!E58="716.10(2)(d)", 'CASE DATA'!E58="716.12", 'CASE DATA'!E58="719.1(1)(f)", 'CASE DATA'!E58="719.1(2)(e)", 'CASE DATA'!E58="719.1(2)(f)", 'CASE DATA'!E58="719.1(2)(g)", 'CASE DATA'!E58="719.4(1)", 'CASE DATA'!E58="719.4(4)", 'CASE DATA'!E58="719.5(1)", 'CASE DATA'!E58="719.5(2)", 'CASE DATA'!E58="719.6(1)", 'CASE DATA'!E58="719.6(2)", 'CASE DATA'!E58="719.7(4)(a)", 'CASE DATA'!E58="719.7(4)(b)", 'CASE DATA'!E58="719.7A(3)", 'CASE DATA'!E58="719.9", 'CASE DATA'!E58="719.8", 'CASE DATA'!E58="720.2", 'CASE DATA'!E58="720.3", 'CASE DATA'!E58="721.1", 'CASE DATA'!E58="722.1", 'CASE DATA'!E58="", 'CASE DATA'!E58="722.2", 'CASE DATA'!E58="722.10", 'CASE DATA'!E58="723(5)(3)(c)", 'CASE DATA'!E58="723A.2", 'CASE DATA'!E58="723A.3(1)", 'CASE DATA'!E58="723A.3(2)", 'CASE DATA'!E58="724.1B", 'CASE DATA'!E58="724.1C", 'CASE DATA'!E58="724.3", 'CASE DATA'!E58="724.4B", 'CASE DATA'!E58="724.10", 'CASE DATA'!E58="724.16(2)", 'CASE DATA'!E58="724.16A(1)(a)", 'CASE DATA'!E58="724.16A(1)(b)", 'CASE DATA'!E58="724.17", 'CASE DATA'!E58="724.21", 'CASE DATA'!E58="724.26(1)", 'CASE DATA'!E58="922(g)(8)", 'CASE DATA'!E58="724.29A(2)", 'CASE DATA'!E58="724.29A(3)", 'CASE DATA'!E58="724.30(1)", 'CASE DATA'!E58="724.30(2)", 'CASE DATA'!E58="725.1(2)(b)", 'CASE DATA'!E58="725.2(1)", 'CASE DATA'!E58="725.2(2)", 'CASE DATA'!E58="725.3(2)", 'CASE DATA'!E58="725.3(1)", 'CASE DATA'!E58="725.7(2)(a)(3)", 'CASE DATA'!E58="725.7(2)(a)(4)", 'CASE DATA'!E58="725.7(2)(b)(2)", 'CASE DATA'!E58="725.7(2)(b(3)", 'CASE DATA'!E58="726.7(2)(c)(1)", 'CASE DATA'!E58="726.7(2)(c)(2)", 'CASE DATA'!E58="725.7(2)(d)", 'CASE DATA'!E58="726.2", 'CASE DATA'!E58="726.3", 'CASE DATA'!E58="726.5", 'CASE DATA'!E58="726.6(4)", 'CASE DATA'!E58="726.6(5)", 'CASE DATA'!E58="726.6(6)", 'CASE DATA'!E58="726.6A", 'CASE DATA'!E58="726.7(2)", 'CASE DATA'!E58="726.8(2)", 'CASE DATA'!E58="728.12(1)", 'CASE DATA'!E58="728.12(2)"),"felony","eligible"),"N/A")</f>
        <v>N/A</v>
      </c>
      <c r="M57" s="185" t="str">
        <f>IF(L57="eligible",IF(OR('CASE DATA'!E58="123.46",'CASE DATA'!E58="123.47",'CASE DATA'!E58="235B.20",'CASE DATA'!E58="321.218",'CASE DATA'!E58="321A.32",'CASE DATA'!E58="321J.21",'CASE DATA'!E58="321J.2",'CASE DATA'!E58="707.5",'CASE DATA'!E58="708.2(3)",'CASE DATA'!E58="708.2A",'CASE DATA'!E58="708.7",'CASE DATA'!E58="708.11",'CASE DATA'!E58="708.12",'CASE DATA'!E58="716.8(3)",'CASE DATA'!E58="716.8(4)", LEFT('CASE DATA'!E58,4)="717C", LEFT('CASE DATA'!E58, 3)="719", LEFT('CASE DATA'!E58,3)="720", 'CASE DATA'!E58="721.2", 'CASE DATA'!E58="721.10", 'CASE DATA'!E58="723.1", LEFT('CASE DATA'!E58,3)="724", LEFT('CASE DATA'!E58,3)="726", LEFT('CASE DATA'!E58,3)="728", LEFT('CASE DATA'!E58,4)="901A"),"ineligible misd", "eligible"),"N/A")</f>
        <v>N/A</v>
      </c>
      <c r="N57" s="185" t="str">
        <f>IF(L57="eligible",IF(COUNTIF('CASE DATA'!$C$4:$C$200, "")-COUNTIF('CASE DATA'!$A$4:$A$200, "")&gt;0, "YES","NO"),"N/A")</f>
        <v>N/A</v>
      </c>
      <c r="O57" s="185" t="str">
        <f xml:space="preserve"> IF(M57="eligible",'CASE DATA'!K58,"N/A")</f>
        <v>N/A</v>
      </c>
      <c r="P57" s="185" t="str">
        <f xml:space="preserve"> IF(M57="eligible",'CASE DATA'!I58+'CASE DATA'!J58+'CASE DATA'!L58+'CASE DATA'!M58+'CASE DATA'!N58+'CASE DATA'!O58+'CASE DATA'!M58+'CASE DATA'!Q58+'CASE DATA'!R58,"N/A")</f>
        <v>N/A</v>
      </c>
      <c r="Q57" s="11" t="str">
        <f>IF(M57="eligible",IF(C57+730.5&lt;'BASIC INFO'!$B$3, "YES", "NO"),"N/A")</f>
        <v>N/A</v>
      </c>
      <c r="R57" s="186" t="str">
        <f xml:space="preserve"> IF(OR('CASE DATA'!F58="DEF"), "YES", "NO")</f>
        <v>NO</v>
      </c>
      <c r="S57" s="162" t="str">
        <f>IF(R57="YES",'CASE DATA'!H58,"N/A")</f>
        <v>N/A</v>
      </c>
      <c r="T57" s="185" t="str">
        <f xml:space="preserve"> IF(R57="YES",'CASE DATA'!K58,"N/A")</f>
        <v>N/A</v>
      </c>
      <c r="U57" s="185" t="str">
        <f>IF(R57="YES",'CASE DATA'!I58+'CASE DATA'!J58+'CASE DATA'!L58+'CASE DATA'!M58+'CASE DATA'!N58+'CASE DATA'!O58+'CASE DATA'!P58+'CASE DATA'!Q58+'CASE DATA'!R58,"N/A")</f>
        <v>N/A</v>
      </c>
      <c r="V57" s="189" t="str">
        <f>IF(OR('CASE DATA'!E58="123.46",'CASE DATA'!E58="123.47"),"YES","NO")</f>
        <v>NO</v>
      </c>
      <c r="W57" s="189"/>
      <c r="X57" s="185" t="str">
        <f>IF(V57="YES",IF(C57+730.5&lt;'BASIC INFO'!$B$3, "YES","NO"), "N/A")</f>
        <v>N/A</v>
      </c>
      <c r="Y57" s="189" t="str">
        <f t="shared" si="0"/>
        <v>NO</v>
      </c>
      <c r="Z57" s="187" t="str">
        <f xml:space="preserve"> IF('BASIC INFO'!$B$6+6574.5&gt;C57, "YES", "NO")</f>
        <v>YES</v>
      </c>
    </row>
    <row r="58" spans="1:26" x14ac:dyDescent="0.25">
      <c r="A58" s="162">
        <f xml:space="preserve"> 'CASE DATA'!A59</f>
        <v>0</v>
      </c>
      <c r="B58" s="162">
        <f xml:space="preserve"> 'CASE DATA'!E59</f>
        <v>0</v>
      </c>
      <c r="C58" s="163">
        <f xml:space="preserve"> 'CASE DATA'!C59</f>
        <v>0</v>
      </c>
      <c r="D58" s="11" t="str">
        <f xml:space="preserve"> IF(OR('CASE DATA'!F59="JUV", 'CASE DATA'!F59="JWV"), "YES", "NO")</f>
        <v>NO</v>
      </c>
      <c r="E58" s="11"/>
      <c r="F58" s="11" t="str">
        <f>IF(D58="YES",IF(COUNTIF('CASE DATA'!$C$4:$C$200, "")-COUNTIF('CASE DATA'!$A$4:$A$200, "")&gt;0, "YES","NO"),"N/A")</f>
        <v>N/A</v>
      </c>
      <c r="G58" s="164" t="str">
        <f xml:space="preserve"> _xlfn.IFS(D58="NO", "N/A", AND('BASIC INFO'!$B$3&gt;'BASIC INFO'!$B$6+6574.5, C58+730.5&lt;'BASIC INFO'!$B$3), "YES", 'BASIC INFO'!$B$3&lt;('BASIC INFO'!$B$6+6574.5), "NOT YET 18", C58+730.5&gt;'BASIC INFO'!$B$3, "NOT YET 2 YEARS")</f>
        <v>N/A</v>
      </c>
      <c r="H58" s="186" t="str">
        <f xml:space="preserve"> IF(LEFT('CASE DATA'!E59,4)&lt;&gt;"321.",IF(OR('CASE DATA'!F59="DISM", 'CASE DATA'!F59="ACQ", 'CASE DATA'!F59="NOTF", 'CASE DATA'!F59="WTHD", 'CASE DATA'!F59="TNSF"), "YES", "NO"), "TRAFFIC")</f>
        <v>NO</v>
      </c>
      <c r="I58" s="185" t="str">
        <f xml:space="preserve"> IF(H58="YES",'CASE DATA'!K59,"N/A")</f>
        <v>N/A</v>
      </c>
      <c r="J58" s="185" t="str">
        <f>IF(H58="YES",'CASE DATA'!I59+'CASE DATA'!J59+'CASE DATA'!L59+'CASE DATA'!M59+'CASE DATA'!N59+'CASE DATA'!O59+'CASE DATA'!P59+'CASE DATA'!Q59+'CASE DATA'!R59,"N/A")</f>
        <v>N/A</v>
      </c>
      <c r="K58" s="162" t="str">
        <f xml:space="preserve"> IF(H58="YES",IF(C58+180&lt;'BASIC INFO'!$B$3, "YES", "NO"),"N/A")</f>
        <v>N/A</v>
      </c>
      <c r="L58" s="185" t="str">
        <f>IF(OR('CASE DATA'!F59="GTR", 'CASE DATA'!F59="GPL"),IF(OR('CASE DATA'!E59="81.6(2)", 'CASE DATA'!E59="99F.15(6)(b)(1)", 'CASE DATA'!E59= "124.401(1)(a)", 'CASE DATA'!E59= "124.401(1)(b)", 'CASE DATA'!E59= "124.401(1)(c)", 'CASE DATA'!E59= "124.401(1)(d)", 'CASE DATA'!E59="124.401(4)", 'CASE DATA'!E59="124.401(1)(b)", 'CASE DATA'!E59="124.401(1)(c)", 'CASE DATA'!E59="124.401D(2)(b)", 'CASE DATA'!E59="124.401D(2)(c)", 'CASE DATA'!E59="124.406(1)(a)", 'CASE DATA'!E59="124.406(1)(b) ", 'CASE DATA'!E59="124.406(2)(a)", 'CASE DATA'!E59="124.406(2)(b) ", 'CASE DATA'!E59="124.406(3)", 'CASE DATA'!E59="124.406A ", 'CASE DATA'!E59="124.407(2)(a)", 'CASE DATA'!E59="124B.9(1)", 'CASE DATA'!E59="124B.9(2)", 'CASE DATA'!E59="321J.2(2)(c)", 'CASE DATA'!E59="453B.12(2)", 'CASE DATA'!E59="453B.12(3)", 'CASE DATA'!E59="453B.12(4)", 'CASE DATA'!E59="462A.14(2)(c)", 'CASE DATA'!E59="462A.14(2)(d)", 'CASE DATA'!E59="462A.14(2)(e)", 'CASE DATA'!E59="705.1(2)", 'CASE DATA'!E59="706.3(1)", 'CASE DATA'!E59="706.3(2)", 'CASE DATA'!E59="706A.2(1)", 'CASE DATA'!E59="706A.2(2)", 'CASE DATA'!E59="706A.2(4)", 'CASE DATA'!E59="706B.2(1)(a)", 'CASE DATA'!E59="706B.2(1)(b)", 'CASE DATA'!E59="706B.2(1)(c)", 'CASE DATA'!E59="706B.2(1)(d)", 'CASE DATA'!E59="707.2", 'CASE DATA'!E59="707.3", 'CASE DATA'!E59="707.3A", 'CASE DATA'!E59="707.4", 'CASE DATA'!E59="707.5(1)(a)", 'CASE DATA'!E59="707.6A(1)", 'CASE DATA'!E59="707.6A(2)", 'CASE DATA'!E59="707.6A(3)", 'CASE DATA'!E59="707.6A(4)", 'CASE DATA'!E59="707.7(1)", 'CASE DATA'!E59="707.7(3)", 'CASE DATA'!E59="707.7(2)", 'CASE DATA'!E59="707.8(1)", 'CASE DATA'!E59="707.8(2)", 'CASE DATA'!E59="707.8(3)", 'CASE DATA'!E59="707.8(4)", 'CASE DATA'!E59="707.8(5)", 'CASE DATA'!E59="707.8(6)", 'CASE DATA'!E59="707.9", 'CASE DATA'!E59="707.11", 'CASE DATA'!E59="707A.2", 'CASE DATA'!E59="708.2(4)", 'CASE DATA'!E59="708.2(5)", 'CASE DATA'!E59="708.2A(4)", 'CASE DATA'!E59="708.2A(5)", 'CASE DATA'!E59="708.2C(2)", 'CASE DATA'!E59="708.2C(4)", 'CASE DATA'!E59="708.3(1)", 'CASE DATA'!E59="708.3(2)", 'CASE DATA'!E59="708.3A(1)", 'CASE DATA'!E59="708.3A(2)", 'CASE DATA'!E59="708.3B", 'CASE DATA'!E59="708.4(1)", 'CASE DATA'!E59="708.4(2)", 'CASE DATA'!E59="708.5", 'CASE DATA'!E59="708.8", 'CASE DATA'!E59="708.11(3)(a)", 'CASE DATA'!E59="708.11(3)(b)", 'CASE DATA'!E59="708.12(3)(f)", 'CASE DATA'!E59="708.13(3)", 'CASE DATA'!E59="708.14", 'CASE DATA'!E59="708A.2", 'CASE DATA'!E59="708A.4(1)", 'CASE DATA'!E59="708A.4(2)", 'CASE DATA'!E59="708A.5", 'CASE DATA'!E59="708A.6(1)", 'CASE DATA'!E59="708.A.6(2)", 'CASE DATA'!E59="709.2", 'CASE DATA'!E59="709.3", 'CASE DATA'!E59="709.4", 'CASE DATA'!E59="709.8(1)(a)", 'CASE DATA'!E59="709.8(1)(b)", 'CASE DATA'!E59="709.8(1)(c)", 'CASE DATA'!E59="709.8(1)(d)", 'CASE DATA'!E59="709.8(1)(e)", 'CASE DATA'!E59="709.11(1)", 'CASE DATA'!E59="709.11(2)", 'CASE DATA'!E59="709.15(2)(a)(1)", 'CASE DATA'!E59="709.15(3)(a)(1)", 'CASE DATA'!E59="709.18", 'CASE DATA'!E59="709A.6(2)", 'CASE DATA'!E59="709D.3(1)", 'CASE DATA'!E59="709D.3(2)", 'CASE DATA'!E59="709.D.3(3)", 'CASE DATA'!E59="710.2", 'CASE DATA'!E59="710.3", 'CASE DATA'!E59="710.4", 'CASE DATA'!E59="710.5", 'CASE DATA'!E59="710.10(1)", 'CASE DATA'!E59="710.10(2)", 'CASE DATA'!E59="710.10(3)", 'CASE DATA'!E59="710.11", 'CASE DATA'!E59="710A.2(1)", 'CASE DATA'!E59="710A.2(2)", 'CASE DATA'!E59="710A.2(3)", 'CASE DATA'!E59="710A.2(4)", 'CASE DATA'!E59="710A.2(5)", 'CASE DATA'!E59="710A.2(6)", 'CASE DATA'!E59="710A.2(7)", 'CASE DATA'!E59="710A.2A", 'CASE DATA'!E59="711.2", 'CASE DATA'!E59="711.3", 'CASE DATA'!E59="711.4", 'CASE DATA'!E59="712.2", 'CASE DATA'!E59="712.3", 'CASE DATA'!E59="712.6(1)", 'CASE DATA'!E59="712.7", 'CASE DATA'!E59="712.8", 'CASE DATA'!E59="", 'CASE DATA'!E59="713.3", 'CASE DATA'!E59="713.4", 'CASE DATA'!E59="713.5", 'CASE DATA'!E59="713.6", 'CASE DATA'!E59="713.6A(1)", 'CASE DATA'!E59="714.2(1)", 'CASE DATA'!E59="714.2(2)", 'CASE DATA'!E59="714.3A(2)(b)", 'CASE DATA'!E59="714.9", 'CASE DATA'!E59="714.10", 'CASE DATA'!E59="714.26(2)(a)", 'CASE DATA'!E59="714.26(2)(b)", 'CASE DATA'!E59="715A.2(2)(a)", 'CASE DATA'!E59="715A.6(2)(a)", 'CASE DATA'!E59="715A.6(2)(b)", 'CASE DATA'!E59="715A.8(3)(a)", 'CASE DATA'!E59="715A.8(3)(b)", 'CASE DATA'!E59="715A.10(1)", 'CASE DATA'!E59="715A.10(2)", 'CASE DATA'!E59="716.3", 'CASE DATA'!E59="716.4", 'CASE DATA'!E59="716.8(6)", 'CASE DATA'!E59="716.10(2)(a)", 'CASE DATA'!E59="716.10(2)(b)", 'CASE DATA'!E59="716.10(2)(c)", 'CASE DATA'!E59="716.10(2)(d)", 'CASE DATA'!E59="716.12", 'CASE DATA'!E59="719.1(1)(f)", 'CASE DATA'!E59="719.1(2)(e)", 'CASE DATA'!E59="719.1(2)(f)", 'CASE DATA'!E59="719.1(2)(g)", 'CASE DATA'!E59="719.4(1)", 'CASE DATA'!E59="719.4(4)", 'CASE DATA'!E59="719.5(1)", 'CASE DATA'!E59="719.5(2)", 'CASE DATA'!E59="719.6(1)", 'CASE DATA'!E59="719.6(2)", 'CASE DATA'!E59="719.7(4)(a)", 'CASE DATA'!E59="719.7(4)(b)", 'CASE DATA'!E59="719.7A(3)", 'CASE DATA'!E59="719.9", 'CASE DATA'!E59="719.8", 'CASE DATA'!E59="720.2", 'CASE DATA'!E59="720.3", 'CASE DATA'!E59="721.1", 'CASE DATA'!E59="722.1", 'CASE DATA'!E59="", 'CASE DATA'!E59="722.2", 'CASE DATA'!E59="722.10", 'CASE DATA'!E59="723(5)(3)(c)", 'CASE DATA'!E59="723A.2", 'CASE DATA'!E59="723A.3(1)", 'CASE DATA'!E59="723A.3(2)", 'CASE DATA'!E59="724.1B", 'CASE DATA'!E59="724.1C", 'CASE DATA'!E59="724.3", 'CASE DATA'!E59="724.4B", 'CASE DATA'!E59="724.10", 'CASE DATA'!E59="724.16(2)", 'CASE DATA'!E59="724.16A(1)(a)", 'CASE DATA'!E59="724.16A(1)(b)", 'CASE DATA'!E59="724.17", 'CASE DATA'!E59="724.21", 'CASE DATA'!E59="724.26(1)", 'CASE DATA'!E59="922(g)(8)", 'CASE DATA'!E59="724.29A(2)", 'CASE DATA'!E59="724.29A(3)", 'CASE DATA'!E59="724.30(1)", 'CASE DATA'!E59="724.30(2)", 'CASE DATA'!E59="725.1(2)(b)", 'CASE DATA'!E59="725.2(1)", 'CASE DATA'!E59="725.2(2)", 'CASE DATA'!E59="725.3(2)", 'CASE DATA'!E59="725.3(1)", 'CASE DATA'!E59="725.7(2)(a)(3)", 'CASE DATA'!E59="725.7(2)(a)(4)", 'CASE DATA'!E59="725.7(2)(b)(2)", 'CASE DATA'!E59="725.7(2)(b(3)", 'CASE DATA'!E59="726.7(2)(c)(1)", 'CASE DATA'!E59="726.7(2)(c)(2)", 'CASE DATA'!E59="725.7(2)(d)", 'CASE DATA'!E59="726.2", 'CASE DATA'!E59="726.3", 'CASE DATA'!E59="726.5", 'CASE DATA'!E59="726.6(4)", 'CASE DATA'!E59="726.6(5)", 'CASE DATA'!E59="726.6(6)", 'CASE DATA'!E59="726.6A", 'CASE DATA'!E59="726.7(2)", 'CASE DATA'!E59="726.8(2)", 'CASE DATA'!E59="728.12(1)", 'CASE DATA'!E59="728.12(2)"),"felony","eligible"),"N/A")</f>
        <v>N/A</v>
      </c>
      <c r="M58" s="185" t="str">
        <f>IF(L58="eligible",IF(OR('CASE DATA'!E59="123.46",'CASE DATA'!E59="123.47",'CASE DATA'!E59="235B.20",'CASE DATA'!E59="321.218",'CASE DATA'!E59="321A.32",'CASE DATA'!E59="321J.21",'CASE DATA'!E59="321J.2",'CASE DATA'!E59="707.5",'CASE DATA'!E59="708.2(3)",'CASE DATA'!E59="708.2A",'CASE DATA'!E59="708.7",'CASE DATA'!E59="708.11",'CASE DATA'!E59="708.12",'CASE DATA'!E59="716.8(3)",'CASE DATA'!E59="716.8(4)", LEFT('CASE DATA'!E59,4)="717C", LEFT('CASE DATA'!E59, 3)="719", LEFT('CASE DATA'!E59,3)="720", 'CASE DATA'!E59="721.2", 'CASE DATA'!E59="721.10", 'CASE DATA'!E59="723.1", LEFT('CASE DATA'!E59,3)="724", LEFT('CASE DATA'!E59,3)="726", LEFT('CASE DATA'!E59,3)="728", LEFT('CASE DATA'!E59,4)="901A"),"ineligible misd", "eligible"),"N/A")</f>
        <v>N/A</v>
      </c>
      <c r="N58" s="185" t="str">
        <f>IF(L58="eligible",IF(COUNTIF('CASE DATA'!$C$4:$C$200, "")-COUNTIF('CASE DATA'!$A$4:$A$200, "")&gt;0, "YES","NO"),"N/A")</f>
        <v>N/A</v>
      </c>
      <c r="O58" s="185" t="str">
        <f xml:space="preserve"> IF(M58="eligible",'CASE DATA'!K59,"N/A")</f>
        <v>N/A</v>
      </c>
      <c r="P58" s="185" t="str">
        <f xml:space="preserve"> IF(M58="eligible",'CASE DATA'!I59+'CASE DATA'!J59+'CASE DATA'!L59+'CASE DATA'!M59+'CASE DATA'!N59+'CASE DATA'!O59+'CASE DATA'!M59+'CASE DATA'!Q59+'CASE DATA'!R59,"N/A")</f>
        <v>N/A</v>
      </c>
      <c r="Q58" s="11" t="str">
        <f>IF(M58="eligible",IF(C58+730.5&lt;'BASIC INFO'!$B$3, "YES", "NO"),"N/A")</f>
        <v>N/A</v>
      </c>
      <c r="R58" s="186" t="str">
        <f xml:space="preserve"> IF(OR('CASE DATA'!F59="DEF"), "YES", "NO")</f>
        <v>NO</v>
      </c>
      <c r="S58" s="162" t="str">
        <f>IF(R58="YES",'CASE DATA'!H59,"N/A")</f>
        <v>N/A</v>
      </c>
      <c r="T58" s="185" t="str">
        <f xml:space="preserve"> IF(R58="YES",'CASE DATA'!K59,"N/A")</f>
        <v>N/A</v>
      </c>
      <c r="U58" s="185" t="str">
        <f>IF(R58="YES",'CASE DATA'!I59+'CASE DATA'!J59+'CASE DATA'!L59+'CASE DATA'!M59+'CASE DATA'!N59+'CASE DATA'!O59+'CASE DATA'!P59+'CASE DATA'!Q59+'CASE DATA'!R59,"N/A")</f>
        <v>N/A</v>
      </c>
      <c r="V58" s="189" t="str">
        <f>IF(OR('CASE DATA'!E59="123.46",'CASE DATA'!E59="123.47"),"YES","NO")</f>
        <v>NO</v>
      </c>
      <c r="W58" s="189"/>
      <c r="X58" s="185" t="str">
        <f>IF(V58="YES",IF(C58+730.5&lt;'BASIC INFO'!$B$3, "YES","NO"), "N/A")</f>
        <v>N/A</v>
      </c>
      <c r="Y58" s="189" t="str">
        <f t="shared" si="0"/>
        <v>NO</v>
      </c>
      <c r="Z58" s="187" t="str">
        <f xml:space="preserve"> IF('BASIC INFO'!$B$6+6574.5&gt;C58, "YES", "NO")</f>
        <v>YES</v>
      </c>
    </row>
    <row r="59" spans="1:26" x14ac:dyDescent="0.25">
      <c r="A59" s="162">
        <f xml:space="preserve"> 'CASE DATA'!A60</f>
        <v>0</v>
      </c>
      <c r="B59" s="162">
        <f xml:space="preserve"> 'CASE DATA'!E60</f>
        <v>0</v>
      </c>
      <c r="C59" s="163">
        <f xml:space="preserve"> 'CASE DATA'!C60</f>
        <v>0</v>
      </c>
      <c r="D59" s="11" t="str">
        <f xml:space="preserve"> IF(OR('CASE DATA'!F60="JUV", 'CASE DATA'!F60="JWV"), "YES", "NO")</f>
        <v>NO</v>
      </c>
      <c r="E59" s="11"/>
      <c r="F59" s="11" t="str">
        <f>IF(D59="YES",IF(COUNTIF('CASE DATA'!$C$4:$C$200, "")-COUNTIF('CASE DATA'!$A$4:$A$200, "")&gt;0, "YES","NO"),"N/A")</f>
        <v>N/A</v>
      </c>
      <c r="G59" s="164" t="str">
        <f xml:space="preserve"> _xlfn.IFS(D59="NO", "N/A", AND('BASIC INFO'!$B$3&gt;'BASIC INFO'!$B$6+6574.5, C59+730.5&lt;'BASIC INFO'!$B$3), "YES", 'BASIC INFO'!$B$3&lt;('BASIC INFO'!$B$6+6574.5), "NOT YET 18", C59+730.5&gt;'BASIC INFO'!$B$3, "NOT YET 2 YEARS")</f>
        <v>N/A</v>
      </c>
      <c r="H59" s="186" t="str">
        <f xml:space="preserve"> IF(LEFT('CASE DATA'!E60,4)&lt;&gt;"321.",IF(OR('CASE DATA'!F60="DISM", 'CASE DATA'!F60="ACQ", 'CASE DATA'!F60="NOTF", 'CASE DATA'!F60="WTHD", 'CASE DATA'!F60="TNSF"), "YES", "NO"), "TRAFFIC")</f>
        <v>NO</v>
      </c>
      <c r="I59" s="185" t="str">
        <f xml:space="preserve"> IF(H59="YES",'CASE DATA'!K60,"N/A")</f>
        <v>N/A</v>
      </c>
      <c r="J59" s="185" t="str">
        <f>IF(H59="YES",'CASE DATA'!I60+'CASE DATA'!J60+'CASE DATA'!L60+'CASE DATA'!M60+'CASE DATA'!N60+'CASE DATA'!O60+'CASE DATA'!P60+'CASE DATA'!Q60+'CASE DATA'!R60,"N/A")</f>
        <v>N/A</v>
      </c>
      <c r="K59" s="162" t="str">
        <f xml:space="preserve"> IF(H59="YES",IF(C59+180&lt;'BASIC INFO'!$B$3, "YES", "NO"),"N/A")</f>
        <v>N/A</v>
      </c>
      <c r="L59" s="185" t="str">
        <f>IF(OR('CASE DATA'!F60="GTR", 'CASE DATA'!F60="GPL"),IF(OR('CASE DATA'!E60="81.6(2)", 'CASE DATA'!E60="99F.15(6)(b)(1)", 'CASE DATA'!E60= "124.401(1)(a)", 'CASE DATA'!E60= "124.401(1)(b)", 'CASE DATA'!E60= "124.401(1)(c)", 'CASE DATA'!E60= "124.401(1)(d)", 'CASE DATA'!E60="124.401(4)", 'CASE DATA'!E60="124.401(1)(b)", 'CASE DATA'!E60="124.401(1)(c)", 'CASE DATA'!E60="124.401D(2)(b)", 'CASE DATA'!E60="124.401D(2)(c)", 'CASE DATA'!E60="124.406(1)(a)", 'CASE DATA'!E60="124.406(1)(b) ", 'CASE DATA'!E60="124.406(2)(a)", 'CASE DATA'!E60="124.406(2)(b) ", 'CASE DATA'!E60="124.406(3)", 'CASE DATA'!E60="124.406A ", 'CASE DATA'!E60="124.407(2)(a)", 'CASE DATA'!E60="124B.9(1)", 'CASE DATA'!E60="124B.9(2)", 'CASE DATA'!E60="321J.2(2)(c)", 'CASE DATA'!E60="453B.12(2)", 'CASE DATA'!E60="453B.12(3)", 'CASE DATA'!E60="453B.12(4)", 'CASE DATA'!E60="462A.14(2)(c)", 'CASE DATA'!E60="462A.14(2)(d)", 'CASE DATA'!E60="462A.14(2)(e)", 'CASE DATA'!E60="705.1(2)", 'CASE DATA'!E60="706.3(1)", 'CASE DATA'!E60="706.3(2)", 'CASE DATA'!E60="706A.2(1)", 'CASE DATA'!E60="706A.2(2)", 'CASE DATA'!E60="706A.2(4)", 'CASE DATA'!E60="706B.2(1)(a)", 'CASE DATA'!E60="706B.2(1)(b)", 'CASE DATA'!E60="706B.2(1)(c)", 'CASE DATA'!E60="706B.2(1)(d)", 'CASE DATA'!E60="707.2", 'CASE DATA'!E60="707.3", 'CASE DATA'!E60="707.3A", 'CASE DATA'!E60="707.4", 'CASE DATA'!E60="707.5(1)(a)", 'CASE DATA'!E60="707.6A(1)", 'CASE DATA'!E60="707.6A(2)", 'CASE DATA'!E60="707.6A(3)", 'CASE DATA'!E60="707.6A(4)", 'CASE DATA'!E60="707.7(1)", 'CASE DATA'!E60="707.7(3)", 'CASE DATA'!E60="707.7(2)", 'CASE DATA'!E60="707.8(1)", 'CASE DATA'!E60="707.8(2)", 'CASE DATA'!E60="707.8(3)", 'CASE DATA'!E60="707.8(4)", 'CASE DATA'!E60="707.8(5)", 'CASE DATA'!E60="707.8(6)", 'CASE DATA'!E60="707.9", 'CASE DATA'!E60="707.11", 'CASE DATA'!E60="707A.2", 'CASE DATA'!E60="708.2(4)", 'CASE DATA'!E60="708.2(5)", 'CASE DATA'!E60="708.2A(4)", 'CASE DATA'!E60="708.2A(5)", 'CASE DATA'!E60="708.2C(2)", 'CASE DATA'!E60="708.2C(4)", 'CASE DATA'!E60="708.3(1)", 'CASE DATA'!E60="708.3(2)", 'CASE DATA'!E60="708.3A(1)", 'CASE DATA'!E60="708.3A(2)", 'CASE DATA'!E60="708.3B", 'CASE DATA'!E60="708.4(1)", 'CASE DATA'!E60="708.4(2)", 'CASE DATA'!E60="708.5", 'CASE DATA'!E60="708.8", 'CASE DATA'!E60="708.11(3)(a)", 'CASE DATA'!E60="708.11(3)(b)", 'CASE DATA'!E60="708.12(3)(f)", 'CASE DATA'!E60="708.13(3)", 'CASE DATA'!E60="708.14", 'CASE DATA'!E60="708A.2", 'CASE DATA'!E60="708A.4(1)", 'CASE DATA'!E60="708A.4(2)", 'CASE DATA'!E60="708A.5", 'CASE DATA'!E60="708A.6(1)", 'CASE DATA'!E60="708.A.6(2)", 'CASE DATA'!E60="709.2", 'CASE DATA'!E60="709.3", 'CASE DATA'!E60="709.4", 'CASE DATA'!E60="709.8(1)(a)", 'CASE DATA'!E60="709.8(1)(b)", 'CASE DATA'!E60="709.8(1)(c)", 'CASE DATA'!E60="709.8(1)(d)", 'CASE DATA'!E60="709.8(1)(e)", 'CASE DATA'!E60="709.11(1)", 'CASE DATA'!E60="709.11(2)", 'CASE DATA'!E60="709.15(2)(a)(1)", 'CASE DATA'!E60="709.15(3)(a)(1)", 'CASE DATA'!E60="709.18", 'CASE DATA'!E60="709A.6(2)", 'CASE DATA'!E60="709D.3(1)", 'CASE DATA'!E60="709D.3(2)", 'CASE DATA'!E60="709.D.3(3)", 'CASE DATA'!E60="710.2", 'CASE DATA'!E60="710.3", 'CASE DATA'!E60="710.4", 'CASE DATA'!E60="710.5", 'CASE DATA'!E60="710.10(1)", 'CASE DATA'!E60="710.10(2)", 'CASE DATA'!E60="710.10(3)", 'CASE DATA'!E60="710.11", 'CASE DATA'!E60="710A.2(1)", 'CASE DATA'!E60="710A.2(2)", 'CASE DATA'!E60="710A.2(3)", 'CASE DATA'!E60="710A.2(4)", 'CASE DATA'!E60="710A.2(5)", 'CASE DATA'!E60="710A.2(6)", 'CASE DATA'!E60="710A.2(7)", 'CASE DATA'!E60="710A.2A", 'CASE DATA'!E60="711.2", 'CASE DATA'!E60="711.3", 'CASE DATA'!E60="711.4", 'CASE DATA'!E60="712.2", 'CASE DATA'!E60="712.3", 'CASE DATA'!E60="712.6(1)", 'CASE DATA'!E60="712.7", 'CASE DATA'!E60="712.8", 'CASE DATA'!E60="", 'CASE DATA'!E60="713.3", 'CASE DATA'!E60="713.4", 'CASE DATA'!E60="713.5", 'CASE DATA'!E60="713.6", 'CASE DATA'!E60="713.6A(1)", 'CASE DATA'!E60="714.2(1)", 'CASE DATA'!E60="714.2(2)", 'CASE DATA'!E60="714.3A(2)(b)", 'CASE DATA'!E60="714.9", 'CASE DATA'!E60="714.10", 'CASE DATA'!E60="714.26(2)(a)", 'CASE DATA'!E60="714.26(2)(b)", 'CASE DATA'!E60="715A.2(2)(a)", 'CASE DATA'!E60="715A.6(2)(a)", 'CASE DATA'!E60="715A.6(2)(b)", 'CASE DATA'!E60="715A.8(3)(a)", 'CASE DATA'!E60="715A.8(3)(b)", 'CASE DATA'!E60="715A.10(1)", 'CASE DATA'!E60="715A.10(2)", 'CASE DATA'!E60="716.3", 'CASE DATA'!E60="716.4", 'CASE DATA'!E60="716.8(6)", 'CASE DATA'!E60="716.10(2)(a)", 'CASE DATA'!E60="716.10(2)(b)", 'CASE DATA'!E60="716.10(2)(c)", 'CASE DATA'!E60="716.10(2)(d)", 'CASE DATA'!E60="716.12", 'CASE DATA'!E60="719.1(1)(f)", 'CASE DATA'!E60="719.1(2)(e)", 'CASE DATA'!E60="719.1(2)(f)", 'CASE DATA'!E60="719.1(2)(g)", 'CASE DATA'!E60="719.4(1)", 'CASE DATA'!E60="719.4(4)", 'CASE DATA'!E60="719.5(1)", 'CASE DATA'!E60="719.5(2)", 'CASE DATA'!E60="719.6(1)", 'CASE DATA'!E60="719.6(2)", 'CASE DATA'!E60="719.7(4)(a)", 'CASE DATA'!E60="719.7(4)(b)", 'CASE DATA'!E60="719.7A(3)", 'CASE DATA'!E60="719.9", 'CASE DATA'!E60="719.8", 'CASE DATA'!E60="720.2", 'CASE DATA'!E60="720.3", 'CASE DATA'!E60="721.1", 'CASE DATA'!E60="722.1", 'CASE DATA'!E60="", 'CASE DATA'!E60="722.2", 'CASE DATA'!E60="722.10", 'CASE DATA'!E60="723(5)(3)(c)", 'CASE DATA'!E60="723A.2", 'CASE DATA'!E60="723A.3(1)", 'CASE DATA'!E60="723A.3(2)", 'CASE DATA'!E60="724.1B", 'CASE DATA'!E60="724.1C", 'CASE DATA'!E60="724.3", 'CASE DATA'!E60="724.4B", 'CASE DATA'!E60="724.10", 'CASE DATA'!E60="724.16(2)", 'CASE DATA'!E60="724.16A(1)(a)", 'CASE DATA'!E60="724.16A(1)(b)", 'CASE DATA'!E60="724.17", 'CASE DATA'!E60="724.21", 'CASE DATA'!E60="724.26(1)", 'CASE DATA'!E60="922(g)(8)", 'CASE DATA'!E60="724.29A(2)", 'CASE DATA'!E60="724.29A(3)", 'CASE DATA'!E60="724.30(1)", 'CASE DATA'!E60="724.30(2)", 'CASE DATA'!E60="725.1(2)(b)", 'CASE DATA'!E60="725.2(1)", 'CASE DATA'!E60="725.2(2)", 'CASE DATA'!E60="725.3(2)", 'CASE DATA'!E60="725.3(1)", 'CASE DATA'!E60="725.7(2)(a)(3)", 'CASE DATA'!E60="725.7(2)(a)(4)", 'CASE DATA'!E60="725.7(2)(b)(2)", 'CASE DATA'!E60="725.7(2)(b(3)", 'CASE DATA'!E60="726.7(2)(c)(1)", 'CASE DATA'!E60="726.7(2)(c)(2)", 'CASE DATA'!E60="725.7(2)(d)", 'CASE DATA'!E60="726.2", 'CASE DATA'!E60="726.3", 'CASE DATA'!E60="726.5", 'CASE DATA'!E60="726.6(4)", 'CASE DATA'!E60="726.6(5)", 'CASE DATA'!E60="726.6(6)", 'CASE DATA'!E60="726.6A", 'CASE DATA'!E60="726.7(2)", 'CASE DATA'!E60="726.8(2)", 'CASE DATA'!E60="728.12(1)", 'CASE DATA'!E60="728.12(2)"),"felony","eligible"),"N/A")</f>
        <v>N/A</v>
      </c>
      <c r="M59" s="185" t="str">
        <f>IF(L59="eligible",IF(OR('CASE DATA'!E60="123.46",'CASE DATA'!E60="123.47",'CASE DATA'!E60="235B.20",'CASE DATA'!E60="321.218",'CASE DATA'!E60="321A.32",'CASE DATA'!E60="321J.21",'CASE DATA'!E60="321J.2",'CASE DATA'!E60="707.5",'CASE DATA'!E60="708.2(3)",'CASE DATA'!E60="708.2A",'CASE DATA'!E60="708.7",'CASE DATA'!E60="708.11",'CASE DATA'!E60="708.12",'CASE DATA'!E60="716.8(3)",'CASE DATA'!E60="716.8(4)", LEFT('CASE DATA'!E60,4)="717C", LEFT('CASE DATA'!E60, 3)="719", LEFT('CASE DATA'!E60,3)="720", 'CASE DATA'!E60="721.2", 'CASE DATA'!E60="721.10", 'CASE DATA'!E60="723.1", LEFT('CASE DATA'!E60,3)="724", LEFT('CASE DATA'!E60,3)="726", LEFT('CASE DATA'!E60,3)="728", LEFT('CASE DATA'!E60,4)="901A"),"ineligible misd", "eligible"),"N/A")</f>
        <v>N/A</v>
      </c>
      <c r="N59" s="185" t="str">
        <f>IF(L59="eligible",IF(COUNTIF('CASE DATA'!$C$4:$C$200, "")-COUNTIF('CASE DATA'!$A$4:$A$200, "")&gt;0, "YES","NO"),"N/A")</f>
        <v>N/A</v>
      </c>
      <c r="O59" s="185" t="str">
        <f xml:space="preserve"> IF(M59="eligible",'CASE DATA'!K60,"N/A")</f>
        <v>N/A</v>
      </c>
      <c r="P59" s="185" t="str">
        <f xml:space="preserve"> IF(M59="eligible",'CASE DATA'!I60+'CASE DATA'!J60+'CASE DATA'!L60+'CASE DATA'!M60+'CASE DATA'!N60+'CASE DATA'!O60+'CASE DATA'!M60+'CASE DATA'!Q60+'CASE DATA'!R60,"N/A")</f>
        <v>N/A</v>
      </c>
      <c r="Q59" s="11" t="str">
        <f>IF(M59="eligible",IF(C59+730.5&lt;'BASIC INFO'!$B$3, "YES", "NO"),"N/A")</f>
        <v>N/A</v>
      </c>
      <c r="R59" s="186" t="str">
        <f xml:space="preserve"> IF(OR('CASE DATA'!F60="DEF"), "YES", "NO")</f>
        <v>NO</v>
      </c>
      <c r="S59" s="162" t="str">
        <f>IF(R59="YES",'CASE DATA'!H60,"N/A")</f>
        <v>N/A</v>
      </c>
      <c r="T59" s="185" t="str">
        <f xml:space="preserve"> IF(R59="YES",'CASE DATA'!K60,"N/A")</f>
        <v>N/A</v>
      </c>
      <c r="U59" s="185" t="str">
        <f>IF(R59="YES",'CASE DATA'!I60+'CASE DATA'!J60+'CASE DATA'!L60+'CASE DATA'!M60+'CASE DATA'!N60+'CASE DATA'!O60+'CASE DATA'!P60+'CASE DATA'!Q60+'CASE DATA'!R60,"N/A")</f>
        <v>N/A</v>
      </c>
      <c r="V59" s="189" t="str">
        <f>IF(OR('CASE DATA'!E60="123.46",'CASE DATA'!E60="123.47"),"YES","NO")</f>
        <v>NO</v>
      </c>
      <c r="W59" s="189"/>
      <c r="X59" s="185" t="str">
        <f>IF(V59="YES",IF(C59+730.5&lt;'BASIC INFO'!$B$3, "YES","NO"), "N/A")</f>
        <v>N/A</v>
      </c>
      <c r="Y59" s="189" t="str">
        <f t="shared" si="0"/>
        <v>NO</v>
      </c>
      <c r="Z59" s="187" t="str">
        <f xml:space="preserve"> IF('BASIC INFO'!$B$6+6574.5&gt;C59, "YES", "NO")</f>
        <v>YES</v>
      </c>
    </row>
    <row r="60" spans="1:26" x14ac:dyDescent="0.25">
      <c r="A60" s="162">
        <f xml:space="preserve"> 'CASE DATA'!A61</f>
        <v>0</v>
      </c>
      <c r="B60" s="162">
        <f xml:space="preserve"> 'CASE DATA'!E61</f>
        <v>0</v>
      </c>
      <c r="C60" s="163">
        <f xml:space="preserve"> 'CASE DATA'!C61</f>
        <v>0</v>
      </c>
      <c r="D60" s="11" t="str">
        <f xml:space="preserve"> IF(OR('CASE DATA'!F61="JUV", 'CASE DATA'!F61="JWV"), "YES", "NO")</f>
        <v>NO</v>
      </c>
      <c r="E60" s="11"/>
      <c r="F60" s="11" t="str">
        <f>IF(D60="YES",IF(COUNTIF('CASE DATA'!$C$4:$C$200, "")-COUNTIF('CASE DATA'!$A$4:$A$200, "")&gt;0, "YES","NO"),"N/A")</f>
        <v>N/A</v>
      </c>
      <c r="G60" s="164" t="str">
        <f xml:space="preserve"> _xlfn.IFS(D60="NO", "N/A", AND('BASIC INFO'!$B$3&gt;'BASIC INFO'!$B$6+6574.5, C60+730.5&lt;'BASIC INFO'!$B$3), "YES", 'BASIC INFO'!$B$3&lt;('BASIC INFO'!$B$6+6574.5), "NOT YET 18", C60+730.5&gt;'BASIC INFO'!$B$3, "NOT YET 2 YEARS")</f>
        <v>N/A</v>
      </c>
      <c r="H60" s="186" t="str">
        <f xml:space="preserve"> IF(LEFT('CASE DATA'!E61,4)&lt;&gt;"321.",IF(OR('CASE DATA'!F61="DISM", 'CASE DATA'!F61="ACQ", 'CASE DATA'!F61="NOTF", 'CASE DATA'!F61="WTHD", 'CASE DATA'!F61="TNSF"), "YES", "NO"), "TRAFFIC")</f>
        <v>NO</v>
      </c>
      <c r="I60" s="185" t="str">
        <f xml:space="preserve"> IF(H60="YES",'CASE DATA'!K61,"N/A")</f>
        <v>N/A</v>
      </c>
      <c r="J60" s="185" t="str">
        <f>IF(H60="YES",'CASE DATA'!I61+'CASE DATA'!J61+'CASE DATA'!L61+'CASE DATA'!M61+'CASE DATA'!N61+'CASE DATA'!O61+'CASE DATA'!P61+'CASE DATA'!Q61+'CASE DATA'!R61,"N/A")</f>
        <v>N/A</v>
      </c>
      <c r="K60" s="162" t="str">
        <f xml:space="preserve"> IF(H60="YES",IF(C60+180&lt;'BASIC INFO'!$B$3, "YES", "NO"),"N/A")</f>
        <v>N/A</v>
      </c>
      <c r="L60" s="185" t="str">
        <f>IF(OR('CASE DATA'!F61="GTR", 'CASE DATA'!F61="GPL"),IF(OR('CASE DATA'!E61="81.6(2)", 'CASE DATA'!E61="99F.15(6)(b)(1)", 'CASE DATA'!E61= "124.401(1)(a)", 'CASE DATA'!E61= "124.401(1)(b)", 'CASE DATA'!E61= "124.401(1)(c)", 'CASE DATA'!E61= "124.401(1)(d)", 'CASE DATA'!E61="124.401(4)", 'CASE DATA'!E61="124.401(1)(b)", 'CASE DATA'!E61="124.401(1)(c)", 'CASE DATA'!E61="124.401D(2)(b)", 'CASE DATA'!E61="124.401D(2)(c)", 'CASE DATA'!E61="124.406(1)(a)", 'CASE DATA'!E61="124.406(1)(b) ", 'CASE DATA'!E61="124.406(2)(a)", 'CASE DATA'!E61="124.406(2)(b) ", 'CASE DATA'!E61="124.406(3)", 'CASE DATA'!E61="124.406A ", 'CASE DATA'!E61="124.407(2)(a)", 'CASE DATA'!E61="124B.9(1)", 'CASE DATA'!E61="124B.9(2)", 'CASE DATA'!E61="321J.2(2)(c)", 'CASE DATA'!E61="453B.12(2)", 'CASE DATA'!E61="453B.12(3)", 'CASE DATA'!E61="453B.12(4)", 'CASE DATA'!E61="462A.14(2)(c)", 'CASE DATA'!E61="462A.14(2)(d)", 'CASE DATA'!E61="462A.14(2)(e)", 'CASE DATA'!E61="705.1(2)", 'CASE DATA'!E61="706.3(1)", 'CASE DATA'!E61="706.3(2)", 'CASE DATA'!E61="706A.2(1)", 'CASE DATA'!E61="706A.2(2)", 'CASE DATA'!E61="706A.2(4)", 'CASE DATA'!E61="706B.2(1)(a)", 'CASE DATA'!E61="706B.2(1)(b)", 'CASE DATA'!E61="706B.2(1)(c)", 'CASE DATA'!E61="706B.2(1)(d)", 'CASE DATA'!E61="707.2", 'CASE DATA'!E61="707.3", 'CASE DATA'!E61="707.3A", 'CASE DATA'!E61="707.4", 'CASE DATA'!E61="707.5(1)(a)", 'CASE DATA'!E61="707.6A(1)", 'CASE DATA'!E61="707.6A(2)", 'CASE DATA'!E61="707.6A(3)", 'CASE DATA'!E61="707.6A(4)", 'CASE DATA'!E61="707.7(1)", 'CASE DATA'!E61="707.7(3)", 'CASE DATA'!E61="707.7(2)", 'CASE DATA'!E61="707.8(1)", 'CASE DATA'!E61="707.8(2)", 'CASE DATA'!E61="707.8(3)", 'CASE DATA'!E61="707.8(4)", 'CASE DATA'!E61="707.8(5)", 'CASE DATA'!E61="707.8(6)", 'CASE DATA'!E61="707.9", 'CASE DATA'!E61="707.11", 'CASE DATA'!E61="707A.2", 'CASE DATA'!E61="708.2(4)", 'CASE DATA'!E61="708.2(5)", 'CASE DATA'!E61="708.2A(4)", 'CASE DATA'!E61="708.2A(5)", 'CASE DATA'!E61="708.2C(2)", 'CASE DATA'!E61="708.2C(4)", 'CASE DATA'!E61="708.3(1)", 'CASE DATA'!E61="708.3(2)", 'CASE DATA'!E61="708.3A(1)", 'CASE DATA'!E61="708.3A(2)", 'CASE DATA'!E61="708.3B", 'CASE DATA'!E61="708.4(1)", 'CASE DATA'!E61="708.4(2)", 'CASE DATA'!E61="708.5", 'CASE DATA'!E61="708.8", 'CASE DATA'!E61="708.11(3)(a)", 'CASE DATA'!E61="708.11(3)(b)", 'CASE DATA'!E61="708.12(3)(f)", 'CASE DATA'!E61="708.13(3)", 'CASE DATA'!E61="708.14", 'CASE DATA'!E61="708A.2", 'CASE DATA'!E61="708A.4(1)", 'CASE DATA'!E61="708A.4(2)", 'CASE DATA'!E61="708A.5", 'CASE DATA'!E61="708A.6(1)", 'CASE DATA'!E61="708.A.6(2)", 'CASE DATA'!E61="709.2", 'CASE DATA'!E61="709.3", 'CASE DATA'!E61="709.4", 'CASE DATA'!E61="709.8(1)(a)", 'CASE DATA'!E61="709.8(1)(b)", 'CASE DATA'!E61="709.8(1)(c)", 'CASE DATA'!E61="709.8(1)(d)", 'CASE DATA'!E61="709.8(1)(e)", 'CASE DATA'!E61="709.11(1)", 'CASE DATA'!E61="709.11(2)", 'CASE DATA'!E61="709.15(2)(a)(1)", 'CASE DATA'!E61="709.15(3)(a)(1)", 'CASE DATA'!E61="709.18", 'CASE DATA'!E61="709A.6(2)", 'CASE DATA'!E61="709D.3(1)", 'CASE DATA'!E61="709D.3(2)", 'CASE DATA'!E61="709.D.3(3)", 'CASE DATA'!E61="710.2", 'CASE DATA'!E61="710.3", 'CASE DATA'!E61="710.4", 'CASE DATA'!E61="710.5", 'CASE DATA'!E61="710.10(1)", 'CASE DATA'!E61="710.10(2)", 'CASE DATA'!E61="710.10(3)", 'CASE DATA'!E61="710.11", 'CASE DATA'!E61="710A.2(1)", 'CASE DATA'!E61="710A.2(2)", 'CASE DATA'!E61="710A.2(3)", 'CASE DATA'!E61="710A.2(4)", 'CASE DATA'!E61="710A.2(5)", 'CASE DATA'!E61="710A.2(6)", 'CASE DATA'!E61="710A.2(7)", 'CASE DATA'!E61="710A.2A", 'CASE DATA'!E61="711.2", 'CASE DATA'!E61="711.3", 'CASE DATA'!E61="711.4", 'CASE DATA'!E61="712.2", 'CASE DATA'!E61="712.3", 'CASE DATA'!E61="712.6(1)", 'CASE DATA'!E61="712.7", 'CASE DATA'!E61="712.8", 'CASE DATA'!E61="", 'CASE DATA'!E61="713.3", 'CASE DATA'!E61="713.4", 'CASE DATA'!E61="713.5", 'CASE DATA'!E61="713.6", 'CASE DATA'!E61="713.6A(1)", 'CASE DATA'!E61="714.2(1)", 'CASE DATA'!E61="714.2(2)", 'CASE DATA'!E61="714.3A(2)(b)", 'CASE DATA'!E61="714.9", 'CASE DATA'!E61="714.10", 'CASE DATA'!E61="714.26(2)(a)", 'CASE DATA'!E61="714.26(2)(b)", 'CASE DATA'!E61="715A.2(2)(a)", 'CASE DATA'!E61="715A.6(2)(a)", 'CASE DATA'!E61="715A.6(2)(b)", 'CASE DATA'!E61="715A.8(3)(a)", 'CASE DATA'!E61="715A.8(3)(b)", 'CASE DATA'!E61="715A.10(1)", 'CASE DATA'!E61="715A.10(2)", 'CASE DATA'!E61="716.3", 'CASE DATA'!E61="716.4", 'CASE DATA'!E61="716.8(6)", 'CASE DATA'!E61="716.10(2)(a)", 'CASE DATA'!E61="716.10(2)(b)", 'CASE DATA'!E61="716.10(2)(c)", 'CASE DATA'!E61="716.10(2)(d)", 'CASE DATA'!E61="716.12", 'CASE DATA'!E61="719.1(1)(f)", 'CASE DATA'!E61="719.1(2)(e)", 'CASE DATA'!E61="719.1(2)(f)", 'CASE DATA'!E61="719.1(2)(g)", 'CASE DATA'!E61="719.4(1)", 'CASE DATA'!E61="719.4(4)", 'CASE DATA'!E61="719.5(1)", 'CASE DATA'!E61="719.5(2)", 'CASE DATA'!E61="719.6(1)", 'CASE DATA'!E61="719.6(2)", 'CASE DATA'!E61="719.7(4)(a)", 'CASE DATA'!E61="719.7(4)(b)", 'CASE DATA'!E61="719.7A(3)", 'CASE DATA'!E61="719.9", 'CASE DATA'!E61="719.8", 'CASE DATA'!E61="720.2", 'CASE DATA'!E61="720.3", 'CASE DATA'!E61="721.1", 'CASE DATA'!E61="722.1", 'CASE DATA'!E61="", 'CASE DATA'!E61="722.2", 'CASE DATA'!E61="722.10", 'CASE DATA'!E61="723(5)(3)(c)", 'CASE DATA'!E61="723A.2", 'CASE DATA'!E61="723A.3(1)", 'CASE DATA'!E61="723A.3(2)", 'CASE DATA'!E61="724.1B", 'CASE DATA'!E61="724.1C", 'CASE DATA'!E61="724.3", 'CASE DATA'!E61="724.4B", 'CASE DATA'!E61="724.10", 'CASE DATA'!E61="724.16(2)", 'CASE DATA'!E61="724.16A(1)(a)", 'CASE DATA'!E61="724.16A(1)(b)", 'CASE DATA'!E61="724.17", 'CASE DATA'!E61="724.21", 'CASE DATA'!E61="724.26(1)", 'CASE DATA'!E61="922(g)(8)", 'CASE DATA'!E61="724.29A(2)", 'CASE DATA'!E61="724.29A(3)", 'CASE DATA'!E61="724.30(1)", 'CASE DATA'!E61="724.30(2)", 'CASE DATA'!E61="725.1(2)(b)", 'CASE DATA'!E61="725.2(1)", 'CASE DATA'!E61="725.2(2)", 'CASE DATA'!E61="725.3(2)", 'CASE DATA'!E61="725.3(1)", 'CASE DATA'!E61="725.7(2)(a)(3)", 'CASE DATA'!E61="725.7(2)(a)(4)", 'CASE DATA'!E61="725.7(2)(b)(2)", 'CASE DATA'!E61="725.7(2)(b(3)", 'CASE DATA'!E61="726.7(2)(c)(1)", 'CASE DATA'!E61="726.7(2)(c)(2)", 'CASE DATA'!E61="725.7(2)(d)", 'CASE DATA'!E61="726.2", 'CASE DATA'!E61="726.3", 'CASE DATA'!E61="726.5", 'CASE DATA'!E61="726.6(4)", 'CASE DATA'!E61="726.6(5)", 'CASE DATA'!E61="726.6(6)", 'CASE DATA'!E61="726.6A", 'CASE DATA'!E61="726.7(2)", 'CASE DATA'!E61="726.8(2)", 'CASE DATA'!E61="728.12(1)", 'CASE DATA'!E61="728.12(2)"),"felony","eligible"),"N/A")</f>
        <v>N/A</v>
      </c>
      <c r="M60" s="185" t="str">
        <f>IF(L60="eligible",IF(OR('CASE DATA'!E61="123.46",'CASE DATA'!E61="123.47",'CASE DATA'!E61="235B.20",'CASE DATA'!E61="321.218",'CASE DATA'!E61="321A.32",'CASE DATA'!E61="321J.21",'CASE DATA'!E61="321J.2",'CASE DATA'!E61="707.5",'CASE DATA'!E61="708.2(3)",'CASE DATA'!E61="708.2A",'CASE DATA'!E61="708.7",'CASE DATA'!E61="708.11",'CASE DATA'!E61="708.12",'CASE DATA'!E61="716.8(3)",'CASE DATA'!E61="716.8(4)", LEFT('CASE DATA'!E61,4)="717C", LEFT('CASE DATA'!E61, 3)="719", LEFT('CASE DATA'!E61,3)="720", 'CASE DATA'!E61="721.2", 'CASE DATA'!E61="721.10", 'CASE DATA'!E61="723.1", LEFT('CASE DATA'!E61,3)="724", LEFT('CASE DATA'!E61,3)="726", LEFT('CASE DATA'!E61,3)="728", LEFT('CASE DATA'!E61,4)="901A"),"ineligible misd", "eligible"),"N/A")</f>
        <v>N/A</v>
      </c>
      <c r="N60" s="185" t="str">
        <f>IF(L60="eligible",IF(COUNTIF('CASE DATA'!$C$4:$C$200, "")-COUNTIF('CASE DATA'!$A$4:$A$200, "")&gt;0, "YES","NO"),"N/A")</f>
        <v>N/A</v>
      </c>
      <c r="O60" s="185" t="str">
        <f xml:space="preserve"> IF(M60="eligible",'CASE DATA'!K61,"N/A")</f>
        <v>N/A</v>
      </c>
      <c r="P60" s="185" t="str">
        <f xml:space="preserve"> IF(M60="eligible",'CASE DATA'!I61+'CASE DATA'!J61+'CASE DATA'!L61+'CASE DATA'!M61+'CASE DATA'!N61+'CASE DATA'!O61+'CASE DATA'!M61+'CASE DATA'!Q61+'CASE DATA'!R61,"N/A")</f>
        <v>N/A</v>
      </c>
      <c r="Q60" s="11" t="str">
        <f>IF(M60="eligible",IF(C60+730.5&lt;'BASIC INFO'!$B$3, "YES", "NO"),"N/A")</f>
        <v>N/A</v>
      </c>
      <c r="R60" s="186" t="str">
        <f xml:space="preserve"> IF(OR('CASE DATA'!F61="DEF"), "YES", "NO")</f>
        <v>NO</v>
      </c>
      <c r="S60" s="162" t="str">
        <f>IF(R60="YES",'CASE DATA'!H61,"N/A")</f>
        <v>N/A</v>
      </c>
      <c r="T60" s="185" t="str">
        <f xml:space="preserve"> IF(R60="YES",'CASE DATA'!K61,"N/A")</f>
        <v>N/A</v>
      </c>
      <c r="U60" s="185" t="str">
        <f>IF(R60="YES",'CASE DATA'!I61+'CASE DATA'!J61+'CASE DATA'!L61+'CASE DATA'!M61+'CASE DATA'!N61+'CASE DATA'!O61+'CASE DATA'!P61+'CASE DATA'!Q61+'CASE DATA'!R61,"N/A")</f>
        <v>N/A</v>
      </c>
      <c r="V60" s="189" t="str">
        <f>IF(OR('CASE DATA'!E61="123.46",'CASE DATA'!E61="123.47"),"YES","NO")</f>
        <v>NO</v>
      </c>
      <c r="W60" s="189"/>
      <c r="X60" s="185" t="str">
        <f>IF(V60="YES",IF(C60+730.5&lt;'BASIC INFO'!$B$3, "YES","NO"), "N/A")</f>
        <v>N/A</v>
      </c>
      <c r="Y60" s="189" t="str">
        <f t="shared" si="0"/>
        <v>NO</v>
      </c>
      <c r="Z60" s="187" t="str">
        <f xml:space="preserve"> IF('BASIC INFO'!$B$6+6574.5&gt;C60, "YES", "NO")</f>
        <v>YES</v>
      </c>
    </row>
    <row r="61" spans="1:26" x14ac:dyDescent="0.25">
      <c r="A61" s="162">
        <f xml:space="preserve"> 'CASE DATA'!A62</f>
        <v>0</v>
      </c>
      <c r="B61" s="162">
        <f xml:space="preserve"> 'CASE DATA'!E62</f>
        <v>0</v>
      </c>
      <c r="C61" s="163">
        <f xml:space="preserve"> 'CASE DATA'!C62</f>
        <v>0</v>
      </c>
      <c r="D61" s="11" t="str">
        <f xml:space="preserve"> IF(OR('CASE DATA'!F62="JUV", 'CASE DATA'!F62="JWV"), "YES", "NO")</f>
        <v>NO</v>
      </c>
      <c r="E61" s="11"/>
      <c r="F61" s="11" t="str">
        <f>IF(D61="YES",IF(COUNTIF('CASE DATA'!$C$4:$C$200, "")-COUNTIF('CASE DATA'!$A$4:$A$200, "")&gt;0, "YES","NO"),"N/A")</f>
        <v>N/A</v>
      </c>
      <c r="G61" s="164" t="str">
        <f xml:space="preserve"> _xlfn.IFS(D61="NO", "N/A", AND('BASIC INFO'!$B$3&gt;'BASIC INFO'!$B$6+6574.5, C61+730.5&lt;'BASIC INFO'!$B$3), "YES", 'BASIC INFO'!$B$3&lt;('BASIC INFO'!$B$6+6574.5), "NOT YET 18", C61+730.5&gt;'BASIC INFO'!$B$3, "NOT YET 2 YEARS")</f>
        <v>N/A</v>
      </c>
      <c r="H61" s="186" t="str">
        <f xml:space="preserve"> IF(LEFT('CASE DATA'!E62,4)&lt;&gt;"321.",IF(OR('CASE DATA'!F62="DISM", 'CASE DATA'!F62="ACQ", 'CASE DATA'!F62="NOTF", 'CASE DATA'!F62="WTHD", 'CASE DATA'!F62="TNSF"), "YES", "NO"), "TRAFFIC")</f>
        <v>NO</v>
      </c>
      <c r="I61" s="185" t="str">
        <f xml:space="preserve"> IF(H61="YES",'CASE DATA'!K62,"N/A")</f>
        <v>N/A</v>
      </c>
      <c r="J61" s="185" t="str">
        <f>IF(H61="YES",'CASE DATA'!I62+'CASE DATA'!J62+'CASE DATA'!L62+'CASE DATA'!M62+'CASE DATA'!N62+'CASE DATA'!O62+'CASE DATA'!P62+'CASE DATA'!Q62+'CASE DATA'!R62,"N/A")</f>
        <v>N/A</v>
      </c>
      <c r="K61" s="162" t="str">
        <f xml:space="preserve"> IF(H61="YES",IF(C61+180&lt;'BASIC INFO'!$B$3, "YES", "NO"),"N/A")</f>
        <v>N/A</v>
      </c>
      <c r="L61" s="185" t="str">
        <f>IF(OR('CASE DATA'!F62="GTR", 'CASE DATA'!F62="GPL"),IF(OR('CASE DATA'!E62="81.6(2)", 'CASE DATA'!E62="99F.15(6)(b)(1)", 'CASE DATA'!E62= "124.401(1)(a)", 'CASE DATA'!E62= "124.401(1)(b)", 'CASE DATA'!E62= "124.401(1)(c)", 'CASE DATA'!E62= "124.401(1)(d)", 'CASE DATA'!E62="124.401(4)", 'CASE DATA'!E62="124.401(1)(b)", 'CASE DATA'!E62="124.401(1)(c)", 'CASE DATA'!E62="124.401D(2)(b)", 'CASE DATA'!E62="124.401D(2)(c)", 'CASE DATA'!E62="124.406(1)(a)", 'CASE DATA'!E62="124.406(1)(b) ", 'CASE DATA'!E62="124.406(2)(a)", 'CASE DATA'!E62="124.406(2)(b) ", 'CASE DATA'!E62="124.406(3)", 'CASE DATA'!E62="124.406A ", 'CASE DATA'!E62="124.407(2)(a)", 'CASE DATA'!E62="124B.9(1)", 'CASE DATA'!E62="124B.9(2)", 'CASE DATA'!E62="321J.2(2)(c)", 'CASE DATA'!E62="453B.12(2)", 'CASE DATA'!E62="453B.12(3)", 'CASE DATA'!E62="453B.12(4)", 'CASE DATA'!E62="462A.14(2)(c)", 'CASE DATA'!E62="462A.14(2)(d)", 'CASE DATA'!E62="462A.14(2)(e)", 'CASE DATA'!E62="705.1(2)", 'CASE DATA'!E62="706.3(1)", 'CASE DATA'!E62="706.3(2)", 'CASE DATA'!E62="706A.2(1)", 'CASE DATA'!E62="706A.2(2)", 'CASE DATA'!E62="706A.2(4)", 'CASE DATA'!E62="706B.2(1)(a)", 'CASE DATA'!E62="706B.2(1)(b)", 'CASE DATA'!E62="706B.2(1)(c)", 'CASE DATA'!E62="706B.2(1)(d)", 'CASE DATA'!E62="707.2", 'CASE DATA'!E62="707.3", 'CASE DATA'!E62="707.3A", 'CASE DATA'!E62="707.4", 'CASE DATA'!E62="707.5(1)(a)", 'CASE DATA'!E62="707.6A(1)", 'CASE DATA'!E62="707.6A(2)", 'CASE DATA'!E62="707.6A(3)", 'CASE DATA'!E62="707.6A(4)", 'CASE DATA'!E62="707.7(1)", 'CASE DATA'!E62="707.7(3)", 'CASE DATA'!E62="707.7(2)", 'CASE DATA'!E62="707.8(1)", 'CASE DATA'!E62="707.8(2)", 'CASE DATA'!E62="707.8(3)", 'CASE DATA'!E62="707.8(4)", 'CASE DATA'!E62="707.8(5)", 'CASE DATA'!E62="707.8(6)", 'CASE DATA'!E62="707.9", 'CASE DATA'!E62="707.11", 'CASE DATA'!E62="707A.2", 'CASE DATA'!E62="708.2(4)", 'CASE DATA'!E62="708.2(5)", 'CASE DATA'!E62="708.2A(4)", 'CASE DATA'!E62="708.2A(5)", 'CASE DATA'!E62="708.2C(2)", 'CASE DATA'!E62="708.2C(4)", 'CASE DATA'!E62="708.3(1)", 'CASE DATA'!E62="708.3(2)", 'CASE DATA'!E62="708.3A(1)", 'CASE DATA'!E62="708.3A(2)", 'CASE DATA'!E62="708.3B", 'CASE DATA'!E62="708.4(1)", 'CASE DATA'!E62="708.4(2)", 'CASE DATA'!E62="708.5", 'CASE DATA'!E62="708.8", 'CASE DATA'!E62="708.11(3)(a)", 'CASE DATA'!E62="708.11(3)(b)", 'CASE DATA'!E62="708.12(3)(f)", 'CASE DATA'!E62="708.13(3)", 'CASE DATA'!E62="708.14", 'CASE DATA'!E62="708A.2", 'CASE DATA'!E62="708A.4(1)", 'CASE DATA'!E62="708A.4(2)", 'CASE DATA'!E62="708A.5", 'CASE DATA'!E62="708A.6(1)", 'CASE DATA'!E62="708.A.6(2)", 'CASE DATA'!E62="709.2", 'CASE DATA'!E62="709.3", 'CASE DATA'!E62="709.4", 'CASE DATA'!E62="709.8(1)(a)", 'CASE DATA'!E62="709.8(1)(b)", 'CASE DATA'!E62="709.8(1)(c)", 'CASE DATA'!E62="709.8(1)(d)", 'CASE DATA'!E62="709.8(1)(e)", 'CASE DATA'!E62="709.11(1)", 'CASE DATA'!E62="709.11(2)", 'CASE DATA'!E62="709.15(2)(a)(1)", 'CASE DATA'!E62="709.15(3)(a)(1)", 'CASE DATA'!E62="709.18", 'CASE DATA'!E62="709A.6(2)", 'CASE DATA'!E62="709D.3(1)", 'CASE DATA'!E62="709D.3(2)", 'CASE DATA'!E62="709.D.3(3)", 'CASE DATA'!E62="710.2", 'CASE DATA'!E62="710.3", 'CASE DATA'!E62="710.4", 'CASE DATA'!E62="710.5", 'CASE DATA'!E62="710.10(1)", 'CASE DATA'!E62="710.10(2)", 'CASE DATA'!E62="710.10(3)", 'CASE DATA'!E62="710.11", 'CASE DATA'!E62="710A.2(1)", 'CASE DATA'!E62="710A.2(2)", 'CASE DATA'!E62="710A.2(3)", 'CASE DATA'!E62="710A.2(4)", 'CASE DATA'!E62="710A.2(5)", 'CASE DATA'!E62="710A.2(6)", 'CASE DATA'!E62="710A.2(7)", 'CASE DATA'!E62="710A.2A", 'CASE DATA'!E62="711.2", 'CASE DATA'!E62="711.3", 'CASE DATA'!E62="711.4", 'CASE DATA'!E62="712.2", 'CASE DATA'!E62="712.3", 'CASE DATA'!E62="712.6(1)", 'CASE DATA'!E62="712.7", 'CASE DATA'!E62="712.8", 'CASE DATA'!E62="", 'CASE DATA'!E62="713.3", 'CASE DATA'!E62="713.4", 'CASE DATA'!E62="713.5", 'CASE DATA'!E62="713.6", 'CASE DATA'!E62="713.6A(1)", 'CASE DATA'!E62="714.2(1)", 'CASE DATA'!E62="714.2(2)", 'CASE DATA'!E62="714.3A(2)(b)", 'CASE DATA'!E62="714.9", 'CASE DATA'!E62="714.10", 'CASE DATA'!E62="714.26(2)(a)", 'CASE DATA'!E62="714.26(2)(b)", 'CASE DATA'!E62="715A.2(2)(a)", 'CASE DATA'!E62="715A.6(2)(a)", 'CASE DATA'!E62="715A.6(2)(b)", 'CASE DATA'!E62="715A.8(3)(a)", 'CASE DATA'!E62="715A.8(3)(b)", 'CASE DATA'!E62="715A.10(1)", 'CASE DATA'!E62="715A.10(2)", 'CASE DATA'!E62="716.3", 'CASE DATA'!E62="716.4", 'CASE DATA'!E62="716.8(6)", 'CASE DATA'!E62="716.10(2)(a)", 'CASE DATA'!E62="716.10(2)(b)", 'CASE DATA'!E62="716.10(2)(c)", 'CASE DATA'!E62="716.10(2)(d)", 'CASE DATA'!E62="716.12", 'CASE DATA'!E62="719.1(1)(f)", 'CASE DATA'!E62="719.1(2)(e)", 'CASE DATA'!E62="719.1(2)(f)", 'CASE DATA'!E62="719.1(2)(g)", 'CASE DATA'!E62="719.4(1)", 'CASE DATA'!E62="719.4(4)", 'CASE DATA'!E62="719.5(1)", 'CASE DATA'!E62="719.5(2)", 'CASE DATA'!E62="719.6(1)", 'CASE DATA'!E62="719.6(2)", 'CASE DATA'!E62="719.7(4)(a)", 'CASE DATA'!E62="719.7(4)(b)", 'CASE DATA'!E62="719.7A(3)", 'CASE DATA'!E62="719.9", 'CASE DATA'!E62="719.8", 'CASE DATA'!E62="720.2", 'CASE DATA'!E62="720.3", 'CASE DATA'!E62="721.1", 'CASE DATA'!E62="722.1", 'CASE DATA'!E62="", 'CASE DATA'!E62="722.2", 'CASE DATA'!E62="722.10", 'CASE DATA'!E62="723(5)(3)(c)", 'CASE DATA'!E62="723A.2", 'CASE DATA'!E62="723A.3(1)", 'CASE DATA'!E62="723A.3(2)", 'CASE DATA'!E62="724.1B", 'CASE DATA'!E62="724.1C", 'CASE DATA'!E62="724.3", 'CASE DATA'!E62="724.4B", 'CASE DATA'!E62="724.10", 'CASE DATA'!E62="724.16(2)", 'CASE DATA'!E62="724.16A(1)(a)", 'CASE DATA'!E62="724.16A(1)(b)", 'CASE DATA'!E62="724.17", 'CASE DATA'!E62="724.21", 'CASE DATA'!E62="724.26(1)", 'CASE DATA'!E62="922(g)(8)", 'CASE DATA'!E62="724.29A(2)", 'CASE DATA'!E62="724.29A(3)", 'CASE DATA'!E62="724.30(1)", 'CASE DATA'!E62="724.30(2)", 'CASE DATA'!E62="725.1(2)(b)", 'CASE DATA'!E62="725.2(1)", 'CASE DATA'!E62="725.2(2)", 'CASE DATA'!E62="725.3(2)", 'CASE DATA'!E62="725.3(1)", 'CASE DATA'!E62="725.7(2)(a)(3)", 'CASE DATA'!E62="725.7(2)(a)(4)", 'CASE DATA'!E62="725.7(2)(b)(2)", 'CASE DATA'!E62="725.7(2)(b(3)", 'CASE DATA'!E62="726.7(2)(c)(1)", 'CASE DATA'!E62="726.7(2)(c)(2)", 'CASE DATA'!E62="725.7(2)(d)", 'CASE DATA'!E62="726.2", 'CASE DATA'!E62="726.3", 'CASE DATA'!E62="726.5", 'CASE DATA'!E62="726.6(4)", 'CASE DATA'!E62="726.6(5)", 'CASE DATA'!E62="726.6(6)", 'CASE DATA'!E62="726.6A", 'CASE DATA'!E62="726.7(2)", 'CASE DATA'!E62="726.8(2)", 'CASE DATA'!E62="728.12(1)", 'CASE DATA'!E62="728.12(2)"),"felony","eligible"),"N/A")</f>
        <v>N/A</v>
      </c>
      <c r="M61" s="185" t="str">
        <f>IF(L61="eligible",IF(OR('CASE DATA'!E62="123.46",'CASE DATA'!E62="123.47",'CASE DATA'!E62="235B.20",'CASE DATA'!E62="321.218",'CASE DATA'!E62="321A.32",'CASE DATA'!E62="321J.21",'CASE DATA'!E62="321J.2",'CASE DATA'!E62="707.5",'CASE DATA'!E62="708.2(3)",'CASE DATA'!E62="708.2A",'CASE DATA'!E62="708.7",'CASE DATA'!E62="708.11",'CASE DATA'!E62="708.12",'CASE DATA'!E62="716.8(3)",'CASE DATA'!E62="716.8(4)", LEFT('CASE DATA'!E62,4)="717C", LEFT('CASE DATA'!E62, 3)="719", LEFT('CASE DATA'!E62,3)="720", 'CASE DATA'!E62="721.2", 'CASE DATA'!E62="721.10", 'CASE DATA'!E62="723.1", LEFT('CASE DATA'!E62,3)="724", LEFT('CASE DATA'!E62,3)="726", LEFT('CASE DATA'!E62,3)="728", LEFT('CASE DATA'!E62,4)="901A"),"ineligible misd", "eligible"),"N/A")</f>
        <v>N/A</v>
      </c>
      <c r="N61" s="185" t="str">
        <f>IF(L61="eligible",IF(COUNTIF('CASE DATA'!$C$4:$C$200, "")-COUNTIF('CASE DATA'!$A$4:$A$200, "")&gt;0, "YES","NO"),"N/A")</f>
        <v>N/A</v>
      </c>
      <c r="O61" s="185" t="str">
        <f xml:space="preserve"> IF(M61="eligible",'CASE DATA'!K62,"N/A")</f>
        <v>N/A</v>
      </c>
      <c r="P61" s="185" t="str">
        <f xml:space="preserve"> IF(M61="eligible",'CASE DATA'!I62+'CASE DATA'!J62+'CASE DATA'!L62+'CASE DATA'!M62+'CASE DATA'!N62+'CASE DATA'!O62+'CASE DATA'!M62+'CASE DATA'!Q62+'CASE DATA'!R62,"N/A")</f>
        <v>N/A</v>
      </c>
      <c r="Q61" s="11" t="str">
        <f>IF(M61="eligible",IF(C61+730.5&lt;'BASIC INFO'!$B$3, "YES", "NO"),"N/A")</f>
        <v>N/A</v>
      </c>
      <c r="R61" s="186" t="str">
        <f xml:space="preserve"> IF(OR('CASE DATA'!F62="DEF"), "YES", "NO")</f>
        <v>NO</v>
      </c>
      <c r="S61" s="162" t="str">
        <f>IF(R61="YES",'CASE DATA'!H62,"N/A")</f>
        <v>N/A</v>
      </c>
      <c r="T61" s="185" t="str">
        <f xml:space="preserve"> IF(R61="YES",'CASE DATA'!K62,"N/A")</f>
        <v>N/A</v>
      </c>
      <c r="U61" s="185" t="str">
        <f>IF(R61="YES",'CASE DATA'!I62+'CASE DATA'!J62+'CASE DATA'!L62+'CASE DATA'!M62+'CASE DATA'!N62+'CASE DATA'!O62+'CASE DATA'!P62+'CASE DATA'!Q62+'CASE DATA'!R62,"N/A")</f>
        <v>N/A</v>
      </c>
      <c r="V61" s="189" t="str">
        <f>IF(OR('CASE DATA'!E62="123.46",'CASE DATA'!E62="123.47"),"YES","NO")</f>
        <v>NO</v>
      </c>
      <c r="W61" s="189"/>
      <c r="X61" s="185" t="str">
        <f>IF(V61="YES",IF(C61+730.5&lt;'BASIC INFO'!$B$3, "YES","NO"), "N/A")</f>
        <v>N/A</v>
      </c>
      <c r="Y61" s="189" t="str">
        <f t="shared" si="0"/>
        <v>NO</v>
      </c>
      <c r="Z61" s="187" t="str">
        <f xml:space="preserve"> IF('BASIC INFO'!$B$6+6574.5&gt;C61, "YES", "NO")</f>
        <v>YES</v>
      </c>
    </row>
    <row r="62" spans="1:26" x14ac:dyDescent="0.25">
      <c r="A62" s="162">
        <f xml:space="preserve"> 'CASE DATA'!A63</f>
        <v>0</v>
      </c>
      <c r="B62" s="162">
        <f xml:space="preserve"> 'CASE DATA'!E63</f>
        <v>0</v>
      </c>
      <c r="C62" s="163">
        <f xml:space="preserve"> 'CASE DATA'!C63</f>
        <v>0</v>
      </c>
      <c r="D62" s="11" t="str">
        <f xml:space="preserve"> IF(OR('CASE DATA'!F63="JUV", 'CASE DATA'!F63="JWV"), "YES", "NO")</f>
        <v>NO</v>
      </c>
      <c r="E62" s="11"/>
      <c r="F62" s="11" t="str">
        <f>IF(D62="YES",IF(COUNTIF('CASE DATA'!$C$4:$C$200, "")-COUNTIF('CASE DATA'!$A$4:$A$200, "")&gt;0, "YES","NO"),"N/A")</f>
        <v>N/A</v>
      </c>
      <c r="G62" s="164" t="str">
        <f xml:space="preserve"> _xlfn.IFS(D62="NO", "N/A", AND('BASIC INFO'!$B$3&gt;'BASIC INFO'!$B$6+6574.5, C62+730.5&lt;'BASIC INFO'!$B$3), "YES", 'BASIC INFO'!$B$3&lt;('BASIC INFO'!$B$6+6574.5), "NOT YET 18", C62+730.5&gt;'BASIC INFO'!$B$3, "NOT YET 2 YEARS")</f>
        <v>N/A</v>
      </c>
      <c r="H62" s="186" t="str">
        <f xml:space="preserve"> IF(LEFT('CASE DATA'!E63,4)&lt;&gt;"321.",IF(OR('CASE DATA'!F63="DISM", 'CASE DATA'!F63="ACQ", 'CASE DATA'!F63="NOTF", 'CASE DATA'!F63="WTHD", 'CASE DATA'!F63="TNSF"), "YES", "NO"), "TRAFFIC")</f>
        <v>NO</v>
      </c>
      <c r="I62" s="185" t="str">
        <f xml:space="preserve"> IF(H62="YES",'CASE DATA'!K63,"N/A")</f>
        <v>N/A</v>
      </c>
      <c r="J62" s="185" t="str">
        <f>IF(H62="YES",'CASE DATA'!I63+'CASE DATA'!J63+'CASE DATA'!L63+'CASE DATA'!M63+'CASE DATA'!N63+'CASE DATA'!O63+'CASE DATA'!P63+'CASE DATA'!Q63+'CASE DATA'!R63,"N/A")</f>
        <v>N/A</v>
      </c>
      <c r="K62" s="162" t="str">
        <f xml:space="preserve"> IF(H62="YES",IF(C62+180&lt;'BASIC INFO'!$B$3, "YES", "NO"),"N/A")</f>
        <v>N/A</v>
      </c>
      <c r="L62" s="185" t="str">
        <f>IF(OR('CASE DATA'!F63="GTR", 'CASE DATA'!F63="GPL"),IF(OR('CASE DATA'!E63="81.6(2)", 'CASE DATA'!E63="99F.15(6)(b)(1)", 'CASE DATA'!E63= "124.401(1)(a)", 'CASE DATA'!E63= "124.401(1)(b)", 'CASE DATA'!E63= "124.401(1)(c)", 'CASE DATA'!E63= "124.401(1)(d)", 'CASE DATA'!E63="124.401(4)", 'CASE DATA'!E63="124.401(1)(b)", 'CASE DATA'!E63="124.401(1)(c)", 'CASE DATA'!E63="124.401D(2)(b)", 'CASE DATA'!E63="124.401D(2)(c)", 'CASE DATA'!E63="124.406(1)(a)", 'CASE DATA'!E63="124.406(1)(b) ", 'CASE DATA'!E63="124.406(2)(a)", 'CASE DATA'!E63="124.406(2)(b) ", 'CASE DATA'!E63="124.406(3)", 'CASE DATA'!E63="124.406A ", 'CASE DATA'!E63="124.407(2)(a)", 'CASE DATA'!E63="124B.9(1)", 'CASE DATA'!E63="124B.9(2)", 'CASE DATA'!E63="321J.2(2)(c)", 'CASE DATA'!E63="453B.12(2)", 'CASE DATA'!E63="453B.12(3)", 'CASE DATA'!E63="453B.12(4)", 'CASE DATA'!E63="462A.14(2)(c)", 'CASE DATA'!E63="462A.14(2)(d)", 'CASE DATA'!E63="462A.14(2)(e)", 'CASE DATA'!E63="705.1(2)", 'CASE DATA'!E63="706.3(1)", 'CASE DATA'!E63="706.3(2)", 'CASE DATA'!E63="706A.2(1)", 'CASE DATA'!E63="706A.2(2)", 'CASE DATA'!E63="706A.2(4)", 'CASE DATA'!E63="706B.2(1)(a)", 'CASE DATA'!E63="706B.2(1)(b)", 'CASE DATA'!E63="706B.2(1)(c)", 'CASE DATA'!E63="706B.2(1)(d)", 'CASE DATA'!E63="707.2", 'CASE DATA'!E63="707.3", 'CASE DATA'!E63="707.3A", 'CASE DATA'!E63="707.4", 'CASE DATA'!E63="707.5(1)(a)", 'CASE DATA'!E63="707.6A(1)", 'CASE DATA'!E63="707.6A(2)", 'CASE DATA'!E63="707.6A(3)", 'CASE DATA'!E63="707.6A(4)", 'CASE DATA'!E63="707.7(1)", 'CASE DATA'!E63="707.7(3)", 'CASE DATA'!E63="707.7(2)", 'CASE DATA'!E63="707.8(1)", 'CASE DATA'!E63="707.8(2)", 'CASE DATA'!E63="707.8(3)", 'CASE DATA'!E63="707.8(4)", 'CASE DATA'!E63="707.8(5)", 'CASE DATA'!E63="707.8(6)", 'CASE DATA'!E63="707.9", 'CASE DATA'!E63="707.11", 'CASE DATA'!E63="707A.2", 'CASE DATA'!E63="708.2(4)", 'CASE DATA'!E63="708.2(5)", 'CASE DATA'!E63="708.2A(4)", 'CASE DATA'!E63="708.2A(5)", 'CASE DATA'!E63="708.2C(2)", 'CASE DATA'!E63="708.2C(4)", 'CASE DATA'!E63="708.3(1)", 'CASE DATA'!E63="708.3(2)", 'CASE DATA'!E63="708.3A(1)", 'CASE DATA'!E63="708.3A(2)", 'CASE DATA'!E63="708.3B", 'CASE DATA'!E63="708.4(1)", 'CASE DATA'!E63="708.4(2)", 'CASE DATA'!E63="708.5", 'CASE DATA'!E63="708.8", 'CASE DATA'!E63="708.11(3)(a)", 'CASE DATA'!E63="708.11(3)(b)", 'CASE DATA'!E63="708.12(3)(f)", 'CASE DATA'!E63="708.13(3)", 'CASE DATA'!E63="708.14", 'CASE DATA'!E63="708A.2", 'CASE DATA'!E63="708A.4(1)", 'CASE DATA'!E63="708A.4(2)", 'CASE DATA'!E63="708A.5", 'CASE DATA'!E63="708A.6(1)", 'CASE DATA'!E63="708.A.6(2)", 'CASE DATA'!E63="709.2", 'CASE DATA'!E63="709.3", 'CASE DATA'!E63="709.4", 'CASE DATA'!E63="709.8(1)(a)", 'CASE DATA'!E63="709.8(1)(b)", 'CASE DATA'!E63="709.8(1)(c)", 'CASE DATA'!E63="709.8(1)(d)", 'CASE DATA'!E63="709.8(1)(e)", 'CASE DATA'!E63="709.11(1)", 'CASE DATA'!E63="709.11(2)", 'CASE DATA'!E63="709.15(2)(a)(1)", 'CASE DATA'!E63="709.15(3)(a)(1)", 'CASE DATA'!E63="709.18", 'CASE DATA'!E63="709A.6(2)", 'CASE DATA'!E63="709D.3(1)", 'CASE DATA'!E63="709D.3(2)", 'CASE DATA'!E63="709.D.3(3)", 'CASE DATA'!E63="710.2", 'CASE DATA'!E63="710.3", 'CASE DATA'!E63="710.4", 'CASE DATA'!E63="710.5", 'CASE DATA'!E63="710.10(1)", 'CASE DATA'!E63="710.10(2)", 'CASE DATA'!E63="710.10(3)", 'CASE DATA'!E63="710.11", 'CASE DATA'!E63="710A.2(1)", 'CASE DATA'!E63="710A.2(2)", 'CASE DATA'!E63="710A.2(3)", 'CASE DATA'!E63="710A.2(4)", 'CASE DATA'!E63="710A.2(5)", 'CASE DATA'!E63="710A.2(6)", 'CASE DATA'!E63="710A.2(7)", 'CASE DATA'!E63="710A.2A", 'CASE DATA'!E63="711.2", 'CASE DATA'!E63="711.3", 'CASE DATA'!E63="711.4", 'CASE DATA'!E63="712.2", 'CASE DATA'!E63="712.3", 'CASE DATA'!E63="712.6(1)", 'CASE DATA'!E63="712.7", 'CASE DATA'!E63="712.8", 'CASE DATA'!E63="", 'CASE DATA'!E63="713.3", 'CASE DATA'!E63="713.4", 'CASE DATA'!E63="713.5", 'CASE DATA'!E63="713.6", 'CASE DATA'!E63="713.6A(1)", 'CASE DATA'!E63="714.2(1)", 'CASE DATA'!E63="714.2(2)", 'CASE DATA'!E63="714.3A(2)(b)", 'CASE DATA'!E63="714.9", 'CASE DATA'!E63="714.10", 'CASE DATA'!E63="714.26(2)(a)", 'CASE DATA'!E63="714.26(2)(b)", 'CASE DATA'!E63="715A.2(2)(a)", 'CASE DATA'!E63="715A.6(2)(a)", 'CASE DATA'!E63="715A.6(2)(b)", 'CASE DATA'!E63="715A.8(3)(a)", 'CASE DATA'!E63="715A.8(3)(b)", 'CASE DATA'!E63="715A.10(1)", 'CASE DATA'!E63="715A.10(2)", 'CASE DATA'!E63="716.3", 'CASE DATA'!E63="716.4", 'CASE DATA'!E63="716.8(6)", 'CASE DATA'!E63="716.10(2)(a)", 'CASE DATA'!E63="716.10(2)(b)", 'CASE DATA'!E63="716.10(2)(c)", 'CASE DATA'!E63="716.10(2)(d)", 'CASE DATA'!E63="716.12", 'CASE DATA'!E63="719.1(1)(f)", 'CASE DATA'!E63="719.1(2)(e)", 'CASE DATA'!E63="719.1(2)(f)", 'CASE DATA'!E63="719.1(2)(g)", 'CASE DATA'!E63="719.4(1)", 'CASE DATA'!E63="719.4(4)", 'CASE DATA'!E63="719.5(1)", 'CASE DATA'!E63="719.5(2)", 'CASE DATA'!E63="719.6(1)", 'CASE DATA'!E63="719.6(2)", 'CASE DATA'!E63="719.7(4)(a)", 'CASE DATA'!E63="719.7(4)(b)", 'CASE DATA'!E63="719.7A(3)", 'CASE DATA'!E63="719.9", 'CASE DATA'!E63="719.8", 'CASE DATA'!E63="720.2", 'CASE DATA'!E63="720.3", 'CASE DATA'!E63="721.1", 'CASE DATA'!E63="722.1", 'CASE DATA'!E63="", 'CASE DATA'!E63="722.2", 'CASE DATA'!E63="722.10", 'CASE DATA'!E63="723(5)(3)(c)", 'CASE DATA'!E63="723A.2", 'CASE DATA'!E63="723A.3(1)", 'CASE DATA'!E63="723A.3(2)", 'CASE DATA'!E63="724.1B", 'CASE DATA'!E63="724.1C", 'CASE DATA'!E63="724.3", 'CASE DATA'!E63="724.4B", 'CASE DATA'!E63="724.10", 'CASE DATA'!E63="724.16(2)", 'CASE DATA'!E63="724.16A(1)(a)", 'CASE DATA'!E63="724.16A(1)(b)", 'CASE DATA'!E63="724.17", 'CASE DATA'!E63="724.21", 'CASE DATA'!E63="724.26(1)", 'CASE DATA'!E63="922(g)(8)", 'CASE DATA'!E63="724.29A(2)", 'CASE DATA'!E63="724.29A(3)", 'CASE DATA'!E63="724.30(1)", 'CASE DATA'!E63="724.30(2)", 'CASE DATA'!E63="725.1(2)(b)", 'CASE DATA'!E63="725.2(1)", 'CASE DATA'!E63="725.2(2)", 'CASE DATA'!E63="725.3(2)", 'CASE DATA'!E63="725.3(1)", 'CASE DATA'!E63="725.7(2)(a)(3)", 'CASE DATA'!E63="725.7(2)(a)(4)", 'CASE DATA'!E63="725.7(2)(b)(2)", 'CASE DATA'!E63="725.7(2)(b(3)", 'CASE DATA'!E63="726.7(2)(c)(1)", 'CASE DATA'!E63="726.7(2)(c)(2)", 'CASE DATA'!E63="725.7(2)(d)", 'CASE DATA'!E63="726.2", 'CASE DATA'!E63="726.3", 'CASE DATA'!E63="726.5", 'CASE DATA'!E63="726.6(4)", 'CASE DATA'!E63="726.6(5)", 'CASE DATA'!E63="726.6(6)", 'CASE DATA'!E63="726.6A", 'CASE DATA'!E63="726.7(2)", 'CASE DATA'!E63="726.8(2)", 'CASE DATA'!E63="728.12(1)", 'CASE DATA'!E63="728.12(2)"),"felony","eligible"),"N/A")</f>
        <v>N/A</v>
      </c>
      <c r="M62" s="185" t="str">
        <f>IF(L62="eligible",IF(OR('CASE DATA'!E63="123.46",'CASE DATA'!E63="123.47",'CASE DATA'!E63="235B.20",'CASE DATA'!E63="321.218",'CASE DATA'!E63="321A.32",'CASE DATA'!E63="321J.21",'CASE DATA'!E63="321J.2",'CASE DATA'!E63="707.5",'CASE DATA'!E63="708.2(3)",'CASE DATA'!E63="708.2A",'CASE DATA'!E63="708.7",'CASE DATA'!E63="708.11",'CASE DATA'!E63="708.12",'CASE DATA'!E63="716.8(3)",'CASE DATA'!E63="716.8(4)", LEFT('CASE DATA'!E63,4)="717C", LEFT('CASE DATA'!E63, 3)="719", LEFT('CASE DATA'!E63,3)="720", 'CASE DATA'!E63="721.2", 'CASE DATA'!E63="721.10", 'CASE DATA'!E63="723.1", LEFT('CASE DATA'!E63,3)="724", LEFT('CASE DATA'!E63,3)="726", LEFT('CASE DATA'!E63,3)="728", LEFT('CASE DATA'!E63,4)="901A"),"ineligible misd", "eligible"),"N/A")</f>
        <v>N/A</v>
      </c>
      <c r="N62" s="185" t="str">
        <f>IF(L62="eligible",IF(COUNTIF('CASE DATA'!$C$4:$C$200, "")-COUNTIF('CASE DATA'!$A$4:$A$200, "")&gt;0, "YES","NO"),"N/A")</f>
        <v>N/A</v>
      </c>
      <c r="O62" s="185" t="str">
        <f xml:space="preserve"> IF(M62="eligible",'CASE DATA'!K63,"N/A")</f>
        <v>N/A</v>
      </c>
      <c r="P62" s="185" t="str">
        <f xml:space="preserve"> IF(M62="eligible",'CASE DATA'!I63+'CASE DATA'!J63+'CASE DATA'!L63+'CASE DATA'!M63+'CASE DATA'!N63+'CASE DATA'!O63+'CASE DATA'!M63+'CASE DATA'!Q63+'CASE DATA'!R63,"N/A")</f>
        <v>N/A</v>
      </c>
      <c r="Q62" s="11" t="str">
        <f>IF(M62="eligible",IF(C62+730.5&lt;'BASIC INFO'!$B$3, "YES", "NO"),"N/A")</f>
        <v>N/A</v>
      </c>
      <c r="R62" s="186" t="str">
        <f xml:space="preserve"> IF(OR('CASE DATA'!F63="DEF"), "YES", "NO")</f>
        <v>NO</v>
      </c>
      <c r="S62" s="162" t="str">
        <f>IF(R62="YES",'CASE DATA'!H63,"N/A")</f>
        <v>N/A</v>
      </c>
      <c r="T62" s="185" t="str">
        <f xml:space="preserve"> IF(R62="YES",'CASE DATA'!K63,"N/A")</f>
        <v>N/A</v>
      </c>
      <c r="U62" s="185" t="str">
        <f>IF(R62="YES",'CASE DATA'!I63+'CASE DATA'!J63+'CASE DATA'!L63+'CASE DATA'!M63+'CASE DATA'!N63+'CASE DATA'!O63+'CASE DATA'!P63+'CASE DATA'!Q63+'CASE DATA'!R63,"N/A")</f>
        <v>N/A</v>
      </c>
      <c r="V62" s="189" t="str">
        <f>IF(OR('CASE DATA'!E63="123.46",'CASE DATA'!E63="123.47"),"YES","NO")</f>
        <v>NO</v>
      </c>
      <c r="W62" s="189"/>
      <c r="X62" s="185" t="str">
        <f>IF(V62="YES",IF(C62+730.5&lt;'BASIC INFO'!$B$3, "YES","NO"), "N/A")</f>
        <v>N/A</v>
      </c>
      <c r="Y62" s="189" t="str">
        <f t="shared" si="0"/>
        <v>NO</v>
      </c>
      <c r="Z62" s="187" t="str">
        <f xml:space="preserve"> IF('BASIC INFO'!$B$6+6574.5&gt;C62, "YES", "NO")</f>
        <v>YES</v>
      </c>
    </row>
    <row r="63" spans="1:26" x14ac:dyDescent="0.25">
      <c r="A63" s="162">
        <f xml:space="preserve"> 'CASE DATA'!A64</f>
        <v>0</v>
      </c>
      <c r="B63" s="162">
        <f xml:space="preserve"> 'CASE DATA'!E64</f>
        <v>0</v>
      </c>
      <c r="C63" s="163">
        <f xml:space="preserve"> 'CASE DATA'!C64</f>
        <v>0</v>
      </c>
      <c r="D63" s="11" t="str">
        <f xml:space="preserve"> IF(OR('CASE DATA'!F64="JUV", 'CASE DATA'!F64="JWV"), "YES", "NO")</f>
        <v>NO</v>
      </c>
      <c r="E63" s="11"/>
      <c r="F63" s="11" t="str">
        <f>IF(D63="YES",IF(COUNTIF('CASE DATA'!$C$4:$C$200, "")-COUNTIF('CASE DATA'!$A$4:$A$200, "")&gt;0, "YES","NO"),"N/A")</f>
        <v>N/A</v>
      </c>
      <c r="G63" s="164" t="str">
        <f xml:space="preserve"> _xlfn.IFS(D63="NO", "N/A", AND('BASIC INFO'!$B$3&gt;'BASIC INFO'!$B$6+6574.5, C63+730.5&lt;'BASIC INFO'!$B$3), "YES", 'BASIC INFO'!$B$3&lt;('BASIC INFO'!$B$6+6574.5), "NOT YET 18", C63+730.5&gt;'BASIC INFO'!$B$3, "NOT YET 2 YEARS")</f>
        <v>N/A</v>
      </c>
      <c r="H63" s="186" t="str">
        <f xml:space="preserve"> IF(LEFT('CASE DATA'!E64,4)&lt;&gt;"321.",IF(OR('CASE DATA'!F64="DISM", 'CASE DATA'!F64="ACQ", 'CASE DATA'!F64="NOTF", 'CASE DATA'!F64="WTHD", 'CASE DATA'!F64="TNSF"), "YES", "NO"), "TRAFFIC")</f>
        <v>NO</v>
      </c>
      <c r="I63" s="185" t="str">
        <f xml:space="preserve"> IF(H63="YES",'CASE DATA'!K64,"N/A")</f>
        <v>N/A</v>
      </c>
      <c r="J63" s="185" t="str">
        <f>IF(H63="YES",'CASE DATA'!I64+'CASE DATA'!J64+'CASE DATA'!L64+'CASE DATA'!M64+'CASE DATA'!N64+'CASE DATA'!O64+'CASE DATA'!P64+'CASE DATA'!Q64+'CASE DATA'!R64,"N/A")</f>
        <v>N/A</v>
      </c>
      <c r="K63" s="162" t="str">
        <f xml:space="preserve"> IF(H63="YES",IF(C63+180&lt;'BASIC INFO'!$B$3, "YES", "NO"),"N/A")</f>
        <v>N/A</v>
      </c>
      <c r="L63" s="185" t="str">
        <f>IF(OR('CASE DATA'!F64="GTR", 'CASE DATA'!F64="GPL"),IF(OR('CASE DATA'!E64="81.6(2)", 'CASE DATA'!E64="99F.15(6)(b)(1)", 'CASE DATA'!E64= "124.401(1)(a)", 'CASE DATA'!E64= "124.401(1)(b)", 'CASE DATA'!E64= "124.401(1)(c)", 'CASE DATA'!E64= "124.401(1)(d)", 'CASE DATA'!E64="124.401(4)", 'CASE DATA'!E64="124.401(1)(b)", 'CASE DATA'!E64="124.401(1)(c)", 'CASE DATA'!E64="124.401D(2)(b)", 'CASE DATA'!E64="124.401D(2)(c)", 'CASE DATA'!E64="124.406(1)(a)", 'CASE DATA'!E64="124.406(1)(b) ", 'CASE DATA'!E64="124.406(2)(a)", 'CASE DATA'!E64="124.406(2)(b) ", 'CASE DATA'!E64="124.406(3)", 'CASE DATA'!E64="124.406A ", 'CASE DATA'!E64="124.407(2)(a)", 'CASE DATA'!E64="124B.9(1)", 'CASE DATA'!E64="124B.9(2)", 'CASE DATA'!E64="321J.2(2)(c)", 'CASE DATA'!E64="453B.12(2)", 'CASE DATA'!E64="453B.12(3)", 'CASE DATA'!E64="453B.12(4)", 'CASE DATA'!E64="462A.14(2)(c)", 'CASE DATA'!E64="462A.14(2)(d)", 'CASE DATA'!E64="462A.14(2)(e)", 'CASE DATA'!E64="705.1(2)", 'CASE DATA'!E64="706.3(1)", 'CASE DATA'!E64="706.3(2)", 'CASE DATA'!E64="706A.2(1)", 'CASE DATA'!E64="706A.2(2)", 'CASE DATA'!E64="706A.2(4)", 'CASE DATA'!E64="706B.2(1)(a)", 'CASE DATA'!E64="706B.2(1)(b)", 'CASE DATA'!E64="706B.2(1)(c)", 'CASE DATA'!E64="706B.2(1)(d)", 'CASE DATA'!E64="707.2", 'CASE DATA'!E64="707.3", 'CASE DATA'!E64="707.3A", 'CASE DATA'!E64="707.4", 'CASE DATA'!E64="707.5(1)(a)", 'CASE DATA'!E64="707.6A(1)", 'CASE DATA'!E64="707.6A(2)", 'CASE DATA'!E64="707.6A(3)", 'CASE DATA'!E64="707.6A(4)", 'CASE DATA'!E64="707.7(1)", 'CASE DATA'!E64="707.7(3)", 'CASE DATA'!E64="707.7(2)", 'CASE DATA'!E64="707.8(1)", 'CASE DATA'!E64="707.8(2)", 'CASE DATA'!E64="707.8(3)", 'CASE DATA'!E64="707.8(4)", 'CASE DATA'!E64="707.8(5)", 'CASE DATA'!E64="707.8(6)", 'CASE DATA'!E64="707.9", 'CASE DATA'!E64="707.11", 'CASE DATA'!E64="707A.2", 'CASE DATA'!E64="708.2(4)", 'CASE DATA'!E64="708.2(5)", 'CASE DATA'!E64="708.2A(4)", 'CASE DATA'!E64="708.2A(5)", 'CASE DATA'!E64="708.2C(2)", 'CASE DATA'!E64="708.2C(4)", 'CASE DATA'!E64="708.3(1)", 'CASE DATA'!E64="708.3(2)", 'CASE DATA'!E64="708.3A(1)", 'CASE DATA'!E64="708.3A(2)", 'CASE DATA'!E64="708.3B", 'CASE DATA'!E64="708.4(1)", 'CASE DATA'!E64="708.4(2)", 'CASE DATA'!E64="708.5", 'CASE DATA'!E64="708.8", 'CASE DATA'!E64="708.11(3)(a)", 'CASE DATA'!E64="708.11(3)(b)", 'CASE DATA'!E64="708.12(3)(f)", 'CASE DATA'!E64="708.13(3)", 'CASE DATA'!E64="708.14", 'CASE DATA'!E64="708A.2", 'CASE DATA'!E64="708A.4(1)", 'CASE DATA'!E64="708A.4(2)", 'CASE DATA'!E64="708A.5", 'CASE DATA'!E64="708A.6(1)", 'CASE DATA'!E64="708.A.6(2)", 'CASE DATA'!E64="709.2", 'CASE DATA'!E64="709.3", 'CASE DATA'!E64="709.4", 'CASE DATA'!E64="709.8(1)(a)", 'CASE DATA'!E64="709.8(1)(b)", 'CASE DATA'!E64="709.8(1)(c)", 'CASE DATA'!E64="709.8(1)(d)", 'CASE DATA'!E64="709.8(1)(e)", 'CASE DATA'!E64="709.11(1)", 'CASE DATA'!E64="709.11(2)", 'CASE DATA'!E64="709.15(2)(a)(1)", 'CASE DATA'!E64="709.15(3)(a)(1)", 'CASE DATA'!E64="709.18", 'CASE DATA'!E64="709A.6(2)", 'CASE DATA'!E64="709D.3(1)", 'CASE DATA'!E64="709D.3(2)", 'CASE DATA'!E64="709.D.3(3)", 'CASE DATA'!E64="710.2", 'CASE DATA'!E64="710.3", 'CASE DATA'!E64="710.4", 'CASE DATA'!E64="710.5", 'CASE DATA'!E64="710.10(1)", 'CASE DATA'!E64="710.10(2)", 'CASE DATA'!E64="710.10(3)", 'CASE DATA'!E64="710.11", 'CASE DATA'!E64="710A.2(1)", 'CASE DATA'!E64="710A.2(2)", 'CASE DATA'!E64="710A.2(3)", 'CASE DATA'!E64="710A.2(4)", 'CASE DATA'!E64="710A.2(5)", 'CASE DATA'!E64="710A.2(6)", 'CASE DATA'!E64="710A.2(7)", 'CASE DATA'!E64="710A.2A", 'CASE DATA'!E64="711.2", 'CASE DATA'!E64="711.3", 'CASE DATA'!E64="711.4", 'CASE DATA'!E64="712.2", 'CASE DATA'!E64="712.3", 'CASE DATA'!E64="712.6(1)", 'CASE DATA'!E64="712.7", 'CASE DATA'!E64="712.8", 'CASE DATA'!E64="", 'CASE DATA'!E64="713.3", 'CASE DATA'!E64="713.4", 'CASE DATA'!E64="713.5", 'CASE DATA'!E64="713.6", 'CASE DATA'!E64="713.6A(1)", 'CASE DATA'!E64="714.2(1)", 'CASE DATA'!E64="714.2(2)", 'CASE DATA'!E64="714.3A(2)(b)", 'CASE DATA'!E64="714.9", 'CASE DATA'!E64="714.10", 'CASE DATA'!E64="714.26(2)(a)", 'CASE DATA'!E64="714.26(2)(b)", 'CASE DATA'!E64="715A.2(2)(a)", 'CASE DATA'!E64="715A.6(2)(a)", 'CASE DATA'!E64="715A.6(2)(b)", 'CASE DATA'!E64="715A.8(3)(a)", 'CASE DATA'!E64="715A.8(3)(b)", 'CASE DATA'!E64="715A.10(1)", 'CASE DATA'!E64="715A.10(2)", 'CASE DATA'!E64="716.3", 'CASE DATA'!E64="716.4", 'CASE DATA'!E64="716.8(6)", 'CASE DATA'!E64="716.10(2)(a)", 'CASE DATA'!E64="716.10(2)(b)", 'CASE DATA'!E64="716.10(2)(c)", 'CASE DATA'!E64="716.10(2)(d)", 'CASE DATA'!E64="716.12", 'CASE DATA'!E64="719.1(1)(f)", 'CASE DATA'!E64="719.1(2)(e)", 'CASE DATA'!E64="719.1(2)(f)", 'CASE DATA'!E64="719.1(2)(g)", 'CASE DATA'!E64="719.4(1)", 'CASE DATA'!E64="719.4(4)", 'CASE DATA'!E64="719.5(1)", 'CASE DATA'!E64="719.5(2)", 'CASE DATA'!E64="719.6(1)", 'CASE DATA'!E64="719.6(2)", 'CASE DATA'!E64="719.7(4)(a)", 'CASE DATA'!E64="719.7(4)(b)", 'CASE DATA'!E64="719.7A(3)", 'CASE DATA'!E64="719.9", 'CASE DATA'!E64="719.8", 'CASE DATA'!E64="720.2", 'CASE DATA'!E64="720.3", 'CASE DATA'!E64="721.1", 'CASE DATA'!E64="722.1", 'CASE DATA'!E64="", 'CASE DATA'!E64="722.2", 'CASE DATA'!E64="722.10", 'CASE DATA'!E64="723(5)(3)(c)", 'CASE DATA'!E64="723A.2", 'CASE DATA'!E64="723A.3(1)", 'CASE DATA'!E64="723A.3(2)", 'CASE DATA'!E64="724.1B", 'CASE DATA'!E64="724.1C", 'CASE DATA'!E64="724.3", 'CASE DATA'!E64="724.4B", 'CASE DATA'!E64="724.10", 'CASE DATA'!E64="724.16(2)", 'CASE DATA'!E64="724.16A(1)(a)", 'CASE DATA'!E64="724.16A(1)(b)", 'CASE DATA'!E64="724.17", 'CASE DATA'!E64="724.21", 'CASE DATA'!E64="724.26(1)", 'CASE DATA'!E64="922(g)(8)", 'CASE DATA'!E64="724.29A(2)", 'CASE DATA'!E64="724.29A(3)", 'CASE DATA'!E64="724.30(1)", 'CASE DATA'!E64="724.30(2)", 'CASE DATA'!E64="725.1(2)(b)", 'CASE DATA'!E64="725.2(1)", 'CASE DATA'!E64="725.2(2)", 'CASE DATA'!E64="725.3(2)", 'CASE DATA'!E64="725.3(1)", 'CASE DATA'!E64="725.7(2)(a)(3)", 'CASE DATA'!E64="725.7(2)(a)(4)", 'CASE DATA'!E64="725.7(2)(b)(2)", 'CASE DATA'!E64="725.7(2)(b(3)", 'CASE DATA'!E64="726.7(2)(c)(1)", 'CASE DATA'!E64="726.7(2)(c)(2)", 'CASE DATA'!E64="725.7(2)(d)", 'CASE DATA'!E64="726.2", 'CASE DATA'!E64="726.3", 'CASE DATA'!E64="726.5", 'CASE DATA'!E64="726.6(4)", 'CASE DATA'!E64="726.6(5)", 'CASE DATA'!E64="726.6(6)", 'CASE DATA'!E64="726.6A", 'CASE DATA'!E64="726.7(2)", 'CASE DATA'!E64="726.8(2)", 'CASE DATA'!E64="728.12(1)", 'CASE DATA'!E64="728.12(2)"),"felony","eligible"),"N/A")</f>
        <v>N/A</v>
      </c>
      <c r="M63" s="185" t="str">
        <f>IF(L63="eligible",IF(OR('CASE DATA'!E64="123.46",'CASE DATA'!E64="123.47",'CASE DATA'!E64="235B.20",'CASE DATA'!E64="321.218",'CASE DATA'!E64="321A.32",'CASE DATA'!E64="321J.21",'CASE DATA'!E64="321J.2",'CASE DATA'!E64="707.5",'CASE DATA'!E64="708.2(3)",'CASE DATA'!E64="708.2A",'CASE DATA'!E64="708.7",'CASE DATA'!E64="708.11",'CASE DATA'!E64="708.12",'CASE DATA'!E64="716.8(3)",'CASE DATA'!E64="716.8(4)", LEFT('CASE DATA'!E64,4)="717C", LEFT('CASE DATA'!E64, 3)="719", LEFT('CASE DATA'!E64,3)="720", 'CASE DATA'!E64="721.2", 'CASE DATA'!E64="721.10", 'CASE DATA'!E64="723.1", LEFT('CASE DATA'!E64,3)="724", LEFT('CASE DATA'!E64,3)="726", LEFT('CASE DATA'!E64,3)="728", LEFT('CASE DATA'!E64,4)="901A"),"ineligible misd", "eligible"),"N/A")</f>
        <v>N/A</v>
      </c>
      <c r="N63" s="185" t="str">
        <f>IF(L63="eligible",IF(COUNTIF('CASE DATA'!$C$4:$C$200, "")-COUNTIF('CASE DATA'!$A$4:$A$200, "")&gt;0, "YES","NO"),"N/A")</f>
        <v>N/A</v>
      </c>
      <c r="O63" s="185" t="str">
        <f xml:space="preserve"> IF(M63="eligible",'CASE DATA'!K64,"N/A")</f>
        <v>N/A</v>
      </c>
      <c r="P63" s="185" t="str">
        <f xml:space="preserve"> IF(M63="eligible",'CASE DATA'!I64+'CASE DATA'!J64+'CASE DATA'!L64+'CASE DATA'!M64+'CASE DATA'!N64+'CASE DATA'!O64+'CASE DATA'!M64+'CASE DATA'!Q64+'CASE DATA'!R64,"N/A")</f>
        <v>N/A</v>
      </c>
      <c r="Q63" s="11" t="str">
        <f>IF(M63="eligible",IF(C63+730.5&lt;'BASIC INFO'!$B$3, "YES", "NO"),"N/A")</f>
        <v>N/A</v>
      </c>
      <c r="R63" s="186" t="str">
        <f xml:space="preserve"> IF(OR('CASE DATA'!F64="DEF"), "YES", "NO")</f>
        <v>NO</v>
      </c>
      <c r="S63" s="162" t="str">
        <f>IF(R63="YES",'CASE DATA'!H64,"N/A")</f>
        <v>N/A</v>
      </c>
      <c r="T63" s="185" t="str">
        <f xml:space="preserve"> IF(R63="YES",'CASE DATA'!K64,"N/A")</f>
        <v>N/A</v>
      </c>
      <c r="U63" s="185" t="str">
        <f>IF(R63="YES",'CASE DATA'!I64+'CASE DATA'!J64+'CASE DATA'!L64+'CASE DATA'!M64+'CASE DATA'!N64+'CASE DATA'!O64+'CASE DATA'!P64+'CASE DATA'!Q64+'CASE DATA'!R64,"N/A")</f>
        <v>N/A</v>
      </c>
      <c r="V63" s="189" t="str">
        <f>IF(OR('CASE DATA'!E64="123.46",'CASE DATA'!E64="123.47"),"YES","NO")</f>
        <v>NO</v>
      </c>
      <c r="W63" s="189"/>
      <c r="X63" s="185" t="str">
        <f>IF(V63="YES",IF(C63+730.5&lt;'BASIC INFO'!$B$3, "YES","NO"), "N/A")</f>
        <v>N/A</v>
      </c>
      <c r="Y63" s="189" t="str">
        <f t="shared" si="0"/>
        <v>NO</v>
      </c>
      <c r="Z63" s="187" t="str">
        <f xml:space="preserve"> IF('BASIC INFO'!$B$6+6574.5&gt;C63, "YES", "NO")</f>
        <v>YES</v>
      </c>
    </row>
    <row r="64" spans="1:26" x14ac:dyDescent="0.25">
      <c r="A64" s="162">
        <f xml:space="preserve"> 'CASE DATA'!A65</f>
        <v>0</v>
      </c>
      <c r="B64" s="162">
        <f xml:space="preserve"> 'CASE DATA'!E65</f>
        <v>0</v>
      </c>
      <c r="C64" s="163">
        <f xml:space="preserve"> 'CASE DATA'!C65</f>
        <v>0</v>
      </c>
      <c r="D64" s="11" t="str">
        <f xml:space="preserve"> IF(OR('CASE DATA'!F65="JUV", 'CASE DATA'!F65="JWV"), "YES", "NO")</f>
        <v>NO</v>
      </c>
      <c r="E64" s="11"/>
      <c r="F64" s="11" t="str">
        <f>IF(D64="YES",IF(COUNTIF('CASE DATA'!$C$4:$C$200, "")-COUNTIF('CASE DATA'!$A$4:$A$200, "")&gt;0, "YES","NO"),"N/A")</f>
        <v>N/A</v>
      </c>
      <c r="G64" s="164" t="str">
        <f xml:space="preserve"> _xlfn.IFS(D64="NO", "N/A", AND('BASIC INFO'!$B$3&gt;'BASIC INFO'!$B$6+6574.5, C64+730.5&lt;'BASIC INFO'!$B$3), "YES", 'BASIC INFO'!$B$3&lt;('BASIC INFO'!$B$6+6574.5), "NOT YET 18", C64+730.5&gt;'BASIC INFO'!$B$3, "NOT YET 2 YEARS")</f>
        <v>N/A</v>
      </c>
      <c r="H64" s="186" t="str">
        <f xml:space="preserve"> IF(LEFT('CASE DATA'!E65,4)&lt;&gt;"321.",IF(OR('CASE DATA'!F65="DISM", 'CASE DATA'!F65="ACQ", 'CASE DATA'!F65="NOTF", 'CASE DATA'!F65="WTHD", 'CASE DATA'!F65="TNSF"), "YES", "NO"), "TRAFFIC")</f>
        <v>NO</v>
      </c>
      <c r="I64" s="185" t="str">
        <f xml:space="preserve"> IF(H64="YES",'CASE DATA'!K65,"N/A")</f>
        <v>N/A</v>
      </c>
      <c r="J64" s="185" t="str">
        <f>IF(H64="YES",'CASE DATA'!I65+'CASE DATA'!J65+'CASE DATA'!L65+'CASE DATA'!M65+'CASE DATA'!N65+'CASE DATA'!O65+'CASE DATA'!P65+'CASE DATA'!Q65+'CASE DATA'!R65,"N/A")</f>
        <v>N/A</v>
      </c>
      <c r="K64" s="162" t="str">
        <f xml:space="preserve"> IF(H64="YES",IF(C64+180&lt;'BASIC INFO'!$B$3, "YES", "NO"),"N/A")</f>
        <v>N/A</v>
      </c>
      <c r="L64" s="185" t="str">
        <f>IF(OR('CASE DATA'!F65="GTR", 'CASE DATA'!F65="GPL"),IF(OR('CASE DATA'!E65="81.6(2)", 'CASE DATA'!E65="99F.15(6)(b)(1)", 'CASE DATA'!E65= "124.401(1)(a)", 'CASE DATA'!E65= "124.401(1)(b)", 'CASE DATA'!E65= "124.401(1)(c)", 'CASE DATA'!E65= "124.401(1)(d)", 'CASE DATA'!E65="124.401(4)", 'CASE DATA'!E65="124.401(1)(b)", 'CASE DATA'!E65="124.401(1)(c)", 'CASE DATA'!E65="124.401D(2)(b)", 'CASE DATA'!E65="124.401D(2)(c)", 'CASE DATA'!E65="124.406(1)(a)", 'CASE DATA'!E65="124.406(1)(b) ", 'CASE DATA'!E65="124.406(2)(a)", 'CASE DATA'!E65="124.406(2)(b) ", 'CASE DATA'!E65="124.406(3)", 'CASE DATA'!E65="124.406A ", 'CASE DATA'!E65="124.407(2)(a)", 'CASE DATA'!E65="124B.9(1)", 'CASE DATA'!E65="124B.9(2)", 'CASE DATA'!E65="321J.2(2)(c)", 'CASE DATA'!E65="453B.12(2)", 'CASE DATA'!E65="453B.12(3)", 'CASE DATA'!E65="453B.12(4)", 'CASE DATA'!E65="462A.14(2)(c)", 'CASE DATA'!E65="462A.14(2)(d)", 'CASE DATA'!E65="462A.14(2)(e)", 'CASE DATA'!E65="705.1(2)", 'CASE DATA'!E65="706.3(1)", 'CASE DATA'!E65="706.3(2)", 'CASE DATA'!E65="706A.2(1)", 'CASE DATA'!E65="706A.2(2)", 'CASE DATA'!E65="706A.2(4)", 'CASE DATA'!E65="706B.2(1)(a)", 'CASE DATA'!E65="706B.2(1)(b)", 'CASE DATA'!E65="706B.2(1)(c)", 'CASE DATA'!E65="706B.2(1)(d)", 'CASE DATA'!E65="707.2", 'CASE DATA'!E65="707.3", 'CASE DATA'!E65="707.3A", 'CASE DATA'!E65="707.4", 'CASE DATA'!E65="707.5(1)(a)", 'CASE DATA'!E65="707.6A(1)", 'CASE DATA'!E65="707.6A(2)", 'CASE DATA'!E65="707.6A(3)", 'CASE DATA'!E65="707.6A(4)", 'CASE DATA'!E65="707.7(1)", 'CASE DATA'!E65="707.7(3)", 'CASE DATA'!E65="707.7(2)", 'CASE DATA'!E65="707.8(1)", 'CASE DATA'!E65="707.8(2)", 'CASE DATA'!E65="707.8(3)", 'CASE DATA'!E65="707.8(4)", 'CASE DATA'!E65="707.8(5)", 'CASE DATA'!E65="707.8(6)", 'CASE DATA'!E65="707.9", 'CASE DATA'!E65="707.11", 'CASE DATA'!E65="707A.2", 'CASE DATA'!E65="708.2(4)", 'CASE DATA'!E65="708.2(5)", 'CASE DATA'!E65="708.2A(4)", 'CASE DATA'!E65="708.2A(5)", 'CASE DATA'!E65="708.2C(2)", 'CASE DATA'!E65="708.2C(4)", 'CASE DATA'!E65="708.3(1)", 'CASE DATA'!E65="708.3(2)", 'CASE DATA'!E65="708.3A(1)", 'CASE DATA'!E65="708.3A(2)", 'CASE DATA'!E65="708.3B", 'CASE DATA'!E65="708.4(1)", 'CASE DATA'!E65="708.4(2)", 'CASE DATA'!E65="708.5", 'CASE DATA'!E65="708.8", 'CASE DATA'!E65="708.11(3)(a)", 'CASE DATA'!E65="708.11(3)(b)", 'CASE DATA'!E65="708.12(3)(f)", 'CASE DATA'!E65="708.13(3)", 'CASE DATA'!E65="708.14", 'CASE DATA'!E65="708A.2", 'CASE DATA'!E65="708A.4(1)", 'CASE DATA'!E65="708A.4(2)", 'CASE DATA'!E65="708A.5", 'CASE DATA'!E65="708A.6(1)", 'CASE DATA'!E65="708.A.6(2)", 'CASE DATA'!E65="709.2", 'CASE DATA'!E65="709.3", 'CASE DATA'!E65="709.4", 'CASE DATA'!E65="709.8(1)(a)", 'CASE DATA'!E65="709.8(1)(b)", 'CASE DATA'!E65="709.8(1)(c)", 'CASE DATA'!E65="709.8(1)(d)", 'CASE DATA'!E65="709.8(1)(e)", 'CASE DATA'!E65="709.11(1)", 'CASE DATA'!E65="709.11(2)", 'CASE DATA'!E65="709.15(2)(a)(1)", 'CASE DATA'!E65="709.15(3)(a)(1)", 'CASE DATA'!E65="709.18", 'CASE DATA'!E65="709A.6(2)", 'CASE DATA'!E65="709D.3(1)", 'CASE DATA'!E65="709D.3(2)", 'CASE DATA'!E65="709.D.3(3)", 'CASE DATA'!E65="710.2", 'CASE DATA'!E65="710.3", 'CASE DATA'!E65="710.4", 'CASE DATA'!E65="710.5", 'CASE DATA'!E65="710.10(1)", 'CASE DATA'!E65="710.10(2)", 'CASE DATA'!E65="710.10(3)", 'CASE DATA'!E65="710.11", 'CASE DATA'!E65="710A.2(1)", 'CASE DATA'!E65="710A.2(2)", 'CASE DATA'!E65="710A.2(3)", 'CASE DATA'!E65="710A.2(4)", 'CASE DATA'!E65="710A.2(5)", 'CASE DATA'!E65="710A.2(6)", 'CASE DATA'!E65="710A.2(7)", 'CASE DATA'!E65="710A.2A", 'CASE DATA'!E65="711.2", 'CASE DATA'!E65="711.3", 'CASE DATA'!E65="711.4", 'CASE DATA'!E65="712.2", 'CASE DATA'!E65="712.3", 'CASE DATA'!E65="712.6(1)", 'CASE DATA'!E65="712.7", 'CASE DATA'!E65="712.8", 'CASE DATA'!E65="", 'CASE DATA'!E65="713.3", 'CASE DATA'!E65="713.4", 'CASE DATA'!E65="713.5", 'CASE DATA'!E65="713.6", 'CASE DATA'!E65="713.6A(1)", 'CASE DATA'!E65="714.2(1)", 'CASE DATA'!E65="714.2(2)", 'CASE DATA'!E65="714.3A(2)(b)", 'CASE DATA'!E65="714.9", 'CASE DATA'!E65="714.10", 'CASE DATA'!E65="714.26(2)(a)", 'CASE DATA'!E65="714.26(2)(b)", 'CASE DATA'!E65="715A.2(2)(a)", 'CASE DATA'!E65="715A.6(2)(a)", 'CASE DATA'!E65="715A.6(2)(b)", 'CASE DATA'!E65="715A.8(3)(a)", 'CASE DATA'!E65="715A.8(3)(b)", 'CASE DATA'!E65="715A.10(1)", 'CASE DATA'!E65="715A.10(2)", 'CASE DATA'!E65="716.3", 'CASE DATA'!E65="716.4", 'CASE DATA'!E65="716.8(6)", 'CASE DATA'!E65="716.10(2)(a)", 'CASE DATA'!E65="716.10(2)(b)", 'CASE DATA'!E65="716.10(2)(c)", 'CASE DATA'!E65="716.10(2)(d)", 'CASE DATA'!E65="716.12", 'CASE DATA'!E65="719.1(1)(f)", 'CASE DATA'!E65="719.1(2)(e)", 'CASE DATA'!E65="719.1(2)(f)", 'CASE DATA'!E65="719.1(2)(g)", 'CASE DATA'!E65="719.4(1)", 'CASE DATA'!E65="719.4(4)", 'CASE DATA'!E65="719.5(1)", 'CASE DATA'!E65="719.5(2)", 'CASE DATA'!E65="719.6(1)", 'CASE DATA'!E65="719.6(2)", 'CASE DATA'!E65="719.7(4)(a)", 'CASE DATA'!E65="719.7(4)(b)", 'CASE DATA'!E65="719.7A(3)", 'CASE DATA'!E65="719.9", 'CASE DATA'!E65="719.8", 'CASE DATA'!E65="720.2", 'CASE DATA'!E65="720.3", 'CASE DATA'!E65="721.1", 'CASE DATA'!E65="722.1", 'CASE DATA'!E65="", 'CASE DATA'!E65="722.2", 'CASE DATA'!E65="722.10", 'CASE DATA'!E65="723(5)(3)(c)", 'CASE DATA'!E65="723A.2", 'CASE DATA'!E65="723A.3(1)", 'CASE DATA'!E65="723A.3(2)", 'CASE DATA'!E65="724.1B", 'CASE DATA'!E65="724.1C", 'CASE DATA'!E65="724.3", 'CASE DATA'!E65="724.4B", 'CASE DATA'!E65="724.10", 'CASE DATA'!E65="724.16(2)", 'CASE DATA'!E65="724.16A(1)(a)", 'CASE DATA'!E65="724.16A(1)(b)", 'CASE DATA'!E65="724.17", 'CASE DATA'!E65="724.21", 'CASE DATA'!E65="724.26(1)", 'CASE DATA'!E65="922(g)(8)", 'CASE DATA'!E65="724.29A(2)", 'CASE DATA'!E65="724.29A(3)", 'CASE DATA'!E65="724.30(1)", 'CASE DATA'!E65="724.30(2)", 'CASE DATA'!E65="725.1(2)(b)", 'CASE DATA'!E65="725.2(1)", 'CASE DATA'!E65="725.2(2)", 'CASE DATA'!E65="725.3(2)", 'CASE DATA'!E65="725.3(1)", 'CASE DATA'!E65="725.7(2)(a)(3)", 'CASE DATA'!E65="725.7(2)(a)(4)", 'CASE DATA'!E65="725.7(2)(b)(2)", 'CASE DATA'!E65="725.7(2)(b(3)", 'CASE DATA'!E65="726.7(2)(c)(1)", 'CASE DATA'!E65="726.7(2)(c)(2)", 'CASE DATA'!E65="725.7(2)(d)", 'CASE DATA'!E65="726.2", 'CASE DATA'!E65="726.3", 'CASE DATA'!E65="726.5", 'CASE DATA'!E65="726.6(4)", 'CASE DATA'!E65="726.6(5)", 'CASE DATA'!E65="726.6(6)", 'CASE DATA'!E65="726.6A", 'CASE DATA'!E65="726.7(2)", 'CASE DATA'!E65="726.8(2)", 'CASE DATA'!E65="728.12(1)", 'CASE DATA'!E65="728.12(2)"),"felony","eligible"),"N/A")</f>
        <v>N/A</v>
      </c>
      <c r="M64" s="185" t="str">
        <f>IF(L64="eligible",IF(OR('CASE DATA'!E65="123.46",'CASE DATA'!E65="123.47",'CASE DATA'!E65="235B.20",'CASE DATA'!E65="321.218",'CASE DATA'!E65="321A.32",'CASE DATA'!E65="321J.21",'CASE DATA'!E65="321J.2",'CASE DATA'!E65="707.5",'CASE DATA'!E65="708.2(3)",'CASE DATA'!E65="708.2A",'CASE DATA'!E65="708.7",'CASE DATA'!E65="708.11",'CASE DATA'!E65="708.12",'CASE DATA'!E65="716.8(3)",'CASE DATA'!E65="716.8(4)", LEFT('CASE DATA'!E65,4)="717C", LEFT('CASE DATA'!E65, 3)="719", LEFT('CASE DATA'!E65,3)="720", 'CASE DATA'!E65="721.2", 'CASE DATA'!E65="721.10", 'CASE DATA'!E65="723.1", LEFT('CASE DATA'!E65,3)="724", LEFT('CASE DATA'!E65,3)="726", LEFT('CASE DATA'!E65,3)="728", LEFT('CASE DATA'!E65,4)="901A"),"ineligible misd", "eligible"),"N/A")</f>
        <v>N/A</v>
      </c>
      <c r="N64" s="185" t="str">
        <f>IF(L64="eligible",IF(COUNTIF('CASE DATA'!$C$4:$C$200, "")-COUNTIF('CASE DATA'!$A$4:$A$200, "")&gt;0, "YES","NO"),"N/A")</f>
        <v>N/A</v>
      </c>
      <c r="O64" s="185" t="str">
        <f xml:space="preserve"> IF(M64="eligible",'CASE DATA'!K65,"N/A")</f>
        <v>N/A</v>
      </c>
      <c r="P64" s="185" t="str">
        <f xml:space="preserve"> IF(M64="eligible",'CASE DATA'!I65+'CASE DATA'!J65+'CASE DATA'!L65+'CASE DATA'!M65+'CASE DATA'!N65+'CASE DATA'!O65+'CASE DATA'!M65+'CASE DATA'!Q65+'CASE DATA'!R65,"N/A")</f>
        <v>N/A</v>
      </c>
      <c r="Q64" s="11" t="str">
        <f>IF(M64="eligible",IF(C64+730.5&lt;'BASIC INFO'!$B$3, "YES", "NO"),"N/A")</f>
        <v>N/A</v>
      </c>
      <c r="R64" s="186" t="str">
        <f xml:space="preserve"> IF(OR('CASE DATA'!F65="DEF"), "YES", "NO")</f>
        <v>NO</v>
      </c>
      <c r="S64" s="162" t="str">
        <f>IF(R64="YES",'CASE DATA'!H65,"N/A")</f>
        <v>N/A</v>
      </c>
      <c r="T64" s="185" t="str">
        <f xml:space="preserve"> IF(R64="YES",'CASE DATA'!K65,"N/A")</f>
        <v>N/A</v>
      </c>
      <c r="U64" s="185" t="str">
        <f>IF(R64="YES",'CASE DATA'!I65+'CASE DATA'!J65+'CASE DATA'!L65+'CASE DATA'!M65+'CASE DATA'!N65+'CASE DATA'!O65+'CASE DATA'!P65+'CASE DATA'!Q65+'CASE DATA'!R65,"N/A")</f>
        <v>N/A</v>
      </c>
      <c r="V64" s="189" t="str">
        <f>IF(OR('CASE DATA'!E65="123.46",'CASE DATA'!E65="123.47"),"YES","NO")</f>
        <v>NO</v>
      </c>
      <c r="W64" s="189"/>
      <c r="X64" s="185" t="str">
        <f>IF(V64="YES",IF(C64+730.5&lt;'BASIC INFO'!$B$3, "YES","NO"), "N/A")</f>
        <v>N/A</v>
      </c>
      <c r="Y64" s="189" t="str">
        <f t="shared" si="0"/>
        <v>NO</v>
      </c>
      <c r="Z64" s="187" t="str">
        <f xml:space="preserve"> IF('BASIC INFO'!$B$6+6574.5&gt;C64, "YES", "NO")</f>
        <v>YES</v>
      </c>
    </row>
    <row r="65" spans="1:26" x14ac:dyDescent="0.25">
      <c r="A65" s="162">
        <f xml:space="preserve"> 'CASE DATA'!A66</f>
        <v>0</v>
      </c>
      <c r="B65" s="162">
        <f xml:space="preserve"> 'CASE DATA'!E66</f>
        <v>0</v>
      </c>
      <c r="C65" s="163">
        <f xml:space="preserve"> 'CASE DATA'!C66</f>
        <v>0</v>
      </c>
      <c r="D65" s="11" t="str">
        <f xml:space="preserve"> IF(OR('CASE DATA'!F66="JUV", 'CASE DATA'!F66="JWV"), "YES", "NO")</f>
        <v>NO</v>
      </c>
      <c r="E65" s="11"/>
      <c r="F65" s="11" t="str">
        <f>IF(D65="YES",IF(COUNTIF('CASE DATA'!$C$4:$C$200, "")-COUNTIF('CASE DATA'!$A$4:$A$200, "")&gt;0, "YES","NO"),"N/A")</f>
        <v>N/A</v>
      </c>
      <c r="G65" s="164" t="str">
        <f xml:space="preserve"> _xlfn.IFS(D65="NO", "N/A", AND('BASIC INFO'!$B$3&gt;'BASIC INFO'!$B$6+6574.5, C65+730.5&lt;'BASIC INFO'!$B$3), "YES", 'BASIC INFO'!$B$3&lt;('BASIC INFO'!$B$6+6574.5), "NOT YET 18", C65+730.5&gt;'BASIC INFO'!$B$3, "NOT YET 2 YEARS")</f>
        <v>N/A</v>
      </c>
      <c r="H65" s="186" t="str">
        <f xml:space="preserve"> IF(LEFT('CASE DATA'!E66,4)&lt;&gt;"321.",IF(OR('CASE DATA'!F66="DISM", 'CASE DATA'!F66="ACQ", 'CASE DATA'!F66="NOTF", 'CASE DATA'!F66="WTHD", 'CASE DATA'!F66="TNSF"), "YES", "NO"), "TRAFFIC")</f>
        <v>NO</v>
      </c>
      <c r="I65" s="185" t="str">
        <f xml:space="preserve"> IF(H65="YES",'CASE DATA'!K66,"N/A")</f>
        <v>N/A</v>
      </c>
      <c r="J65" s="185" t="str">
        <f>IF(H65="YES",'CASE DATA'!I66+'CASE DATA'!J66+'CASE DATA'!L66+'CASE DATA'!M66+'CASE DATA'!N66+'CASE DATA'!O66+'CASE DATA'!P66+'CASE DATA'!Q66+'CASE DATA'!R66,"N/A")</f>
        <v>N/A</v>
      </c>
      <c r="K65" s="162" t="str">
        <f xml:space="preserve"> IF(H65="YES",IF(C65+180&lt;'BASIC INFO'!$B$3, "YES", "NO"),"N/A")</f>
        <v>N/A</v>
      </c>
      <c r="L65" s="185" t="str">
        <f>IF(OR('CASE DATA'!F66="GTR", 'CASE DATA'!F66="GPL"),IF(OR('CASE DATA'!E66="81.6(2)", 'CASE DATA'!E66="99F.15(6)(b)(1)", 'CASE DATA'!E66= "124.401(1)(a)", 'CASE DATA'!E66= "124.401(1)(b)", 'CASE DATA'!E66= "124.401(1)(c)", 'CASE DATA'!E66= "124.401(1)(d)", 'CASE DATA'!E66="124.401(4)", 'CASE DATA'!E66="124.401(1)(b)", 'CASE DATA'!E66="124.401(1)(c)", 'CASE DATA'!E66="124.401D(2)(b)", 'CASE DATA'!E66="124.401D(2)(c)", 'CASE DATA'!E66="124.406(1)(a)", 'CASE DATA'!E66="124.406(1)(b) ", 'CASE DATA'!E66="124.406(2)(a)", 'CASE DATA'!E66="124.406(2)(b) ", 'CASE DATA'!E66="124.406(3)", 'CASE DATA'!E66="124.406A ", 'CASE DATA'!E66="124.407(2)(a)", 'CASE DATA'!E66="124B.9(1)", 'CASE DATA'!E66="124B.9(2)", 'CASE DATA'!E66="321J.2(2)(c)", 'CASE DATA'!E66="453B.12(2)", 'CASE DATA'!E66="453B.12(3)", 'CASE DATA'!E66="453B.12(4)", 'CASE DATA'!E66="462A.14(2)(c)", 'CASE DATA'!E66="462A.14(2)(d)", 'CASE DATA'!E66="462A.14(2)(e)", 'CASE DATA'!E66="705.1(2)", 'CASE DATA'!E66="706.3(1)", 'CASE DATA'!E66="706.3(2)", 'CASE DATA'!E66="706A.2(1)", 'CASE DATA'!E66="706A.2(2)", 'CASE DATA'!E66="706A.2(4)", 'CASE DATA'!E66="706B.2(1)(a)", 'CASE DATA'!E66="706B.2(1)(b)", 'CASE DATA'!E66="706B.2(1)(c)", 'CASE DATA'!E66="706B.2(1)(d)", 'CASE DATA'!E66="707.2", 'CASE DATA'!E66="707.3", 'CASE DATA'!E66="707.3A", 'CASE DATA'!E66="707.4", 'CASE DATA'!E66="707.5(1)(a)", 'CASE DATA'!E66="707.6A(1)", 'CASE DATA'!E66="707.6A(2)", 'CASE DATA'!E66="707.6A(3)", 'CASE DATA'!E66="707.6A(4)", 'CASE DATA'!E66="707.7(1)", 'CASE DATA'!E66="707.7(3)", 'CASE DATA'!E66="707.7(2)", 'CASE DATA'!E66="707.8(1)", 'CASE DATA'!E66="707.8(2)", 'CASE DATA'!E66="707.8(3)", 'CASE DATA'!E66="707.8(4)", 'CASE DATA'!E66="707.8(5)", 'CASE DATA'!E66="707.8(6)", 'CASE DATA'!E66="707.9", 'CASE DATA'!E66="707.11", 'CASE DATA'!E66="707A.2", 'CASE DATA'!E66="708.2(4)", 'CASE DATA'!E66="708.2(5)", 'CASE DATA'!E66="708.2A(4)", 'CASE DATA'!E66="708.2A(5)", 'CASE DATA'!E66="708.2C(2)", 'CASE DATA'!E66="708.2C(4)", 'CASE DATA'!E66="708.3(1)", 'CASE DATA'!E66="708.3(2)", 'CASE DATA'!E66="708.3A(1)", 'CASE DATA'!E66="708.3A(2)", 'CASE DATA'!E66="708.3B", 'CASE DATA'!E66="708.4(1)", 'CASE DATA'!E66="708.4(2)", 'CASE DATA'!E66="708.5", 'CASE DATA'!E66="708.8", 'CASE DATA'!E66="708.11(3)(a)", 'CASE DATA'!E66="708.11(3)(b)", 'CASE DATA'!E66="708.12(3)(f)", 'CASE DATA'!E66="708.13(3)", 'CASE DATA'!E66="708.14", 'CASE DATA'!E66="708A.2", 'CASE DATA'!E66="708A.4(1)", 'CASE DATA'!E66="708A.4(2)", 'CASE DATA'!E66="708A.5", 'CASE DATA'!E66="708A.6(1)", 'CASE DATA'!E66="708.A.6(2)", 'CASE DATA'!E66="709.2", 'CASE DATA'!E66="709.3", 'CASE DATA'!E66="709.4", 'CASE DATA'!E66="709.8(1)(a)", 'CASE DATA'!E66="709.8(1)(b)", 'CASE DATA'!E66="709.8(1)(c)", 'CASE DATA'!E66="709.8(1)(d)", 'CASE DATA'!E66="709.8(1)(e)", 'CASE DATA'!E66="709.11(1)", 'CASE DATA'!E66="709.11(2)", 'CASE DATA'!E66="709.15(2)(a)(1)", 'CASE DATA'!E66="709.15(3)(a)(1)", 'CASE DATA'!E66="709.18", 'CASE DATA'!E66="709A.6(2)", 'CASE DATA'!E66="709D.3(1)", 'CASE DATA'!E66="709D.3(2)", 'CASE DATA'!E66="709.D.3(3)", 'CASE DATA'!E66="710.2", 'CASE DATA'!E66="710.3", 'CASE DATA'!E66="710.4", 'CASE DATA'!E66="710.5", 'CASE DATA'!E66="710.10(1)", 'CASE DATA'!E66="710.10(2)", 'CASE DATA'!E66="710.10(3)", 'CASE DATA'!E66="710.11", 'CASE DATA'!E66="710A.2(1)", 'CASE DATA'!E66="710A.2(2)", 'CASE DATA'!E66="710A.2(3)", 'CASE DATA'!E66="710A.2(4)", 'CASE DATA'!E66="710A.2(5)", 'CASE DATA'!E66="710A.2(6)", 'CASE DATA'!E66="710A.2(7)", 'CASE DATA'!E66="710A.2A", 'CASE DATA'!E66="711.2", 'CASE DATA'!E66="711.3", 'CASE DATA'!E66="711.4", 'CASE DATA'!E66="712.2", 'CASE DATA'!E66="712.3", 'CASE DATA'!E66="712.6(1)", 'CASE DATA'!E66="712.7", 'CASE DATA'!E66="712.8", 'CASE DATA'!E66="", 'CASE DATA'!E66="713.3", 'CASE DATA'!E66="713.4", 'CASE DATA'!E66="713.5", 'CASE DATA'!E66="713.6", 'CASE DATA'!E66="713.6A(1)", 'CASE DATA'!E66="714.2(1)", 'CASE DATA'!E66="714.2(2)", 'CASE DATA'!E66="714.3A(2)(b)", 'CASE DATA'!E66="714.9", 'CASE DATA'!E66="714.10", 'CASE DATA'!E66="714.26(2)(a)", 'CASE DATA'!E66="714.26(2)(b)", 'CASE DATA'!E66="715A.2(2)(a)", 'CASE DATA'!E66="715A.6(2)(a)", 'CASE DATA'!E66="715A.6(2)(b)", 'CASE DATA'!E66="715A.8(3)(a)", 'CASE DATA'!E66="715A.8(3)(b)", 'CASE DATA'!E66="715A.10(1)", 'CASE DATA'!E66="715A.10(2)", 'CASE DATA'!E66="716.3", 'CASE DATA'!E66="716.4", 'CASE DATA'!E66="716.8(6)", 'CASE DATA'!E66="716.10(2)(a)", 'CASE DATA'!E66="716.10(2)(b)", 'CASE DATA'!E66="716.10(2)(c)", 'CASE DATA'!E66="716.10(2)(d)", 'CASE DATA'!E66="716.12", 'CASE DATA'!E66="719.1(1)(f)", 'CASE DATA'!E66="719.1(2)(e)", 'CASE DATA'!E66="719.1(2)(f)", 'CASE DATA'!E66="719.1(2)(g)", 'CASE DATA'!E66="719.4(1)", 'CASE DATA'!E66="719.4(4)", 'CASE DATA'!E66="719.5(1)", 'CASE DATA'!E66="719.5(2)", 'CASE DATA'!E66="719.6(1)", 'CASE DATA'!E66="719.6(2)", 'CASE DATA'!E66="719.7(4)(a)", 'CASE DATA'!E66="719.7(4)(b)", 'CASE DATA'!E66="719.7A(3)", 'CASE DATA'!E66="719.9", 'CASE DATA'!E66="719.8", 'CASE DATA'!E66="720.2", 'CASE DATA'!E66="720.3", 'CASE DATA'!E66="721.1", 'CASE DATA'!E66="722.1", 'CASE DATA'!E66="", 'CASE DATA'!E66="722.2", 'CASE DATA'!E66="722.10", 'CASE DATA'!E66="723(5)(3)(c)", 'CASE DATA'!E66="723A.2", 'CASE DATA'!E66="723A.3(1)", 'CASE DATA'!E66="723A.3(2)", 'CASE DATA'!E66="724.1B", 'CASE DATA'!E66="724.1C", 'CASE DATA'!E66="724.3", 'CASE DATA'!E66="724.4B", 'CASE DATA'!E66="724.10", 'CASE DATA'!E66="724.16(2)", 'CASE DATA'!E66="724.16A(1)(a)", 'CASE DATA'!E66="724.16A(1)(b)", 'CASE DATA'!E66="724.17", 'CASE DATA'!E66="724.21", 'CASE DATA'!E66="724.26(1)", 'CASE DATA'!E66="922(g)(8)", 'CASE DATA'!E66="724.29A(2)", 'CASE DATA'!E66="724.29A(3)", 'CASE DATA'!E66="724.30(1)", 'CASE DATA'!E66="724.30(2)", 'CASE DATA'!E66="725.1(2)(b)", 'CASE DATA'!E66="725.2(1)", 'CASE DATA'!E66="725.2(2)", 'CASE DATA'!E66="725.3(2)", 'CASE DATA'!E66="725.3(1)", 'CASE DATA'!E66="725.7(2)(a)(3)", 'CASE DATA'!E66="725.7(2)(a)(4)", 'CASE DATA'!E66="725.7(2)(b)(2)", 'CASE DATA'!E66="725.7(2)(b(3)", 'CASE DATA'!E66="726.7(2)(c)(1)", 'CASE DATA'!E66="726.7(2)(c)(2)", 'CASE DATA'!E66="725.7(2)(d)", 'CASE DATA'!E66="726.2", 'CASE DATA'!E66="726.3", 'CASE DATA'!E66="726.5", 'CASE DATA'!E66="726.6(4)", 'CASE DATA'!E66="726.6(5)", 'CASE DATA'!E66="726.6(6)", 'CASE DATA'!E66="726.6A", 'CASE DATA'!E66="726.7(2)", 'CASE DATA'!E66="726.8(2)", 'CASE DATA'!E66="728.12(1)", 'CASE DATA'!E66="728.12(2)"),"felony","eligible"),"N/A")</f>
        <v>N/A</v>
      </c>
      <c r="M65" s="185" t="str">
        <f>IF(L65="eligible",IF(OR('CASE DATA'!E66="123.46",'CASE DATA'!E66="123.47",'CASE DATA'!E66="235B.20",'CASE DATA'!E66="321.218",'CASE DATA'!E66="321A.32",'CASE DATA'!E66="321J.21",'CASE DATA'!E66="321J.2",'CASE DATA'!E66="707.5",'CASE DATA'!E66="708.2(3)",'CASE DATA'!E66="708.2A",'CASE DATA'!E66="708.7",'CASE DATA'!E66="708.11",'CASE DATA'!E66="708.12",'CASE DATA'!E66="716.8(3)",'CASE DATA'!E66="716.8(4)", LEFT('CASE DATA'!E66,4)="717C", LEFT('CASE DATA'!E66, 3)="719", LEFT('CASE DATA'!E66,3)="720", 'CASE DATA'!E66="721.2", 'CASE DATA'!E66="721.10", 'CASE DATA'!E66="723.1", LEFT('CASE DATA'!E66,3)="724", LEFT('CASE DATA'!E66,3)="726", LEFT('CASE DATA'!E66,3)="728", LEFT('CASE DATA'!E66,4)="901A"),"ineligible misd", "eligible"),"N/A")</f>
        <v>N/A</v>
      </c>
      <c r="N65" s="185" t="str">
        <f>IF(L65="eligible",IF(COUNTIF('CASE DATA'!$C$4:$C$200, "")-COUNTIF('CASE DATA'!$A$4:$A$200, "")&gt;0, "YES","NO"),"N/A")</f>
        <v>N/A</v>
      </c>
      <c r="O65" s="185" t="str">
        <f xml:space="preserve"> IF(M65="eligible",'CASE DATA'!K66,"N/A")</f>
        <v>N/A</v>
      </c>
      <c r="P65" s="185" t="str">
        <f xml:space="preserve"> IF(M65="eligible",'CASE DATA'!I66+'CASE DATA'!J66+'CASE DATA'!L66+'CASE DATA'!M66+'CASE DATA'!N66+'CASE DATA'!O66+'CASE DATA'!M66+'CASE DATA'!Q66+'CASE DATA'!R66,"N/A")</f>
        <v>N/A</v>
      </c>
      <c r="Q65" s="11" t="str">
        <f>IF(M65="eligible",IF(C65+730.5&lt;'BASIC INFO'!$B$3, "YES", "NO"),"N/A")</f>
        <v>N/A</v>
      </c>
      <c r="R65" s="186" t="str">
        <f xml:space="preserve"> IF(OR('CASE DATA'!F66="DEF"), "YES", "NO")</f>
        <v>NO</v>
      </c>
      <c r="S65" s="162" t="str">
        <f>IF(R65="YES",'CASE DATA'!H66,"N/A")</f>
        <v>N/A</v>
      </c>
      <c r="T65" s="185" t="str">
        <f xml:space="preserve"> IF(R65="YES",'CASE DATA'!K66,"N/A")</f>
        <v>N/A</v>
      </c>
      <c r="U65" s="185" t="str">
        <f>IF(R65="YES",'CASE DATA'!I66+'CASE DATA'!J66+'CASE DATA'!L66+'CASE DATA'!M66+'CASE DATA'!N66+'CASE DATA'!O66+'CASE DATA'!P66+'CASE DATA'!Q66+'CASE DATA'!R66,"N/A")</f>
        <v>N/A</v>
      </c>
      <c r="V65" s="189" t="str">
        <f>IF(OR('CASE DATA'!E66="123.46",'CASE DATA'!E66="123.47"),"YES","NO")</f>
        <v>NO</v>
      </c>
      <c r="W65" s="189"/>
      <c r="X65" s="185" t="str">
        <f>IF(V65="YES",IF(C65+730.5&lt;'BASIC INFO'!$B$3, "YES","NO"), "N/A")</f>
        <v>N/A</v>
      </c>
      <c r="Y65" s="189" t="str">
        <f t="shared" si="0"/>
        <v>NO</v>
      </c>
      <c r="Z65" s="187" t="str">
        <f xml:space="preserve"> IF('BASIC INFO'!$B$6+6574.5&gt;C65, "YES", "NO")</f>
        <v>YES</v>
      </c>
    </row>
    <row r="66" spans="1:26" x14ac:dyDescent="0.25">
      <c r="A66" s="162">
        <f xml:space="preserve"> 'CASE DATA'!A67</f>
        <v>0</v>
      </c>
      <c r="B66" s="162">
        <f xml:space="preserve"> 'CASE DATA'!E67</f>
        <v>0</v>
      </c>
      <c r="C66" s="163">
        <f xml:space="preserve"> 'CASE DATA'!C67</f>
        <v>0</v>
      </c>
      <c r="D66" s="11" t="str">
        <f xml:space="preserve"> IF(OR('CASE DATA'!F67="JUV", 'CASE DATA'!F67="JWV"), "YES", "NO")</f>
        <v>NO</v>
      </c>
      <c r="E66" s="11"/>
      <c r="F66" s="11" t="str">
        <f>IF(D66="YES",IF(COUNTIF('CASE DATA'!$C$4:$C$200, "")-COUNTIF('CASE DATA'!$A$4:$A$200, "")&gt;0, "YES","NO"),"N/A")</f>
        <v>N/A</v>
      </c>
      <c r="G66" s="164" t="str">
        <f xml:space="preserve"> _xlfn.IFS(D66="NO", "N/A", AND('BASIC INFO'!$B$3&gt;'BASIC INFO'!$B$6+6574.5, C66+730.5&lt;'BASIC INFO'!$B$3), "YES", 'BASIC INFO'!$B$3&lt;('BASIC INFO'!$B$6+6574.5), "NOT YET 18", C66+730.5&gt;'BASIC INFO'!$B$3, "NOT YET 2 YEARS")</f>
        <v>N/A</v>
      </c>
      <c r="H66" s="186" t="str">
        <f xml:space="preserve"> IF(LEFT('CASE DATA'!E67,4)&lt;&gt;"321.",IF(OR('CASE DATA'!F67="DISM", 'CASE DATA'!F67="ACQ", 'CASE DATA'!F67="NOTF", 'CASE DATA'!F67="WTHD", 'CASE DATA'!F67="TNSF"), "YES", "NO"), "TRAFFIC")</f>
        <v>NO</v>
      </c>
      <c r="I66" s="185" t="str">
        <f xml:space="preserve"> IF(H66="YES",'CASE DATA'!K67,"N/A")</f>
        <v>N/A</v>
      </c>
      <c r="J66" s="185" t="str">
        <f>IF(H66="YES",'CASE DATA'!I67+'CASE DATA'!J67+'CASE DATA'!L67+'CASE DATA'!M67+'CASE DATA'!N67+'CASE DATA'!O67+'CASE DATA'!P67+'CASE DATA'!Q67+'CASE DATA'!R67,"N/A")</f>
        <v>N/A</v>
      </c>
      <c r="K66" s="162" t="str">
        <f xml:space="preserve"> IF(H66="YES",IF(C66+180&lt;'BASIC INFO'!$B$3, "YES", "NO"),"N/A")</f>
        <v>N/A</v>
      </c>
      <c r="L66" s="185" t="str">
        <f>IF(OR('CASE DATA'!F67="GTR", 'CASE DATA'!F67="GPL"),IF(OR('CASE DATA'!E67="81.6(2)", 'CASE DATA'!E67="99F.15(6)(b)(1)", 'CASE DATA'!E67= "124.401(1)(a)", 'CASE DATA'!E67= "124.401(1)(b)", 'CASE DATA'!E67= "124.401(1)(c)", 'CASE DATA'!E67= "124.401(1)(d)", 'CASE DATA'!E67="124.401(4)", 'CASE DATA'!E67="124.401(1)(b)", 'CASE DATA'!E67="124.401(1)(c)", 'CASE DATA'!E67="124.401D(2)(b)", 'CASE DATA'!E67="124.401D(2)(c)", 'CASE DATA'!E67="124.406(1)(a)", 'CASE DATA'!E67="124.406(1)(b) ", 'CASE DATA'!E67="124.406(2)(a)", 'CASE DATA'!E67="124.406(2)(b) ", 'CASE DATA'!E67="124.406(3)", 'CASE DATA'!E67="124.406A ", 'CASE DATA'!E67="124.407(2)(a)", 'CASE DATA'!E67="124B.9(1)", 'CASE DATA'!E67="124B.9(2)", 'CASE DATA'!E67="321J.2(2)(c)", 'CASE DATA'!E67="453B.12(2)", 'CASE DATA'!E67="453B.12(3)", 'CASE DATA'!E67="453B.12(4)", 'CASE DATA'!E67="462A.14(2)(c)", 'CASE DATA'!E67="462A.14(2)(d)", 'CASE DATA'!E67="462A.14(2)(e)", 'CASE DATA'!E67="705.1(2)", 'CASE DATA'!E67="706.3(1)", 'CASE DATA'!E67="706.3(2)", 'CASE DATA'!E67="706A.2(1)", 'CASE DATA'!E67="706A.2(2)", 'CASE DATA'!E67="706A.2(4)", 'CASE DATA'!E67="706B.2(1)(a)", 'CASE DATA'!E67="706B.2(1)(b)", 'CASE DATA'!E67="706B.2(1)(c)", 'CASE DATA'!E67="706B.2(1)(d)", 'CASE DATA'!E67="707.2", 'CASE DATA'!E67="707.3", 'CASE DATA'!E67="707.3A", 'CASE DATA'!E67="707.4", 'CASE DATA'!E67="707.5(1)(a)", 'CASE DATA'!E67="707.6A(1)", 'CASE DATA'!E67="707.6A(2)", 'CASE DATA'!E67="707.6A(3)", 'CASE DATA'!E67="707.6A(4)", 'CASE DATA'!E67="707.7(1)", 'CASE DATA'!E67="707.7(3)", 'CASE DATA'!E67="707.7(2)", 'CASE DATA'!E67="707.8(1)", 'CASE DATA'!E67="707.8(2)", 'CASE DATA'!E67="707.8(3)", 'CASE DATA'!E67="707.8(4)", 'CASE DATA'!E67="707.8(5)", 'CASE DATA'!E67="707.8(6)", 'CASE DATA'!E67="707.9", 'CASE DATA'!E67="707.11", 'CASE DATA'!E67="707A.2", 'CASE DATA'!E67="708.2(4)", 'CASE DATA'!E67="708.2(5)", 'CASE DATA'!E67="708.2A(4)", 'CASE DATA'!E67="708.2A(5)", 'CASE DATA'!E67="708.2C(2)", 'CASE DATA'!E67="708.2C(4)", 'CASE DATA'!E67="708.3(1)", 'CASE DATA'!E67="708.3(2)", 'CASE DATA'!E67="708.3A(1)", 'CASE DATA'!E67="708.3A(2)", 'CASE DATA'!E67="708.3B", 'CASE DATA'!E67="708.4(1)", 'CASE DATA'!E67="708.4(2)", 'CASE DATA'!E67="708.5", 'CASE DATA'!E67="708.8", 'CASE DATA'!E67="708.11(3)(a)", 'CASE DATA'!E67="708.11(3)(b)", 'CASE DATA'!E67="708.12(3)(f)", 'CASE DATA'!E67="708.13(3)", 'CASE DATA'!E67="708.14", 'CASE DATA'!E67="708A.2", 'CASE DATA'!E67="708A.4(1)", 'CASE DATA'!E67="708A.4(2)", 'CASE DATA'!E67="708A.5", 'CASE DATA'!E67="708A.6(1)", 'CASE DATA'!E67="708.A.6(2)", 'CASE DATA'!E67="709.2", 'CASE DATA'!E67="709.3", 'CASE DATA'!E67="709.4", 'CASE DATA'!E67="709.8(1)(a)", 'CASE DATA'!E67="709.8(1)(b)", 'CASE DATA'!E67="709.8(1)(c)", 'CASE DATA'!E67="709.8(1)(d)", 'CASE DATA'!E67="709.8(1)(e)", 'CASE DATA'!E67="709.11(1)", 'CASE DATA'!E67="709.11(2)", 'CASE DATA'!E67="709.15(2)(a)(1)", 'CASE DATA'!E67="709.15(3)(a)(1)", 'CASE DATA'!E67="709.18", 'CASE DATA'!E67="709A.6(2)", 'CASE DATA'!E67="709D.3(1)", 'CASE DATA'!E67="709D.3(2)", 'CASE DATA'!E67="709.D.3(3)", 'CASE DATA'!E67="710.2", 'CASE DATA'!E67="710.3", 'CASE DATA'!E67="710.4", 'CASE DATA'!E67="710.5", 'CASE DATA'!E67="710.10(1)", 'CASE DATA'!E67="710.10(2)", 'CASE DATA'!E67="710.10(3)", 'CASE DATA'!E67="710.11", 'CASE DATA'!E67="710A.2(1)", 'CASE DATA'!E67="710A.2(2)", 'CASE DATA'!E67="710A.2(3)", 'CASE DATA'!E67="710A.2(4)", 'CASE DATA'!E67="710A.2(5)", 'CASE DATA'!E67="710A.2(6)", 'CASE DATA'!E67="710A.2(7)", 'CASE DATA'!E67="710A.2A", 'CASE DATA'!E67="711.2", 'CASE DATA'!E67="711.3", 'CASE DATA'!E67="711.4", 'CASE DATA'!E67="712.2", 'CASE DATA'!E67="712.3", 'CASE DATA'!E67="712.6(1)", 'CASE DATA'!E67="712.7", 'CASE DATA'!E67="712.8", 'CASE DATA'!E67="", 'CASE DATA'!E67="713.3", 'CASE DATA'!E67="713.4", 'CASE DATA'!E67="713.5", 'CASE DATA'!E67="713.6", 'CASE DATA'!E67="713.6A(1)", 'CASE DATA'!E67="714.2(1)", 'CASE DATA'!E67="714.2(2)", 'CASE DATA'!E67="714.3A(2)(b)", 'CASE DATA'!E67="714.9", 'CASE DATA'!E67="714.10", 'CASE DATA'!E67="714.26(2)(a)", 'CASE DATA'!E67="714.26(2)(b)", 'CASE DATA'!E67="715A.2(2)(a)", 'CASE DATA'!E67="715A.6(2)(a)", 'CASE DATA'!E67="715A.6(2)(b)", 'CASE DATA'!E67="715A.8(3)(a)", 'CASE DATA'!E67="715A.8(3)(b)", 'CASE DATA'!E67="715A.10(1)", 'CASE DATA'!E67="715A.10(2)", 'CASE DATA'!E67="716.3", 'CASE DATA'!E67="716.4", 'CASE DATA'!E67="716.8(6)", 'CASE DATA'!E67="716.10(2)(a)", 'CASE DATA'!E67="716.10(2)(b)", 'CASE DATA'!E67="716.10(2)(c)", 'CASE DATA'!E67="716.10(2)(d)", 'CASE DATA'!E67="716.12", 'CASE DATA'!E67="719.1(1)(f)", 'CASE DATA'!E67="719.1(2)(e)", 'CASE DATA'!E67="719.1(2)(f)", 'CASE DATA'!E67="719.1(2)(g)", 'CASE DATA'!E67="719.4(1)", 'CASE DATA'!E67="719.4(4)", 'CASE DATA'!E67="719.5(1)", 'CASE DATA'!E67="719.5(2)", 'CASE DATA'!E67="719.6(1)", 'CASE DATA'!E67="719.6(2)", 'CASE DATA'!E67="719.7(4)(a)", 'CASE DATA'!E67="719.7(4)(b)", 'CASE DATA'!E67="719.7A(3)", 'CASE DATA'!E67="719.9", 'CASE DATA'!E67="719.8", 'CASE DATA'!E67="720.2", 'CASE DATA'!E67="720.3", 'CASE DATA'!E67="721.1", 'CASE DATA'!E67="722.1", 'CASE DATA'!E67="", 'CASE DATA'!E67="722.2", 'CASE DATA'!E67="722.10", 'CASE DATA'!E67="723(5)(3)(c)", 'CASE DATA'!E67="723A.2", 'CASE DATA'!E67="723A.3(1)", 'CASE DATA'!E67="723A.3(2)", 'CASE DATA'!E67="724.1B", 'CASE DATA'!E67="724.1C", 'CASE DATA'!E67="724.3", 'CASE DATA'!E67="724.4B", 'CASE DATA'!E67="724.10", 'CASE DATA'!E67="724.16(2)", 'CASE DATA'!E67="724.16A(1)(a)", 'CASE DATA'!E67="724.16A(1)(b)", 'CASE DATA'!E67="724.17", 'CASE DATA'!E67="724.21", 'CASE DATA'!E67="724.26(1)", 'CASE DATA'!E67="922(g)(8)", 'CASE DATA'!E67="724.29A(2)", 'CASE DATA'!E67="724.29A(3)", 'CASE DATA'!E67="724.30(1)", 'CASE DATA'!E67="724.30(2)", 'CASE DATA'!E67="725.1(2)(b)", 'CASE DATA'!E67="725.2(1)", 'CASE DATA'!E67="725.2(2)", 'CASE DATA'!E67="725.3(2)", 'CASE DATA'!E67="725.3(1)", 'CASE DATA'!E67="725.7(2)(a)(3)", 'CASE DATA'!E67="725.7(2)(a)(4)", 'CASE DATA'!E67="725.7(2)(b)(2)", 'CASE DATA'!E67="725.7(2)(b(3)", 'CASE DATA'!E67="726.7(2)(c)(1)", 'CASE DATA'!E67="726.7(2)(c)(2)", 'CASE DATA'!E67="725.7(2)(d)", 'CASE DATA'!E67="726.2", 'CASE DATA'!E67="726.3", 'CASE DATA'!E67="726.5", 'CASE DATA'!E67="726.6(4)", 'CASE DATA'!E67="726.6(5)", 'CASE DATA'!E67="726.6(6)", 'CASE DATA'!E67="726.6A", 'CASE DATA'!E67="726.7(2)", 'CASE DATA'!E67="726.8(2)", 'CASE DATA'!E67="728.12(1)", 'CASE DATA'!E67="728.12(2)"),"felony","eligible"),"N/A")</f>
        <v>N/A</v>
      </c>
      <c r="M66" s="185" t="str">
        <f>IF(L66="eligible",IF(OR('CASE DATA'!E67="123.46",'CASE DATA'!E67="123.47",'CASE DATA'!E67="235B.20",'CASE DATA'!E67="321.218",'CASE DATA'!E67="321A.32",'CASE DATA'!E67="321J.21",'CASE DATA'!E67="321J.2",'CASE DATA'!E67="707.5",'CASE DATA'!E67="708.2(3)",'CASE DATA'!E67="708.2A",'CASE DATA'!E67="708.7",'CASE DATA'!E67="708.11",'CASE DATA'!E67="708.12",'CASE DATA'!E67="716.8(3)",'CASE DATA'!E67="716.8(4)", LEFT('CASE DATA'!E67,4)="717C", LEFT('CASE DATA'!E67, 3)="719", LEFT('CASE DATA'!E67,3)="720", 'CASE DATA'!E67="721.2", 'CASE DATA'!E67="721.10", 'CASE DATA'!E67="723.1", LEFT('CASE DATA'!E67,3)="724", LEFT('CASE DATA'!E67,3)="726", LEFT('CASE DATA'!E67,3)="728", LEFT('CASE DATA'!E67,4)="901A"),"ineligible misd", "eligible"),"N/A")</f>
        <v>N/A</v>
      </c>
      <c r="N66" s="185" t="str">
        <f>IF(L66="eligible",IF(COUNTIF('CASE DATA'!$C$4:$C$200, "")-COUNTIF('CASE DATA'!$A$4:$A$200, "")&gt;0, "YES","NO"),"N/A")</f>
        <v>N/A</v>
      </c>
      <c r="O66" s="185" t="str">
        <f xml:space="preserve"> IF(M66="eligible",'CASE DATA'!K67,"N/A")</f>
        <v>N/A</v>
      </c>
      <c r="P66" s="185" t="str">
        <f xml:space="preserve"> IF(M66="eligible",'CASE DATA'!I67+'CASE DATA'!J67+'CASE DATA'!L67+'CASE DATA'!M67+'CASE DATA'!N67+'CASE DATA'!O67+'CASE DATA'!M67+'CASE DATA'!Q67+'CASE DATA'!R67,"N/A")</f>
        <v>N/A</v>
      </c>
      <c r="Q66" s="11" t="str">
        <f>IF(M66="eligible",IF(C66+730.5&lt;'BASIC INFO'!$B$3, "YES", "NO"),"N/A")</f>
        <v>N/A</v>
      </c>
      <c r="R66" s="186" t="str">
        <f xml:space="preserve"> IF(OR('CASE DATA'!F67="DEF"), "YES", "NO")</f>
        <v>NO</v>
      </c>
      <c r="S66" s="162" t="str">
        <f>IF(R66="YES",'CASE DATA'!H67,"N/A")</f>
        <v>N/A</v>
      </c>
      <c r="T66" s="185" t="str">
        <f xml:space="preserve"> IF(R66="YES",'CASE DATA'!K67,"N/A")</f>
        <v>N/A</v>
      </c>
      <c r="U66" s="185" t="str">
        <f>IF(R66="YES",'CASE DATA'!I67+'CASE DATA'!J67+'CASE DATA'!L67+'CASE DATA'!M67+'CASE DATA'!N67+'CASE DATA'!O67+'CASE DATA'!P67+'CASE DATA'!Q67+'CASE DATA'!R67,"N/A")</f>
        <v>N/A</v>
      </c>
      <c r="V66" s="189" t="str">
        <f>IF(OR('CASE DATA'!E67="123.46",'CASE DATA'!E67="123.47"),"YES","NO")</f>
        <v>NO</v>
      </c>
      <c r="W66" s="189"/>
      <c r="X66" s="185" t="str">
        <f>IF(V66="YES",IF(C66+730.5&lt;'BASIC INFO'!$B$3, "YES","NO"), "N/A")</f>
        <v>N/A</v>
      </c>
      <c r="Y66" s="189" t="str">
        <f t="shared" si="0"/>
        <v>NO</v>
      </c>
      <c r="Z66" s="187" t="str">
        <f xml:space="preserve"> IF('BASIC INFO'!$B$6+6574.5&gt;C66, "YES", "NO")</f>
        <v>YES</v>
      </c>
    </row>
    <row r="67" spans="1:26" x14ac:dyDescent="0.25">
      <c r="A67" s="162">
        <f xml:space="preserve"> 'CASE DATA'!A68</f>
        <v>0</v>
      </c>
      <c r="B67" s="162">
        <f xml:space="preserve"> 'CASE DATA'!E68</f>
        <v>0</v>
      </c>
      <c r="C67" s="163">
        <f xml:space="preserve"> 'CASE DATA'!C68</f>
        <v>0</v>
      </c>
      <c r="D67" s="11" t="str">
        <f xml:space="preserve"> IF(OR('CASE DATA'!F68="JUV", 'CASE DATA'!F68="JWV"), "YES", "NO")</f>
        <v>NO</v>
      </c>
      <c r="E67" s="11"/>
      <c r="F67" s="11" t="str">
        <f>IF(D67="YES",IF(COUNTIF('CASE DATA'!$C$4:$C$200, "")-COUNTIF('CASE DATA'!$A$4:$A$200, "")&gt;0, "YES","NO"),"N/A")</f>
        <v>N/A</v>
      </c>
      <c r="G67" s="164" t="str">
        <f xml:space="preserve"> _xlfn.IFS(D67="NO", "N/A", AND('BASIC INFO'!$B$3&gt;'BASIC INFO'!$B$6+6574.5, C67+730.5&lt;'BASIC INFO'!$B$3), "YES", 'BASIC INFO'!$B$3&lt;('BASIC INFO'!$B$6+6574.5), "NOT YET 18", C67+730.5&gt;'BASIC INFO'!$B$3, "NOT YET 2 YEARS")</f>
        <v>N/A</v>
      </c>
      <c r="H67" s="186" t="str">
        <f xml:space="preserve"> IF(LEFT('CASE DATA'!E68,4)&lt;&gt;"321.",IF(OR('CASE DATA'!F68="DISM", 'CASE DATA'!F68="ACQ", 'CASE DATA'!F68="NOTF", 'CASE DATA'!F68="WTHD", 'CASE DATA'!F68="TNSF"), "YES", "NO"), "TRAFFIC")</f>
        <v>NO</v>
      </c>
      <c r="I67" s="185" t="str">
        <f xml:space="preserve"> IF(H67="YES",'CASE DATA'!K68,"N/A")</f>
        <v>N/A</v>
      </c>
      <c r="J67" s="185" t="str">
        <f>IF(H67="YES",'CASE DATA'!I68+'CASE DATA'!J68+'CASE DATA'!L68+'CASE DATA'!M68+'CASE DATA'!N68+'CASE DATA'!O68+'CASE DATA'!P68+'CASE DATA'!Q68+'CASE DATA'!R68,"N/A")</f>
        <v>N/A</v>
      </c>
      <c r="K67" s="162" t="str">
        <f xml:space="preserve"> IF(H67="YES",IF(C67+180&lt;'BASIC INFO'!$B$3, "YES", "NO"),"N/A")</f>
        <v>N/A</v>
      </c>
      <c r="L67" s="185" t="str">
        <f>IF(OR('CASE DATA'!F68="GTR", 'CASE DATA'!F68="GPL"),IF(OR('CASE DATA'!E68="81.6(2)", 'CASE DATA'!E68="99F.15(6)(b)(1)", 'CASE DATA'!E68= "124.401(1)(a)", 'CASE DATA'!E68= "124.401(1)(b)", 'CASE DATA'!E68= "124.401(1)(c)", 'CASE DATA'!E68= "124.401(1)(d)", 'CASE DATA'!E68="124.401(4)", 'CASE DATA'!E68="124.401(1)(b)", 'CASE DATA'!E68="124.401(1)(c)", 'CASE DATA'!E68="124.401D(2)(b)", 'CASE DATA'!E68="124.401D(2)(c)", 'CASE DATA'!E68="124.406(1)(a)", 'CASE DATA'!E68="124.406(1)(b) ", 'CASE DATA'!E68="124.406(2)(a)", 'CASE DATA'!E68="124.406(2)(b) ", 'CASE DATA'!E68="124.406(3)", 'CASE DATA'!E68="124.406A ", 'CASE DATA'!E68="124.407(2)(a)", 'CASE DATA'!E68="124B.9(1)", 'CASE DATA'!E68="124B.9(2)", 'CASE DATA'!E68="321J.2(2)(c)", 'CASE DATA'!E68="453B.12(2)", 'CASE DATA'!E68="453B.12(3)", 'CASE DATA'!E68="453B.12(4)", 'CASE DATA'!E68="462A.14(2)(c)", 'CASE DATA'!E68="462A.14(2)(d)", 'CASE DATA'!E68="462A.14(2)(e)", 'CASE DATA'!E68="705.1(2)", 'CASE DATA'!E68="706.3(1)", 'CASE DATA'!E68="706.3(2)", 'CASE DATA'!E68="706A.2(1)", 'CASE DATA'!E68="706A.2(2)", 'CASE DATA'!E68="706A.2(4)", 'CASE DATA'!E68="706B.2(1)(a)", 'CASE DATA'!E68="706B.2(1)(b)", 'CASE DATA'!E68="706B.2(1)(c)", 'CASE DATA'!E68="706B.2(1)(d)", 'CASE DATA'!E68="707.2", 'CASE DATA'!E68="707.3", 'CASE DATA'!E68="707.3A", 'CASE DATA'!E68="707.4", 'CASE DATA'!E68="707.5(1)(a)", 'CASE DATA'!E68="707.6A(1)", 'CASE DATA'!E68="707.6A(2)", 'CASE DATA'!E68="707.6A(3)", 'CASE DATA'!E68="707.6A(4)", 'CASE DATA'!E68="707.7(1)", 'CASE DATA'!E68="707.7(3)", 'CASE DATA'!E68="707.7(2)", 'CASE DATA'!E68="707.8(1)", 'CASE DATA'!E68="707.8(2)", 'CASE DATA'!E68="707.8(3)", 'CASE DATA'!E68="707.8(4)", 'CASE DATA'!E68="707.8(5)", 'CASE DATA'!E68="707.8(6)", 'CASE DATA'!E68="707.9", 'CASE DATA'!E68="707.11", 'CASE DATA'!E68="707A.2", 'CASE DATA'!E68="708.2(4)", 'CASE DATA'!E68="708.2(5)", 'CASE DATA'!E68="708.2A(4)", 'CASE DATA'!E68="708.2A(5)", 'CASE DATA'!E68="708.2C(2)", 'CASE DATA'!E68="708.2C(4)", 'CASE DATA'!E68="708.3(1)", 'CASE DATA'!E68="708.3(2)", 'CASE DATA'!E68="708.3A(1)", 'CASE DATA'!E68="708.3A(2)", 'CASE DATA'!E68="708.3B", 'CASE DATA'!E68="708.4(1)", 'CASE DATA'!E68="708.4(2)", 'CASE DATA'!E68="708.5", 'CASE DATA'!E68="708.8", 'CASE DATA'!E68="708.11(3)(a)", 'CASE DATA'!E68="708.11(3)(b)", 'CASE DATA'!E68="708.12(3)(f)", 'CASE DATA'!E68="708.13(3)", 'CASE DATA'!E68="708.14", 'CASE DATA'!E68="708A.2", 'CASE DATA'!E68="708A.4(1)", 'CASE DATA'!E68="708A.4(2)", 'CASE DATA'!E68="708A.5", 'CASE DATA'!E68="708A.6(1)", 'CASE DATA'!E68="708.A.6(2)", 'CASE DATA'!E68="709.2", 'CASE DATA'!E68="709.3", 'CASE DATA'!E68="709.4", 'CASE DATA'!E68="709.8(1)(a)", 'CASE DATA'!E68="709.8(1)(b)", 'CASE DATA'!E68="709.8(1)(c)", 'CASE DATA'!E68="709.8(1)(d)", 'CASE DATA'!E68="709.8(1)(e)", 'CASE DATA'!E68="709.11(1)", 'CASE DATA'!E68="709.11(2)", 'CASE DATA'!E68="709.15(2)(a)(1)", 'CASE DATA'!E68="709.15(3)(a)(1)", 'CASE DATA'!E68="709.18", 'CASE DATA'!E68="709A.6(2)", 'CASE DATA'!E68="709D.3(1)", 'CASE DATA'!E68="709D.3(2)", 'CASE DATA'!E68="709.D.3(3)", 'CASE DATA'!E68="710.2", 'CASE DATA'!E68="710.3", 'CASE DATA'!E68="710.4", 'CASE DATA'!E68="710.5", 'CASE DATA'!E68="710.10(1)", 'CASE DATA'!E68="710.10(2)", 'CASE DATA'!E68="710.10(3)", 'CASE DATA'!E68="710.11", 'CASE DATA'!E68="710A.2(1)", 'CASE DATA'!E68="710A.2(2)", 'CASE DATA'!E68="710A.2(3)", 'CASE DATA'!E68="710A.2(4)", 'CASE DATA'!E68="710A.2(5)", 'CASE DATA'!E68="710A.2(6)", 'CASE DATA'!E68="710A.2(7)", 'CASE DATA'!E68="710A.2A", 'CASE DATA'!E68="711.2", 'CASE DATA'!E68="711.3", 'CASE DATA'!E68="711.4", 'CASE DATA'!E68="712.2", 'CASE DATA'!E68="712.3", 'CASE DATA'!E68="712.6(1)", 'CASE DATA'!E68="712.7", 'CASE DATA'!E68="712.8", 'CASE DATA'!E68="", 'CASE DATA'!E68="713.3", 'CASE DATA'!E68="713.4", 'CASE DATA'!E68="713.5", 'CASE DATA'!E68="713.6", 'CASE DATA'!E68="713.6A(1)", 'CASE DATA'!E68="714.2(1)", 'CASE DATA'!E68="714.2(2)", 'CASE DATA'!E68="714.3A(2)(b)", 'CASE DATA'!E68="714.9", 'CASE DATA'!E68="714.10", 'CASE DATA'!E68="714.26(2)(a)", 'CASE DATA'!E68="714.26(2)(b)", 'CASE DATA'!E68="715A.2(2)(a)", 'CASE DATA'!E68="715A.6(2)(a)", 'CASE DATA'!E68="715A.6(2)(b)", 'CASE DATA'!E68="715A.8(3)(a)", 'CASE DATA'!E68="715A.8(3)(b)", 'CASE DATA'!E68="715A.10(1)", 'CASE DATA'!E68="715A.10(2)", 'CASE DATA'!E68="716.3", 'CASE DATA'!E68="716.4", 'CASE DATA'!E68="716.8(6)", 'CASE DATA'!E68="716.10(2)(a)", 'CASE DATA'!E68="716.10(2)(b)", 'CASE DATA'!E68="716.10(2)(c)", 'CASE DATA'!E68="716.10(2)(d)", 'CASE DATA'!E68="716.12", 'CASE DATA'!E68="719.1(1)(f)", 'CASE DATA'!E68="719.1(2)(e)", 'CASE DATA'!E68="719.1(2)(f)", 'CASE DATA'!E68="719.1(2)(g)", 'CASE DATA'!E68="719.4(1)", 'CASE DATA'!E68="719.4(4)", 'CASE DATA'!E68="719.5(1)", 'CASE DATA'!E68="719.5(2)", 'CASE DATA'!E68="719.6(1)", 'CASE DATA'!E68="719.6(2)", 'CASE DATA'!E68="719.7(4)(a)", 'CASE DATA'!E68="719.7(4)(b)", 'CASE DATA'!E68="719.7A(3)", 'CASE DATA'!E68="719.9", 'CASE DATA'!E68="719.8", 'CASE DATA'!E68="720.2", 'CASE DATA'!E68="720.3", 'CASE DATA'!E68="721.1", 'CASE DATA'!E68="722.1", 'CASE DATA'!E68="", 'CASE DATA'!E68="722.2", 'CASE DATA'!E68="722.10", 'CASE DATA'!E68="723(5)(3)(c)", 'CASE DATA'!E68="723A.2", 'CASE DATA'!E68="723A.3(1)", 'CASE DATA'!E68="723A.3(2)", 'CASE DATA'!E68="724.1B", 'CASE DATA'!E68="724.1C", 'CASE DATA'!E68="724.3", 'CASE DATA'!E68="724.4B", 'CASE DATA'!E68="724.10", 'CASE DATA'!E68="724.16(2)", 'CASE DATA'!E68="724.16A(1)(a)", 'CASE DATA'!E68="724.16A(1)(b)", 'CASE DATA'!E68="724.17", 'CASE DATA'!E68="724.21", 'CASE DATA'!E68="724.26(1)", 'CASE DATA'!E68="922(g)(8)", 'CASE DATA'!E68="724.29A(2)", 'CASE DATA'!E68="724.29A(3)", 'CASE DATA'!E68="724.30(1)", 'CASE DATA'!E68="724.30(2)", 'CASE DATA'!E68="725.1(2)(b)", 'CASE DATA'!E68="725.2(1)", 'CASE DATA'!E68="725.2(2)", 'CASE DATA'!E68="725.3(2)", 'CASE DATA'!E68="725.3(1)", 'CASE DATA'!E68="725.7(2)(a)(3)", 'CASE DATA'!E68="725.7(2)(a)(4)", 'CASE DATA'!E68="725.7(2)(b)(2)", 'CASE DATA'!E68="725.7(2)(b(3)", 'CASE DATA'!E68="726.7(2)(c)(1)", 'CASE DATA'!E68="726.7(2)(c)(2)", 'CASE DATA'!E68="725.7(2)(d)", 'CASE DATA'!E68="726.2", 'CASE DATA'!E68="726.3", 'CASE DATA'!E68="726.5", 'CASE DATA'!E68="726.6(4)", 'CASE DATA'!E68="726.6(5)", 'CASE DATA'!E68="726.6(6)", 'CASE DATA'!E68="726.6A", 'CASE DATA'!E68="726.7(2)", 'CASE DATA'!E68="726.8(2)", 'CASE DATA'!E68="728.12(1)", 'CASE DATA'!E68="728.12(2)"),"felony","eligible"),"N/A")</f>
        <v>N/A</v>
      </c>
      <c r="M67" s="185" t="str">
        <f>IF(L67="eligible",IF(OR('CASE DATA'!E68="123.46",'CASE DATA'!E68="123.47",'CASE DATA'!E68="235B.20",'CASE DATA'!E68="321.218",'CASE DATA'!E68="321A.32",'CASE DATA'!E68="321J.21",'CASE DATA'!E68="321J.2",'CASE DATA'!E68="707.5",'CASE DATA'!E68="708.2(3)",'CASE DATA'!E68="708.2A",'CASE DATA'!E68="708.7",'CASE DATA'!E68="708.11",'CASE DATA'!E68="708.12",'CASE DATA'!E68="716.8(3)",'CASE DATA'!E68="716.8(4)", LEFT('CASE DATA'!E68,4)="717C", LEFT('CASE DATA'!E68, 3)="719", LEFT('CASE DATA'!E68,3)="720", 'CASE DATA'!E68="721.2", 'CASE DATA'!E68="721.10", 'CASE DATA'!E68="723.1", LEFT('CASE DATA'!E68,3)="724", LEFT('CASE DATA'!E68,3)="726", LEFT('CASE DATA'!E68,3)="728", LEFT('CASE DATA'!E68,4)="901A"),"ineligible misd", "eligible"),"N/A")</f>
        <v>N/A</v>
      </c>
      <c r="N67" s="185" t="str">
        <f>IF(L67="eligible",IF(COUNTIF('CASE DATA'!$C$4:$C$200, "")-COUNTIF('CASE DATA'!$A$4:$A$200, "")&gt;0, "YES","NO"),"N/A")</f>
        <v>N/A</v>
      </c>
      <c r="O67" s="185" t="str">
        <f xml:space="preserve"> IF(M67="eligible",'CASE DATA'!K68,"N/A")</f>
        <v>N/A</v>
      </c>
      <c r="P67" s="185" t="str">
        <f xml:space="preserve"> IF(M67="eligible",'CASE DATA'!I68+'CASE DATA'!J68+'CASE DATA'!L68+'CASE DATA'!M68+'CASE DATA'!N68+'CASE DATA'!O68+'CASE DATA'!M68+'CASE DATA'!Q68+'CASE DATA'!R68,"N/A")</f>
        <v>N/A</v>
      </c>
      <c r="Q67" s="11" t="str">
        <f>IF(M67="eligible",IF(C67+730.5&lt;'BASIC INFO'!$B$3, "YES", "NO"),"N/A")</f>
        <v>N/A</v>
      </c>
      <c r="R67" s="186" t="str">
        <f xml:space="preserve"> IF(OR('CASE DATA'!F68="DEF"), "YES", "NO")</f>
        <v>NO</v>
      </c>
      <c r="S67" s="162" t="str">
        <f>IF(R67="YES",'CASE DATA'!H68,"N/A")</f>
        <v>N/A</v>
      </c>
      <c r="T67" s="185" t="str">
        <f xml:space="preserve"> IF(R67="YES",'CASE DATA'!K68,"N/A")</f>
        <v>N/A</v>
      </c>
      <c r="U67" s="185" t="str">
        <f>IF(R67="YES",'CASE DATA'!I68+'CASE DATA'!J68+'CASE DATA'!L68+'CASE DATA'!M68+'CASE DATA'!N68+'CASE DATA'!O68+'CASE DATA'!P68+'CASE DATA'!Q68+'CASE DATA'!R68,"N/A")</f>
        <v>N/A</v>
      </c>
      <c r="V67" s="189" t="str">
        <f>IF(OR('CASE DATA'!E68="123.46",'CASE DATA'!E68="123.47"),"YES","NO")</f>
        <v>NO</v>
      </c>
      <c r="W67" s="189"/>
      <c r="X67" s="185" t="str">
        <f>IF(V67="YES",IF(C67+730.5&lt;'BASIC INFO'!$B$3, "YES","NO"), "N/A")</f>
        <v>N/A</v>
      </c>
      <c r="Y67" s="189" t="str">
        <f t="shared" si="0"/>
        <v>NO</v>
      </c>
      <c r="Z67" s="187" t="str">
        <f xml:space="preserve"> IF('BASIC INFO'!$B$6+6574.5&gt;C67, "YES", "NO")</f>
        <v>YES</v>
      </c>
    </row>
    <row r="68" spans="1:26" x14ac:dyDescent="0.25">
      <c r="A68" s="162">
        <f xml:space="preserve"> 'CASE DATA'!A69</f>
        <v>0</v>
      </c>
      <c r="B68" s="162">
        <f xml:space="preserve"> 'CASE DATA'!E69</f>
        <v>0</v>
      </c>
      <c r="C68" s="163">
        <f xml:space="preserve"> 'CASE DATA'!C69</f>
        <v>0</v>
      </c>
      <c r="D68" s="11" t="str">
        <f xml:space="preserve"> IF(OR('CASE DATA'!F69="JUV", 'CASE DATA'!F69="JWV"), "YES", "NO")</f>
        <v>NO</v>
      </c>
      <c r="E68" s="11"/>
      <c r="F68" s="11" t="str">
        <f>IF(D68="YES",IF(COUNTIF('CASE DATA'!$C$4:$C$200, "")-COUNTIF('CASE DATA'!$A$4:$A$200, "")&gt;0, "YES","NO"),"N/A")</f>
        <v>N/A</v>
      </c>
      <c r="G68" s="164" t="str">
        <f xml:space="preserve"> _xlfn.IFS(D68="NO", "N/A", AND('BASIC INFO'!$B$3&gt;'BASIC INFO'!$B$6+6574.5, C68+730.5&lt;'BASIC INFO'!$B$3), "YES", 'BASIC INFO'!$B$3&lt;('BASIC INFO'!$B$6+6574.5), "NOT YET 18", C68+730.5&gt;'BASIC INFO'!$B$3, "NOT YET 2 YEARS")</f>
        <v>N/A</v>
      </c>
      <c r="H68" s="186" t="str">
        <f xml:space="preserve"> IF(LEFT('CASE DATA'!E69,4)&lt;&gt;"321.",IF(OR('CASE DATA'!F69="DISM", 'CASE DATA'!F69="ACQ", 'CASE DATA'!F69="NOTF", 'CASE DATA'!F69="WTHD", 'CASE DATA'!F69="TNSF"), "YES", "NO"), "TRAFFIC")</f>
        <v>NO</v>
      </c>
      <c r="I68" s="185" t="str">
        <f xml:space="preserve"> IF(H68="YES",'CASE DATA'!K69,"N/A")</f>
        <v>N/A</v>
      </c>
      <c r="J68" s="185" t="str">
        <f>IF(H68="YES",'CASE DATA'!I69+'CASE DATA'!J69+'CASE DATA'!L69+'CASE DATA'!M69+'CASE DATA'!N69+'CASE DATA'!O69+'CASE DATA'!P69+'CASE DATA'!Q69+'CASE DATA'!R69,"N/A")</f>
        <v>N/A</v>
      </c>
      <c r="K68" s="162" t="str">
        <f xml:space="preserve"> IF(H68="YES",IF(C68+180&lt;'BASIC INFO'!$B$3, "YES", "NO"),"N/A")</f>
        <v>N/A</v>
      </c>
      <c r="L68" s="185" t="str">
        <f>IF(OR('CASE DATA'!F69="GTR", 'CASE DATA'!F69="GPL"),IF(OR('CASE DATA'!E69="81.6(2)", 'CASE DATA'!E69="99F.15(6)(b)(1)", 'CASE DATA'!E69= "124.401(1)(a)", 'CASE DATA'!E69= "124.401(1)(b)", 'CASE DATA'!E69= "124.401(1)(c)", 'CASE DATA'!E69= "124.401(1)(d)", 'CASE DATA'!E69="124.401(4)", 'CASE DATA'!E69="124.401(1)(b)", 'CASE DATA'!E69="124.401(1)(c)", 'CASE DATA'!E69="124.401D(2)(b)", 'CASE DATA'!E69="124.401D(2)(c)", 'CASE DATA'!E69="124.406(1)(a)", 'CASE DATA'!E69="124.406(1)(b) ", 'CASE DATA'!E69="124.406(2)(a)", 'CASE DATA'!E69="124.406(2)(b) ", 'CASE DATA'!E69="124.406(3)", 'CASE DATA'!E69="124.406A ", 'CASE DATA'!E69="124.407(2)(a)", 'CASE DATA'!E69="124B.9(1)", 'CASE DATA'!E69="124B.9(2)", 'CASE DATA'!E69="321J.2(2)(c)", 'CASE DATA'!E69="453B.12(2)", 'CASE DATA'!E69="453B.12(3)", 'CASE DATA'!E69="453B.12(4)", 'CASE DATA'!E69="462A.14(2)(c)", 'CASE DATA'!E69="462A.14(2)(d)", 'CASE DATA'!E69="462A.14(2)(e)", 'CASE DATA'!E69="705.1(2)", 'CASE DATA'!E69="706.3(1)", 'CASE DATA'!E69="706.3(2)", 'CASE DATA'!E69="706A.2(1)", 'CASE DATA'!E69="706A.2(2)", 'CASE DATA'!E69="706A.2(4)", 'CASE DATA'!E69="706B.2(1)(a)", 'CASE DATA'!E69="706B.2(1)(b)", 'CASE DATA'!E69="706B.2(1)(c)", 'CASE DATA'!E69="706B.2(1)(d)", 'CASE DATA'!E69="707.2", 'CASE DATA'!E69="707.3", 'CASE DATA'!E69="707.3A", 'CASE DATA'!E69="707.4", 'CASE DATA'!E69="707.5(1)(a)", 'CASE DATA'!E69="707.6A(1)", 'CASE DATA'!E69="707.6A(2)", 'CASE DATA'!E69="707.6A(3)", 'CASE DATA'!E69="707.6A(4)", 'CASE DATA'!E69="707.7(1)", 'CASE DATA'!E69="707.7(3)", 'CASE DATA'!E69="707.7(2)", 'CASE DATA'!E69="707.8(1)", 'CASE DATA'!E69="707.8(2)", 'CASE DATA'!E69="707.8(3)", 'CASE DATA'!E69="707.8(4)", 'CASE DATA'!E69="707.8(5)", 'CASE DATA'!E69="707.8(6)", 'CASE DATA'!E69="707.9", 'CASE DATA'!E69="707.11", 'CASE DATA'!E69="707A.2", 'CASE DATA'!E69="708.2(4)", 'CASE DATA'!E69="708.2(5)", 'CASE DATA'!E69="708.2A(4)", 'CASE DATA'!E69="708.2A(5)", 'CASE DATA'!E69="708.2C(2)", 'CASE DATA'!E69="708.2C(4)", 'CASE DATA'!E69="708.3(1)", 'CASE DATA'!E69="708.3(2)", 'CASE DATA'!E69="708.3A(1)", 'CASE DATA'!E69="708.3A(2)", 'CASE DATA'!E69="708.3B", 'CASE DATA'!E69="708.4(1)", 'CASE DATA'!E69="708.4(2)", 'CASE DATA'!E69="708.5", 'CASE DATA'!E69="708.8", 'CASE DATA'!E69="708.11(3)(a)", 'CASE DATA'!E69="708.11(3)(b)", 'CASE DATA'!E69="708.12(3)(f)", 'CASE DATA'!E69="708.13(3)", 'CASE DATA'!E69="708.14", 'CASE DATA'!E69="708A.2", 'CASE DATA'!E69="708A.4(1)", 'CASE DATA'!E69="708A.4(2)", 'CASE DATA'!E69="708A.5", 'CASE DATA'!E69="708A.6(1)", 'CASE DATA'!E69="708.A.6(2)", 'CASE DATA'!E69="709.2", 'CASE DATA'!E69="709.3", 'CASE DATA'!E69="709.4", 'CASE DATA'!E69="709.8(1)(a)", 'CASE DATA'!E69="709.8(1)(b)", 'CASE DATA'!E69="709.8(1)(c)", 'CASE DATA'!E69="709.8(1)(d)", 'CASE DATA'!E69="709.8(1)(e)", 'CASE DATA'!E69="709.11(1)", 'CASE DATA'!E69="709.11(2)", 'CASE DATA'!E69="709.15(2)(a)(1)", 'CASE DATA'!E69="709.15(3)(a)(1)", 'CASE DATA'!E69="709.18", 'CASE DATA'!E69="709A.6(2)", 'CASE DATA'!E69="709D.3(1)", 'CASE DATA'!E69="709D.3(2)", 'CASE DATA'!E69="709.D.3(3)", 'CASE DATA'!E69="710.2", 'CASE DATA'!E69="710.3", 'CASE DATA'!E69="710.4", 'CASE DATA'!E69="710.5", 'CASE DATA'!E69="710.10(1)", 'CASE DATA'!E69="710.10(2)", 'CASE DATA'!E69="710.10(3)", 'CASE DATA'!E69="710.11", 'CASE DATA'!E69="710A.2(1)", 'CASE DATA'!E69="710A.2(2)", 'CASE DATA'!E69="710A.2(3)", 'CASE DATA'!E69="710A.2(4)", 'CASE DATA'!E69="710A.2(5)", 'CASE DATA'!E69="710A.2(6)", 'CASE DATA'!E69="710A.2(7)", 'CASE DATA'!E69="710A.2A", 'CASE DATA'!E69="711.2", 'CASE DATA'!E69="711.3", 'CASE DATA'!E69="711.4", 'CASE DATA'!E69="712.2", 'CASE DATA'!E69="712.3", 'CASE DATA'!E69="712.6(1)", 'CASE DATA'!E69="712.7", 'CASE DATA'!E69="712.8", 'CASE DATA'!E69="", 'CASE DATA'!E69="713.3", 'CASE DATA'!E69="713.4", 'CASE DATA'!E69="713.5", 'CASE DATA'!E69="713.6", 'CASE DATA'!E69="713.6A(1)", 'CASE DATA'!E69="714.2(1)", 'CASE DATA'!E69="714.2(2)", 'CASE DATA'!E69="714.3A(2)(b)", 'CASE DATA'!E69="714.9", 'CASE DATA'!E69="714.10", 'CASE DATA'!E69="714.26(2)(a)", 'CASE DATA'!E69="714.26(2)(b)", 'CASE DATA'!E69="715A.2(2)(a)", 'CASE DATA'!E69="715A.6(2)(a)", 'CASE DATA'!E69="715A.6(2)(b)", 'CASE DATA'!E69="715A.8(3)(a)", 'CASE DATA'!E69="715A.8(3)(b)", 'CASE DATA'!E69="715A.10(1)", 'CASE DATA'!E69="715A.10(2)", 'CASE DATA'!E69="716.3", 'CASE DATA'!E69="716.4", 'CASE DATA'!E69="716.8(6)", 'CASE DATA'!E69="716.10(2)(a)", 'CASE DATA'!E69="716.10(2)(b)", 'CASE DATA'!E69="716.10(2)(c)", 'CASE DATA'!E69="716.10(2)(d)", 'CASE DATA'!E69="716.12", 'CASE DATA'!E69="719.1(1)(f)", 'CASE DATA'!E69="719.1(2)(e)", 'CASE DATA'!E69="719.1(2)(f)", 'CASE DATA'!E69="719.1(2)(g)", 'CASE DATA'!E69="719.4(1)", 'CASE DATA'!E69="719.4(4)", 'CASE DATA'!E69="719.5(1)", 'CASE DATA'!E69="719.5(2)", 'CASE DATA'!E69="719.6(1)", 'CASE DATA'!E69="719.6(2)", 'CASE DATA'!E69="719.7(4)(a)", 'CASE DATA'!E69="719.7(4)(b)", 'CASE DATA'!E69="719.7A(3)", 'CASE DATA'!E69="719.9", 'CASE DATA'!E69="719.8", 'CASE DATA'!E69="720.2", 'CASE DATA'!E69="720.3", 'CASE DATA'!E69="721.1", 'CASE DATA'!E69="722.1", 'CASE DATA'!E69="", 'CASE DATA'!E69="722.2", 'CASE DATA'!E69="722.10", 'CASE DATA'!E69="723(5)(3)(c)", 'CASE DATA'!E69="723A.2", 'CASE DATA'!E69="723A.3(1)", 'CASE DATA'!E69="723A.3(2)", 'CASE DATA'!E69="724.1B", 'CASE DATA'!E69="724.1C", 'CASE DATA'!E69="724.3", 'CASE DATA'!E69="724.4B", 'CASE DATA'!E69="724.10", 'CASE DATA'!E69="724.16(2)", 'CASE DATA'!E69="724.16A(1)(a)", 'CASE DATA'!E69="724.16A(1)(b)", 'CASE DATA'!E69="724.17", 'CASE DATA'!E69="724.21", 'CASE DATA'!E69="724.26(1)", 'CASE DATA'!E69="922(g)(8)", 'CASE DATA'!E69="724.29A(2)", 'CASE DATA'!E69="724.29A(3)", 'CASE DATA'!E69="724.30(1)", 'CASE DATA'!E69="724.30(2)", 'CASE DATA'!E69="725.1(2)(b)", 'CASE DATA'!E69="725.2(1)", 'CASE DATA'!E69="725.2(2)", 'CASE DATA'!E69="725.3(2)", 'CASE DATA'!E69="725.3(1)", 'CASE DATA'!E69="725.7(2)(a)(3)", 'CASE DATA'!E69="725.7(2)(a)(4)", 'CASE DATA'!E69="725.7(2)(b)(2)", 'CASE DATA'!E69="725.7(2)(b(3)", 'CASE DATA'!E69="726.7(2)(c)(1)", 'CASE DATA'!E69="726.7(2)(c)(2)", 'CASE DATA'!E69="725.7(2)(d)", 'CASE DATA'!E69="726.2", 'CASE DATA'!E69="726.3", 'CASE DATA'!E69="726.5", 'CASE DATA'!E69="726.6(4)", 'CASE DATA'!E69="726.6(5)", 'CASE DATA'!E69="726.6(6)", 'CASE DATA'!E69="726.6A", 'CASE DATA'!E69="726.7(2)", 'CASE DATA'!E69="726.8(2)", 'CASE DATA'!E69="728.12(1)", 'CASE DATA'!E69="728.12(2)"),"felony","eligible"),"N/A")</f>
        <v>N/A</v>
      </c>
      <c r="M68" s="185" t="str">
        <f>IF(L68="eligible",IF(OR('CASE DATA'!E69="123.46",'CASE DATA'!E69="123.47",'CASE DATA'!E69="235B.20",'CASE DATA'!E69="321.218",'CASE DATA'!E69="321A.32",'CASE DATA'!E69="321J.21",'CASE DATA'!E69="321J.2",'CASE DATA'!E69="707.5",'CASE DATA'!E69="708.2(3)",'CASE DATA'!E69="708.2A",'CASE DATA'!E69="708.7",'CASE DATA'!E69="708.11",'CASE DATA'!E69="708.12",'CASE DATA'!E69="716.8(3)",'CASE DATA'!E69="716.8(4)", LEFT('CASE DATA'!E69,4)="717C", LEFT('CASE DATA'!E69, 3)="719", LEFT('CASE DATA'!E69,3)="720", 'CASE DATA'!E69="721.2", 'CASE DATA'!E69="721.10", 'CASE DATA'!E69="723.1", LEFT('CASE DATA'!E69,3)="724", LEFT('CASE DATA'!E69,3)="726", LEFT('CASE DATA'!E69,3)="728", LEFT('CASE DATA'!E69,4)="901A"),"ineligible misd", "eligible"),"N/A")</f>
        <v>N/A</v>
      </c>
      <c r="N68" s="185" t="str">
        <f>IF(L68="eligible",IF(COUNTIF('CASE DATA'!$C$4:$C$200, "")-COUNTIF('CASE DATA'!$A$4:$A$200, "")&gt;0, "YES","NO"),"N/A")</f>
        <v>N/A</v>
      </c>
      <c r="O68" s="185" t="str">
        <f xml:space="preserve"> IF(M68="eligible",'CASE DATA'!K69,"N/A")</f>
        <v>N/A</v>
      </c>
      <c r="P68" s="185" t="str">
        <f xml:space="preserve"> IF(M68="eligible",'CASE DATA'!I69+'CASE DATA'!J69+'CASE DATA'!L69+'CASE DATA'!M69+'CASE DATA'!N69+'CASE DATA'!O69+'CASE DATA'!M69+'CASE DATA'!Q69+'CASE DATA'!R69,"N/A")</f>
        <v>N/A</v>
      </c>
      <c r="Q68" s="11" t="str">
        <f>IF(M68="eligible",IF(C68+730.5&lt;'BASIC INFO'!$B$3, "YES", "NO"),"N/A")</f>
        <v>N/A</v>
      </c>
      <c r="R68" s="186" t="str">
        <f xml:space="preserve"> IF(OR('CASE DATA'!F69="DEF"), "YES", "NO")</f>
        <v>NO</v>
      </c>
      <c r="S68" s="162" t="str">
        <f>IF(R68="YES",'CASE DATA'!H69,"N/A")</f>
        <v>N/A</v>
      </c>
      <c r="T68" s="185" t="str">
        <f xml:space="preserve"> IF(R68="YES",'CASE DATA'!K69,"N/A")</f>
        <v>N/A</v>
      </c>
      <c r="U68" s="185" t="str">
        <f>IF(R68="YES",'CASE DATA'!I69+'CASE DATA'!J69+'CASE DATA'!L69+'CASE DATA'!M69+'CASE DATA'!N69+'CASE DATA'!O69+'CASE DATA'!P69+'CASE DATA'!Q69+'CASE DATA'!R69,"N/A")</f>
        <v>N/A</v>
      </c>
      <c r="V68" s="189" t="str">
        <f>IF(OR('CASE DATA'!E69="123.46",'CASE DATA'!E69="123.47"),"YES","NO")</f>
        <v>NO</v>
      </c>
      <c r="W68" s="189"/>
      <c r="X68" s="185" t="str">
        <f>IF(V68="YES",IF(C68+730.5&lt;'BASIC INFO'!$B$3, "YES","NO"), "N/A")</f>
        <v>N/A</v>
      </c>
      <c r="Y68" s="189" t="str">
        <f t="shared" ref="Y68:Y100" si="1">V68</f>
        <v>NO</v>
      </c>
      <c r="Z68" s="187" t="str">
        <f xml:space="preserve"> IF('BASIC INFO'!$B$6+6574.5&gt;C68, "YES", "NO")</f>
        <v>YES</v>
      </c>
    </row>
    <row r="69" spans="1:26" x14ac:dyDescent="0.25">
      <c r="A69" s="162">
        <f xml:space="preserve"> 'CASE DATA'!A70</f>
        <v>0</v>
      </c>
      <c r="B69" s="162">
        <f xml:space="preserve"> 'CASE DATA'!E70</f>
        <v>0</v>
      </c>
      <c r="C69" s="163">
        <f xml:space="preserve"> 'CASE DATA'!C70</f>
        <v>0</v>
      </c>
      <c r="D69" s="11" t="str">
        <f xml:space="preserve"> IF(OR('CASE DATA'!F70="JUV", 'CASE DATA'!F70="JWV"), "YES", "NO")</f>
        <v>NO</v>
      </c>
      <c r="E69" s="11"/>
      <c r="F69" s="11" t="str">
        <f>IF(D69="YES",IF(COUNTIF('CASE DATA'!$C$4:$C$200, "")-COUNTIF('CASE DATA'!$A$4:$A$200, "")&gt;0, "YES","NO"),"N/A")</f>
        <v>N/A</v>
      </c>
      <c r="G69" s="164" t="str">
        <f xml:space="preserve"> _xlfn.IFS(D69="NO", "N/A", AND('BASIC INFO'!$B$3&gt;'BASIC INFO'!$B$6+6574.5, C69+730.5&lt;'BASIC INFO'!$B$3), "YES", 'BASIC INFO'!$B$3&lt;('BASIC INFO'!$B$6+6574.5), "NOT YET 18", C69+730.5&gt;'BASIC INFO'!$B$3, "NOT YET 2 YEARS")</f>
        <v>N/A</v>
      </c>
      <c r="H69" s="186" t="str">
        <f xml:space="preserve"> IF(LEFT('CASE DATA'!E70,4)&lt;&gt;"321.",IF(OR('CASE DATA'!F70="DISM", 'CASE DATA'!F70="ACQ", 'CASE DATA'!F70="NOTF", 'CASE DATA'!F70="WTHD", 'CASE DATA'!F70="TNSF"), "YES", "NO"), "TRAFFIC")</f>
        <v>NO</v>
      </c>
      <c r="I69" s="185" t="str">
        <f xml:space="preserve"> IF(H69="YES",'CASE DATA'!K70,"N/A")</f>
        <v>N/A</v>
      </c>
      <c r="J69" s="185" t="str">
        <f>IF(H69="YES",'CASE DATA'!I70+'CASE DATA'!J70+'CASE DATA'!L70+'CASE DATA'!M70+'CASE DATA'!N70+'CASE DATA'!O70+'CASE DATA'!P70+'CASE DATA'!Q70+'CASE DATA'!R70,"N/A")</f>
        <v>N/A</v>
      </c>
      <c r="K69" s="162" t="str">
        <f xml:space="preserve"> IF(H69="YES",IF(C69+180&lt;'BASIC INFO'!$B$3, "YES", "NO"),"N/A")</f>
        <v>N/A</v>
      </c>
      <c r="L69" s="185" t="str">
        <f>IF(OR('CASE DATA'!F70="GTR", 'CASE DATA'!F70="GPL"),IF(OR('CASE DATA'!E70="81.6(2)", 'CASE DATA'!E70="99F.15(6)(b)(1)", 'CASE DATA'!E70= "124.401(1)(a)", 'CASE DATA'!E70= "124.401(1)(b)", 'CASE DATA'!E70= "124.401(1)(c)", 'CASE DATA'!E70= "124.401(1)(d)", 'CASE DATA'!E70="124.401(4)", 'CASE DATA'!E70="124.401(1)(b)", 'CASE DATA'!E70="124.401(1)(c)", 'CASE DATA'!E70="124.401D(2)(b)", 'CASE DATA'!E70="124.401D(2)(c)", 'CASE DATA'!E70="124.406(1)(a)", 'CASE DATA'!E70="124.406(1)(b) ", 'CASE DATA'!E70="124.406(2)(a)", 'CASE DATA'!E70="124.406(2)(b) ", 'CASE DATA'!E70="124.406(3)", 'CASE DATA'!E70="124.406A ", 'CASE DATA'!E70="124.407(2)(a)", 'CASE DATA'!E70="124B.9(1)", 'CASE DATA'!E70="124B.9(2)", 'CASE DATA'!E70="321J.2(2)(c)", 'CASE DATA'!E70="453B.12(2)", 'CASE DATA'!E70="453B.12(3)", 'CASE DATA'!E70="453B.12(4)", 'CASE DATA'!E70="462A.14(2)(c)", 'CASE DATA'!E70="462A.14(2)(d)", 'CASE DATA'!E70="462A.14(2)(e)", 'CASE DATA'!E70="705.1(2)", 'CASE DATA'!E70="706.3(1)", 'CASE DATA'!E70="706.3(2)", 'CASE DATA'!E70="706A.2(1)", 'CASE DATA'!E70="706A.2(2)", 'CASE DATA'!E70="706A.2(4)", 'CASE DATA'!E70="706B.2(1)(a)", 'CASE DATA'!E70="706B.2(1)(b)", 'CASE DATA'!E70="706B.2(1)(c)", 'CASE DATA'!E70="706B.2(1)(d)", 'CASE DATA'!E70="707.2", 'CASE DATA'!E70="707.3", 'CASE DATA'!E70="707.3A", 'CASE DATA'!E70="707.4", 'CASE DATA'!E70="707.5(1)(a)", 'CASE DATA'!E70="707.6A(1)", 'CASE DATA'!E70="707.6A(2)", 'CASE DATA'!E70="707.6A(3)", 'CASE DATA'!E70="707.6A(4)", 'CASE DATA'!E70="707.7(1)", 'CASE DATA'!E70="707.7(3)", 'CASE DATA'!E70="707.7(2)", 'CASE DATA'!E70="707.8(1)", 'CASE DATA'!E70="707.8(2)", 'CASE DATA'!E70="707.8(3)", 'CASE DATA'!E70="707.8(4)", 'CASE DATA'!E70="707.8(5)", 'CASE DATA'!E70="707.8(6)", 'CASE DATA'!E70="707.9", 'CASE DATA'!E70="707.11", 'CASE DATA'!E70="707A.2", 'CASE DATA'!E70="708.2(4)", 'CASE DATA'!E70="708.2(5)", 'CASE DATA'!E70="708.2A(4)", 'CASE DATA'!E70="708.2A(5)", 'CASE DATA'!E70="708.2C(2)", 'CASE DATA'!E70="708.2C(4)", 'CASE DATA'!E70="708.3(1)", 'CASE DATA'!E70="708.3(2)", 'CASE DATA'!E70="708.3A(1)", 'CASE DATA'!E70="708.3A(2)", 'CASE DATA'!E70="708.3B", 'CASE DATA'!E70="708.4(1)", 'CASE DATA'!E70="708.4(2)", 'CASE DATA'!E70="708.5", 'CASE DATA'!E70="708.8", 'CASE DATA'!E70="708.11(3)(a)", 'CASE DATA'!E70="708.11(3)(b)", 'CASE DATA'!E70="708.12(3)(f)", 'CASE DATA'!E70="708.13(3)", 'CASE DATA'!E70="708.14", 'CASE DATA'!E70="708A.2", 'CASE DATA'!E70="708A.4(1)", 'CASE DATA'!E70="708A.4(2)", 'CASE DATA'!E70="708A.5", 'CASE DATA'!E70="708A.6(1)", 'CASE DATA'!E70="708.A.6(2)", 'CASE DATA'!E70="709.2", 'CASE DATA'!E70="709.3", 'CASE DATA'!E70="709.4", 'CASE DATA'!E70="709.8(1)(a)", 'CASE DATA'!E70="709.8(1)(b)", 'CASE DATA'!E70="709.8(1)(c)", 'CASE DATA'!E70="709.8(1)(d)", 'CASE DATA'!E70="709.8(1)(e)", 'CASE DATA'!E70="709.11(1)", 'CASE DATA'!E70="709.11(2)", 'CASE DATA'!E70="709.15(2)(a)(1)", 'CASE DATA'!E70="709.15(3)(a)(1)", 'CASE DATA'!E70="709.18", 'CASE DATA'!E70="709A.6(2)", 'CASE DATA'!E70="709D.3(1)", 'CASE DATA'!E70="709D.3(2)", 'CASE DATA'!E70="709.D.3(3)", 'CASE DATA'!E70="710.2", 'CASE DATA'!E70="710.3", 'CASE DATA'!E70="710.4", 'CASE DATA'!E70="710.5", 'CASE DATA'!E70="710.10(1)", 'CASE DATA'!E70="710.10(2)", 'CASE DATA'!E70="710.10(3)", 'CASE DATA'!E70="710.11", 'CASE DATA'!E70="710A.2(1)", 'CASE DATA'!E70="710A.2(2)", 'CASE DATA'!E70="710A.2(3)", 'CASE DATA'!E70="710A.2(4)", 'CASE DATA'!E70="710A.2(5)", 'CASE DATA'!E70="710A.2(6)", 'CASE DATA'!E70="710A.2(7)", 'CASE DATA'!E70="710A.2A", 'CASE DATA'!E70="711.2", 'CASE DATA'!E70="711.3", 'CASE DATA'!E70="711.4", 'CASE DATA'!E70="712.2", 'CASE DATA'!E70="712.3", 'CASE DATA'!E70="712.6(1)", 'CASE DATA'!E70="712.7", 'CASE DATA'!E70="712.8", 'CASE DATA'!E70="", 'CASE DATA'!E70="713.3", 'CASE DATA'!E70="713.4", 'CASE DATA'!E70="713.5", 'CASE DATA'!E70="713.6", 'CASE DATA'!E70="713.6A(1)", 'CASE DATA'!E70="714.2(1)", 'CASE DATA'!E70="714.2(2)", 'CASE DATA'!E70="714.3A(2)(b)", 'CASE DATA'!E70="714.9", 'CASE DATA'!E70="714.10", 'CASE DATA'!E70="714.26(2)(a)", 'CASE DATA'!E70="714.26(2)(b)", 'CASE DATA'!E70="715A.2(2)(a)", 'CASE DATA'!E70="715A.6(2)(a)", 'CASE DATA'!E70="715A.6(2)(b)", 'CASE DATA'!E70="715A.8(3)(a)", 'CASE DATA'!E70="715A.8(3)(b)", 'CASE DATA'!E70="715A.10(1)", 'CASE DATA'!E70="715A.10(2)", 'CASE DATA'!E70="716.3", 'CASE DATA'!E70="716.4", 'CASE DATA'!E70="716.8(6)", 'CASE DATA'!E70="716.10(2)(a)", 'CASE DATA'!E70="716.10(2)(b)", 'CASE DATA'!E70="716.10(2)(c)", 'CASE DATA'!E70="716.10(2)(d)", 'CASE DATA'!E70="716.12", 'CASE DATA'!E70="719.1(1)(f)", 'CASE DATA'!E70="719.1(2)(e)", 'CASE DATA'!E70="719.1(2)(f)", 'CASE DATA'!E70="719.1(2)(g)", 'CASE DATA'!E70="719.4(1)", 'CASE DATA'!E70="719.4(4)", 'CASE DATA'!E70="719.5(1)", 'CASE DATA'!E70="719.5(2)", 'CASE DATA'!E70="719.6(1)", 'CASE DATA'!E70="719.6(2)", 'CASE DATA'!E70="719.7(4)(a)", 'CASE DATA'!E70="719.7(4)(b)", 'CASE DATA'!E70="719.7A(3)", 'CASE DATA'!E70="719.9", 'CASE DATA'!E70="719.8", 'CASE DATA'!E70="720.2", 'CASE DATA'!E70="720.3", 'CASE DATA'!E70="721.1", 'CASE DATA'!E70="722.1", 'CASE DATA'!E70="", 'CASE DATA'!E70="722.2", 'CASE DATA'!E70="722.10", 'CASE DATA'!E70="723(5)(3)(c)", 'CASE DATA'!E70="723A.2", 'CASE DATA'!E70="723A.3(1)", 'CASE DATA'!E70="723A.3(2)", 'CASE DATA'!E70="724.1B", 'CASE DATA'!E70="724.1C", 'CASE DATA'!E70="724.3", 'CASE DATA'!E70="724.4B", 'CASE DATA'!E70="724.10", 'CASE DATA'!E70="724.16(2)", 'CASE DATA'!E70="724.16A(1)(a)", 'CASE DATA'!E70="724.16A(1)(b)", 'CASE DATA'!E70="724.17", 'CASE DATA'!E70="724.21", 'CASE DATA'!E70="724.26(1)", 'CASE DATA'!E70="922(g)(8)", 'CASE DATA'!E70="724.29A(2)", 'CASE DATA'!E70="724.29A(3)", 'CASE DATA'!E70="724.30(1)", 'CASE DATA'!E70="724.30(2)", 'CASE DATA'!E70="725.1(2)(b)", 'CASE DATA'!E70="725.2(1)", 'CASE DATA'!E70="725.2(2)", 'CASE DATA'!E70="725.3(2)", 'CASE DATA'!E70="725.3(1)", 'CASE DATA'!E70="725.7(2)(a)(3)", 'CASE DATA'!E70="725.7(2)(a)(4)", 'CASE DATA'!E70="725.7(2)(b)(2)", 'CASE DATA'!E70="725.7(2)(b(3)", 'CASE DATA'!E70="726.7(2)(c)(1)", 'CASE DATA'!E70="726.7(2)(c)(2)", 'CASE DATA'!E70="725.7(2)(d)", 'CASE DATA'!E70="726.2", 'CASE DATA'!E70="726.3", 'CASE DATA'!E70="726.5", 'CASE DATA'!E70="726.6(4)", 'CASE DATA'!E70="726.6(5)", 'CASE DATA'!E70="726.6(6)", 'CASE DATA'!E70="726.6A", 'CASE DATA'!E70="726.7(2)", 'CASE DATA'!E70="726.8(2)", 'CASE DATA'!E70="728.12(1)", 'CASE DATA'!E70="728.12(2)"),"felony","eligible"),"N/A")</f>
        <v>N/A</v>
      </c>
      <c r="M69" s="185" t="str">
        <f>IF(L69="eligible",IF(OR('CASE DATA'!E70="123.46",'CASE DATA'!E70="123.47",'CASE DATA'!E70="235B.20",'CASE DATA'!E70="321.218",'CASE DATA'!E70="321A.32",'CASE DATA'!E70="321J.21",'CASE DATA'!E70="321J.2",'CASE DATA'!E70="707.5",'CASE DATA'!E70="708.2(3)",'CASE DATA'!E70="708.2A",'CASE DATA'!E70="708.7",'CASE DATA'!E70="708.11",'CASE DATA'!E70="708.12",'CASE DATA'!E70="716.8(3)",'CASE DATA'!E70="716.8(4)", LEFT('CASE DATA'!E70,4)="717C", LEFT('CASE DATA'!E70, 3)="719", LEFT('CASE DATA'!E70,3)="720", 'CASE DATA'!E70="721.2", 'CASE DATA'!E70="721.10", 'CASE DATA'!E70="723.1", LEFT('CASE DATA'!E70,3)="724", LEFT('CASE DATA'!E70,3)="726", LEFT('CASE DATA'!E70,3)="728", LEFT('CASE DATA'!E70,4)="901A"),"ineligible misd", "eligible"),"N/A")</f>
        <v>N/A</v>
      </c>
      <c r="N69" s="185" t="str">
        <f>IF(L69="eligible",IF(COUNTIF('CASE DATA'!$C$4:$C$200, "")-COUNTIF('CASE DATA'!$A$4:$A$200, "")&gt;0, "YES","NO"),"N/A")</f>
        <v>N/A</v>
      </c>
      <c r="O69" s="185" t="str">
        <f xml:space="preserve"> IF(M69="eligible",'CASE DATA'!K70,"N/A")</f>
        <v>N/A</v>
      </c>
      <c r="P69" s="185" t="str">
        <f xml:space="preserve"> IF(M69="eligible",'CASE DATA'!I70+'CASE DATA'!J70+'CASE DATA'!L70+'CASE DATA'!M70+'CASE DATA'!N70+'CASE DATA'!O70+'CASE DATA'!M70+'CASE DATA'!Q70+'CASE DATA'!R70,"N/A")</f>
        <v>N/A</v>
      </c>
      <c r="Q69" s="11" t="str">
        <f>IF(M69="eligible",IF(C69+730.5&lt;'BASIC INFO'!$B$3, "YES", "NO"),"N/A")</f>
        <v>N/A</v>
      </c>
      <c r="R69" s="186" t="str">
        <f xml:space="preserve"> IF(OR('CASE DATA'!F70="DEF"), "YES", "NO")</f>
        <v>NO</v>
      </c>
      <c r="S69" s="162" t="str">
        <f>IF(R69="YES",'CASE DATA'!H70,"N/A")</f>
        <v>N/A</v>
      </c>
      <c r="T69" s="185" t="str">
        <f xml:space="preserve"> IF(R69="YES",'CASE DATA'!K70,"N/A")</f>
        <v>N/A</v>
      </c>
      <c r="U69" s="185" t="str">
        <f>IF(R69="YES",'CASE DATA'!I70+'CASE DATA'!J70+'CASE DATA'!L70+'CASE DATA'!M70+'CASE DATA'!N70+'CASE DATA'!O70+'CASE DATA'!P70+'CASE DATA'!Q70+'CASE DATA'!R70,"N/A")</f>
        <v>N/A</v>
      </c>
      <c r="V69" s="189" t="str">
        <f>IF(OR('CASE DATA'!E70="123.46",'CASE DATA'!E70="123.47"),"YES","NO")</f>
        <v>NO</v>
      </c>
      <c r="W69" s="189"/>
      <c r="X69" s="185" t="str">
        <f>IF(V69="YES",IF(C69+730.5&lt;'BASIC INFO'!$B$3, "YES","NO"), "N/A")</f>
        <v>N/A</v>
      </c>
      <c r="Y69" s="189" t="str">
        <f t="shared" si="1"/>
        <v>NO</v>
      </c>
      <c r="Z69" s="187" t="str">
        <f xml:space="preserve"> IF('BASIC INFO'!$B$6+6574.5&gt;C69, "YES", "NO")</f>
        <v>YES</v>
      </c>
    </row>
    <row r="70" spans="1:26" x14ac:dyDescent="0.25">
      <c r="A70" s="162">
        <f xml:space="preserve"> 'CASE DATA'!A71</f>
        <v>0</v>
      </c>
      <c r="B70" s="162">
        <f xml:space="preserve"> 'CASE DATA'!E71</f>
        <v>0</v>
      </c>
      <c r="C70" s="163">
        <f xml:space="preserve"> 'CASE DATA'!C71</f>
        <v>0</v>
      </c>
      <c r="D70" s="11" t="str">
        <f xml:space="preserve"> IF(OR('CASE DATA'!F71="JUV", 'CASE DATA'!F71="JWV"), "YES", "NO")</f>
        <v>NO</v>
      </c>
      <c r="E70" s="11"/>
      <c r="F70" s="11" t="str">
        <f>IF(D70="YES",IF(COUNTIF('CASE DATA'!$C$4:$C$200, "")-COUNTIF('CASE DATA'!$A$4:$A$200, "")&gt;0, "YES","NO"),"N/A")</f>
        <v>N/A</v>
      </c>
      <c r="G70" s="164" t="str">
        <f xml:space="preserve"> _xlfn.IFS(D70="NO", "N/A", AND('BASIC INFO'!$B$3&gt;'BASIC INFO'!$B$6+6574.5, C70+730.5&lt;'BASIC INFO'!$B$3), "YES", 'BASIC INFO'!$B$3&lt;('BASIC INFO'!$B$6+6574.5), "NOT YET 18", C70+730.5&gt;'BASIC INFO'!$B$3, "NOT YET 2 YEARS")</f>
        <v>N/A</v>
      </c>
      <c r="H70" s="186" t="str">
        <f xml:space="preserve"> IF(LEFT('CASE DATA'!E71,4)&lt;&gt;"321.",IF(OR('CASE DATA'!F71="DISM", 'CASE DATA'!F71="ACQ", 'CASE DATA'!F71="NOTF", 'CASE DATA'!F71="WTHD", 'CASE DATA'!F71="TNSF"), "YES", "NO"), "TRAFFIC")</f>
        <v>NO</v>
      </c>
      <c r="I70" s="185" t="str">
        <f xml:space="preserve"> IF(H70="YES",'CASE DATA'!K71,"N/A")</f>
        <v>N/A</v>
      </c>
      <c r="J70" s="185" t="str">
        <f>IF(H70="YES",'CASE DATA'!I71+'CASE DATA'!J71+'CASE DATA'!L71+'CASE DATA'!M71+'CASE DATA'!N71+'CASE DATA'!O71+'CASE DATA'!P71+'CASE DATA'!Q71+'CASE DATA'!R71,"N/A")</f>
        <v>N/A</v>
      </c>
      <c r="K70" s="162" t="str">
        <f xml:space="preserve"> IF(H70="YES",IF(C70+180&lt;'BASIC INFO'!$B$3, "YES", "NO"),"N/A")</f>
        <v>N/A</v>
      </c>
      <c r="L70" s="185" t="str">
        <f>IF(OR('CASE DATA'!F71="GTR", 'CASE DATA'!F71="GPL"),IF(OR('CASE DATA'!E71="81.6(2)", 'CASE DATA'!E71="99F.15(6)(b)(1)", 'CASE DATA'!E71= "124.401(1)(a)", 'CASE DATA'!E71= "124.401(1)(b)", 'CASE DATA'!E71= "124.401(1)(c)", 'CASE DATA'!E71= "124.401(1)(d)", 'CASE DATA'!E71="124.401(4)", 'CASE DATA'!E71="124.401(1)(b)", 'CASE DATA'!E71="124.401(1)(c)", 'CASE DATA'!E71="124.401D(2)(b)", 'CASE DATA'!E71="124.401D(2)(c)", 'CASE DATA'!E71="124.406(1)(a)", 'CASE DATA'!E71="124.406(1)(b) ", 'CASE DATA'!E71="124.406(2)(a)", 'CASE DATA'!E71="124.406(2)(b) ", 'CASE DATA'!E71="124.406(3)", 'CASE DATA'!E71="124.406A ", 'CASE DATA'!E71="124.407(2)(a)", 'CASE DATA'!E71="124B.9(1)", 'CASE DATA'!E71="124B.9(2)", 'CASE DATA'!E71="321J.2(2)(c)", 'CASE DATA'!E71="453B.12(2)", 'CASE DATA'!E71="453B.12(3)", 'CASE DATA'!E71="453B.12(4)", 'CASE DATA'!E71="462A.14(2)(c)", 'CASE DATA'!E71="462A.14(2)(d)", 'CASE DATA'!E71="462A.14(2)(e)", 'CASE DATA'!E71="705.1(2)", 'CASE DATA'!E71="706.3(1)", 'CASE DATA'!E71="706.3(2)", 'CASE DATA'!E71="706A.2(1)", 'CASE DATA'!E71="706A.2(2)", 'CASE DATA'!E71="706A.2(4)", 'CASE DATA'!E71="706B.2(1)(a)", 'CASE DATA'!E71="706B.2(1)(b)", 'CASE DATA'!E71="706B.2(1)(c)", 'CASE DATA'!E71="706B.2(1)(d)", 'CASE DATA'!E71="707.2", 'CASE DATA'!E71="707.3", 'CASE DATA'!E71="707.3A", 'CASE DATA'!E71="707.4", 'CASE DATA'!E71="707.5(1)(a)", 'CASE DATA'!E71="707.6A(1)", 'CASE DATA'!E71="707.6A(2)", 'CASE DATA'!E71="707.6A(3)", 'CASE DATA'!E71="707.6A(4)", 'CASE DATA'!E71="707.7(1)", 'CASE DATA'!E71="707.7(3)", 'CASE DATA'!E71="707.7(2)", 'CASE DATA'!E71="707.8(1)", 'CASE DATA'!E71="707.8(2)", 'CASE DATA'!E71="707.8(3)", 'CASE DATA'!E71="707.8(4)", 'CASE DATA'!E71="707.8(5)", 'CASE DATA'!E71="707.8(6)", 'CASE DATA'!E71="707.9", 'CASE DATA'!E71="707.11", 'CASE DATA'!E71="707A.2", 'CASE DATA'!E71="708.2(4)", 'CASE DATA'!E71="708.2(5)", 'CASE DATA'!E71="708.2A(4)", 'CASE DATA'!E71="708.2A(5)", 'CASE DATA'!E71="708.2C(2)", 'CASE DATA'!E71="708.2C(4)", 'CASE DATA'!E71="708.3(1)", 'CASE DATA'!E71="708.3(2)", 'CASE DATA'!E71="708.3A(1)", 'CASE DATA'!E71="708.3A(2)", 'CASE DATA'!E71="708.3B", 'CASE DATA'!E71="708.4(1)", 'CASE DATA'!E71="708.4(2)", 'CASE DATA'!E71="708.5", 'CASE DATA'!E71="708.8", 'CASE DATA'!E71="708.11(3)(a)", 'CASE DATA'!E71="708.11(3)(b)", 'CASE DATA'!E71="708.12(3)(f)", 'CASE DATA'!E71="708.13(3)", 'CASE DATA'!E71="708.14", 'CASE DATA'!E71="708A.2", 'CASE DATA'!E71="708A.4(1)", 'CASE DATA'!E71="708A.4(2)", 'CASE DATA'!E71="708A.5", 'CASE DATA'!E71="708A.6(1)", 'CASE DATA'!E71="708.A.6(2)", 'CASE DATA'!E71="709.2", 'CASE DATA'!E71="709.3", 'CASE DATA'!E71="709.4", 'CASE DATA'!E71="709.8(1)(a)", 'CASE DATA'!E71="709.8(1)(b)", 'CASE DATA'!E71="709.8(1)(c)", 'CASE DATA'!E71="709.8(1)(d)", 'CASE DATA'!E71="709.8(1)(e)", 'CASE DATA'!E71="709.11(1)", 'CASE DATA'!E71="709.11(2)", 'CASE DATA'!E71="709.15(2)(a)(1)", 'CASE DATA'!E71="709.15(3)(a)(1)", 'CASE DATA'!E71="709.18", 'CASE DATA'!E71="709A.6(2)", 'CASE DATA'!E71="709D.3(1)", 'CASE DATA'!E71="709D.3(2)", 'CASE DATA'!E71="709.D.3(3)", 'CASE DATA'!E71="710.2", 'CASE DATA'!E71="710.3", 'CASE DATA'!E71="710.4", 'CASE DATA'!E71="710.5", 'CASE DATA'!E71="710.10(1)", 'CASE DATA'!E71="710.10(2)", 'CASE DATA'!E71="710.10(3)", 'CASE DATA'!E71="710.11", 'CASE DATA'!E71="710A.2(1)", 'CASE DATA'!E71="710A.2(2)", 'CASE DATA'!E71="710A.2(3)", 'CASE DATA'!E71="710A.2(4)", 'CASE DATA'!E71="710A.2(5)", 'CASE DATA'!E71="710A.2(6)", 'CASE DATA'!E71="710A.2(7)", 'CASE DATA'!E71="710A.2A", 'CASE DATA'!E71="711.2", 'CASE DATA'!E71="711.3", 'CASE DATA'!E71="711.4", 'CASE DATA'!E71="712.2", 'CASE DATA'!E71="712.3", 'CASE DATA'!E71="712.6(1)", 'CASE DATA'!E71="712.7", 'CASE DATA'!E71="712.8", 'CASE DATA'!E71="", 'CASE DATA'!E71="713.3", 'CASE DATA'!E71="713.4", 'CASE DATA'!E71="713.5", 'CASE DATA'!E71="713.6", 'CASE DATA'!E71="713.6A(1)", 'CASE DATA'!E71="714.2(1)", 'CASE DATA'!E71="714.2(2)", 'CASE DATA'!E71="714.3A(2)(b)", 'CASE DATA'!E71="714.9", 'CASE DATA'!E71="714.10", 'CASE DATA'!E71="714.26(2)(a)", 'CASE DATA'!E71="714.26(2)(b)", 'CASE DATA'!E71="715A.2(2)(a)", 'CASE DATA'!E71="715A.6(2)(a)", 'CASE DATA'!E71="715A.6(2)(b)", 'CASE DATA'!E71="715A.8(3)(a)", 'CASE DATA'!E71="715A.8(3)(b)", 'CASE DATA'!E71="715A.10(1)", 'CASE DATA'!E71="715A.10(2)", 'CASE DATA'!E71="716.3", 'CASE DATA'!E71="716.4", 'CASE DATA'!E71="716.8(6)", 'CASE DATA'!E71="716.10(2)(a)", 'CASE DATA'!E71="716.10(2)(b)", 'CASE DATA'!E71="716.10(2)(c)", 'CASE DATA'!E71="716.10(2)(d)", 'CASE DATA'!E71="716.12", 'CASE DATA'!E71="719.1(1)(f)", 'CASE DATA'!E71="719.1(2)(e)", 'CASE DATA'!E71="719.1(2)(f)", 'CASE DATA'!E71="719.1(2)(g)", 'CASE DATA'!E71="719.4(1)", 'CASE DATA'!E71="719.4(4)", 'CASE DATA'!E71="719.5(1)", 'CASE DATA'!E71="719.5(2)", 'CASE DATA'!E71="719.6(1)", 'CASE DATA'!E71="719.6(2)", 'CASE DATA'!E71="719.7(4)(a)", 'CASE DATA'!E71="719.7(4)(b)", 'CASE DATA'!E71="719.7A(3)", 'CASE DATA'!E71="719.9", 'CASE DATA'!E71="719.8", 'CASE DATA'!E71="720.2", 'CASE DATA'!E71="720.3", 'CASE DATA'!E71="721.1", 'CASE DATA'!E71="722.1", 'CASE DATA'!E71="", 'CASE DATA'!E71="722.2", 'CASE DATA'!E71="722.10", 'CASE DATA'!E71="723(5)(3)(c)", 'CASE DATA'!E71="723A.2", 'CASE DATA'!E71="723A.3(1)", 'CASE DATA'!E71="723A.3(2)", 'CASE DATA'!E71="724.1B", 'CASE DATA'!E71="724.1C", 'CASE DATA'!E71="724.3", 'CASE DATA'!E71="724.4B", 'CASE DATA'!E71="724.10", 'CASE DATA'!E71="724.16(2)", 'CASE DATA'!E71="724.16A(1)(a)", 'CASE DATA'!E71="724.16A(1)(b)", 'CASE DATA'!E71="724.17", 'CASE DATA'!E71="724.21", 'CASE DATA'!E71="724.26(1)", 'CASE DATA'!E71="922(g)(8)", 'CASE DATA'!E71="724.29A(2)", 'CASE DATA'!E71="724.29A(3)", 'CASE DATA'!E71="724.30(1)", 'CASE DATA'!E71="724.30(2)", 'CASE DATA'!E71="725.1(2)(b)", 'CASE DATA'!E71="725.2(1)", 'CASE DATA'!E71="725.2(2)", 'CASE DATA'!E71="725.3(2)", 'CASE DATA'!E71="725.3(1)", 'CASE DATA'!E71="725.7(2)(a)(3)", 'CASE DATA'!E71="725.7(2)(a)(4)", 'CASE DATA'!E71="725.7(2)(b)(2)", 'CASE DATA'!E71="725.7(2)(b(3)", 'CASE DATA'!E71="726.7(2)(c)(1)", 'CASE DATA'!E71="726.7(2)(c)(2)", 'CASE DATA'!E71="725.7(2)(d)", 'CASE DATA'!E71="726.2", 'CASE DATA'!E71="726.3", 'CASE DATA'!E71="726.5", 'CASE DATA'!E71="726.6(4)", 'CASE DATA'!E71="726.6(5)", 'CASE DATA'!E71="726.6(6)", 'CASE DATA'!E71="726.6A", 'CASE DATA'!E71="726.7(2)", 'CASE DATA'!E71="726.8(2)", 'CASE DATA'!E71="728.12(1)", 'CASE DATA'!E71="728.12(2)"),"felony","eligible"),"N/A")</f>
        <v>N/A</v>
      </c>
      <c r="M70" s="185" t="str">
        <f>IF(L70="eligible",IF(OR('CASE DATA'!E71="123.46",'CASE DATA'!E71="123.47",'CASE DATA'!E71="235B.20",'CASE DATA'!E71="321.218",'CASE DATA'!E71="321A.32",'CASE DATA'!E71="321J.21",'CASE DATA'!E71="321J.2",'CASE DATA'!E71="707.5",'CASE DATA'!E71="708.2(3)",'CASE DATA'!E71="708.2A",'CASE DATA'!E71="708.7",'CASE DATA'!E71="708.11",'CASE DATA'!E71="708.12",'CASE DATA'!E71="716.8(3)",'CASE DATA'!E71="716.8(4)", LEFT('CASE DATA'!E71,4)="717C", LEFT('CASE DATA'!E71, 3)="719", LEFT('CASE DATA'!E71,3)="720", 'CASE DATA'!E71="721.2", 'CASE DATA'!E71="721.10", 'CASE DATA'!E71="723.1", LEFT('CASE DATA'!E71,3)="724", LEFT('CASE DATA'!E71,3)="726", LEFT('CASE DATA'!E71,3)="728", LEFT('CASE DATA'!E71,4)="901A"),"ineligible misd", "eligible"),"N/A")</f>
        <v>N/A</v>
      </c>
      <c r="N70" s="185" t="str">
        <f>IF(L70="eligible",IF(COUNTIF('CASE DATA'!$C$4:$C$200, "")-COUNTIF('CASE DATA'!$A$4:$A$200, "")&gt;0, "YES","NO"),"N/A")</f>
        <v>N/A</v>
      </c>
      <c r="O70" s="185" t="str">
        <f xml:space="preserve"> IF(M70="eligible",'CASE DATA'!K71,"N/A")</f>
        <v>N/A</v>
      </c>
      <c r="P70" s="185" t="str">
        <f xml:space="preserve"> IF(M70="eligible",'CASE DATA'!I71+'CASE DATA'!J71+'CASE DATA'!L71+'CASE DATA'!M71+'CASE DATA'!N71+'CASE DATA'!O71+'CASE DATA'!M71+'CASE DATA'!Q71+'CASE DATA'!R71,"N/A")</f>
        <v>N/A</v>
      </c>
      <c r="Q70" s="11" t="str">
        <f>IF(M70="eligible",IF(C70+730.5&lt;'BASIC INFO'!$B$3, "YES", "NO"),"N/A")</f>
        <v>N/A</v>
      </c>
      <c r="R70" s="186" t="str">
        <f xml:space="preserve"> IF(OR('CASE DATA'!F71="DEF"), "YES", "NO")</f>
        <v>NO</v>
      </c>
      <c r="S70" s="162" t="str">
        <f>IF(R70="YES",'CASE DATA'!H71,"N/A")</f>
        <v>N/A</v>
      </c>
      <c r="T70" s="185" t="str">
        <f xml:space="preserve"> IF(R70="YES",'CASE DATA'!K71,"N/A")</f>
        <v>N/A</v>
      </c>
      <c r="U70" s="185" t="str">
        <f>IF(R70="YES",'CASE DATA'!I71+'CASE DATA'!J71+'CASE DATA'!L71+'CASE DATA'!M71+'CASE DATA'!N71+'CASE DATA'!O71+'CASE DATA'!P71+'CASE DATA'!Q71+'CASE DATA'!R71,"N/A")</f>
        <v>N/A</v>
      </c>
      <c r="V70" s="189" t="str">
        <f>IF(OR('CASE DATA'!E71="123.46",'CASE DATA'!E71="123.47"),"YES","NO")</f>
        <v>NO</v>
      </c>
      <c r="W70" s="189"/>
      <c r="X70" s="185" t="str">
        <f>IF(V70="YES",IF(C70+730.5&lt;'BASIC INFO'!$B$3, "YES","NO"), "N/A")</f>
        <v>N/A</v>
      </c>
      <c r="Y70" s="189" t="str">
        <f t="shared" si="1"/>
        <v>NO</v>
      </c>
      <c r="Z70" s="187" t="str">
        <f xml:space="preserve"> IF('BASIC INFO'!$B$6+6574.5&gt;C70, "YES", "NO")</f>
        <v>YES</v>
      </c>
    </row>
    <row r="71" spans="1:26" x14ac:dyDescent="0.25">
      <c r="A71" s="162">
        <f xml:space="preserve"> 'CASE DATA'!A72</f>
        <v>0</v>
      </c>
      <c r="B71" s="162">
        <f xml:space="preserve"> 'CASE DATA'!E72</f>
        <v>0</v>
      </c>
      <c r="C71" s="163">
        <f xml:space="preserve"> 'CASE DATA'!C72</f>
        <v>0</v>
      </c>
      <c r="D71" s="11" t="str">
        <f xml:space="preserve"> IF(OR('CASE DATA'!F72="JUV", 'CASE DATA'!F72="JWV"), "YES", "NO")</f>
        <v>NO</v>
      </c>
      <c r="E71" s="11"/>
      <c r="F71" s="11" t="str">
        <f>IF(D71="YES",IF(COUNTIF('CASE DATA'!$C$4:$C$200, "")-COUNTIF('CASE DATA'!$A$4:$A$200, "")&gt;0, "YES","NO"),"N/A")</f>
        <v>N/A</v>
      </c>
      <c r="G71" s="164" t="str">
        <f xml:space="preserve"> _xlfn.IFS(D71="NO", "N/A", AND('BASIC INFO'!$B$3&gt;'BASIC INFO'!$B$6+6574.5, C71+730.5&lt;'BASIC INFO'!$B$3), "YES", 'BASIC INFO'!$B$3&lt;('BASIC INFO'!$B$6+6574.5), "NOT YET 18", C71+730.5&gt;'BASIC INFO'!$B$3, "NOT YET 2 YEARS")</f>
        <v>N/A</v>
      </c>
      <c r="H71" s="186" t="str">
        <f xml:space="preserve"> IF(LEFT('CASE DATA'!E72,4)&lt;&gt;"321.",IF(OR('CASE DATA'!F72="DISM", 'CASE DATA'!F72="ACQ", 'CASE DATA'!F72="NOTF", 'CASE DATA'!F72="WTHD", 'CASE DATA'!F72="TNSF"), "YES", "NO"), "TRAFFIC")</f>
        <v>NO</v>
      </c>
      <c r="I71" s="185" t="str">
        <f xml:space="preserve"> IF(H71="YES",'CASE DATA'!K72,"N/A")</f>
        <v>N/A</v>
      </c>
      <c r="J71" s="185" t="str">
        <f>IF(H71="YES",'CASE DATA'!I72+'CASE DATA'!J72+'CASE DATA'!L72+'CASE DATA'!M72+'CASE DATA'!N72+'CASE DATA'!O72+'CASE DATA'!P72+'CASE DATA'!Q72+'CASE DATA'!R72,"N/A")</f>
        <v>N/A</v>
      </c>
      <c r="K71" s="162" t="str">
        <f xml:space="preserve"> IF(H71="YES",IF(C71+180&lt;'BASIC INFO'!$B$3, "YES", "NO"),"N/A")</f>
        <v>N/A</v>
      </c>
      <c r="L71" s="185" t="str">
        <f>IF(OR('CASE DATA'!F72="GTR", 'CASE DATA'!F72="GPL"),IF(OR('CASE DATA'!E72="81.6(2)", 'CASE DATA'!E72="99F.15(6)(b)(1)", 'CASE DATA'!E72= "124.401(1)(a)", 'CASE DATA'!E72= "124.401(1)(b)", 'CASE DATA'!E72= "124.401(1)(c)", 'CASE DATA'!E72= "124.401(1)(d)", 'CASE DATA'!E72="124.401(4)", 'CASE DATA'!E72="124.401(1)(b)", 'CASE DATA'!E72="124.401(1)(c)", 'CASE DATA'!E72="124.401D(2)(b)", 'CASE DATA'!E72="124.401D(2)(c)", 'CASE DATA'!E72="124.406(1)(a)", 'CASE DATA'!E72="124.406(1)(b) ", 'CASE DATA'!E72="124.406(2)(a)", 'CASE DATA'!E72="124.406(2)(b) ", 'CASE DATA'!E72="124.406(3)", 'CASE DATA'!E72="124.406A ", 'CASE DATA'!E72="124.407(2)(a)", 'CASE DATA'!E72="124B.9(1)", 'CASE DATA'!E72="124B.9(2)", 'CASE DATA'!E72="321J.2(2)(c)", 'CASE DATA'!E72="453B.12(2)", 'CASE DATA'!E72="453B.12(3)", 'CASE DATA'!E72="453B.12(4)", 'CASE DATA'!E72="462A.14(2)(c)", 'CASE DATA'!E72="462A.14(2)(d)", 'CASE DATA'!E72="462A.14(2)(e)", 'CASE DATA'!E72="705.1(2)", 'CASE DATA'!E72="706.3(1)", 'CASE DATA'!E72="706.3(2)", 'CASE DATA'!E72="706A.2(1)", 'CASE DATA'!E72="706A.2(2)", 'CASE DATA'!E72="706A.2(4)", 'CASE DATA'!E72="706B.2(1)(a)", 'CASE DATA'!E72="706B.2(1)(b)", 'CASE DATA'!E72="706B.2(1)(c)", 'CASE DATA'!E72="706B.2(1)(d)", 'CASE DATA'!E72="707.2", 'CASE DATA'!E72="707.3", 'CASE DATA'!E72="707.3A", 'CASE DATA'!E72="707.4", 'CASE DATA'!E72="707.5(1)(a)", 'CASE DATA'!E72="707.6A(1)", 'CASE DATA'!E72="707.6A(2)", 'CASE DATA'!E72="707.6A(3)", 'CASE DATA'!E72="707.6A(4)", 'CASE DATA'!E72="707.7(1)", 'CASE DATA'!E72="707.7(3)", 'CASE DATA'!E72="707.7(2)", 'CASE DATA'!E72="707.8(1)", 'CASE DATA'!E72="707.8(2)", 'CASE DATA'!E72="707.8(3)", 'CASE DATA'!E72="707.8(4)", 'CASE DATA'!E72="707.8(5)", 'CASE DATA'!E72="707.8(6)", 'CASE DATA'!E72="707.9", 'CASE DATA'!E72="707.11", 'CASE DATA'!E72="707A.2", 'CASE DATA'!E72="708.2(4)", 'CASE DATA'!E72="708.2(5)", 'CASE DATA'!E72="708.2A(4)", 'CASE DATA'!E72="708.2A(5)", 'CASE DATA'!E72="708.2C(2)", 'CASE DATA'!E72="708.2C(4)", 'CASE DATA'!E72="708.3(1)", 'CASE DATA'!E72="708.3(2)", 'CASE DATA'!E72="708.3A(1)", 'CASE DATA'!E72="708.3A(2)", 'CASE DATA'!E72="708.3B", 'CASE DATA'!E72="708.4(1)", 'CASE DATA'!E72="708.4(2)", 'CASE DATA'!E72="708.5", 'CASE DATA'!E72="708.8", 'CASE DATA'!E72="708.11(3)(a)", 'CASE DATA'!E72="708.11(3)(b)", 'CASE DATA'!E72="708.12(3)(f)", 'CASE DATA'!E72="708.13(3)", 'CASE DATA'!E72="708.14", 'CASE DATA'!E72="708A.2", 'CASE DATA'!E72="708A.4(1)", 'CASE DATA'!E72="708A.4(2)", 'CASE DATA'!E72="708A.5", 'CASE DATA'!E72="708A.6(1)", 'CASE DATA'!E72="708.A.6(2)", 'CASE DATA'!E72="709.2", 'CASE DATA'!E72="709.3", 'CASE DATA'!E72="709.4", 'CASE DATA'!E72="709.8(1)(a)", 'CASE DATA'!E72="709.8(1)(b)", 'CASE DATA'!E72="709.8(1)(c)", 'CASE DATA'!E72="709.8(1)(d)", 'CASE DATA'!E72="709.8(1)(e)", 'CASE DATA'!E72="709.11(1)", 'CASE DATA'!E72="709.11(2)", 'CASE DATA'!E72="709.15(2)(a)(1)", 'CASE DATA'!E72="709.15(3)(a)(1)", 'CASE DATA'!E72="709.18", 'CASE DATA'!E72="709A.6(2)", 'CASE DATA'!E72="709D.3(1)", 'CASE DATA'!E72="709D.3(2)", 'CASE DATA'!E72="709.D.3(3)", 'CASE DATA'!E72="710.2", 'CASE DATA'!E72="710.3", 'CASE DATA'!E72="710.4", 'CASE DATA'!E72="710.5", 'CASE DATA'!E72="710.10(1)", 'CASE DATA'!E72="710.10(2)", 'CASE DATA'!E72="710.10(3)", 'CASE DATA'!E72="710.11", 'CASE DATA'!E72="710A.2(1)", 'CASE DATA'!E72="710A.2(2)", 'CASE DATA'!E72="710A.2(3)", 'CASE DATA'!E72="710A.2(4)", 'CASE DATA'!E72="710A.2(5)", 'CASE DATA'!E72="710A.2(6)", 'CASE DATA'!E72="710A.2(7)", 'CASE DATA'!E72="710A.2A", 'CASE DATA'!E72="711.2", 'CASE DATA'!E72="711.3", 'CASE DATA'!E72="711.4", 'CASE DATA'!E72="712.2", 'CASE DATA'!E72="712.3", 'CASE DATA'!E72="712.6(1)", 'CASE DATA'!E72="712.7", 'CASE DATA'!E72="712.8", 'CASE DATA'!E72="", 'CASE DATA'!E72="713.3", 'CASE DATA'!E72="713.4", 'CASE DATA'!E72="713.5", 'CASE DATA'!E72="713.6", 'CASE DATA'!E72="713.6A(1)", 'CASE DATA'!E72="714.2(1)", 'CASE DATA'!E72="714.2(2)", 'CASE DATA'!E72="714.3A(2)(b)", 'CASE DATA'!E72="714.9", 'CASE DATA'!E72="714.10", 'CASE DATA'!E72="714.26(2)(a)", 'CASE DATA'!E72="714.26(2)(b)", 'CASE DATA'!E72="715A.2(2)(a)", 'CASE DATA'!E72="715A.6(2)(a)", 'CASE DATA'!E72="715A.6(2)(b)", 'CASE DATA'!E72="715A.8(3)(a)", 'CASE DATA'!E72="715A.8(3)(b)", 'CASE DATA'!E72="715A.10(1)", 'CASE DATA'!E72="715A.10(2)", 'CASE DATA'!E72="716.3", 'CASE DATA'!E72="716.4", 'CASE DATA'!E72="716.8(6)", 'CASE DATA'!E72="716.10(2)(a)", 'CASE DATA'!E72="716.10(2)(b)", 'CASE DATA'!E72="716.10(2)(c)", 'CASE DATA'!E72="716.10(2)(d)", 'CASE DATA'!E72="716.12", 'CASE DATA'!E72="719.1(1)(f)", 'CASE DATA'!E72="719.1(2)(e)", 'CASE DATA'!E72="719.1(2)(f)", 'CASE DATA'!E72="719.1(2)(g)", 'CASE DATA'!E72="719.4(1)", 'CASE DATA'!E72="719.4(4)", 'CASE DATA'!E72="719.5(1)", 'CASE DATA'!E72="719.5(2)", 'CASE DATA'!E72="719.6(1)", 'CASE DATA'!E72="719.6(2)", 'CASE DATA'!E72="719.7(4)(a)", 'CASE DATA'!E72="719.7(4)(b)", 'CASE DATA'!E72="719.7A(3)", 'CASE DATA'!E72="719.9", 'CASE DATA'!E72="719.8", 'CASE DATA'!E72="720.2", 'CASE DATA'!E72="720.3", 'CASE DATA'!E72="721.1", 'CASE DATA'!E72="722.1", 'CASE DATA'!E72="", 'CASE DATA'!E72="722.2", 'CASE DATA'!E72="722.10", 'CASE DATA'!E72="723(5)(3)(c)", 'CASE DATA'!E72="723A.2", 'CASE DATA'!E72="723A.3(1)", 'CASE DATA'!E72="723A.3(2)", 'CASE DATA'!E72="724.1B", 'CASE DATA'!E72="724.1C", 'CASE DATA'!E72="724.3", 'CASE DATA'!E72="724.4B", 'CASE DATA'!E72="724.10", 'CASE DATA'!E72="724.16(2)", 'CASE DATA'!E72="724.16A(1)(a)", 'CASE DATA'!E72="724.16A(1)(b)", 'CASE DATA'!E72="724.17", 'CASE DATA'!E72="724.21", 'CASE DATA'!E72="724.26(1)", 'CASE DATA'!E72="922(g)(8)", 'CASE DATA'!E72="724.29A(2)", 'CASE DATA'!E72="724.29A(3)", 'CASE DATA'!E72="724.30(1)", 'CASE DATA'!E72="724.30(2)", 'CASE DATA'!E72="725.1(2)(b)", 'CASE DATA'!E72="725.2(1)", 'CASE DATA'!E72="725.2(2)", 'CASE DATA'!E72="725.3(2)", 'CASE DATA'!E72="725.3(1)", 'CASE DATA'!E72="725.7(2)(a)(3)", 'CASE DATA'!E72="725.7(2)(a)(4)", 'CASE DATA'!E72="725.7(2)(b)(2)", 'CASE DATA'!E72="725.7(2)(b(3)", 'CASE DATA'!E72="726.7(2)(c)(1)", 'CASE DATA'!E72="726.7(2)(c)(2)", 'CASE DATA'!E72="725.7(2)(d)", 'CASE DATA'!E72="726.2", 'CASE DATA'!E72="726.3", 'CASE DATA'!E72="726.5", 'CASE DATA'!E72="726.6(4)", 'CASE DATA'!E72="726.6(5)", 'CASE DATA'!E72="726.6(6)", 'CASE DATA'!E72="726.6A", 'CASE DATA'!E72="726.7(2)", 'CASE DATA'!E72="726.8(2)", 'CASE DATA'!E72="728.12(1)", 'CASE DATA'!E72="728.12(2)"),"felony","eligible"),"N/A")</f>
        <v>N/A</v>
      </c>
      <c r="M71" s="185" t="str">
        <f>IF(L71="eligible",IF(OR('CASE DATA'!E72="123.46",'CASE DATA'!E72="123.47",'CASE DATA'!E72="235B.20",'CASE DATA'!E72="321.218",'CASE DATA'!E72="321A.32",'CASE DATA'!E72="321J.21",'CASE DATA'!E72="321J.2",'CASE DATA'!E72="707.5",'CASE DATA'!E72="708.2(3)",'CASE DATA'!E72="708.2A",'CASE DATA'!E72="708.7",'CASE DATA'!E72="708.11",'CASE DATA'!E72="708.12",'CASE DATA'!E72="716.8(3)",'CASE DATA'!E72="716.8(4)", LEFT('CASE DATA'!E72,4)="717C", LEFT('CASE DATA'!E72, 3)="719", LEFT('CASE DATA'!E72,3)="720", 'CASE DATA'!E72="721.2", 'CASE DATA'!E72="721.10", 'CASE DATA'!E72="723.1", LEFT('CASE DATA'!E72,3)="724", LEFT('CASE DATA'!E72,3)="726", LEFT('CASE DATA'!E72,3)="728", LEFT('CASE DATA'!E72,4)="901A"),"ineligible misd", "eligible"),"N/A")</f>
        <v>N/A</v>
      </c>
      <c r="N71" s="185" t="str">
        <f>IF(L71="eligible",IF(COUNTIF('CASE DATA'!$C$4:$C$200, "")-COUNTIF('CASE DATA'!$A$4:$A$200, "")&gt;0, "YES","NO"),"N/A")</f>
        <v>N/A</v>
      </c>
      <c r="O71" s="185" t="str">
        <f xml:space="preserve"> IF(M71="eligible",'CASE DATA'!K72,"N/A")</f>
        <v>N/A</v>
      </c>
      <c r="P71" s="185" t="str">
        <f xml:space="preserve"> IF(M71="eligible",'CASE DATA'!I72+'CASE DATA'!J72+'CASE DATA'!L72+'CASE DATA'!M72+'CASE DATA'!N72+'CASE DATA'!O72+'CASE DATA'!M72+'CASE DATA'!Q72+'CASE DATA'!R72,"N/A")</f>
        <v>N/A</v>
      </c>
      <c r="Q71" s="11" t="str">
        <f>IF(M71="eligible",IF(C71+730.5&lt;'BASIC INFO'!$B$3, "YES", "NO"),"N/A")</f>
        <v>N/A</v>
      </c>
      <c r="R71" s="186" t="str">
        <f xml:space="preserve"> IF(OR('CASE DATA'!F72="DEF"), "YES", "NO")</f>
        <v>NO</v>
      </c>
      <c r="S71" s="162" t="str">
        <f>IF(R71="YES",'CASE DATA'!H72,"N/A")</f>
        <v>N/A</v>
      </c>
      <c r="T71" s="185" t="str">
        <f xml:space="preserve"> IF(R71="YES",'CASE DATA'!K72,"N/A")</f>
        <v>N/A</v>
      </c>
      <c r="U71" s="185" t="str">
        <f>IF(R71="YES",'CASE DATA'!I72+'CASE DATA'!J72+'CASE DATA'!L72+'CASE DATA'!M72+'CASE DATA'!N72+'CASE DATA'!O72+'CASE DATA'!P72+'CASE DATA'!Q72+'CASE DATA'!R72,"N/A")</f>
        <v>N/A</v>
      </c>
      <c r="V71" s="189" t="str">
        <f>IF(OR('CASE DATA'!E72="123.46",'CASE DATA'!E72="123.47"),"YES","NO")</f>
        <v>NO</v>
      </c>
      <c r="W71" s="189"/>
      <c r="X71" s="185" t="str">
        <f>IF(V71="YES",IF(C71+730.5&lt;'BASIC INFO'!$B$3, "YES","NO"), "N/A")</f>
        <v>N/A</v>
      </c>
      <c r="Y71" s="189" t="str">
        <f t="shared" si="1"/>
        <v>NO</v>
      </c>
      <c r="Z71" s="187" t="str">
        <f xml:space="preserve"> IF('BASIC INFO'!$B$6+6574.5&gt;C71, "YES", "NO")</f>
        <v>YES</v>
      </c>
    </row>
    <row r="72" spans="1:26" x14ac:dyDescent="0.25">
      <c r="A72" s="162">
        <f xml:space="preserve"> 'CASE DATA'!A73</f>
        <v>0</v>
      </c>
      <c r="B72" s="162">
        <f xml:space="preserve"> 'CASE DATA'!E73</f>
        <v>0</v>
      </c>
      <c r="C72" s="163">
        <f xml:space="preserve"> 'CASE DATA'!C73</f>
        <v>0</v>
      </c>
      <c r="D72" s="11" t="str">
        <f xml:space="preserve"> IF(OR('CASE DATA'!F73="JUV", 'CASE DATA'!F73="JWV"), "YES", "NO")</f>
        <v>NO</v>
      </c>
      <c r="E72" s="11"/>
      <c r="F72" s="11" t="str">
        <f>IF(D72="YES",IF(COUNTIF('CASE DATA'!$C$4:$C$200, "")-COUNTIF('CASE DATA'!$A$4:$A$200, "")&gt;0, "YES","NO"),"N/A")</f>
        <v>N/A</v>
      </c>
      <c r="G72" s="164" t="str">
        <f xml:space="preserve"> _xlfn.IFS(D72="NO", "N/A", AND('BASIC INFO'!$B$3&gt;'BASIC INFO'!$B$6+6574.5, C72+730.5&lt;'BASIC INFO'!$B$3), "YES", 'BASIC INFO'!$B$3&lt;('BASIC INFO'!$B$6+6574.5), "NOT YET 18", C72+730.5&gt;'BASIC INFO'!$B$3, "NOT YET 2 YEARS")</f>
        <v>N/A</v>
      </c>
      <c r="H72" s="186" t="str">
        <f xml:space="preserve"> IF(LEFT('CASE DATA'!E73,4)&lt;&gt;"321.",IF(OR('CASE DATA'!F73="DISM", 'CASE DATA'!F73="ACQ", 'CASE DATA'!F73="NOTF", 'CASE DATA'!F73="WTHD", 'CASE DATA'!F73="TNSF"), "YES", "NO"), "TRAFFIC")</f>
        <v>NO</v>
      </c>
      <c r="I72" s="185" t="str">
        <f xml:space="preserve"> IF(H72="YES",'CASE DATA'!K73,"N/A")</f>
        <v>N/A</v>
      </c>
      <c r="J72" s="185" t="str">
        <f>IF(H72="YES",'CASE DATA'!I73+'CASE DATA'!J73+'CASE DATA'!L73+'CASE DATA'!M73+'CASE DATA'!N73+'CASE DATA'!O73+'CASE DATA'!P73+'CASE DATA'!Q73+'CASE DATA'!R73,"N/A")</f>
        <v>N/A</v>
      </c>
      <c r="K72" s="162" t="str">
        <f xml:space="preserve"> IF(H72="YES",IF(C72+180&lt;'BASIC INFO'!$B$3, "YES", "NO"),"N/A")</f>
        <v>N/A</v>
      </c>
      <c r="L72" s="185" t="str">
        <f>IF(OR('CASE DATA'!F73="GTR", 'CASE DATA'!F73="GPL"),IF(OR('CASE DATA'!E73="81.6(2)", 'CASE DATA'!E73="99F.15(6)(b)(1)", 'CASE DATA'!E73= "124.401(1)(a)", 'CASE DATA'!E73= "124.401(1)(b)", 'CASE DATA'!E73= "124.401(1)(c)", 'CASE DATA'!E73= "124.401(1)(d)", 'CASE DATA'!E73="124.401(4)", 'CASE DATA'!E73="124.401(1)(b)", 'CASE DATA'!E73="124.401(1)(c)", 'CASE DATA'!E73="124.401D(2)(b)", 'CASE DATA'!E73="124.401D(2)(c)", 'CASE DATA'!E73="124.406(1)(a)", 'CASE DATA'!E73="124.406(1)(b) ", 'CASE DATA'!E73="124.406(2)(a)", 'CASE DATA'!E73="124.406(2)(b) ", 'CASE DATA'!E73="124.406(3)", 'CASE DATA'!E73="124.406A ", 'CASE DATA'!E73="124.407(2)(a)", 'CASE DATA'!E73="124B.9(1)", 'CASE DATA'!E73="124B.9(2)", 'CASE DATA'!E73="321J.2(2)(c)", 'CASE DATA'!E73="453B.12(2)", 'CASE DATA'!E73="453B.12(3)", 'CASE DATA'!E73="453B.12(4)", 'CASE DATA'!E73="462A.14(2)(c)", 'CASE DATA'!E73="462A.14(2)(d)", 'CASE DATA'!E73="462A.14(2)(e)", 'CASE DATA'!E73="705.1(2)", 'CASE DATA'!E73="706.3(1)", 'CASE DATA'!E73="706.3(2)", 'CASE DATA'!E73="706A.2(1)", 'CASE DATA'!E73="706A.2(2)", 'CASE DATA'!E73="706A.2(4)", 'CASE DATA'!E73="706B.2(1)(a)", 'CASE DATA'!E73="706B.2(1)(b)", 'CASE DATA'!E73="706B.2(1)(c)", 'CASE DATA'!E73="706B.2(1)(d)", 'CASE DATA'!E73="707.2", 'CASE DATA'!E73="707.3", 'CASE DATA'!E73="707.3A", 'CASE DATA'!E73="707.4", 'CASE DATA'!E73="707.5(1)(a)", 'CASE DATA'!E73="707.6A(1)", 'CASE DATA'!E73="707.6A(2)", 'CASE DATA'!E73="707.6A(3)", 'CASE DATA'!E73="707.6A(4)", 'CASE DATA'!E73="707.7(1)", 'CASE DATA'!E73="707.7(3)", 'CASE DATA'!E73="707.7(2)", 'CASE DATA'!E73="707.8(1)", 'CASE DATA'!E73="707.8(2)", 'CASE DATA'!E73="707.8(3)", 'CASE DATA'!E73="707.8(4)", 'CASE DATA'!E73="707.8(5)", 'CASE DATA'!E73="707.8(6)", 'CASE DATA'!E73="707.9", 'CASE DATA'!E73="707.11", 'CASE DATA'!E73="707A.2", 'CASE DATA'!E73="708.2(4)", 'CASE DATA'!E73="708.2(5)", 'CASE DATA'!E73="708.2A(4)", 'CASE DATA'!E73="708.2A(5)", 'CASE DATA'!E73="708.2C(2)", 'CASE DATA'!E73="708.2C(4)", 'CASE DATA'!E73="708.3(1)", 'CASE DATA'!E73="708.3(2)", 'CASE DATA'!E73="708.3A(1)", 'CASE DATA'!E73="708.3A(2)", 'CASE DATA'!E73="708.3B", 'CASE DATA'!E73="708.4(1)", 'CASE DATA'!E73="708.4(2)", 'CASE DATA'!E73="708.5", 'CASE DATA'!E73="708.8", 'CASE DATA'!E73="708.11(3)(a)", 'CASE DATA'!E73="708.11(3)(b)", 'CASE DATA'!E73="708.12(3)(f)", 'CASE DATA'!E73="708.13(3)", 'CASE DATA'!E73="708.14", 'CASE DATA'!E73="708A.2", 'CASE DATA'!E73="708A.4(1)", 'CASE DATA'!E73="708A.4(2)", 'CASE DATA'!E73="708A.5", 'CASE DATA'!E73="708A.6(1)", 'CASE DATA'!E73="708.A.6(2)", 'CASE DATA'!E73="709.2", 'CASE DATA'!E73="709.3", 'CASE DATA'!E73="709.4", 'CASE DATA'!E73="709.8(1)(a)", 'CASE DATA'!E73="709.8(1)(b)", 'CASE DATA'!E73="709.8(1)(c)", 'CASE DATA'!E73="709.8(1)(d)", 'CASE DATA'!E73="709.8(1)(e)", 'CASE DATA'!E73="709.11(1)", 'CASE DATA'!E73="709.11(2)", 'CASE DATA'!E73="709.15(2)(a)(1)", 'CASE DATA'!E73="709.15(3)(a)(1)", 'CASE DATA'!E73="709.18", 'CASE DATA'!E73="709A.6(2)", 'CASE DATA'!E73="709D.3(1)", 'CASE DATA'!E73="709D.3(2)", 'CASE DATA'!E73="709.D.3(3)", 'CASE DATA'!E73="710.2", 'CASE DATA'!E73="710.3", 'CASE DATA'!E73="710.4", 'CASE DATA'!E73="710.5", 'CASE DATA'!E73="710.10(1)", 'CASE DATA'!E73="710.10(2)", 'CASE DATA'!E73="710.10(3)", 'CASE DATA'!E73="710.11", 'CASE DATA'!E73="710A.2(1)", 'CASE DATA'!E73="710A.2(2)", 'CASE DATA'!E73="710A.2(3)", 'CASE DATA'!E73="710A.2(4)", 'CASE DATA'!E73="710A.2(5)", 'CASE DATA'!E73="710A.2(6)", 'CASE DATA'!E73="710A.2(7)", 'CASE DATA'!E73="710A.2A", 'CASE DATA'!E73="711.2", 'CASE DATA'!E73="711.3", 'CASE DATA'!E73="711.4", 'CASE DATA'!E73="712.2", 'CASE DATA'!E73="712.3", 'CASE DATA'!E73="712.6(1)", 'CASE DATA'!E73="712.7", 'CASE DATA'!E73="712.8", 'CASE DATA'!E73="", 'CASE DATA'!E73="713.3", 'CASE DATA'!E73="713.4", 'CASE DATA'!E73="713.5", 'CASE DATA'!E73="713.6", 'CASE DATA'!E73="713.6A(1)", 'CASE DATA'!E73="714.2(1)", 'CASE DATA'!E73="714.2(2)", 'CASE DATA'!E73="714.3A(2)(b)", 'CASE DATA'!E73="714.9", 'CASE DATA'!E73="714.10", 'CASE DATA'!E73="714.26(2)(a)", 'CASE DATA'!E73="714.26(2)(b)", 'CASE DATA'!E73="715A.2(2)(a)", 'CASE DATA'!E73="715A.6(2)(a)", 'CASE DATA'!E73="715A.6(2)(b)", 'CASE DATA'!E73="715A.8(3)(a)", 'CASE DATA'!E73="715A.8(3)(b)", 'CASE DATA'!E73="715A.10(1)", 'CASE DATA'!E73="715A.10(2)", 'CASE DATA'!E73="716.3", 'CASE DATA'!E73="716.4", 'CASE DATA'!E73="716.8(6)", 'CASE DATA'!E73="716.10(2)(a)", 'CASE DATA'!E73="716.10(2)(b)", 'CASE DATA'!E73="716.10(2)(c)", 'CASE DATA'!E73="716.10(2)(d)", 'CASE DATA'!E73="716.12", 'CASE DATA'!E73="719.1(1)(f)", 'CASE DATA'!E73="719.1(2)(e)", 'CASE DATA'!E73="719.1(2)(f)", 'CASE DATA'!E73="719.1(2)(g)", 'CASE DATA'!E73="719.4(1)", 'CASE DATA'!E73="719.4(4)", 'CASE DATA'!E73="719.5(1)", 'CASE DATA'!E73="719.5(2)", 'CASE DATA'!E73="719.6(1)", 'CASE DATA'!E73="719.6(2)", 'CASE DATA'!E73="719.7(4)(a)", 'CASE DATA'!E73="719.7(4)(b)", 'CASE DATA'!E73="719.7A(3)", 'CASE DATA'!E73="719.9", 'CASE DATA'!E73="719.8", 'CASE DATA'!E73="720.2", 'CASE DATA'!E73="720.3", 'CASE DATA'!E73="721.1", 'CASE DATA'!E73="722.1", 'CASE DATA'!E73="", 'CASE DATA'!E73="722.2", 'CASE DATA'!E73="722.10", 'CASE DATA'!E73="723(5)(3)(c)", 'CASE DATA'!E73="723A.2", 'CASE DATA'!E73="723A.3(1)", 'CASE DATA'!E73="723A.3(2)", 'CASE DATA'!E73="724.1B", 'CASE DATA'!E73="724.1C", 'CASE DATA'!E73="724.3", 'CASE DATA'!E73="724.4B", 'CASE DATA'!E73="724.10", 'CASE DATA'!E73="724.16(2)", 'CASE DATA'!E73="724.16A(1)(a)", 'CASE DATA'!E73="724.16A(1)(b)", 'CASE DATA'!E73="724.17", 'CASE DATA'!E73="724.21", 'CASE DATA'!E73="724.26(1)", 'CASE DATA'!E73="922(g)(8)", 'CASE DATA'!E73="724.29A(2)", 'CASE DATA'!E73="724.29A(3)", 'CASE DATA'!E73="724.30(1)", 'CASE DATA'!E73="724.30(2)", 'CASE DATA'!E73="725.1(2)(b)", 'CASE DATA'!E73="725.2(1)", 'CASE DATA'!E73="725.2(2)", 'CASE DATA'!E73="725.3(2)", 'CASE DATA'!E73="725.3(1)", 'CASE DATA'!E73="725.7(2)(a)(3)", 'CASE DATA'!E73="725.7(2)(a)(4)", 'CASE DATA'!E73="725.7(2)(b)(2)", 'CASE DATA'!E73="725.7(2)(b(3)", 'CASE DATA'!E73="726.7(2)(c)(1)", 'CASE DATA'!E73="726.7(2)(c)(2)", 'CASE DATA'!E73="725.7(2)(d)", 'CASE DATA'!E73="726.2", 'CASE DATA'!E73="726.3", 'CASE DATA'!E73="726.5", 'CASE DATA'!E73="726.6(4)", 'CASE DATA'!E73="726.6(5)", 'CASE DATA'!E73="726.6(6)", 'CASE DATA'!E73="726.6A", 'CASE DATA'!E73="726.7(2)", 'CASE DATA'!E73="726.8(2)", 'CASE DATA'!E73="728.12(1)", 'CASE DATA'!E73="728.12(2)"),"felony","eligible"),"N/A")</f>
        <v>N/A</v>
      </c>
      <c r="M72" s="185" t="str">
        <f>IF(L72="eligible",IF(OR('CASE DATA'!E73="123.46",'CASE DATA'!E73="123.47",'CASE DATA'!E73="235B.20",'CASE DATA'!E73="321.218",'CASE DATA'!E73="321A.32",'CASE DATA'!E73="321J.21",'CASE DATA'!E73="321J.2",'CASE DATA'!E73="707.5",'CASE DATA'!E73="708.2(3)",'CASE DATA'!E73="708.2A",'CASE DATA'!E73="708.7",'CASE DATA'!E73="708.11",'CASE DATA'!E73="708.12",'CASE DATA'!E73="716.8(3)",'CASE DATA'!E73="716.8(4)", LEFT('CASE DATA'!E73,4)="717C", LEFT('CASE DATA'!E73, 3)="719", LEFT('CASE DATA'!E73,3)="720", 'CASE DATA'!E73="721.2", 'CASE DATA'!E73="721.10", 'CASE DATA'!E73="723.1", LEFT('CASE DATA'!E73,3)="724", LEFT('CASE DATA'!E73,3)="726", LEFT('CASE DATA'!E73,3)="728", LEFT('CASE DATA'!E73,4)="901A"),"ineligible misd", "eligible"),"N/A")</f>
        <v>N/A</v>
      </c>
      <c r="N72" s="185" t="str">
        <f>IF(L72="eligible",IF(COUNTIF('CASE DATA'!$C$4:$C$200, "")-COUNTIF('CASE DATA'!$A$4:$A$200, "")&gt;0, "YES","NO"),"N/A")</f>
        <v>N/A</v>
      </c>
      <c r="O72" s="185" t="str">
        <f xml:space="preserve"> IF(M72="eligible",'CASE DATA'!K73,"N/A")</f>
        <v>N/A</v>
      </c>
      <c r="P72" s="185" t="str">
        <f xml:space="preserve"> IF(M72="eligible",'CASE DATA'!I73+'CASE DATA'!J73+'CASE DATA'!L73+'CASE DATA'!M73+'CASE DATA'!N73+'CASE DATA'!O73+'CASE DATA'!M73+'CASE DATA'!Q73+'CASE DATA'!R73,"N/A")</f>
        <v>N/A</v>
      </c>
      <c r="Q72" s="11" t="str">
        <f>IF(M72="eligible",IF(C72+730.5&lt;'BASIC INFO'!$B$3, "YES", "NO"),"N/A")</f>
        <v>N/A</v>
      </c>
      <c r="R72" s="186" t="str">
        <f xml:space="preserve"> IF(OR('CASE DATA'!F73="DEF"), "YES", "NO")</f>
        <v>NO</v>
      </c>
      <c r="S72" s="162" t="str">
        <f>IF(R72="YES",'CASE DATA'!H73,"N/A")</f>
        <v>N/A</v>
      </c>
      <c r="T72" s="185" t="str">
        <f xml:space="preserve"> IF(R72="YES",'CASE DATA'!K73,"N/A")</f>
        <v>N/A</v>
      </c>
      <c r="U72" s="185" t="str">
        <f>IF(R72="YES",'CASE DATA'!I73+'CASE DATA'!J73+'CASE DATA'!L73+'CASE DATA'!M73+'CASE DATA'!N73+'CASE DATA'!O73+'CASE DATA'!P73+'CASE DATA'!Q73+'CASE DATA'!R73,"N/A")</f>
        <v>N/A</v>
      </c>
      <c r="V72" s="189" t="str">
        <f>IF(OR('CASE DATA'!E73="123.46",'CASE DATA'!E73="123.47"),"YES","NO")</f>
        <v>NO</v>
      </c>
      <c r="W72" s="189"/>
      <c r="X72" s="185" t="str">
        <f>IF(V72="YES",IF(C72+730.5&lt;'BASIC INFO'!$B$3, "YES","NO"), "N/A")</f>
        <v>N/A</v>
      </c>
      <c r="Y72" s="189" t="str">
        <f t="shared" si="1"/>
        <v>NO</v>
      </c>
      <c r="Z72" s="187" t="str">
        <f xml:space="preserve"> IF('BASIC INFO'!$B$6+6574.5&gt;C72, "YES", "NO")</f>
        <v>YES</v>
      </c>
    </row>
    <row r="73" spans="1:26" x14ac:dyDescent="0.25">
      <c r="A73" s="162">
        <f xml:space="preserve"> 'CASE DATA'!A74</f>
        <v>0</v>
      </c>
      <c r="B73" s="162">
        <f xml:space="preserve"> 'CASE DATA'!E74</f>
        <v>0</v>
      </c>
      <c r="C73" s="163">
        <f xml:space="preserve"> 'CASE DATA'!C74</f>
        <v>0</v>
      </c>
      <c r="D73" s="11" t="str">
        <f xml:space="preserve"> IF(OR('CASE DATA'!F74="JUV", 'CASE DATA'!F74="JWV"), "YES", "NO")</f>
        <v>NO</v>
      </c>
      <c r="E73" s="11"/>
      <c r="F73" s="11" t="str">
        <f>IF(D73="YES",IF(COUNTIF('CASE DATA'!$C$4:$C$200, "")-COUNTIF('CASE DATA'!$A$4:$A$200, "")&gt;0, "YES","NO"),"N/A")</f>
        <v>N/A</v>
      </c>
      <c r="G73" s="164" t="str">
        <f xml:space="preserve"> _xlfn.IFS(D73="NO", "N/A", AND('BASIC INFO'!$B$3&gt;'BASIC INFO'!$B$6+6574.5, C73+730.5&lt;'BASIC INFO'!$B$3), "YES", 'BASIC INFO'!$B$3&lt;('BASIC INFO'!$B$6+6574.5), "NOT YET 18", C73+730.5&gt;'BASIC INFO'!$B$3, "NOT YET 2 YEARS")</f>
        <v>N/A</v>
      </c>
      <c r="H73" s="186" t="str">
        <f xml:space="preserve"> IF(LEFT('CASE DATA'!E74,4)&lt;&gt;"321.",IF(OR('CASE DATA'!F74="DISM", 'CASE DATA'!F74="ACQ", 'CASE DATA'!F74="NOTF", 'CASE DATA'!F74="WTHD", 'CASE DATA'!F74="TNSF"), "YES", "NO"), "TRAFFIC")</f>
        <v>NO</v>
      </c>
      <c r="I73" s="185" t="str">
        <f xml:space="preserve"> IF(H73="YES",'CASE DATA'!K74,"N/A")</f>
        <v>N/A</v>
      </c>
      <c r="J73" s="185" t="str">
        <f>IF(H73="YES",'CASE DATA'!I74+'CASE DATA'!J74+'CASE DATA'!L74+'CASE DATA'!M74+'CASE DATA'!N74+'CASE DATA'!O74+'CASE DATA'!P74+'CASE DATA'!Q74+'CASE DATA'!R74,"N/A")</f>
        <v>N/A</v>
      </c>
      <c r="K73" s="162" t="str">
        <f xml:space="preserve"> IF(H73="YES",IF(C73+180&lt;'BASIC INFO'!$B$3, "YES", "NO"),"N/A")</f>
        <v>N/A</v>
      </c>
      <c r="L73" s="185" t="str">
        <f>IF(OR('CASE DATA'!F74="GTR", 'CASE DATA'!F74="GPL"),IF(OR('CASE DATA'!E74="81.6(2)", 'CASE DATA'!E74="99F.15(6)(b)(1)", 'CASE DATA'!E74= "124.401(1)(a)", 'CASE DATA'!E74= "124.401(1)(b)", 'CASE DATA'!E74= "124.401(1)(c)", 'CASE DATA'!E74= "124.401(1)(d)", 'CASE DATA'!E74="124.401(4)", 'CASE DATA'!E74="124.401(1)(b)", 'CASE DATA'!E74="124.401(1)(c)", 'CASE DATA'!E74="124.401D(2)(b)", 'CASE DATA'!E74="124.401D(2)(c)", 'CASE DATA'!E74="124.406(1)(a)", 'CASE DATA'!E74="124.406(1)(b) ", 'CASE DATA'!E74="124.406(2)(a)", 'CASE DATA'!E74="124.406(2)(b) ", 'CASE DATA'!E74="124.406(3)", 'CASE DATA'!E74="124.406A ", 'CASE DATA'!E74="124.407(2)(a)", 'CASE DATA'!E74="124B.9(1)", 'CASE DATA'!E74="124B.9(2)", 'CASE DATA'!E74="321J.2(2)(c)", 'CASE DATA'!E74="453B.12(2)", 'CASE DATA'!E74="453B.12(3)", 'CASE DATA'!E74="453B.12(4)", 'CASE DATA'!E74="462A.14(2)(c)", 'CASE DATA'!E74="462A.14(2)(d)", 'CASE DATA'!E74="462A.14(2)(e)", 'CASE DATA'!E74="705.1(2)", 'CASE DATA'!E74="706.3(1)", 'CASE DATA'!E74="706.3(2)", 'CASE DATA'!E74="706A.2(1)", 'CASE DATA'!E74="706A.2(2)", 'CASE DATA'!E74="706A.2(4)", 'CASE DATA'!E74="706B.2(1)(a)", 'CASE DATA'!E74="706B.2(1)(b)", 'CASE DATA'!E74="706B.2(1)(c)", 'CASE DATA'!E74="706B.2(1)(d)", 'CASE DATA'!E74="707.2", 'CASE DATA'!E74="707.3", 'CASE DATA'!E74="707.3A", 'CASE DATA'!E74="707.4", 'CASE DATA'!E74="707.5(1)(a)", 'CASE DATA'!E74="707.6A(1)", 'CASE DATA'!E74="707.6A(2)", 'CASE DATA'!E74="707.6A(3)", 'CASE DATA'!E74="707.6A(4)", 'CASE DATA'!E74="707.7(1)", 'CASE DATA'!E74="707.7(3)", 'CASE DATA'!E74="707.7(2)", 'CASE DATA'!E74="707.8(1)", 'CASE DATA'!E74="707.8(2)", 'CASE DATA'!E74="707.8(3)", 'CASE DATA'!E74="707.8(4)", 'CASE DATA'!E74="707.8(5)", 'CASE DATA'!E74="707.8(6)", 'CASE DATA'!E74="707.9", 'CASE DATA'!E74="707.11", 'CASE DATA'!E74="707A.2", 'CASE DATA'!E74="708.2(4)", 'CASE DATA'!E74="708.2(5)", 'CASE DATA'!E74="708.2A(4)", 'CASE DATA'!E74="708.2A(5)", 'CASE DATA'!E74="708.2C(2)", 'CASE DATA'!E74="708.2C(4)", 'CASE DATA'!E74="708.3(1)", 'CASE DATA'!E74="708.3(2)", 'CASE DATA'!E74="708.3A(1)", 'CASE DATA'!E74="708.3A(2)", 'CASE DATA'!E74="708.3B", 'CASE DATA'!E74="708.4(1)", 'CASE DATA'!E74="708.4(2)", 'CASE DATA'!E74="708.5", 'CASE DATA'!E74="708.8", 'CASE DATA'!E74="708.11(3)(a)", 'CASE DATA'!E74="708.11(3)(b)", 'CASE DATA'!E74="708.12(3)(f)", 'CASE DATA'!E74="708.13(3)", 'CASE DATA'!E74="708.14", 'CASE DATA'!E74="708A.2", 'CASE DATA'!E74="708A.4(1)", 'CASE DATA'!E74="708A.4(2)", 'CASE DATA'!E74="708A.5", 'CASE DATA'!E74="708A.6(1)", 'CASE DATA'!E74="708.A.6(2)", 'CASE DATA'!E74="709.2", 'CASE DATA'!E74="709.3", 'CASE DATA'!E74="709.4", 'CASE DATA'!E74="709.8(1)(a)", 'CASE DATA'!E74="709.8(1)(b)", 'CASE DATA'!E74="709.8(1)(c)", 'CASE DATA'!E74="709.8(1)(d)", 'CASE DATA'!E74="709.8(1)(e)", 'CASE DATA'!E74="709.11(1)", 'CASE DATA'!E74="709.11(2)", 'CASE DATA'!E74="709.15(2)(a)(1)", 'CASE DATA'!E74="709.15(3)(a)(1)", 'CASE DATA'!E74="709.18", 'CASE DATA'!E74="709A.6(2)", 'CASE DATA'!E74="709D.3(1)", 'CASE DATA'!E74="709D.3(2)", 'CASE DATA'!E74="709.D.3(3)", 'CASE DATA'!E74="710.2", 'CASE DATA'!E74="710.3", 'CASE DATA'!E74="710.4", 'CASE DATA'!E74="710.5", 'CASE DATA'!E74="710.10(1)", 'CASE DATA'!E74="710.10(2)", 'CASE DATA'!E74="710.10(3)", 'CASE DATA'!E74="710.11", 'CASE DATA'!E74="710A.2(1)", 'CASE DATA'!E74="710A.2(2)", 'CASE DATA'!E74="710A.2(3)", 'CASE DATA'!E74="710A.2(4)", 'CASE DATA'!E74="710A.2(5)", 'CASE DATA'!E74="710A.2(6)", 'CASE DATA'!E74="710A.2(7)", 'CASE DATA'!E74="710A.2A", 'CASE DATA'!E74="711.2", 'CASE DATA'!E74="711.3", 'CASE DATA'!E74="711.4", 'CASE DATA'!E74="712.2", 'CASE DATA'!E74="712.3", 'CASE DATA'!E74="712.6(1)", 'CASE DATA'!E74="712.7", 'CASE DATA'!E74="712.8", 'CASE DATA'!E74="", 'CASE DATA'!E74="713.3", 'CASE DATA'!E74="713.4", 'CASE DATA'!E74="713.5", 'CASE DATA'!E74="713.6", 'CASE DATA'!E74="713.6A(1)", 'CASE DATA'!E74="714.2(1)", 'CASE DATA'!E74="714.2(2)", 'CASE DATA'!E74="714.3A(2)(b)", 'CASE DATA'!E74="714.9", 'CASE DATA'!E74="714.10", 'CASE DATA'!E74="714.26(2)(a)", 'CASE DATA'!E74="714.26(2)(b)", 'CASE DATA'!E74="715A.2(2)(a)", 'CASE DATA'!E74="715A.6(2)(a)", 'CASE DATA'!E74="715A.6(2)(b)", 'CASE DATA'!E74="715A.8(3)(a)", 'CASE DATA'!E74="715A.8(3)(b)", 'CASE DATA'!E74="715A.10(1)", 'CASE DATA'!E74="715A.10(2)", 'CASE DATA'!E74="716.3", 'CASE DATA'!E74="716.4", 'CASE DATA'!E74="716.8(6)", 'CASE DATA'!E74="716.10(2)(a)", 'CASE DATA'!E74="716.10(2)(b)", 'CASE DATA'!E74="716.10(2)(c)", 'CASE DATA'!E74="716.10(2)(d)", 'CASE DATA'!E74="716.12", 'CASE DATA'!E74="719.1(1)(f)", 'CASE DATA'!E74="719.1(2)(e)", 'CASE DATA'!E74="719.1(2)(f)", 'CASE DATA'!E74="719.1(2)(g)", 'CASE DATA'!E74="719.4(1)", 'CASE DATA'!E74="719.4(4)", 'CASE DATA'!E74="719.5(1)", 'CASE DATA'!E74="719.5(2)", 'CASE DATA'!E74="719.6(1)", 'CASE DATA'!E74="719.6(2)", 'CASE DATA'!E74="719.7(4)(a)", 'CASE DATA'!E74="719.7(4)(b)", 'CASE DATA'!E74="719.7A(3)", 'CASE DATA'!E74="719.9", 'CASE DATA'!E74="719.8", 'CASE DATA'!E74="720.2", 'CASE DATA'!E74="720.3", 'CASE DATA'!E74="721.1", 'CASE DATA'!E74="722.1", 'CASE DATA'!E74="", 'CASE DATA'!E74="722.2", 'CASE DATA'!E74="722.10", 'CASE DATA'!E74="723(5)(3)(c)", 'CASE DATA'!E74="723A.2", 'CASE DATA'!E74="723A.3(1)", 'CASE DATA'!E74="723A.3(2)", 'CASE DATA'!E74="724.1B", 'CASE DATA'!E74="724.1C", 'CASE DATA'!E74="724.3", 'CASE DATA'!E74="724.4B", 'CASE DATA'!E74="724.10", 'CASE DATA'!E74="724.16(2)", 'CASE DATA'!E74="724.16A(1)(a)", 'CASE DATA'!E74="724.16A(1)(b)", 'CASE DATA'!E74="724.17", 'CASE DATA'!E74="724.21", 'CASE DATA'!E74="724.26(1)", 'CASE DATA'!E74="922(g)(8)", 'CASE DATA'!E74="724.29A(2)", 'CASE DATA'!E74="724.29A(3)", 'CASE DATA'!E74="724.30(1)", 'CASE DATA'!E74="724.30(2)", 'CASE DATA'!E74="725.1(2)(b)", 'CASE DATA'!E74="725.2(1)", 'CASE DATA'!E74="725.2(2)", 'CASE DATA'!E74="725.3(2)", 'CASE DATA'!E74="725.3(1)", 'CASE DATA'!E74="725.7(2)(a)(3)", 'CASE DATA'!E74="725.7(2)(a)(4)", 'CASE DATA'!E74="725.7(2)(b)(2)", 'CASE DATA'!E74="725.7(2)(b(3)", 'CASE DATA'!E74="726.7(2)(c)(1)", 'CASE DATA'!E74="726.7(2)(c)(2)", 'CASE DATA'!E74="725.7(2)(d)", 'CASE DATA'!E74="726.2", 'CASE DATA'!E74="726.3", 'CASE DATA'!E74="726.5", 'CASE DATA'!E74="726.6(4)", 'CASE DATA'!E74="726.6(5)", 'CASE DATA'!E74="726.6(6)", 'CASE DATA'!E74="726.6A", 'CASE DATA'!E74="726.7(2)", 'CASE DATA'!E74="726.8(2)", 'CASE DATA'!E74="728.12(1)", 'CASE DATA'!E74="728.12(2)"),"felony","eligible"),"N/A")</f>
        <v>N/A</v>
      </c>
      <c r="M73" s="185" t="str">
        <f>IF(L73="eligible",IF(OR('CASE DATA'!E74="123.46",'CASE DATA'!E74="123.47",'CASE DATA'!E74="235B.20",'CASE DATA'!E74="321.218",'CASE DATA'!E74="321A.32",'CASE DATA'!E74="321J.21",'CASE DATA'!E74="321J.2",'CASE DATA'!E74="707.5",'CASE DATA'!E74="708.2(3)",'CASE DATA'!E74="708.2A",'CASE DATA'!E74="708.7",'CASE DATA'!E74="708.11",'CASE DATA'!E74="708.12",'CASE DATA'!E74="716.8(3)",'CASE DATA'!E74="716.8(4)", LEFT('CASE DATA'!E74,4)="717C", LEFT('CASE DATA'!E74, 3)="719", LEFT('CASE DATA'!E74,3)="720", 'CASE DATA'!E74="721.2", 'CASE DATA'!E74="721.10", 'CASE DATA'!E74="723.1", LEFT('CASE DATA'!E74,3)="724", LEFT('CASE DATA'!E74,3)="726", LEFT('CASE DATA'!E74,3)="728", LEFT('CASE DATA'!E74,4)="901A"),"ineligible misd", "eligible"),"N/A")</f>
        <v>N/A</v>
      </c>
      <c r="N73" s="185" t="str">
        <f>IF(L73="eligible",IF(COUNTIF('CASE DATA'!$C$4:$C$200, "")-COUNTIF('CASE DATA'!$A$4:$A$200, "")&gt;0, "YES","NO"),"N/A")</f>
        <v>N/A</v>
      </c>
      <c r="O73" s="185" t="str">
        <f xml:space="preserve"> IF(M73="eligible",'CASE DATA'!K74,"N/A")</f>
        <v>N/A</v>
      </c>
      <c r="P73" s="185" t="str">
        <f xml:space="preserve"> IF(M73="eligible",'CASE DATA'!I74+'CASE DATA'!J74+'CASE DATA'!L74+'CASE DATA'!M74+'CASE DATA'!N74+'CASE DATA'!O74+'CASE DATA'!M74+'CASE DATA'!Q74+'CASE DATA'!R74,"N/A")</f>
        <v>N/A</v>
      </c>
      <c r="Q73" s="11" t="str">
        <f>IF(M73="eligible",IF(C73+730.5&lt;'BASIC INFO'!$B$3, "YES", "NO"),"N/A")</f>
        <v>N/A</v>
      </c>
      <c r="R73" s="186" t="str">
        <f xml:space="preserve"> IF(OR('CASE DATA'!F74="DEF"), "YES", "NO")</f>
        <v>NO</v>
      </c>
      <c r="S73" s="162" t="str">
        <f>IF(R73="YES",'CASE DATA'!H74,"N/A")</f>
        <v>N/A</v>
      </c>
      <c r="T73" s="185" t="str">
        <f xml:space="preserve"> IF(R73="YES",'CASE DATA'!K74,"N/A")</f>
        <v>N/A</v>
      </c>
      <c r="U73" s="185" t="str">
        <f>IF(R73="YES",'CASE DATA'!I74+'CASE DATA'!J74+'CASE DATA'!L74+'CASE DATA'!M74+'CASE DATA'!N74+'CASE DATA'!O74+'CASE DATA'!P74+'CASE DATA'!Q74+'CASE DATA'!R74,"N/A")</f>
        <v>N/A</v>
      </c>
      <c r="V73" s="189" t="str">
        <f>IF(OR('CASE DATA'!E74="123.46",'CASE DATA'!E74="123.47"),"YES","NO")</f>
        <v>NO</v>
      </c>
      <c r="W73" s="189"/>
      <c r="X73" s="185" t="str">
        <f>IF(V73="YES",IF(C73+730.5&lt;'BASIC INFO'!$B$3, "YES","NO"), "N/A")</f>
        <v>N/A</v>
      </c>
      <c r="Y73" s="189" t="str">
        <f t="shared" si="1"/>
        <v>NO</v>
      </c>
      <c r="Z73" s="187" t="str">
        <f xml:space="preserve"> IF('BASIC INFO'!$B$6+6574.5&gt;C73, "YES", "NO")</f>
        <v>YES</v>
      </c>
    </row>
    <row r="74" spans="1:26" x14ac:dyDescent="0.25">
      <c r="A74" s="162">
        <f xml:space="preserve"> 'CASE DATA'!A75</f>
        <v>0</v>
      </c>
      <c r="B74" s="162">
        <f xml:space="preserve"> 'CASE DATA'!E75</f>
        <v>0</v>
      </c>
      <c r="C74" s="163">
        <f xml:space="preserve"> 'CASE DATA'!C75</f>
        <v>0</v>
      </c>
      <c r="D74" s="11" t="str">
        <f xml:space="preserve"> IF(OR('CASE DATA'!F75="JUV", 'CASE DATA'!F75="JWV"), "YES", "NO")</f>
        <v>NO</v>
      </c>
      <c r="E74" s="11"/>
      <c r="F74" s="11" t="str">
        <f>IF(D74="YES",IF(COUNTIF('CASE DATA'!$C$4:$C$200, "")-COUNTIF('CASE DATA'!$A$4:$A$200, "")&gt;0, "YES","NO"),"N/A")</f>
        <v>N/A</v>
      </c>
      <c r="G74" s="164" t="str">
        <f xml:space="preserve"> _xlfn.IFS(D74="NO", "N/A", AND('BASIC INFO'!$B$3&gt;'BASIC INFO'!$B$6+6574.5, C74+730.5&lt;'BASIC INFO'!$B$3), "YES", 'BASIC INFO'!$B$3&lt;('BASIC INFO'!$B$6+6574.5), "NOT YET 18", C74+730.5&gt;'BASIC INFO'!$B$3, "NOT YET 2 YEARS")</f>
        <v>N/A</v>
      </c>
      <c r="H74" s="186" t="str">
        <f xml:space="preserve"> IF(LEFT('CASE DATA'!E75,4)&lt;&gt;"321.",IF(OR('CASE DATA'!F75="DISM", 'CASE DATA'!F75="ACQ", 'CASE DATA'!F75="NOTF", 'CASE DATA'!F75="WTHD", 'CASE DATA'!F75="TNSF"), "YES", "NO"), "TRAFFIC")</f>
        <v>NO</v>
      </c>
      <c r="I74" s="185" t="str">
        <f xml:space="preserve"> IF(H74="YES",'CASE DATA'!K75,"N/A")</f>
        <v>N/A</v>
      </c>
      <c r="J74" s="185" t="str">
        <f>IF(H74="YES",'CASE DATA'!I75+'CASE DATA'!J75+'CASE DATA'!L75+'CASE DATA'!M75+'CASE DATA'!N75+'CASE DATA'!O75+'CASE DATA'!P75+'CASE DATA'!Q75+'CASE DATA'!R75,"N/A")</f>
        <v>N/A</v>
      </c>
      <c r="K74" s="162" t="str">
        <f xml:space="preserve"> IF(H74="YES",IF(C74+180&lt;'BASIC INFO'!$B$3, "YES", "NO"),"N/A")</f>
        <v>N/A</v>
      </c>
      <c r="L74" s="185" t="str">
        <f>IF(OR('CASE DATA'!F75="GTR", 'CASE DATA'!F75="GPL"),IF(OR('CASE DATA'!E75="81.6(2)", 'CASE DATA'!E75="99F.15(6)(b)(1)", 'CASE DATA'!E75= "124.401(1)(a)", 'CASE DATA'!E75= "124.401(1)(b)", 'CASE DATA'!E75= "124.401(1)(c)", 'CASE DATA'!E75= "124.401(1)(d)", 'CASE DATA'!E75="124.401(4)", 'CASE DATA'!E75="124.401(1)(b)", 'CASE DATA'!E75="124.401(1)(c)", 'CASE DATA'!E75="124.401D(2)(b)", 'CASE DATA'!E75="124.401D(2)(c)", 'CASE DATA'!E75="124.406(1)(a)", 'CASE DATA'!E75="124.406(1)(b) ", 'CASE DATA'!E75="124.406(2)(a)", 'CASE DATA'!E75="124.406(2)(b) ", 'CASE DATA'!E75="124.406(3)", 'CASE DATA'!E75="124.406A ", 'CASE DATA'!E75="124.407(2)(a)", 'CASE DATA'!E75="124B.9(1)", 'CASE DATA'!E75="124B.9(2)", 'CASE DATA'!E75="321J.2(2)(c)", 'CASE DATA'!E75="453B.12(2)", 'CASE DATA'!E75="453B.12(3)", 'CASE DATA'!E75="453B.12(4)", 'CASE DATA'!E75="462A.14(2)(c)", 'CASE DATA'!E75="462A.14(2)(d)", 'CASE DATA'!E75="462A.14(2)(e)", 'CASE DATA'!E75="705.1(2)", 'CASE DATA'!E75="706.3(1)", 'CASE DATA'!E75="706.3(2)", 'CASE DATA'!E75="706A.2(1)", 'CASE DATA'!E75="706A.2(2)", 'CASE DATA'!E75="706A.2(4)", 'CASE DATA'!E75="706B.2(1)(a)", 'CASE DATA'!E75="706B.2(1)(b)", 'CASE DATA'!E75="706B.2(1)(c)", 'CASE DATA'!E75="706B.2(1)(d)", 'CASE DATA'!E75="707.2", 'CASE DATA'!E75="707.3", 'CASE DATA'!E75="707.3A", 'CASE DATA'!E75="707.4", 'CASE DATA'!E75="707.5(1)(a)", 'CASE DATA'!E75="707.6A(1)", 'CASE DATA'!E75="707.6A(2)", 'CASE DATA'!E75="707.6A(3)", 'CASE DATA'!E75="707.6A(4)", 'CASE DATA'!E75="707.7(1)", 'CASE DATA'!E75="707.7(3)", 'CASE DATA'!E75="707.7(2)", 'CASE DATA'!E75="707.8(1)", 'CASE DATA'!E75="707.8(2)", 'CASE DATA'!E75="707.8(3)", 'CASE DATA'!E75="707.8(4)", 'CASE DATA'!E75="707.8(5)", 'CASE DATA'!E75="707.8(6)", 'CASE DATA'!E75="707.9", 'CASE DATA'!E75="707.11", 'CASE DATA'!E75="707A.2", 'CASE DATA'!E75="708.2(4)", 'CASE DATA'!E75="708.2(5)", 'CASE DATA'!E75="708.2A(4)", 'CASE DATA'!E75="708.2A(5)", 'CASE DATA'!E75="708.2C(2)", 'CASE DATA'!E75="708.2C(4)", 'CASE DATA'!E75="708.3(1)", 'CASE DATA'!E75="708.3(2)", 'CASE DATA'!E75="708.3A(1)", 'CASE DATA'!E75="708.3A(2)", 'CASE DATA'!E75="708.3B", 'CASE DATA'!E75="708.4(1)", 'CASE DATA'!E75="708.4(2)", 'CASE DATA'!E75="708.5", 'CASE DATA'!E75="708.8", 'CASE DATA'!E75="708.11(3)(a)", 'CASE DATA'!E75="708.11(3)(b)", 'CASE DATA'!E75="708.12(3)(f)", 'CASE DATA'!E75="708.13(3)", 'CASE DATA'!E75="708.14", 'CASE DATA'!E75="708A.2", 'CASE DATA'!E75="708A.4(1)", 'CASE DATA'!E75="708A.4(2)", 'CASE DATA'!E75="708A.5", 'CASE DATA'!E75="708A.6(1)", 'CASE DATA'!E75="708.A.6(2)", 'CASE DATA'!E75="709.2", 'CASE DATA'!E75="709.3", 'CASE DATA'!E75="709.4", 'CASE DATA'!E75="709.8(1)(a)", 'CASE DATA'!E75="709.8(1)(b)", 'CASE DATA'!E75="709.8(1)(c)", 'CASE DATA'!E75="709.8(1)(d)", 'CASE DATA'!E75="709.8(1)(e)", 'CASE DATA'!E75="709.11(1)", 'CASE DATA'!E75="709.11(2)", 'CASE DATA'!E75="709.15(2)(a)(1)", 'CASE DATA'!E75="709.15(3)(a)(1)", 'CASE DATA'!E75="709.18", 'CASE DATA'!E75="709A.6(2)", 'CASE DATA'!E75="709D.3(1)", 'CASE DATA'!E75="709D.3(2)", 'CASE DATA'!E75="709.D.3(3)", 'CASE DATA'!E75="710.2", 'CASE DATA'!E75="710.3", 'CASE DATA'!E75="710.4", 'CASE DATA'!E75="710.5", 'CASE DATA'!E75="710.10(1)", 'CASE DATA'!E75="710.10(2)", 'CASE DATA'!E75="710.10(3)", 'CASE DATA'!E75="710.11", 'CASE DATA'!E75="710A.2(1)", 'CASE DATA'!E75="710A.2(2)", 'CASE DATA'!E75="710A.2(3)", 'CASE DATA'!E75="710A.2(4)", 'CASE DATA'!E75="710A.2(5)", 'CASE DATA'!E75="710A.2(6)", 'CASE DATA'!E75="710A.2(7)", 'CASE DATA'!E75="710A.2A", 'CASE DATA'!E75="711.2", 'CASE DATA'!E75="711.3", 'CASE DATA'!E75="711.4", 'CASE DATA'!E75="712.2", 'CASE DATA'!E75="712.3", 'CASE DATA'!E75="712.6(1)", 'CASE DATA'!E75="712.7", 'CASE DATA'!E75="712.8", 'CASE DATA'!E75="", 'CASE DATA'!E75="713.3", 'CASE DATA'!E75="713.4", 'CASE DATA'!E75="713.5", 'CASE DATA'!E75="713.6", 'CASE DATA'!E75="713.6A(1)", 'CASE DATA'!E75="714.2(1)", 'CASE DATA'!E75="714.2(2)", 'CASE DATA'!E75="714.3A(2)(b)", 'CASE DATA'!E75="714.9", 'CASE DATA'!E75="714.10", 'CASE DATA'!E75="714.26(2)(a)", 'CASE DATA'!E75="714.26(2)(b)", 'CASE DATA'!E75="715A.2(2)(a)", 'CASE DATA'!E75="715A.6(2)(a)", 'CASE DATA'!E75="715A.6(2)(b)", 'CASE DATA'!E75="715A.8(3)(a)", 'CASE DATA'!E75="715A.8(3)(b)", 'CASE DATA'!E75="715A.10(1)", 'CASE DATA'!E75="715A.10(2)", 'CASE DATA'!E75="716.3", 'CASE DATA'!E75="716.4", 'CASE DATA'!E75="716.8(6)", 'CASE DATA'!E75="716.10(2)(a)", 'CASE DATA'!E75="716.10(2)(b)", 'CASE DATA'!E75="716.10(2)(c)", 'CASE DATA'!E75="716.10(2)(d)", 'CASE DATA'!E75="716.12", 'CASE DATA'!E75="719.1(1)(f)", 'CASE DATA'!E75="719.1(2)(e)", 'CASE DATA'!E75="719.1(2)(f)", 'CASE DATA'!E75="719.1(2)(g)", 'CASE DATA'!E75="719.4(1)", 'CASE DATA'!E75="719.4(4)", 'CASE DATA'!E75="719.5(1)", 'CASE DATA'!E75="719.5(2)", 'CASE DATA'!E75="719.6(1)", 'CASE DATA'!E75="719.6(2)", 'CASE DATA'!E75="719.7(4)(a)", 'CASE DATA'!E75="719.7(4)(b)", 'CASE DATA'!E75="719.7A(3)", 'CASE DATA'!E75="719.9", 'CASE DATA'!E75="719.8", 'CASE DATA'!E75="720.2", 'CASE DATA'!E75="720.3", 'CASE DATA'!E75="721.1", 'CASE DATA'!E75="722.1", 'CASE DATA'!E75="", 'CASE DATA'!E75="722.2", 'CASE DATA'!E75="722.10", 'CASE DATA'!E75="723(5)(3)(c)", 'CASE DATA'!E75="723A.2", 'CASE DATA'!E75="723A.3(1)", 'CASE DATA'!E75="723A.3(2)", 'CASE DATA'!E75="724.1B", 'CASE DATA'!E75="724.1C", 'CASE DATA'!E75="724.3", 'CASE DATA'!E75="724.4B", 'CASE DATA'!E75="724.10", 'CASE DATA'!E75="724.16(2)", 'CASE DATA'!E75="724.16A(1)(a)", 'CASE DATA'!E75="724.16A(1)(b)", 'CASE DATA'!E75="724.17", 'CASE DATA'!E75="724.21", 'CASE DATA'!E75="724.26(1)", 'CASE DATA'!E75="922(g)(8)", 'CASE DATA'!E75="724.29A(2)", 'CASE DATA'!E75="724.29A(3)", 'CASE DATA'!E75="724.30(1)", 'CASE DATA'!E75="724.30(2)", 'CASE DATA'!E75="725.1(2)(b)", 'CASE DATA'!E75="725.2(1)", 'CASE DATA'!E75="725.2(2)", 'CASE DATA'!E75="725.3(2)", 'CASE DATA'!E75="725.3(1)", 'CASE DATA'!E75="725.7(2)(a)(3)", 'CASE DATA'!E75="725.7(2)(a)(4)", 'CASE DATA'!E75="725.7(2)(b)(2)", 'CASE DATA'!E75="725.7(2)(b(3)", 'CASE DATA'!E75="726.7(2)(c)(1)", 'CASE DATA'!E75="726.7(2)(c)(2)", 'CASE DATA'!E75="725.7(2)(d)", 'CASE DATA'!E75="726.2", 'CASE DATA'!E75="726.3", 'CASE DATA'!E75="726.5", 'CASE DATA'!E75="726.6(4)", 'CASE DATA'!E75="726.6(5)", 'CASE DATA'!E75="726.6(6)", 'CASE DATA'!E75="726.6A", 'CASE DATA'!E75="726.7(2)", 'CASE DATA'!E75="726.8(2)", 'CASE DATA'!E75="728.12(1)", 'CASE DATA'!E75="728.12(2)"),"felony","eligible"),"N/A")</f>
        <v>N/A</v>
      </c>
      <c r="M74" s="185" t="str">
        <f>IF(L74="eligible",IF(OR('CASE DATA'!E75="123.46",'CASE DATA'!E75="123.47",'CASE DATA'!E75="235B.20",'CASE DATA'!E75="321.218",'CASE DATA'!E75="321A.32",'CASE DATA'!E75="321J.21",'CASE DATA'!E75="321J.2",'CASE DATA'!E75="707.5",'CASE DATA'!E75="708.2(3)",'CASE DATA'!E75="708.2A",'CASE DATA'!E75="708.7",'CASE DATA'!E75="708.11",'CASE DATA'!E75="708.12",'CASE DATA'!E75="716.8(3)",'CASE DATA'!E75="716.8(4)", LEFT('CASE DATA'!E75,4)="717C", LEFT('CASE DATA'!E75, 3)="719", LEFT('CASE DATA'!E75,3)="720", 'CASE DATA'!E75="721.2", 'CASE DATA'!E75="721.10", 'CASE DATA'!E75="723.1", LEFT('CASE DATA'!E75,3)="724", LEFT('CASE DATA'!E75,3)="726", LEFT('CASE DATA'!E75,3)="728", LEFT('CASE DATA'!E75,4)="901A"),"ineligible misd", "eligible"),"N/A")</f>
        <v>N/A</v>
      </c>
      <c r="N74" s="185" t="str">
        <f>IF(L74="eligible",IF(COUNTIF('CASE DATA'!$C$4:$C$200, "")-COUNTIF('CASE DATA'!$A$4:$A$200, "")&gt;0, "YES","NO"),"N/A")</f>
        <v>N/A</v>
      </c>
      <c r="O74" s="185" t="str">
        <f xml:space="preserve"> IF(M74="eligible",'CASE DATA'!K75,"N/A")</f>
        <v>N/A</v>
      </c>
      <c r="P74" s="185" t="str">
        <f xml:space="preserve"> IF(M74="eligible",'CASE DATA'!I75+'CASE DATA'!J75+'CASE DATA'!L75+'CASE DATA'!M75+'CASE DATA'!N75+'CASE DATA'!O75+'CASE DATA'!M75+'CASE DATA'!Q75+'CASE DATA'!R75,"N/A")</f>
        <v>N/A</v>
      </c>
      <c r="Q74" s="11" t="str">
        <f>IF(M74="eligible",IF(C74+730.5&lt;'BASIC INFO'!$B$3, "YES", "NO"),"N/A")</f>
        <v>N/A</v>
      </c>
      <c r="R74" s="186" t="str">
        <f xml:space="preserve"> IF(OR('CASE DATA'!F75="DEF"), "YES", "NO")</f>
        <v>NO</v>
      </c>
      <c r="S74" s="162" t="str">
        <f>IF(R74="YES",'CASE DATA'!H75,"N/A")</f>
        <v>N/A</v>
      </c>
      <c r="T74" s="185" t="str">
        <f xml:space="preserve"> IF(R74="YES",'CASE DATA'!K75,"N/A")</f>
        <v>N/A</v>
      </c>
      <c r="U74" s="185" t="str">
        <f>IF(R74="YES",'CASE DATA'!I75+'CASE DATA'!J75+'CASE DATA'!L75+'CASE DATA'!M75+'CASE DATA'!N75+'CASE DATA'!O75+'CASE DATA'!P75+'CASE DATA'!Q75+'CASE DATA'!R75,"N/A")</f>
        <v>N/A</v>
      </c>
      <c r="V74" s="189" t="str">
        <f>IF(OR('CASE DATA'!E75="123.46",'CASE DATA'!E75="123.47"),"YES","NO")</f>
        <v>NO</v>
      </c>
      <c r="W74" s="189"/>
      <c r="X74" s="185" t="str">
        <f>IF(V74="YES",IF(C74+730.5&lt;'BASIC INFO'!$B$3, "YES","NO"), "N/A")</f>
        <v>N/A</v>
      </c>
      <c r="Y74" s="189" t="str">
        <f t="shared" si="1"/>
        <v>NO</v>
      </c>
      <c r="Z74" s="187" t="str">
        <f xml:space="preserve"> IF('BASIC INFO'!$B$6+6574.5&gt;C74, "YES", "NO")</f>
        <v>YES</v>
      </c>
    </row>
    <row r="75" spans="1:26" x14ac:dyDescent="0.25">
      <c r="A75" s="162">
        <f xml:space="preserve"> 'CASE DATA'!A76</f>
        <v>0</v>
      </c>
      <c r="B75" s="162">
        <f xml:space="preserve"> 'CASE DATA'!E76</f>
        <v>0</v>
      </c>
      <c r="C75" s="163">
        <f xml:space="preserve"> 'CASE DATA'!C76</f>
        <v>0</v>
      </c>
      <c r="D75" s="11" t="str">
        <f xml:space="preserve"> IF(OR('CASE DATA'!F76="JUV", 'CASE DATA'!F76="JWV"), "YES", "NO")</f>
        <v>NO</v>
      </c>
      <c r="E75" s="11"/>
      <c r="F75" s="11" t="str">
        <f>IF(D75="YES",IF(COUNTIF('CASE DATA'!$C$4:$C$200, "")-COUNTIF('CASE DATA'!$A$4:$A$200, "")&gt;0, "YES","NO"),"N/A")</f>
        <v>N/A</v>
      </c>
      <c r="G75" s="164" t="str">
        <f xml:space="preserve"> _xlfn.IFS(D75="NO", "N/A", AND('BASIC INFO'!$B$3&gt;'BASIC INFO'!$B$6+6574.5, C75+730.5&lt;'BASIC INFO'!$B$3), "YES", 'BASIC INFO'!$B$3&lt;('BASIC INFO'!$B$6+6574.5), "NOT YET 18", C75+730.5&gt;'BASIC INFO'!$B$3, "NOT YET 2 YEARS")</f>
        <v>N/A</v>
      </c>
      <c r="H75" s="186" t="str">
        <f xml:space="preserve"> IF(LEFT('CASE DATA'!E76,4)&lt;&gt;"321.",IF(OR('CASE DATA'!F76="DISM", 'CASE DATA'!F76="ACQ", 'CASE DATA'!F76="NOTF", 'CASE DATA'!F76="WTHD", 'CASE DATA'!F76="TNSF"), "YES", "NO"), "TRAFFIC")</f>
        <v>NO</v>
      </c>
      <c r="I75" s="185" t="str">
        <f xml:space="preserve"> IF(H75="YES",'CASE DATA'!K76,"N/A")</f>
        <v>N/A</v>
      </c>
      <c r="J75" s="185" t="str">
        <f>IF(H75="YES",'CASE DATA'!I76+'CASE DATA'!J76+'CASE DATA'!L76+'CASE DATA'!M76+'CASE DATA'!N76+'CASE DATA'!O76+'CASE DATA'!P76+'CASE DATA'!Q76+'CASE DATA'!R76,"N/A")</f>
        <v>N/A</v>
      </c>
      <c r="K75" s="162" t="str">
        <f xml:space="preserve"> IF(H75="YES",IF(C75+180&lt;'BASIC INFO'!$B$3, "YES", "NO"),"N/A")</f>
        <v>N/A</v>
      </c>
      <c r="L75" s="185" t="str">
        <f>IF(OR('CASE DATA'!F76="GTR", 'CASE DATA'!F76="GPL"),IF(OR('CASE DATA'!E76="81.6(2)", 'CASE DATA'!E76="99F.15(6)(b)(1)", 'CASE DATA'!E76= "124.401(1)(a)", 'CASE DATA'!E76= "124.401(1)(b)", 'CASE DATA'!E76= "124.401(1)(c)", 'CASE DATA'!E76= "124.401(1)(d)", 'CASE DATA'!E76="124.401(4)", 'CASE DATA'!E76="124.401(1)(b)", 'CASE DATA'!E76="124.401(1)(c)", 'CASE DATA'!E76="124.401D(2)(b)", 'CASE DATA'!E76="124.401D(2)(c)", 'CASE DATA'!E76="124.406(1)(a)", 'CASE DATA'!E76="124.406(1)(b) ", 'CASE DATA'!E76="124.406(2)(a)", 'CASE DATA'!E76="124.406(2)(b) ", 'CASE DATA'!E76="124.406(3)", 'CASE DATA'!E76="124.406A ", 'CASE DATA'!E76="124.407(2)(a)", 'CASE DATA'!E76="124B.9(1)", 'CASE DATA'!E76="124B.9(2)", 'CASE DATA'!E76="321J.2(2)(c)", 'CASE DATA'!E76="453B.12(2)", 'CASE DATA'!E76="453B.12(3)", 'CASE DATA'!E76="453B.12(4)", 'CASE DATA'!E76="462A.14(2)(c)", 'CASE DATA'!E76="462A.14(2)(d)", 'CASE DATA'!E76="462A.14(2)(e)", 'CASE DATA'!E76="705.1(2)", 'CASE DATA'!E76="706.3(1)", 'CASE DATA'!E76="706.3(2)", 'CASE DATA'!E76="706A.2(1)", 'CASE DATA'!E76="706A.2(2)", 'CASE DATA'!E76="706A.2(4)", 'CASE DATA'!E76="706B.2(1)(a)", 'CASE DATA'!E76="706B.2(1)(b)", 'CASE DATA'!E76="706B.2(1)(c)", 'CASE DATA'!E76="706B.2(1)(d)", 'CASE DATA'!E76="707.2", 'CASE DATA'!E76="707.3", 'CASE DATA'!E76="707.3A", 'CASE DATA'!E76="707.4", 'CASE DATA'!E76="707.5(1)(a)", 'CASE DATA'!E76="707.6A(1)", 'CASE DATA'!E76="707.6A(2)", 'CASE DATA'!E76="707.6A(3)", 'CASE DATA'!E76="707.6A(4)", 'CASE DATA'!E76="707.7(1)", 'CASE DATA'!E76="707.7(3)", 'CASE DATA'!E76="707.7(2)", 'CASE DATA'!E76="707.8(1)", 'CASE DATA'!E76="707.8(2)", 'CASE DATA'!E76="707.8(3)", 'CASE DATA'!E76="707.8(4)", 'CASE DATA'!E76="707.8(5)", 'CASE DATA'!E76="707.8(6)", 'CASE DATA'!E76="707.9", 'CASE DATA'!E76="707.11", 'CASE DATA'!E76="707A.2", 'CASE DATA'!E76="708.2(4)", 'CASE DATA'!E76="708.2(5)", 'CASE DATA'!E76="708.2A(4)", 'CASE DATA'!E76="708.2A(5)", 'CASE DATA'!E76="708.2C(2)", 'CASE DATA'!E76="708.2C(4)", 'CASE DATA'!E76="708.3(1)", 'CASE DATA'!E76="708.3(2)", 'CASE DATA'!E76="708.3A(1)", 'CASE DATA'!E76="708.3A(2)", 'CASE DATA'!E76="708.3B", 'CASE DATA'!E76="708.4(1)", 'CASE DATA'!E76="708.4(2)", 'CASE DATA'!E76="708.5", 'CASE DATA'!E76="708.8", 'CASE DATA'!E76="708.11(3)(a)", 'CASE DATA'!E76="708.11(3)(b)", 'CASE DATA'!E76="708.12(3)(f)", 'CASE DATA'!E76="708.13(3)", 'CASE DATA'!E76="708.14", 'CASE DATA'!E76="708A.2", 'CASE DATA'!E76="708A.4(1)", 'CASE DATA'!E76="708A.4(2)", 'CASE DATA'!E76="708A.5", 'CASE DATA'!E76="708A.6(1)", 'CASE DATA'!E76="708.A.6(2)", 'CASE DATA'!E76="709.2", 'CASE DATA'!E76="709.3", 'CASE DATA'!E76="709.4", 'CASE DATA'!E76="709.8(1)(a)", 'CASE DATA'!E76="709.8(1)(b)", 'CASE DATA'!E76="709.8(1)(c)", 'CASE DATA'!E76="709.8(1)(d)", 'CASE DATA'!E76="709.8(1)(e)", 'CASE DATA'!E76="709.11(1)", 'CASE DATA'!E76="709.11(2)", 'CASE DATA'!E76="709.15(2)(a)(1)", 'CASE DATA'!E76="709.15(3)(a)(1)", 'CASE DATA'!E76="709.18", 'CASE DATA'!E76="709A.6(2)", 'CASE DATA'!E76="709D.3(1)", 'CASE DATA'!E76="709D.3(2)", 'CASE DATA'!E76="709.D.3(3)", 'CASE DATA'!E76="710.2", 'CASE DATA'!E76="710.3", 'CASE DATA'!E76="710.4", 'CASE DATA'!E76="710.5", 'CASE DATA'!E76="710.10(1)", 'CASE DATA'!E76="710.10(2)", 'CASE DATA'!E76="710.10(3)", 'CASE DATA'!E76="710.11", 'CASE DATA'!E76="710A.2(1)", 'CASE DATA'!E76="710A.2(2)", 'CASE DATA'!E76="710A.2(3)", 'CASE DATA'!E76="710A.2(4)", 'CASE DATA'!E76="710A.2(5)", 'CASE DATA'!E76="710A.2(6)", 'CASE DATA'!E76="710A.2(7)", 'CASE DATA'!E76="710A.2A", 'CASE DATA'!E76="711.2", 'CASE DATA'!E76="711.3", 'CASE DATA'!E76="711.4", 'CASE DATA'!E76="712.2", 'CASE DATA'!E76="712.3", 'CASE DATA'!E76="712.6(1)", 'CASE DATA'!E76="712.7", 'CASE DATA'!E76="712.8", 'CASE DATA'!E76="", 'CASE DATA'!E76="713.3", 'CASE DATA'!E76="713.4", 'CASE DATA'!E76="713.5", 'CASE DATA'!E76="713.6", 'CASE DATA'!E76="713.6A(1)", 'CASE DATA'!E76="714.2(1)", 'CASE DATA'!E76="714.2(2)", 'CASE DATA'!E76="714.3A(2)(b)", 'CASE DATA'!E76="714.9", 'CASE DATA'!E76="714.10", 'CASE DATA'!E76="714.26(2)(a)", 'CASE DATA'!E76="714.26(2)(b)", 'CASE DATA'!E76="715A.2(2)(a)", 'CASE DATA'!E76="715A.6(2)(a)", 'CASE DATA'!E76="715A.6(2)(b)", 'CASE DATA'!E76="715A.8(3)(a)", 'CASE DATA'!E76="715A.8(3)(b)", 'CASE DATA'!E76="715A.10(1)", 'CASE DATA'!E76="715A.10(2)", 'CASE DATA'!E76="716.3", 'CASE DATA'!E76="716.4", 'CASE DATA'!E76="716.8(6)", 'CASE DATA'!E76="716.10(2)(a)", 'CASE DATA'!E76="716.10(2)(b)", 'CASE DATA'!E76="716.10(2)(c)", 'CASE DATA'!E76="716.10(2)(d)", 'CASE DATA'!E76="716.12", 'CASE DATA'!E76="719.1(1)(f)", 'CASE DATA'!E76="719.1(2)(e)", 'CASE DATA'!E76="719.1(2)(f)", 'CASE DATA'!E76="719.1(2)(g)", 'CASE DATA'!E76="719.4(1)", 'CASE DATA'!E76="719.4(4)", 'CASE DATA'!E76="719.5(1)", 'CASE DATA'!E76="719.5(2)", 'CASE DATA'!E76="719.6(1)", 'CASE DATA'!E76="719.6(2)", 'CASE DATA'!E76="719.7(4)(a)", 'CASE DATA'!E76="719.7(4)(b)", 'CASE DATA'!E76="719.7A(3)", 'CASE DATA'!E76="719.9", 'CASE DATA'!E76="719.8", 'CASE DATA'!E76="720.2", 'CASE DATA'!E76="720.3", 'CASE DATA'!E76="721.1", 'CASE DATA'!E76="722.1", 'CASE DATA'!E76="", 'CASE DATA'!E76="722.2", 'CASE DATA'!E76="722.10", 'CASE DATA'!E76="723(5)(3)(c)", 'CASE DATA'!E76="723A.2", 'CASE DATA'!E76="723A.3(1)", 'CASE DATA'!E76="723A.3(2)", 'CASE DATA'!E76="724.1B", 'CASE DATA'!E76="724.1C", 'CASE DATA'!E76="724.3", 'CASE DATA'!E76="724.4B", 'CASE DATA'!E76="724.10", 'CASE DATA'!E76="724.16(2)", 'CASE DATA'!E76="724.16A(1)(a)", 'CASE DATA'!E76="724.16A(1)(b)", 'CASE DATA'!E76="724.17", 'CASE DATA'!E76="724.21", 'CASE DATA'!E76="724.26(1)", 'CASE DATA'!E76="922(g)(8)", 'CASE DATA'!E76="724.29A(2)", 'CASE DATA'!E76="724.29A(3)", 'CASE DATA'!E76="724.30(1)", 'CASE DATA'!E76="724.30(2)", 'CASE DATA'!E76="725.1(2)(b)", 'CASE DATA'!E76="725.2(1)", 'CASE DATA'!E76="725.2(2)", 'CASE DATA'!E76="725.3(2)", 'CASE DATA'!E76="725.3(1)", 'CASE DATA'!E76="725.7(2)(a)(3)", 'CASE DATA'!E76="725.7(2)(a)(4)", 'CASE DATA'!E76="725.7(2)(b)(2)", 'CASE DATA'!E76="725.7(2)(b(3)", 'CASE DATA'!E76="726.7(2)(c)(1)", 'CASE DATA'!E76="726.7(2)(c)(2)", 'CASE DATA'!E76="725.7(2)(d)", 'CASE DATA'!E76="726.2", 'CASE DATA'!E76="726.3", 'CASE DATA'!E76="726.5", 'CASE DATA'!E76="726.6(4)", 'CASE DATA'!E76="726.6(5)", 'CASE DATA'!E76="726.6(6)", 'CASE DATA'!E76="726.6A", 'CASE DATA'!E76="726.7(2)", 'CASE DATA'!E76="726.8(2)", 'CASE DATA'!E76="728.12(1)", 'CASE DATA'!E76="728.12(2)"),"felony","eligible"),"N/A")</f>
        <v>N/A</v>
      </c>
      <c r="M75" s="185" t="str">
        <f>IF(L75="eligible",IF(OR('CASE DATA'!E76="123.46",'CASE DATA'!E76="123.47",'CASE DATA'!E76="235B.20",'CASE DATA'!E76="321.218",'CASE DATA'!E76="321A.32",'CASE DATA'!E76="321J.21",'CASE DATA'!E76="321J.2",'CASE DATA'!E76="707.5",'CASE DATA'!E76="708.2(3)",'CASE DATA'!E76="708.2A",'CASE DATA'!E76="708.7",'CASE DATA'!E76="708.11",'CASE DATA'!E76="708.12",'CASE DATA'!E76="716.8(3)",'CASE DATA'!E76="716.8(4)", LEFT('CASE DATA'!E76,4)="717C", LEFT('CASE DATA'!E76, 3)="719", LEFT('CASE DATA'!E76,3)="720", 'CASE DATA'!E76="721.2", 'CASE DATA'!E76="721.10", 'CASE DATA'!E76="723.1", LEFT('CASE DATA'!E76,3)="724", LEFT('CASE DATA'!E76,3)="726", LEFT('CASE DATA'!E76,3)="728", LEFT('CASE DATA'!E76,4)="901A"),"ineligible misd", "eligible"),"N/A")</f>
        <v>N/A</v>
      </c>
      <c r="N75" s="185" t="str">
        <f>IF(L75="eligible",IF(COUNTIF('CASE DATA'!$C$4:$C$200, "")-COUNTIF('CASE DATA'!$A$4:$A$200, "")&gt;0, "YES","NO"),"N/A")</f>
        <v>N/A</v>
      </c>
      <c r="O75" s="185" t="str">
        <f xml:space="preserve"> IF(M75="eligible",'CASE DATA'!K76,"N/A")</f>
        <v>N/A</v>
      </c>
      <c r="P75" s="185" t="str">
        <f xml:space="preserve"> IF(M75="eligible",'CASE DATA'!I76+'CASE DATA'!J76+'CASE DATA'!L76+'CASE DATA'!M76+'CASE DATA'!N76+'CASE DATA'!O76+'CASE DATA'!M76+'CASE DATA'!Q76+'CASE DATA'!R76,"N/A")</f>
        <v>N/A</v>
      </c>
      <c r="Q75" s="11" t="str">
        <f>IF(M75="eligible",IF(C75+730.5&lt;'BASIC INFO'!$B$3, "YES", "NO"),"N/A")</f>
        <v>N/A</v>
      </c>
      <c r="R75" s="186" t="str">
        <f xml:space="preserve"> IF(OR('CASE DATA'!F76="DEF"), "YES", "NO")</f>
        <v>NO</v>
      </c>
      <c r="S75" s="162" t="str">
        <f>IF(R75="YES",'CASE DATA'!H76,"N/A")</f>
        <v>N/A</v>
      </c>
      <c r="T75" s="185" t="str">
        <f xml:space="preserve"> IF(R75="YES",'CASE DATA'!K76,"N/A")</f>
        <v>N/A</v>
      </c>
      <c r="U75" s="185" t="str">
        <f>IF(R75="YES",'CASE DATA'!I76+'CASE DATA'!J76+'CASE DATA'!L76+'CASE DATA'!M76+'CASE DATA'!N76+'CASE DATA'!O76+'CASE DATA'!P76+'CASE DATA'!Q76+'CASE DATA'!R76,"N/A")</f>
        <v>N/A</v>
      </c>
      <c r="V75" s="189" t="str">
        <f>IF(OR('CASE DATA'!E76="123.46",'CASE DATA'!E76="123.47"),"YES","NO")</f>
        <v>NO</v>
      </c>
      <c r="W75" s="189"/>
      <c r="X75" s="185" t="str">
        <f>IF(V75="YES",IF(C75+730.5&lt;'BASIC INFO'!$B$3, "YES","NO"), "N/A")</f>
        <v>N/A</v>
      </c>
      <c r="Y75" s="189" t="str">
        <f t="shared" si="1"/>
        <v>NO</v>
      </c>
      <c r="Z75" s="187" t="str">
        <f xml:space="preserve"> IF('BASIC INFO'!$B$6+6574.5&gt;C75, "YES", "NO")</f>
        <v>YES</v>
      </c>
    </row>
    <row r="76" spans="1:26" x14ac:dyDescent="0.25">
      <c r="A76" s="162">
        <f xml:space="preserve"> 'CASE DATA'!A77</f>
        <v>0</v>
      </c>
      <c r="B76" s="162">
        <f xml:space="preserve"> 'CASE DATA'!E77</f>
        <v>0</v>
      </c>
      <c r="C76" s="163">
        <f xml:space="preserve"> 'CASE DATA'!C77</f>
        <v>0</v>
      </c>
      <c r="D76" s="11" t="str">
        <f xml:space="preserve"> IF(OR('CASE DATA'!F77="JUV", 'CASE DATA'!F77="JWV"), "YES", "NO")</f>
        <v>NO</v>
      </c>
      <c r="E76" s="11"/>
      <c r="F76" s="11" t="str">
        <f>IF(D76="YES",IF(COUNTIF('CASE DATA'!$C$4:$C$200, "")-COUNTIF('CASE DATA'!$A$4:$A$200, "")&gt;0, "YES","NO"),"N/A")</f>
        <v>N/A</v>
      </c>
      <c r="G76" s="164" t="str">
        <f xml:space="preserve"> _xlfn.IFS(D76="NO", "N/A", AND('BASIC INFO'!$B$3&gt;'BASIC INFO'!$B$6+6574.5, C76+730.5&lt;'BASIC INFO'!$B$3), "YES", 'BASIC INFO'!$B$3&lt;('BASIC INFO'!$B$6+6574.5), "NOT YET 18", C76+730.5&gt;'BASIC INFO'!$B$3, "NOT YET 2 YEARS")</f>
        <v>N/A</v>
      </c>
      <c r="H76" s="186" t="str">
        <f xml:space="preserve"> IF(LEFT('CASE DATA'!E77,4)&lt;&gt;"321.",IF(OR('CASE DATA'!F77="DISM", 'CASE DATA'!F77="ACQ", 'CASE DATA'!F77="NOTF", 'CASE DATA'!F77="WTHD", 'CASE DATA'!F77="TNSF"), "YES", "NO"), "TRAFFIC")</f>
        <v>NO</v>
      </c>
      <c r="I76" s="185" t="str">
        <f xml:space="preserve"> IF(H76="YES",'CASE DATA'!K77,"N/A")</f>
        <v>N/A</v>
      </c>
      <c r="J76" s="185" t="str">
        <f>IF(H76="YES",'CASE DATA'!I77+'CASE DATA'!J77+'CASE DATA'!L77+'CASE DATA'!M77+'CASE DATA'!N77+'CASE DATA'!O77+'CASE DATA'!P77+'CASE DATA'!Q77+'CASE DATA'!R77,"N/A")</f>
        <v>N/A</v>
      </c>
      <c r="K76" s="162" t="str">
        <f xml:space="preserve"> IF(H76="YES",IF(C76+180&lt;'BASIC INFO'!$B$3, "YES", "NO"),"N/A")</f>
        <v>N/A</v>
      </c>
      <c r="L76" s="185" t="str">
        <f>IF(OR('CASE DATA'!F77="GTR", 'CASE DATA'!F77="GPL"),IF(OR('CASE DATA'!E77="81.6(2)", 'CASE DATA'!E77="99F.15(6)(b)(1)", 'CASE DATA'!E77= "124.401(1)(a)", 'CASE DATA'!E77= "124.401(1)(b)", 'CASE DATA'!E77= "124.401(1)(c)", 'CASE DATA'!E77= "124.401(1)(d)", 'CASE DATA'!E77="124.401(4)", 'CASE DATA'!E77="124.401(1)(b)", 'CASE DATA'!E77="124.401(1)(c)", 'CASE DATA'!E77="124.401D(2)(b)", 'CASE DATA'!E77="124.401D(2)(c)", 'CASE DATA'!E77="124.406(1)(a)", 'CASE DATA'!E77="124.406(1)(b) ", 'CASE DATA'!E77="124.406(2)(a)", 'CASE DATA'!E77="124.406(2)(b) ", 'CASE DATA'!E77="124.406(3)", 'CASE DATA'!E77="124.406A ", 'CASE DATA'!E77="124.407(2)(a)", 'CASE DATA'!E77="124B.9(1)", 'CASE DATA'!E77="124B.9(2)", 'CASE DATA'!E77="321J.2(2)(c)", 'CASE DATA'!E77="453B.12(2)", 'CASE DATA'!E77="453B.12(3)", 'CASE DATA'!E77="453B.12(4)", 'CASE DATA'!E77="462A.14(2)(c)", 'CASE DATA'!E77="462A.14(2)(d)", 'CASE DATA'!E77="462A.14(2)(e)", 'CASE DATA'!E77="705.1(2)", 'CASE DATA'!E77="706.3(1)", 'CASE DATA'!E77="706.3(2)", 'CASE DATA'!E77="706A.2(1)", 'CASE DATA'!E77="706A.2(2)", 'CASE DATA'!E77="706A.2(4)", 'CASE DATA'!E77="706B.2(1)(a)", 'CASE DATA'!E77="706B.2(1)(b)", 'CASE DATA'!E77="706B.2(1)(c)", 'CASE DATA'!E77="706B.2(1)(d)", 'CASE DATA'!E77="707.2", 'CASE DATA'!E77="707.3", 'CASE DATA'!E77="707.3A", 'CASE DATA'!E77="707.4", 'CASE DATA'!E77="707.5(1)(a)", 'CASE DATA'!E77="707.6A(1)", 'CASE DATA'!E77="707.6A(2)", 'CASE DATA'!E77="707.6A(3)", 'CASE DATA'!E77="707.6A(4)", 'CASE DATA'!E77="707.7(1)", 'CASE DATA'!E77="707.7(3)", 'CASE DATA'!E77="707.7(2)", 'CASE DATA'!E77="707.8(1)", 'CASE DATA'!E77="707.8(2)", 'CASE DATA'!E77="707.8(3)", 'CASE DATA'!E77="707.8(4)", 'CASE DATA'!E77="707.8(5)", 'CASE DATA'!E77="707.8(6)", 'CASE DATA'!E77="707.9", 'CASE DATA'!E77="707.11", 'CASE DATA'!E77="707A.2", 'CASE DATA'!E77="708.2(4)", 'CASE DATA'!E77="708.2(5)", 'CASE DATA'!E77="708.2A(4)", 'CASE DATA'!E77="708.2A(5)", 'CASE DATA'!E77="708.2C(2)", 'CASE DATA'!E77="708.2C(4)", 'CASE DATA'!E77="708.3(1)", 'CASE DATA'!E77="708.3(2)", 'CASE DATA'!E77="708.3A(1)", 'CASE DATA'!E77="708.3A(2)", 'CASE DATA'!E77="708.3B", 'CASE DATA'!E77="708.4(1)", 'CASE DATA'!E77="708.4(2)", 'CASE DATA'!E77="708.5", 'CASE DATA'!E77="708.8", 'CASE DATA'!E77="708.11(3)(a)", 'CASE DATA'!E77="708.11(3)(b)", 'CASE DATA'!E77="708.12(3)(f)", 'CASE DATA'!E77="708.13(3)", 'CASE DATA'!E77="708.14", 'CASE DATA'!E77="708A.2", 'CASE DATA'!E77="708A.4(1)", 'CASE DATA'!E77="708A.4(2)", 'CASE DATA'!E77="708A.5", 'CASE DATA'!E77="708A.6(1)", 'CASE DATA'!E77="708.A.6(2)", 'CASE DATA'!E77="709.2", 'CASE DATA'!E77="709.3", 'CASE DATA'!E77="709.4", 'CASE DATA'!E77="709.8(1)(a)", 'CASE DATA'!E77="709.8(1)(b)", 'CASE DATA'!E77="709.8(1)(c)", 'CASE DATA'!E77="709.8(1)(d)", 'CASE DATA'!E77="709.8(1)(e)", 'CASE DATA'!E77="709.11(1)", 'CASE DATA'!E77="709.11(2)", 'CASE DATA'!E77="709.15(2)(a)(1)", 'CASE DATA'!E77="709.15(3)(a)(1)", 'CASE DATA'!E77="709.18", 'CASE DATA'!E77="709A.6(2)", 'CASE DATA'!E77="709D.3(1)", 'CASE DATA'!E77="709D.3(2)", 'CASE DATA'!E77="709.D.3(3)", 'CASE DATA'!E77="710.2", 'CASE DATA'!E77="710.3", 'CASE DATA'!E77="710.4", 'CASE DATA'!E77="710.5", 'CASE DATA'!E77="710.10(1)", 'CASE DATA'!E77="710.10(2)", 'CASE DATA'!E77="710.10(3)", 'CASE DATA'!E77="710.11", 'CASE DATA'!E77="710A.2(1)", 'CASE DATA'!E77="710A.2(2)", 'CASE DATA'!E77="710A.2(3)", 'CASE DATA'!E77="710A.2(4)", 'CASE DATA'!E77="710A.2(5)", 'CASE DATA'!E77="710A.2(6)", 'CASE DATA'!E77="710A.2(7)", 'CASE DATA'!E77="710A.2A", 'CASE DATA'!E77="711.2", 'CASE DATA'!E77="711.3", 'CASE DATA'!E77="711.4", 'CASE DATA'!E77="712.2", 'CASE DATA'!E77="712.3", 'CASE DATA'!E77="712.6(1)", 'CASE DATA'!E77="712.7", 'CASE DATA'!E77="712.8", 'CASE DATA'!E77="", 'CASE DATA'!E77="713.3", 'CASE DATA'!E77="713.4", 'CASE DATA'!E77="713.5", 'CASE DATA'!E77="713.6", 'CASE DATA'!E77="713.6A(1)", 'CASE DATA'!E77="714.2(1)", 'CASE DATA'!E77="714.2(2)", 'CASE DATA'!E77="714.3A(2)(b)", 'CASE DATA'!E77="714.9", 'CASE DATA'!E77="714.10", 'CASE DATA'!E77="714.26(2)(a)", 'CASE DATA'!E77="714.26(2)(b)", 'CASE DATA'!E77="715A.2(2)(a)", 'CASE DATA'!E77="715A.6(2)(a)", 'CASE DATA'!E77="715A.6(2)(b)", 'CASE DATA'!E77="715A.8(3)(a)", 'CASE DATA'!E77="715A.8(3)(b)", 'CASE DATA'!E77="715A.10(1)", 'CASE DATA'!E77="715A.10(2)", 'CASE DATA'!E77="716.3", 'CASE DATA'!E77="716.4", 'CASE DATA'!E77="716.8(6)", 'CASE DATA'!E77="716.10(2)(a)", 'CASE DATA'!E77="716.10(2)(b)", 'CASE DATA'!E77="716.10(2)(c)", 'CASE DATA'!E77="716.10(2)(d)", 'CASE DATA'!E77="716.12", 'CASE DATA'!E77="719.1(1)(f)", 'CASE DATA'!E77="719.1(2)(e)", 'CASE DATA'!E77="719.1(2)(f)", 'CASE DATA'!E77="719.1(2)(g)", 'CASE DATA'!E77="719.4(1)", 'CASE DATA'!E77="719.4(4)", 'CASE DATA'!E77="719.5(1)", 'CASE DATA'!E77="719.5(2)", 'CASE DATA'!E77="719.6(1)", 'CASE DATA'!E77="719.6(2)", 'CASE DATA'!E77="719.7(4)(a)", 'CASE DATA'!E77="719.7(4)(b)", 'CASE DATA'!E77="719.7A(3)", 'CASE DATA'!E77="719.9", 'CASE DATA'!E77="719.8", 'CASE DATA'!E77="720.2", 'CASE DATA'!E77="720.3", 'CASE DATA'!E77="721.1", 'CASE DATA'!E77="722.1", 'CASE DATA'!E77="", 'CASE DATA'!E77="722.2", 'CASE DATA'!E77="722.10", 'CASE DATA'!E77="723(5)(3)(c)", 'CASE DATA'!E77="723A.2", 'CASE DATA'!E77="723A.3(1)", 'CASE DATA'!E77="723A.3(2)", 'CASE DATA'!E77="724.1B", 'CASE DATA'!E77="724.1C", 'CASE DATA'!E77="724.3", 'CASE DATA'!E77="724.4B", 'CASE DATA'!E77="724.10", 'CASE DATA'!E77="724.16(2)", 'CASE DATA'!E77="724.16A(1)(a)", 'CASE DATA'!E77="724.16A(1)(b)", 'CASE DATA'!E77="724.17", 'CASE DATA'!E77="724.21", 'CASE DATA'!E77="724.26(1)", 'CASE DATA'!E77="922(g)(8)", 'CASE DATA'!E77="724.29A(2)", 'CASE DATA'!E77="724.29A(3)", 'CASE DATA'!E77="724.30(1)", 'CASE DATA'!E77="724.30(2)", 'CASE DATA'!E77="725.1(2)(b)", 'CASE DATA'!E77="725.2(1)", 'CASE DATA'!E77="725.2(2)", 'CASE DATA'!E77="725.3(2)", 'CASE DATA'!E77="725.3(1)", 'CASE DATA'!E77="725.7(2)(a)(3)", 'CASE DATA'!E77="725.7(2)(a)(4)", 'CASE DATA'!E77="725.7(2)(b)(2)", 'CASE DATA'!E77="725.7(2)(b(3)", 'CASE DATA'!E77="726.7(2)(c)(1)", 'CASE DATA'!E77="726.7(2)(c)(2)", 'CASE DATA'!E77="725.7(2)(d)", 'CASE DATA'!E77="726.2", 'CASE DATA'!E77="726.3", 'CASE DATA'!E77="726.5", 'CASE DATA'!E77="726.6(4)", 'CASE DATA'!E77="726.6(5)", 'CASE DATA'!E77="726.6(6)", 'CASE DATA'!E77="726.6A", 'CASE DATA'!E77="726.7(2)", 'CASE DATA'!E77="726.8(2)", 'CASE DATA'!E77="728.12(1)", 'CASE DATA'!E77="728.12(2)"),"felony","eligible"),"N/A")</f>
        <v>N/A</v>
      </c>
      <c r="M76" s="185" t="str">
        <f>IF(L76="eligible",IF(OR('CASE DATA'!E77="123.46",'CASE DATA'!E77="123.47",'CASE DATA'!E77="235B.20",'CASE DATA'!E77="321.218",'CASE DATA'!E77="321A.32",'CASE DATA'!E77="321J.21",'CASE DATA'!E77="321J.2",'CASE DATA'!E77="707.5",'CASE DATA'!E77="708.2(3)",'CASE DATA'!E77="708.2A",'CASE DATA'!E77="708.7",'CASE DATA'!E77="708.11",'CASE DATA'!E77="708.12",'CASE DATA'!E77="716.8(3)",'CASE DATA'!E77="716.8(4)", LEFT('CASE DATA'!E77,4)="717C", LEFT('CASE DATA'!E77, 3)="719", LEFT('CASE DATA'!E77,3)="720", 'CASE DATA'!E77="721.2", 'CASE DATA'!E77="721.10", 'CASE DATA'!E77="723.1", LEFT('CASE DATA'!E77,3)="724", LEFT('CASE DATA'!E77,3)="726", LEFT('CASE DATA'!E77,3)="728", LEFT('CASE DATA'!E77,4)="901A"),"ineligible misd", "eligible"),"N/A")</f>
        <v>N/A</v>
      </c>
      <c r="N76" s="185" t="str">
        <f>IF(L76="eligible",IF(COUNTIF('CASE DATA'!$C$4:$C$200, "")-COUNTIF('CASE DATA'!$A$4:$A$200, "")&gt;0, "YES","NO"),"N/A")</f>
        <v>N/A</v>
      </c>
      <c r="O76" s="185" t="str">
        <f xml:space="preserve"> IF(M76="eligible",'CASE DATA'!K77,"N/A")</f>
        <v>N/A</v>
      </c>
      <c r="P76" s="185" t="str">
        <f xml:space="preserve"> IF(M76="eligible",'CASE DATA'!I77+'CASE DATA'!J77+'CASE DATA'!L77+'CASE DATA'!M77+'CASE DATA'!N77+'CASE DATA'!O77+'CASE DATA'!M77+'CASE DATA'!Q77+'CASE DATA'!R77,"N/A")</f>
        <v>N/A</v>
      </c>
      <c r="Q76" s="11" t="str">
        <f>IF(M76="eligible",IF(C76+730.5&lt;'BASIC INFO'!$B$3, "YES", "NO"),"N/A")</f>
        <v>N/A</v>
      </c>
      <c r="R76" s="186" t="str">
        <f xml:space="preserve"> IF(OR('CASE DATA'!F77="DEF"), "YES", "NO")</f>
        <v>NO</v>
      </c>
      <c r="S76" s="162" t="str">
        <f>IF(R76="YES",'CASE DATA'!H77,"N/A")</f>
        <v>N/A</v>
      </c>
      <c r="T76" s="185" t="str">
        <f xml:space="preserve"> IF(R76="YES",'CASE DATA'!K77,"N/A")</f>
        <v>N/A</v>
      </c>
      <c r="U76" s="185" t="str">
        <f>IF(R76="YES",'CASE DATA'!I77+'CASE DATA'!J77+'CASE DATA'!L77+'CASE DATA'!M77+'CASE DATA'!N77+'CASE DATA'!O77+'CASE DATA'!P77+'CASE DATA'!Q77+'CASE DATA'!R77,"N/A")</f>
        <v>N/A</v>
      </c>
      <c r="V76" s="189" t="str">
        <f>IF(OR('CASE DATA'!E77="123.46",'CASE DATA'!E77="123.47"),"YES","NO")</f>
        <v>NO</v>
      </c>
      <c r="W76" s="189"/>
      <c r="X76" s="185" t="str">
        <f>IF(V76="YES",IF(C76+730.5&lt;'BASIC INFO'!$B$3, "YES","NO"), "N/A")</f>
        <v>N/A</v>
      </c>
      <c r="Y76" s="189" t="str">
        <f t="shared" si="1"/>
        <v>NO</v>
      </c>
      <c r="Z76" s="187" t="str">
        <f xml:space="preserve"> IF('BASIC INFO'!$B$6+6574.5&gt;C76, "YES", "NO")</f>
        <v>YES</v>
      </c>
    </row>
    <row r="77" spans="1:26" x14ac:dyDescent="0.25">
      <c r="A77" s="162">
        <f xml:space="preserve"> 'CASE DATA'!A78</f>
        <v>0</v>
      </c>
      <c r="B77" s="162">
        <f xml:space="preserve"> 'CASE DATA'!E78</f>
        <v>0</v>
      </c>
      <c r="C77" s="163">
        <f xml:space="preserve"> 'CASE DATA'!C78</f>
        <v>0</v>
      </c>
      <c r="D77" s="11" t="str">
        <f xml:space="preserve"> IF(OR('CASE DATA'!F78="JUV", 'CASE DATA'!F78="JWV"), "YES", "NO")</f>
        <v>NO</v>
      </c>
      <c r="E77" s="11"/>
      <c r="F77" s="11" t="str">
        <f>IF(D77="YES",IF(COUNTIF('CASE DATA'!$C$4:$C$200, "")-COUNTIF('CASE DATA'!$A$4:$A$200, "")&gt;0, "YES","NO"),"N/A")</f>
        <v>N/A</v>
      </c>
      <c r="G77" s="164" t="str">
        <f xml:space="preserve"> _xlfn.IFS(D77="NO", "N/A", AND('BASIC INFO'!$B$3&gt;'BASIC INFO'!$B$6+6574.5, C77+730.5&lt;'BASIC INFO'!$B$3), "YES", 'BASIC INFO'!$B$3&lt;('BASIC INFO'!$B$6+6574.5), "NOT YET 18", C77+730.5&gt;'BASIC INFO'!$B$3, "NOT YET 2 YEARS")</f>
        <v>N/A</v>
      </c>
      <c r="H77" s="186" t="str">
        <f xml:space="preserve"> IF(LEFT('CASE DATA'!E78,4)&lt;&gt;"321.",IF(OR('CASE DATA'!F78="DISM", 'CASE DATA'!F78="ACQ", 'CASE DATA'!F78="NOTF", 'CASE DATA'!F78="WTHD", 'CASE DATA'!F78="TNSF"), "YES", "NO"), "TRAFFIC")</f>
        <v>NO</v>
      </c>
      <c r="I77" s="185" t="str">
        <f xml:space="preserve"> IF(H77="YES",'CASE DATA'!K78,"N/A")</f>
        <v>N/A</v>
      </c>
      <c r="J77" s="185" t="str">
        <f>IF(H77="YES",'CASE DATA'!I78+'CASE DATA'!J78+'CASE DATA'!L78+'CASE DATA'!M78+'CASE DATA'!N78+'CASE DATA'!O78+'CASE DATA'!P78+'CASE DATA'!Q78+'CASE DATA'!R78,"N/A")</f>
        <v>N/A</v>
      </c>
      <c r="K77" s="162" t="str">
        <f xml:space="preserve"> IF(H77="YES",IF(C77+180&lt;'BASIC INFO'!$B$3, "YES", "NO"),"N/A")</f>
        <v>N/A</v>
      </c>
      <c r="L77" s="185" t="str">
        <f>IF(OR('CASE DATA'!F78="GTR", 'CASE DATA'!F78="GPL"),IF(OR('CASE DATA'!E78="81.6(2)", 'CASE DATA'!E78="99F.15(6)(b)(1)", 'CASE DATA'!E78= "124.401(1)(a)", 'CASE DATA'!E78= "124.401(1)(b)", 'CASE DATA'!E78= "124.401(1)(c)", 'CASE DATA'!E78= "124.401(1)(d)", 'CASE DATA'!E78="124.401(4)", 'CASE DATA'!E78="124.401(1)(b)", 'CASE DATA'!E78="124.401(1)(c)", 'CASE DATA'!E78="124.401D(2)(b)", 'CASE DATA'!E78="124.401D(2)(c)", 'CASE DATA'!E78="124.406(1)(a)", 'CASE DATA'!E78="124.406(1)(b) ", 'CASE DATA'!E78="124.406(2)(a)", 'CASE DATA'!E78="124.406(2)(b) ", 'CASE DATA'!E78="124.406(3)", 'CASE DATA'!E78="124.406A ", 'CASE DATA'!E78="124.407(2)(a)", 'CASE DATA'!E78="124B.9(1)", 'CASE DATA'!E78="124B.9(2)", 'CASE DATA'!E78="321J.2(2)(c)", 'CASE DATA'!E78="453B.12(2)", 'CASE DATA'!E78="453B.12(3)", 'CASE DATA'!E78="453B.12(4)", 'CASE DATA'!E78="462A.14(2)(c)", 'CASE DATA'!E78="462A.14(2)(d)", 'CASE DATA'!E78="462A.14(2)(e)", 'CASE DATA'!E78="705.1(2)", 'CASE DATA'!E78="706.3(1)", 'CASE DATA'!E78="706.3(2)", 'CASE DATA'!E78="706A.2(1)", 'CASE DATA'!E78="706A.2(2)", 'CASE DATA'!E78="706A.2(4)", 'CASE DATA'!E78="706B.2(1)(a)", 'CASE DATA'!E78="706B.2(1)(b)", 'CASE DATA'!E78="706B.2(1)(c)", 'CASE DATA'!E78="706B.2(1)(d)", 'CASE DATA'!E78="707.2", 'CASE DATA'!E78="707.3", 'CASE DATA'!E78="707.3A", 'CASE DATA'!E78="707.4", 'CASE DATA'!E78="707.5(1)(a)", 'CASE DATA'!E78="707.6A(1)", 'CASE DATA'!E78="707.6A(2)", 'CASE DATA'!E78="707.6A(3)", 'CASE DATA'!E78="707.6A(4)", 'CASE DATA'!E78="707.7(1)", 'CASE DATA'!E78="707.7(3)", 'CASE DATA'!E78="707.7(2)", 'CASE DATA'!E78="707.8(1)", 'CASE DATA'!E78="707.8(2)", 'CASE DATA'!E78="707.8(3)", 'CASE DATA'!E78="707.8(4)", 'CASE DATA'!E78="707.8(5)", 'CASE DATA'!E78="707.8(6)", 'CASE DATA'!E78="707.9", 'CASE DATA'!E78="707.11", 'CASE DATA'!E78="707A.2", 'CASE DATA'!E78="708.2(4)", 'CASE DATA'!E78="708.2(5)", 'CASE DATA'!E78="708.2A(4)", 'CASE DATA'!E78="708.2A(5)", 'CASE DATA'!E78="708.2C(2)", 'CASE DATA'!E78="708.2C(4)", 'CASE DATA'!E78="708.3(1)", 'CASE DATA'!E78="708.3(2)", 'CASE DATA'!E78="708.3A(1)", 'CASE DATA'!E78="708.3A(2)", 'CASE DATA'!E78="708.3B", 'CASE DATA'!E78="708.4(1)", 'CASE DATA'!E78="708.4(2)", 'CASE DATA'!E78="708.5", 'CASE DATA'!E78="708.8", 'CASE DATA'!E78="708.11(3)(a)", 'CASE DATA'!E78="708.11(3)(b)", 'CASE DATA'!E78="708.12(3)(f)", 'CASE DATA'!E78="708.13(3)", 'CASE DATA'!E78="708.14", 'CASE DATA'!E78="708A.2", 'CASE DATA'!E78="708A.4(1)", 'CASE DATA'!E78="708A.4(2)", 'CASE DATA'!E78="708A.5", 'CASE DATA'!E78="708A.6(1)", 'CASE DATA'!E78="708.A.6(2)", 'CASE DATA'!E78="709.2", 'CASE DATA'!E78="709.3", 'CASE DATA'!E78="709.4", 'CASE DATA'!E78="709.8(1)(a)", 'CASE DATA'!E78="709.8(1)(b)", 'CASE DATA'!E78="709.8(1)(c)", 'CASE DATA'!E78="709.8(1)(d)", 'CASE DATA'!E78="709.8(1)(e)", 'CASE DATA'!E78="709.11(1)", 'CASE DATA'!E78="709.11(2)", 'CASE DATA'!E78="709.15(2)(a)(1)", 'CASE DATA'!E78="709.15(3)(a)(1)", 'CASE DATA'!E78="709.18", 'CASE DATA'!E78="709A.6(2)", 'CASE DATA'!E78="709D.3(1)", 'CASE DATA'!E78="709D.3(2)", 'CASE DATA'!E78="709.D.3(3)", 'CASE DATA'!E78="710.2", 'CASE DATA'!E78="710.3", 'CASE DATA'!E78="710.4", 'CASE DATA'!E78="710.5", 'CASE DATA'!E78="710.10(1)", 'CASE DATA'!E78="710.10(2)", 'CASE DATA'!E78="710.10(3)", 'CASE DATA'!E78="710.11", 'CASE DATA'!E78="710A.2(1)", 'CASE DATA'!E78="710A.2(2)", 'CASE DATA'!E78="710A.2(3)", 'CASE DATA'!E78="710A.2(4)", 'CASE DATA'!E78="710A.2(5)", 'CASE DATA'!E78="710A.2(6)", 'CASE DATA'!E78="710A.2(7)", 'CASE DATA'!E78="710A.2A", 'CASE DATA'!E78="711.2", 'CASE DATA'!E78="711.3", 'CASE DATA'!E78="711.4", 'CASE DATA'!E78="712.2", 'CASE DATA'!E78="712.3", 'CASE DATA'!E78="712.6(1)", 'CASE DATA'!E78="712.7", 'CASE DATA'!E78="712.8", 'CASE DATA'!E78="", 'CASE DATA'!E78="713.3", 'CASE DATA'!E78="713.4", 'CASE DATA'!E78="713.5", 'CASE DATA'!E78="713.6", 'CASE DATA'!E78="713.6A(1)", 'CASE DATA'!E78="714.2(1)", 'CASE DATA'!E78="714.2(2)", 'CASE DATA'!E78="714.3A(2)(b)", 'CASE DATA'!E78="714.9", 'CASE DATA'!E78="714.10", 'CASE DATA'!E78="714.26(2)(a)", 'CASE DATA'!E78="714.26(2)(b)", 'CASE DATA'!E78="715A.2(2)(a)", 'CASE DATA'!E78="715A.6(2)(a)", 'CASE DATA'!E78="715A.6(2)(b)", 'CASE DATA'!E78="715A.8(3)(a)", 'CASE DATA'!E78="715A.8(3)(b)", 'CASE DATA'!E78="715A.10(1)", 'CASE DATA'!E78="715A.10(2)", 'CASE DATA'!E78="716.3", 'CASE DATA'!E78="716.4", 'CASE DATA'!E78="716.8(6)", 'CASE DATA'!E78="716.10(2)(a)", 'CASE DATA'!E78="716.10(2)(b)", 'CASE DATA'!E78="716.10(2)(c)", 'CASE DATA'!E78="716.10(2)(d)", 'CASE DATA'!E78="716.12", 'CASE DATA'!E78="719.1(1)(f)", 'CASE DATA'!E78="719.1(2)(e)", 'CASE DATA'!E78="719.1(2)(f)", 'CASE DATA'!E78="719.1(2)(g)", 'CASE DATA'!E78="719.4(1)", 'CASE DATA'!E78="719.4(4)", 'CASE DATA'!E78="719.5(1)", 'CASE DATA'!E78="719.5(2)", 'CASE DATA'!E78="719.6(1)", 'CASE DATA'!E78="719.6(2)", 'CASE DATA'!E78="719.7(4)(a)", 'CASE DATA'!E78="719.7(4)(b)", 'CASE DATA'!E78="719.7A(3)", 'CASE DATA'!E78="719.9", 'CASE DATA'!E78="719.8", 'CASE DATA'!E78="720.2", 'CASE DATA'!E78="720.3", 'CASE DATA'!E78="721.1", 'CASE DATA'!E78="722.1", 'CASE DATA'!E78="", 'CASE DATA'!E78="722.2", 'CASE DATA'!E78="722.10", 'CASE DATA'!E78="723(5)(3)(c)", 'CASE DATA'!E78="723A.2", 'CASE DATA'!E78="723A.3(1)", 'CASE DATA'!E78="723A.3(2)", 'CASE DATA'!E78="724.1B", 'CASE DATA'!E78="724.1C", 'CASE DATA'!E78="724.3", 'CASE DATA'!E78="724.4B", 'CASE DATA'!E78="724.10", 'CASE DATA'!E78="724.16(2)", 'CASE DATA'!E78="724.16A(1)(a)", 'CASE DATA'!E78="724.16A(1)(b)", 'CASE DATA'!E78="724.17", 'CASE DATA'!E78="724.21", 'CASE DATA'!E78="724.26(1)", 'CASE DATA'!E78="922(g)(8)", 'CASE DATA'!E78="724.29A(2)", 'CASE DATA'!E78="724.29A(3)", 'CASE DATA'!E78="724.30(1)", 'CASE DATA'!E78="724.30(2)", 'CASE DATA'!E78="725.1(2)(b)", 'CASE DATA'!E78="725.2(1)", 'CASE DATA'!E78="725.2(2)", 'CASE DATA'!E78="725.3(2)", 'CASE DATA'!E78="725.3(1)", 'CASE DATA'!E78="725.7(2)(a)(3)", 'CASE DATA'!E78="725.7(2)(a)(4)", 'CASE DATA'!E78="725.7(2)(b)(2)", 'CASE DATA'!E78="725.7(2)(b(3)", 'CASE DATA'!E78="726.7(2)(c)(1)", 'CASE DATA'!E78="726.7(2)(c)(2)", 'CASE DATA'!E78="725.7(2)(d)", 'CASE DATA'!E78="726.2", 'CASE DATA'!E78="726.3", 'CASE DATA'!E78="726.5", 'CASE DATA'!E78="726.6(4)", 'CASE DATA'!E78="726.6(5)", 'CASE DATA'!E78="726.6(6)", 'CASE DATA'!E78="726.6A", 'CASE DATA'!E78="726.7(2)", 'CASE DATA'!E78="726.8(2)", 'CASE DATA'!E78="728.12(1)", 'CASE DATA'!E78="728.12(2)"),"felony","eligible"),"N/A")</f>
        <v>N/A</v>
      </c>
      <c r="M77" s="185" t="str">
        <f>IF(L77="eligible",IF(OR('CASE DATA'!E78="123.46",'CASE DATA'!E78="123.47",'CASE DATA'!E78="235B.20",'CASE DATA'!E78="321.218",'CASE DATA'!E78="321A.32",'CASE DATA'!E78="321J.21",'CASE DATA'!E78="321J.2",'CASE DATA'!E78="707.5",'CASE DATA'!E78="708.2(3)",'CASE DATA'!E78="708.2A",'CASE DATA'!E78="708.7",'CASE DATA'!E78="708.11",'CASE DATA'!E78="708.12",'CASE DATA'!E78="716.8(3)",'CASE DATA'!E78="716.8(4)", LEFT('CASE DATA'!E78,4)="717C", LEFT('CASE DATA'!E78, 3)="719", LEFT('CASE DATA'!E78,3)="720", 'CASE DATA'!E78="721.2", 'CASE DATA'!E78="721.10", 'CASE DATA'!E78="723.1", LEFT('CASE DATA'!E78,3)="724", LEFT('CASE DATA'!E78,3)="726", LEFT('CASE DATA'!E78,3)="728", LEFT('CASE DATA'!E78,4)="901A"),"ineligible misd", "eligible"),"N/A")</f>
        <v>N/A</v>
      </c>
      <c r="N77" s="185" t="str">
        <f>IF(L77="eligible",IF(COUNTIF('CASE DATA'!$C$4:$C$200, "")-COUNTIF('CASE DATA'!$A$4:$A$200, "")&gt;0, "YES","NO"),"N/A")</f>
        <v>N/A</v>
      </c>
      <c r="O77" s="185" t="str">
        <f xml:space="preserve"> IF(M77="eligible",'CASE DATA'!K78,"N/A")</f>
        <v>N/A</v>
      </c>
      <c r="P77" s="185" t="str">
        <f xml:space="preserve"> IF(M77="eligible",'CASE DATA'!I78+'CASE DATA'!J78+'CASE DATA'!L78+'CASE DATA'!M78+'CASE DATA'!N78+'CASE DATA'!O78+'CASE DATA'!M78+'CASE DATA'!Q78+'CASE DATA'!R78,"N/A")</f>
        <v>N/A</v>
      </c>
      <c r="Q77" s="11" t="str">
        <f>IF(M77="eligible",IF(C77+730.5&lt;'BASIC INFO'!$B$3, "YES", "NO"),"N/A")</f>
        <v>N/A</v>
      </c>
      <c r="R77" s="186" t="str">
        <f xml:space="preserve"> IF(OR('CASE DATA'!F78="DEF"), "YES", "NO")</f>
        <v>NO</v>
      </c>
      <c r="S77" s="162" t="str">
        <f>IF(R77="YES",'CASE DATA'!H78,"N/A")</f>
        <v>N/A</v>
      </c>
      <c r="T77" s="185" t="str">
        <f xml:space="preserve"> IF(R77="YES",'CASE DATA'!K78,"N/A")</f>
        <v>N/A</v>
      </c>
      <c r="U77" s="185" t="str">
        <f>IF(R77="YES",'CASE DATA'!I78+'CASE DATA'!J78+'CASE DATA'!L78+'CASE DATA'!M78+'CASE DATA'!N78+'CASE DATA'!O78+'CASE DATA'!P78+'CASE DATA'!Q78+'CASE DATA'!R78,"N/A")</f>
        <v>N/A</v>
      </c>
      <c r="V77" s="189" t="str">
        <f>IF(OR('CASE DATA'!E78="123.46",'CASE DATA'!E78="123.47"),"YES","NO")</f>
        <v>NO</v>
      </c>
      <c r="W77" s="189"/>
      <c r="X77" s="185" t="str">
        <f>IF(V77="YES",IF(C77+730.5&lt;'BASIC INFO'!$B$3, "YES","NO"), "N/A")</f>
        <v>N/A</v>
      </c>
      <c r="Y77" s="189" t="str">
        <f t="shared" si="1"/>
        <v>NO</v>
      </c>
      <c r="Z77" s="187" t="str">
        <f xml:space="preserve"> IF('BASIC INFO'!$B$6+6574.5&gt;C77, "YES", "NO")</f>
        <v>YES</v>
      </c>
    </row>
    <row r="78" spans="1:26" x14ac:dyDescent="0.25">
      <c r="A78" s="162">
        <f xml:space="preserve"> 'CASE DATA'!A79</f>
        <v>0</v>
      </c>
      <c r="B78" s="162">
        <f xml:space="preserve"> 'CASE DATA'!E79</f>
        <v>0</v>
      </c>
      <c r="C78" s="163">
        <f xml:space="preserve"> 'CASE DATA'!C79</f>
        <v>0</v>
      </c>
      <c r="D78" s="11" t="str">
        <f xml:space="preserve"> IF(OR('CASE DATA'!F79="JUV", 'CASE DATA'!F79="JWV"), "YES", "NO")</f>
        <v>NO</v>
      </c>
      <c r="E78" s="11"/>
      <c r="F78" s="11" t="str">
        <f>IF(D78="YES",IF(COUNTIF('CASE DATA'!$C$4:$C$200, "")-COUNTIF('CASE DATA'!$A$4:$A$200, "")&gt;0, "YES","NO"),"N/A")</f>
        <v>N/A</v>
      </c>
      <c r="G78" s="164" t="str">
        <f xml:space="preserve"> _xlfn.IFS(D78="NO", "N/A", AND('BASIC INFO'!$B$3&gt;'BASIC INFO'!$B$6+6574.5, C78+730.5&lt;'BASIC INFO'!$B$3), "YES", 'BASIC INFO'!$B$3&lt;('BASIC INFO'!$B$6+6574.5), "NOT YET 18", C78+730.5&gt;'BASIC INFO'!$B$3, "NOT YET 2 YEARS")</f>
        <v>N/A</v>
      </c>
      <c r="H78" s="186" t="str">
        <f xml:space="preserve"> IF(LEFT('CASE DATA'!E79,4)&lt;&gt;"321.",IF(OR('CASE DATA'!F79="DISM", 'CASE DATA'!F79="ACQ", 'CASE DATA'!F79="NOTF", 'CASE DATA'!F79="WTHD", 'CASE DATA'!F79="TNSF"), "YES", "NO"), "TRAFFIC")</f>
        <v>NO</v>
      </c>
      <c r="I78" s="185" t="str">
        <f xml:space="preserve"> IF(H78="YES",'CASE DATA'!K79,"N/A")</f>
        <v>N/A</v>
      </c>
      <c r="J78" s="185" t="str">
        <f>IF(H78="YES",'CASE DATA'!I79+'CASE DATA'!J79+'CASE DATA'!L79+'CASE DATA'!M79+'CASE DATA'!N79+'CASE DATA'!O79+'CASE DATA'!P79+'CASE DATA'!Q79+'CASE DATA'!R79,"N/A")</f>
        <v>N/A</v>
      </c>
      <c r="K78" s="162" t="str">
        <f xml:space="preserve"> IF(H78="YES",IF(C78+180&lt;'BASIC INFO'!$B$3, "YES", "NO"),"N/A")</f>
        <v>N/A</v>
      </c>
      <c r="L78" s="185" t="str">
        <f>IF(OR('CASE DATA'!F79="GTR", 'CASE DATA'!F79="GPL"),IF(OR('CASE DATA'!E79="81.6(2)", 'CASE DATA'!E79="99F.15(6)(b)(1)", 'CASE DATA'!E79= "124.401(1)(a)", 'CASE DATA'!E79= "124.401(1)(b)", 'CASE DATA'!E79= "124.401(1)(c)", 'CASE DATA'!E79= "124.401(1)(d)", 'CASE DATA'!E79="124.401(4)", 'CASE DATA'!E79="124.401(1)(b)", 'CASE DATA'!E79="124.401(1)(c)", 'CASE DATA'!E79="124.401D(2)(b)", 'CASE DATA'!E79="124.401D(2)(c)", 'CASE DATA'!E79="124.406(1)(a)", 'CASE DATA'!E79="124.406(1)(b) ", 'CASE DATA'!E79="124.406(2)(a)", 'CASE DATA'!E79="124.406(2)(b) ", 'CASE DATA'!E79="124.406(3)", 'CASE DATA'!E79="124.406A ", 'CASE DATA'!E79="124.407(2)(a)", 'CASE DATA'!E79="124B.9(1)", 'CASE DATA'!E79="124B.9(2)", 'CASE DATA'!E79="321J.2(2)(c)", 'CASE DATA'!E79="453B.12(2)", 'CASE DATA'!E79="453B.12(3)", 'CASE DATA'!E79="453B.12(4)", 'CASE DATA'!E79="462A.14(2)(c)", 'CASE DATA'!E79="462A.14(2)(d)", 'CASE DATA'!E79="462A.14(2)(e)", 'CASE DATA'!E79="705.1(2)", 'CASE DATA'!E79="706.3(1)", 'CASE DATA'!E79="706.3(2)", 'CASE DATA'!E79="706A.2(1)", 'CASE DATA'!E79="706A.2(2)", 'CASE DATA'!E79="706A.2(4)", 'CASE DATA'!E79="706B.2(1)(a)", 'CASE DATA'!E79="706B.2(1)(b)", 'CASE DATA'!E79="706B.2(1)(c)", 'CASE DATA'!E79="706B.2(1)(d)", 'CASE DATA'!E79="707.2", 'CASE DATA'!E79="707.3", 'CASE DATA'!E79="707.3A", 'CASE DATA'!E79="707.4", 'CASE DATA'!E79="707.5(1)(a)", 'CASE DATA'!E79="707.6A(1)", 'CASE DATA'!E79="707.6A(2)", 'CASE DATA'!E79="707.6A(3)", 'CASE DATA'!E79="707.6A(4)", 'CASE DATA'!E79="707.7(1)", 'CASE DATA'!E79="707.7(3)", 'CASE DATA'!E79="707.7(2)", 'CASE DATA'!E79="707.8(1)", 'CASE DATA'!E79="707.8(2)", 'CASE DATA'!E79="707.8(3)", 'CASE DATA'!E79="707.8(4)", 'CASE DATA'!E79="707.8(5)", 'CASE DATA'!E79="707.8(6)", 'CASE DATA'!E79="707.9", 'CASE DATA'!E79="707.11", 'CASE DATA'!E79="707A.2", 'CASE DATA'!E79="708.2(4)", 'CASE DATA'!E79="708.2(5)", 'CASE DATA'!E79="708.2A(4)", 'CASE DATA'!E79="708.2A(5)", 'CASE DATA'!E79="708.2C(2)", 'CASE DATA'!E79="708.2C(4)", 'CASE DATA'!E79="708.3(1)", 'CASE DATA'!E79="708.3(2)", 'CASE DATA'!E79="708.3A(1)", 'CASE DATA'!E79="708.3A(2)", 'CASE DATA'!E79="708.3B", 'CASE DATA'!E79="708.4(1)", 'CASE DATA'!E79="708.4(2)", 'CASE DATA'!E79="708.5", 'CASE DATA'!E79="708.8", 'CASE DATA'!E79="708.11(3)(a)", 'CASE DATA'!E79="708.11(3)(b)", 'CASE DATA'!E79="708.12(3)(f)", 'CASE DATA'!E79="708.13(3)", 'CASE DATA'!E79="708.14", 'CASE DATA'!E79="708A.2", 'CASE DATA'!E79="708A.4(1)", 'CASE DATA'!E79="708A.4(2)", 'CASE DATA'!E79="708A.5", 'CASE DATA'!E79="708A.6(1)", 'CASE DATA'!E79="708.A.6(2)", 'CASE DATA'!E79="709.2", 'CASE DATA'!E79="709.3", 'CASE DATA'!E79="709.4", 'CASE DATA'!E79="709.8(1)(a)", 'CASE DATA'!E79="709.8(1)(b)", 'CASE DATA'!E79="709.8(1)(c)", 'CASE DATA'!E79="709.8(1)(d)", 'CASE DATA'!E79="709.8(1)(e)", 'CASE DATA'!E79="709.11(1)", 'CASE DATA'!E79="709.11(2)", 'CASE DATA'!E79="709.15(2)(a)(1)", 'CASE DATA'!E79="709.15(3)(a)(1)", 'CASE DATA'!E79="709.18", 'CASE DATA'!E79="709A.6(2)", 'CASE DATA'!E79="709D.3(1)", 'CASE DATA'!E79="709D.3(2)", 'CASE DATA'!E79="709.D.3(3)", 'CASE DATA'!E79="710.2", 'CASE DATA'!E79="710.3", 'CASE DATA'!E79="710.4", 'CASE DATA'!E79="710.5", 'CASE DATA'!E79="710.10(1)", 'CASE DATA'!E79="710.10(2)", 'CASE DATA'!E79="710.10(3)", 'CASE DATA'!E79="710.11", 'CASE DATA'!E79="710A.2(1)", 'CASE DATA'!E79="710A.2(2)", 'CASE DATA'!E79="710A.2(3)", 'CASE DATA'!E79="710A.2(4)", 'CASE DATA'!E79="710A.2(5)", 'CASE DATA'!E79="710A.2(6)", 'CASE DATA'!E79="710A.2(7)", 'CASE DATA'!E79="710A.2A", 'CASE DATA'!E79="711.2", 'CASE DATA'!E79="711.3", 'CASE DATA'!E79="711.4", 'CASE DATA'!E79="712.2", 'CASE DATA'!E79="712.3", 'CASE DATA'!E79="712.6(1)", 'CASE DATA'!E79="712.7", 'CASE DATA'!E79="712.8", 'CASE DATA'!E79="", 'CASE DATA'!E79="713.3", 'CASE DATA'!E79="713.4", 'CASE DATA'!E79="713.5", 'CASE DATA'!E79="713.6", 'CASE DATA'!E79="713.6A(1)", 'CASE DATA'!E79="714.2(1)", 'CASE DATA'!E79="714.2(2)", 'CASE DATA'!E79="714.3A(2)(b)", 'CASE DATA'!E79="714.9", 'CASE DATA'!E79="714.10", 'CASE DATA'!E79="714.26(2)(a)", 'CASE DATA'!E79="714.26(2)(b)", 'CASE DATA'!E79="715A.2(2)(a)", 'CASE DATA'!E79="715A.6(2)(a)", 'CASE DATA'!E79="715A.6(2)(b)", 'CASE DATA'!E79="715A.8(3)(a)", 'CASE DATA'!E79="715A.8(3)(b)", 'CASE DATA'!E79="715A.10(1)", 'CASE DATA'!E79="715A.10(2)", 'CASE DATA'!E79="716.3", 'CASE DATA'!E79="716.4", 'CASE DATA'!E79="716.8(6)", 'CASE DATA'!E79="716.10(2)(a)", 'CASE DATA'!E79="716.10(2)(b)", 'CASE DATA'!E79="716.10(2)(c)", 'CASE DATA'!E79="716.10(2)(d)", 'CASE DATA'!E79="716.12", 'CASE DATA'!E79="719.1(1)(f)", 'CASE DATA'!E79="719.1(2)(e)", 'CASE DATA'!E79="719.1(2)(f)", 'CASE DATA'!E79="719.1(2)(g)", 'CASE DATA'!E79="719.4(1)", 'CASE DATA'!E79="719.4(4)", 'CASE DATA'!E79="719.5(1)", 'CASE DATA'!E79="719.5(2)", 'CASE DATA'!E79="719.6(1)", 'CASE DATA'!E79="719.6(2)", 'CASE DATA'!E79="719.7(4)(a)", 'CASE DATA'!E79="719.7(4)(b)", 'CASE DATA'!E79="719.7A(3)", 'CASE DATA'!E79="719.9", 'CASE DATA'!E79="719.8", 'CASE DATA'!E79="720.2", 'CASE DATA'!E79="720.3", 'CASE DATA'!E79="721.1", 'CASE DATA'!E79="722.1", 'CASE DATA'!E79="", 'CASE DATA'!E79="722.2", 'CASE DATA'!E79="722.10", 'CASE DATA'!E79="723(5)(3)(c)", 'CASE DATA'!E79="723A.2", 'CASE DATA'!E79="723A.3(1)", 'CASE DATA'!E79="723A.3(2)", 'CASE DATA'!E79="724.1B", 'CASE DATA'!E79="724.1C", 'CASE DATA'!E79="724.3", 'CASE DATA'!E79="724.4B", 'CASE DATA'!E79="724.10", 'CASE DATA'!E79="724.16(2)", 'CASE DATA'!E79="724.16A(1)(a)", 'CASE DATA'!E79="724.16A(1)(b)", 'CASE DATA'!E79="724.17", 'CASE DATA'!E79="724.21", 'CASE DATA'!E79="724.26(1)", 'CASE DATA'!E79="922(g)(8)", 'CASE DATA'!E79="724.29A(2)", 'CASE DATA'!E79="724.29A(3)", 'CASE DATA'!E79="724.30(1)", 'CASE DATA'!E79="724.30(2)", 'CASE DATA'!E79="725.1(2)(b)", 'CASE DATA'!E79="725.2(1)", 'CASE DATA'!E79="725.2(2)", 'CASE DATA'!E79="725.3(2)", 'CASE DATA'!E79="725.3(1)", 'CASE DATA'!E79="725.7(2)(a)(3)", 'CASE DATA'!E79="725.7(2)(a)(4)", 'CASE DATA'!E79="725.7(2)(b)(2)", 'CASE DATA'!E79="725.7(2)(b(3)", 'CASE DATA'!E79="726.7(2)(c)(1)", 'CASE DATA'!E79="726.7(2)(c)(2)", 'CASE DATA'!E79="725.7(2)(d)", 'CASE DATA'!E79="726.2", 'CASE DATA'!E79="726.3", 'CASE DATA'!E79="726.5", 'CASE DATA'!E79="726.6(4)", 'CASE DATA'!E79="726.6(5)", 'CASE DATA'!E79="726.6(6)", 'CASE DATA'!E79="726.6A", 'CASE DATA'!E79="726.7(2)", 'CASE DATA'!E79="726.8(2)", 'CASE DATA'!E79="728.12(1)", 'CASE DATA'!E79="728.12(2)"),"felony","eligible"),"N/A")</f>
        <v>N/A</v>
      </c>
      <c r="M78" s="185" t="str">
        <f>IF(L78="eligible",IF(OR('CASE DATA'!E79="123.46",'CASE DATA'!E79="123.47",'CASE DATA'!E79="235B.20",'CASE DATA'!E79="321.218",'CASE DATA'!E79="321A.32",'CASE DATA'!E79="321J.21",'CASE DATA'!E79="321J.2",'CASE DATA'!E79="707.5",'CASE DATA'!E79="708.2(3)",'CASE DATA'!E79="708.2A",'CASE DATA'!E79="708.7",'CASE DATA'!E79="708.11",'CASE DATA'!E79="708.12",'CASE DATA'!E79="716.8(3)",'CASE DATA'!E79="716.8(4)", LEFT('CASE DATA'!E79,4)="717C", LEFT('CASE DATA'!E79, 3)="719", LEFT('CASE DATA'!E79,3)="720", 'CASE DATA'!E79="721.2", 'CASE DATA'!E79="721.10", 'CASE DATA'!E79="723.1", LEFT('CASE DATA'!E79,3)="724", LEFT('CASE DATA'!E79,3)="726", LEFT('CASE DATA'!E79,3)="728", LEFT('CASE DATA'!E79,4)="901A"),"ineligible misd", "eligible"),"N/A")</f>
        <v>N/A</v>
      </c>
      <c r="N78" s="185" t="str">
        <f>IF(L78="eligible",IF(COUNTIF('CASE DATA'!$C$4:$C$200, "")-COUNTIF('CASE DATA'!$A$4:$A$200, "")&gt;0, "YES","NO"),"N/A")</f>
        <v>N/A</v>
      </c>
      <c r="O78" s="185" t="str">
        <f xml:space="preserve"> IF(M78="eligible",'CASE DATA'!K79,"N/A")</f>
        <v>N/A</v>
      </c>
      <c r="P78" s="185" t="str">
        <f xml:space="preserve"> IF(M78="eligible",'CASE DATA'!I79+'CASE DATA'!J79+'CASE DATA'!L79+'CASE DATA'!M79+'CASE DATA'!N79+'CASE DATA'!O79+'CASE DATA'!M79+'CASE DATA'!Q79+'CASE DATA'!R79,"N/A")</f>
        <v>N/A</v>
      </c>
      <c r="Q78" s="11" t="str">
        <f>IF(M78="eligible",IF(C78+730.5&lt;'BASIC INFO'!$B$3, "YES", "NO"),"N/A")</f>
        <v>N/A</v>
      </c>
      <c r="R78" s="186" t="str">
        <f xml:space="preserve"> IF(OR('CASE DATA'!F79="DEF"), "YES", "NO")</f>
        <v>NO</v>
      </c>
      <c r="S78" s="162" t="str">
        <f>IF(R78="YES",'CASE DATA'!H79,"N/A")</f>
        <v>N/A</v>
      </c>
      <c r="T78" s="185" t="str">
        <f xml:space="preserve"> IF(R78="YES",'CASE DATA'!K79,"N/A")</f>
        <v>N/A</v>
      </c>
      <c r="U78" s="185" t="str">
        <f>IF(R78="YES",'CASE DATA'!I79+'CASE DATA'!J79+'CASE DATA'!L79+'CASE DATA'!M79+'CASE DATA'!N79+'CASE DATA'!O79+'CASE DATA'!P79+'CASE DATA'!Q79+'CASE DATA'!R79,"N/A")</f>
        <v>N/A</v>
      </c>
      <c r="V78" s="189" t="str">
        <f>IF(OR('CASE DATA'!E79="123.46",'CASE DATA'!E79="123.47"),"YES","NO")</f>
        <v>NO</v>
      </c>
      <c r="W78" s="189"/>
      <c r="X78" s="185" t="str">
        <f>IF(V78="YES",IF(C78+730.5&lt;'BASIC INFO'!$B$3, "YES","NO"), "N/A")</f>
        <v>N/A</v>
      </c>
      <c r="Y78" s="189" t="str">
        <f t="shared" si="1"/>
        <v>NO</v>
      </c>
      <c r="Z78" s="187" t="str">
        <f xml:space="preserve"> IF('BASIC INFO'!$B$6+6574.5&gt;C78, "YES", "NO")</f>
        <v>YES</v>
      </c>
    </row>
    <row r="79" spans="1:26" x14ac:dyDescent="0.25">
      <c r="A79" s="162">
        <f xml:space="preserve"> 'CASE DATA'!A80</f>
        <v>0</v>
      </c>
      <c r="B79" s="162">
        <f xml:space="preserve"> 'CASE DATA'!E80</f>
        <v>0</v>
      </c>
      <c r="C79" s="163">
        <f xml:space="preserve"> 'CASE DATA'!C80</f>
        <v>0</v>
      </c>
      <c r="D79" s="11" t="str">
        <f xml:space="preserve"> IF(OR('CASE DATA'!F80="JUV", 'CASE DATA'!F80="JWV"), "YES", "NO")</f>
        <v>NO</v>
      </c>
      <c r="E79" s="11"/>
      <c r="F79" s="11" t="str">
        <f>IF(D79="YES",IF(COUNTIF('CASE DATA'!$C$4:$C$200, "")-COUNTIF('CASE DATA'!$A$4:$A$200, "")&gt;0, "YES","NO"),"N/A")</f>
        <v>N/A</v>
      </c>
      <c r="G79" s="164" t="str">
        <f xml:space="preserve"> _xlfn.IFS(D79="NO", "N/A", AND('BASIC INFO'!$B$3&gt;'BASIC INFO'!$B$6+6574.5, C79+730.5&lt;'BASIC INFO'!$B$3), "YES", 'BASIC INFO'!$B$3&lt;('BASIC INFO'!$B$6+6574.5), "NOT YET 18", C79+730.5&gt;'BASIC INFO'!$B$3, "NOT YET 2 YEARS")</f>
        <v>N/A</v>
      </c>
      <c r="H79" s="186" t="str">
        <f xml:space="preserve"> IF(LEFT('CASE DATA'!E80,4)&lt;&gt;"321.",IF(OR('CASE DATA'!F80="DISM", 'CASE DATA'!F80="ACQ", 'CASE DATA'!F80="NOTF", 'CASE DATA'!F80="WTHD", 'CASE DATA'!F80="TNSF"), "YES", "NO"), "TRAFFIC")</f>
        <v>NO</v>
      </c>
      <c r="I79" s="185" t="str">
        <f xml:space="preserve"> IF(H79="YES",'CASE DATA'!K80,"N/A")</f>
        <v>N/A</v>
      </c>
      <c r="J79" s="185" t="str">
        <f>IF(H79="YES",'CASE DATA'!I80+'CASE DATA'!J80+'CASE DATA'!L80+'CASE DATA'!M80+'CASE DATA'!N80+'CASE DATA'!O80+'CASE DATA'!P80+'CASE DATA'!Q80+'CASE DATA'!R80,"N/A")</f>
        <v>N/A</v>
      </c>
      <c r="K79" s="162" t="str">
        <f xml:space="preserve"> IF(H79="YES",IF(C79+180&lt;'BASIC INFO'!$B$3, "YES", "NO"),"N/A")</f>
        <v>N/A</v>
      </c>
      <c r="L79" s="185" t="str">
        <f>IF(OR('CASE DATA'!F80="GTR", 'CASE DATA'!F80="GPL"),IF(OR('CASE DATA'!E80="81.6(2)", 'CASE DATA'!E80="99F.15(6)(b)(1)", 'CASE DATA'!E80= "124.401(1)(a)", 'CASE DATA'!E80= "124.401(1)(b)", 'CASE DATA'!E80= "124.401(1)(c)", 'CASE DATA'!E80= "124.401(1)(d)", 'CASE DATA'!E80="124.401(4)", 'CASE DATA'!E80="124.401(1)(b)", 'CASE DATA'!E80="124.401(1)(c)", 'CASE DATA'!E80="124.401D(2)(b)", 'CASE DATA'!E80="124.401D(2)(c)", 'CASE DATA'!E80="124.406(1)(a)", 'CASE DATA'!E80="124.406(1)(b) ", 'CASE DATA'!E80="124.406(2)(a)", 'CASE DATA'!E80="124.406(2)(b) ", 'CASE DATA'!E80="124.406(3)", 'CASE DATA'!E80="124.406A ", 'CASE DATA'!E80="124.407(2)(a)", 'CASE DATA'!E80="124B.9(1)", 'CASE DATA'!E80="124B.9(2)", 'CASE DATA'!E80="321J.2(2)(c)", 'CASE DATA'!E80="453B.12(2)", 'CASE DATA'!E80="453B.12(3)", 'CASE DATA'!E80="453B.12(4)", 'CASE DATA'!E80="462A.14(2)(c)", 'CASE DATA'!E80="462A.14(2)(d)", 'CASE DATA'!E80="462A.14(2)(e)", 'CASE DATA'!E80="705.1(2)", 'CASE DATA'!E80="706.3(1)", 'CASE DATA'!E80="706.3(2)", 'CASE DATA'!E80="706A.2(1)", 'CASE DATA'!E80="706A.2(2)", 'CASE DATA'!E80="706A.2(4)", 'CASE DATA'!E80="706B.2(1)(a)", 'CASE DATA'!E80="706B.2(1)(b)", 'CASE DATA'!E80="706B.2(1)(c)", 'CASE DATA'!E80="706B.2(1)(d)", 'CASE DATA'!E80="707.2", 'CASE DATA'!E80="707.3", 'CASE DATA'!E80="707.3A", 'CASE DATA'!E80="707.4", 'CASE DATA'!E80="707.5(1)(a)", 'CASE DATA'!E80="707.6A(1)", 'CASE DATA'!E80="707.6A(2)", 'CASE DATA'!E80="707.6A(3)", 'CASE DATA'!E80="707.6A(4)", 'CASE DATA'!E80="707.7(1)", 'CASE DATA'!E80="707.7(3)", 'CASE DATA'!E80="707.7(2)", 'CASE DATA'!E80="707.8(1)", 'CASE DATA'!E80="707.8(2)", 'CASE DATA'!E80="707.8(3)", 'CASE DATA'!E80="707.8(4)", 'CASE DATA'!E80="707.8(5)", 'CASE DATA'!E80="707.8(6)", 'CASE DATA'!E80="707.9", 'CASE DATA'!E80="707.11", 'CASE DATA'!E80="707A.2", 'CASE DATA'!E80="708.2(4)", 'CASE DATA'!E80="708.2(5)", 'CASE DATA'!E80="708.2A(4)", 'CASE DATA'!E80="708.2A(5)", 'CASE DATA'!E80="708.2C(2)", 'CASE DATA'!E80="708.2C(4)", 'CASE DATA'!E80="708.3(1)", 'CASE DATA'!E80="708.3(2)", 'CASE DATA'!E80="708.3A(1)", 'CASE DATA'!E80="708.3A(2)", 'CASE DATA'!E80="708.3B", 'CASE DATA'!E80="708.4(1)", 'CASE DATA'!E80="708.4(2)", 'CASE DATA'!E80="708.5", 'CASE DATA'!E80="708.8", 'CASE DATA'!E80="708.11(3)(a)", 'CASE DATA'!E80="708.11(3)(b)", 'CASE DATA'!E80="708.12(3)(f)", 'CASE DATA'!E80="708.13(3)", 'CASE DATA'!E80="708.14", 'CASE DATA'!E80="708A.2", 'CASE DATA'!E80="708A.4(1)", 'CASE DATA'!E80="708A.4(2)", 'CASE DATA'!E80="708A.5", 'CASE DATA'!E80="708A.6(1)", 'CASE DATA'!E80="708.A.6(2)", 'CASE DATA'!E80="709.2", 'CASE DATA'!E80="709.3", 'CASE DATA'!E80="709.4", 'CASE DATA'!E80="709.8(1)(a)", 'CASE DATA'!E80="709.8(1)(b)", 'CASE DATA'!E80="709.8(1)(c)", 'CASE DATA'!E80="709.8(1)(d)", 'CASE DATA'!E80="709.8(1)(e)", 'CASE DATA'!E80="709.11(1)", 'CASE DATA'!E80="709.11(2)", 'CASE DATA'!E80="709.15(2)(a)(1)", 'CASE DATA'!E80="709.15(3)(a)(1)", 'CASE DATA'!E80="709.18", 'CASE DATA'!E80="709A.6(2)", 'CASE DATA'!E80="709D.3(1)", 'CASE DATA'!E80="709D.3(2)", 'CASE DATA'!E80="709.D.3(3)", 'CASE DATA'!E80="710.2", 'CASE DATA'!E80="710.3", 'CASE DATA'!E80="710.4", 'CASE DATA'!E80="710.5", 'CASE DATA'!E80="710.10(1)", 'CASE DATA'!E80="710.10(2)", 'CASE DATA'!E80="710.10(3)", 'CASE DATA'!E80="710.11", 'CASE DATA'!E80="710A.2(1)", 'CASE DATA'!E80="710A.2(2)", 'CASE DATA'!E80="710A.2(3)", 'CASE DATA'!E80="710A.2(4)", 'CASE DATA'!E80="710A.2(5)", 'CASE DATA'!E80="710A.2(6)", 'CASE DATA'!E80="710A.2(7)", 'CASE DATA'!E80="710A.2A", 'CASE DATA'!E80="711.2", 'CASE DATA'!E80="711.3", 'CASE DATA'!E80="711.4", 'CASE DATA'!E80="712.2", 'CASE DATA'!E80="712.3", 'CASE DATA'!E80="712.6(1)", 'CASE DATA'!E80="712.7", 'CASE DATA'!E80="712.8", 'CASE DATA'!E80="", 'CASE DATA'!E80="713.3", 'CASE DATA'!E80="713.4", 'CASE DATA'!E80="713.5", 'CASE DATA'!E80="713.6", 'CASE DATA'!E80="713.6A(1)", 'CASE DATA'!E80="714.2(1)", 'CASE DATA'!E80="714.2(2)", 'CASE DATA'!E80="714.3A(2)(b)", 'CASE DATA'!E80="714.9", 'CASE DATA'!E80="714.10", 'CASE DATA'!E80="714.26(2)(a)", 'CASE DATA'!E80="714.26(2)(b)", 'CASE DATA'!E80="715A.2(2)(a)", 'CASE DATA'!E80="715A.6(2)(a)", 'CASE DATA'!E80="715A.6(2)(b)", 'CASE DATA'!E80="715A.8(3)(a)", 'CASE DATA'!E80="715A.8(3)(b)", 'CASE DATA'!E80="715A.10(1)", 'CASE DATA'!E80="715A.10(2)", 'CASE DATA'!E80="716.3", 'CASE DATA'!E80="716.4", 'CASE DATA'!E80="716.8(6)", 'CASE DATA'!E80="716.10(2)(a)", 'CASE DATA'!E80="716.10(2)(b)", 'CASE DATA'!E80="716.10(2)(c)", 'CASE DATA'!E80="716.10(2)(d)", 'CASE DATA'!E80="716.12", 'CASE DATA'!E80="719.1(1)(f)", 'CASE DATA'!E80="719.1(2)(e)", 'CASE DATA'!E80="719.1(2)(f)", 'CASE DATA'!E80="719.1(2)(g)", 'CASE DATA'!E80="719.4(1)", 'CASE DATA'!E80="719.4(4)", 'CASE DATA'!E80="719.5(1)", 'CASE DATA'!E80="719.5(2)", 'CASE DATA'!E80="719.6(1)", 'CASE DATA'!E80="719.6(2)", 'CASE DATA'!E80="719.7(4)(a)", 'CASE DATA'!E80="719.7(4)(b)", 'CASE DATA'!E80="719.7A(3)", 'CASE DATA'!E80="719.9", 'CASE DATA'!E80="719.8", 'CASE DATA'!E80="720.2", 'CASE DATA'!E80="720.3", 'CASE DATA'!E80="721.1", 'CASE DATA'!E80="722.1", 'CASE DATA'!E80="", 'CASE DATA'!E80="722.2", 'CASE DATA'!E80="722.10", 'CASE DATA'!E80="723(5)(3)(c)", 'CASE DATA'!E80="723A.2", 'CASE DATA'!E80="723A.3(1)", 'CASE DATA'!E80="723A.3(2)", 'CASE DATA'!E80="724.1B", 'CASE DATA'!E80="724.1C", 'CASE DATA'!E80="724.3", 'CASE DATA'!E80="724.4B", 'CASE DATA'!E80="724.10", 'CASE DATA'!E80="724.16(2)", 'CASE DATA'!E80="724.16A(1)(a)", 'CASE DATA'!E80="724.16A(1)(b)", 'CASE DATA'!E80="724.17", 'CASE DATA'!E80="724.21", 'CASE DATA'!E80="724.26(1)", 'CASE DATA'!E80="922(g)(8)", 'CASE DATA'!E80="724.29A(2)", 'CASE DATA'!E80="724.29A(3)", 'CASE DATA'!E80="724.30(1)", 'CASE DATA'!E80="724.30(2)", 'CASE DATA'!E80="725.1(2)(b)", 'CASE DATA'!E80="725.2(1)", 'CASE DATA'!E80="725.2(2)", 'CASE DATA'!E80="725.3(2)", 'CASE DATA'!E80="725.3(1)", 'CASE DATA'!E80="725.7(2)(a)(3)", 'CASE DATA'!E80="725.7(2)(a)(4)", 'CASE DATA'!E80="725.7(2)(b)(2)", 'CASE DATA'!E80="725.7(2)(b(3)", 'CASE DATA'!E80="726.7(2)(c)(1)", 'CASE DATA'!E80="726.7(2)(c)(2)", 'CASE DATA'!E80="725.7(2)(d)", 'CASE DATA'!E80="726.2", 'CASE DATA'!E80="726.3", 'CASE DATA'!E80="726.5", 'CASE DATA'!E80="726.6(4)", 'CASE DATA'!E80="726.6(5)", 'CASE DATA'!E80="726.6(6)", 'CASE DATA'!E80="726.6A", 'CASE DATA'!E80="726.7(2)", 'CASE DATA'!E80="726.8(2)", 'CASE DATA'!E80="728.12(1)", 'CASE DATA'!E80="728.12(2)"),"felony","eligible"),"N/A")</f>
        <v>N/A</v>
      </c>
      <c r="M79" s="185" t="str">
        <f>IF(L79="eligible",IF(OR('CASE DATA'!E80="123.46",'CASE DATA'!E80="123.47",'CASE DATA'!E80="235B.20",'CASE DATA'!E80="321.218",'CASE DATA'!E80="321A.32",'CASE DATA'!E80="321J.21",'CASE DATA'!E80="321J.2",'CASE DATA'!E80="707.5",'CASE DATA'!E80="708.2(3)",'CASE DATA'!E80="708.2A",'CASE DATA'!E80="708.7",'CASE DATA'!E80="708.11",'CASE DATA'!E80="708.12",'CASE DATA'!E80="716.8(3)",'CASE DATA'!E80="716.8(4)", LEFT('CASE DATA'!E80,4)="717C", LEFT('CASE DATA'!E80, 3)="719", LEFT('CASE DATA'!E80,3)="720", 'CASE DATA'!E80="721.2", 'CASE DATA'!E80="721.10", 'CASE DATA'!E80="723.1", LEFT('CASE DATA'!E80,3)="724", LEFT('CASE DATA'!E80,3)="726", LEFT('CASE DATA'!E80,3)="728", LEFT('CASE DATA'!E80,4)="901A"),"ineligible misd", "eligible"),"N/A")</f>
        <v>N/A</v>
      </c>
      <c r="N79" s="185" t="str">
        <f>IF(L79="eligible",IF(COUNTIF('CASE DATA'!$C$4:$C$200, "")-COUNTIF('CASE DATA'!$A$4:$A$200, "")&gt;0, "YES","NO"),"N/A")</f>
        <v>N/A</v>
      </c>
      <c r="O79" s="185" t="str">
        <f xml:space="preserve"> IF(M79="eligible",'CASE DATA'!K80,"N/A")</f>
        <v>N/A</v>
      </c>
      <c r="P79" s="185" t="str">
        <f xml:space="preserve"> IF(M79="eligible",'CASE DATA'!I80+'CASE DATA'!J80+'CASE DATA'!L80+'CASE DATA'!M80+'CASE DATA'!N80+'CASE DATA'!O80+'CASE DATA'!M80+'CASE DATA'!Q80+'CASE DATA'!R80,"N/A")</f>
        <v>N/A</v>
      </c>
      <c r="Q79" s="11" t="str">
        <f>IF(M79="eligible",IF(C79+730.5&lt;'BASIC INFO'!$B$3, "YES", "NO"),"N/A")</f>
        <v>N/A</v>
      </c>
      <c r="R79" s="186" t="str">
        <f xml:space="preserve"> IF(OR('CASE DATA'!F80="DEF"), "YES", "NO")</f>
        <v>NO</v>
      </c>
      <c r="S79" s="162" t="str">
        <f>IF(R79="YES",'CASE DATA'!H80,"N/A")</f>
        <v>N/A</v>
      </c>
      <c r="T79" s="185" t="str">
        <f xml:space="preserve"> IF(R79="YES",'CASE DATA'!K80,"N/A")</f>
        <v>N/A</v>
      </c>
      <c r="U79" s="185" t="str">
        <f>IF(R79="YES",'CASE DATA'!I80+'CASE DATA'!J80+'CASE DATA'!L80+'CASE DATA'!M80+'CASE DATA'!N80+'CASE DATA'!O80+'CASE DATA'!P80+'CASE DATA'!Q80+'CASE DATA'!R80,"N/A")</f>
        <v>N/A</v>
      </c>
      <c r="V79" s="189" t="str">
        <f>IF(OR('CASE DATA'!E80="123.46",'CASE DATA'!E80="123.47"),"YES","NO")</f>
        <v>NO</v>
      </c>
      <c r="W79" s="189"/>
      <c r="X79" s="185" t="str">
        <f>IF(V79="YES",IF(C79+730.5&lt;'BASIC INFO'!$B$3, "YES","NO"), "N/A")</f>
        <v>N/A</v>
      </c>
      <c r="Y79" s="189" t="str">
        <f t="shared" si="1"/>
        <v>NO</v>
      </c>
      <c r="Z79" s="187" t="str">
        <f xml:space="preserve"> IF('BASIC INFO'!$B$6+6574.5&gt;C79, "YES", "NO")</f>
        <v>YES</v>
      </c>
    </row>
    <row r="80" spans="1:26" x14ac:dyDescent="0.25">
      <c r="A80" s="162">
        <f xml:space="preserve"> 'CASE DATA'!A81</f>
        <v>0</v>
      </c>
      <c r="B80" s="162">
        <f xml:space="preserve"> 'CASE DATA'!E81</f>
        <v>0</v>
      </c>
      <c r="C80" s="163">
        <f xml:space="preserve"> 'CASE DATA'!C81</f>
        <v>0</v>
      </c>
      <c r="D80" s="11" t="str">
        <f xml:space="preserve"> IF(OR('CASE DATA'!F81="JUV", 'CASE DATA'!F81="JWV"), "YES", "NO")</f>
        <v>NO</v>
      </c>
      <c r="E80" s="11"/>
      <c r="F80" s="11" t="str">
        <f>IF(D80="YES",IF(COUNTIF('CASE DATA'!$C$4:$C$200, "")-COUNTIF('CASE DATA'!$A$4:$A$200, "")&gt;0, "YES","NO"),"N/A")</f>
        <v>N/A</v>
      </c>
      <c r="G80" s="164" t="str">
        <f xml:space="preserve"> _xlfn.IFS(D80="NO", "N/A", AND('BASIC INFO'!$B$3&gt;'BASIC INFO'!$B$6+6574.5, C80+730.5&lt;'BASIC INFO'!$B$3), "YES", 'BASIC INFO'!$B$3&lt;('BASIC INFO'!$B$6+6574.5), "NOT YET 18", C80+730.5&gt;'BASIC INFO'!$B$3, "NOT YET 2 YEARS")</f>
        <v>N/A</v>
      </c>
      <c r="H80" s="186" t="str">
        <f xml:space="preserve"> IF(LEFT('CASE DATA'!E81,4)&lt;&gt;"321.",IF(OR('CASE DATA'!F81="DISM", 'CASE DATA'!F81="ACQ", 'CASE DATA'!F81="NOTF", 'CASE DATA'!F81="WTHD", 'CASE DATA'!F81="TNSF"), "YES", "NO"), "TRAFFIC")</f>
        <v>NO</v>
      </c>
      <c r="I80" s="185" t="str">
        <f xml:space="preserve"> IF(H80="YES",'CASE DATA'!K81,"N/A")</f>
        <v>N/A</v>
      </c>
      <c r="J80" s="185" t="str">
        <f>IF(H80="YES",'CASE DATA'!I81+'CASE DATA'!J81+'CASE DATA'!L81+'CASE DATA'!M81+'CASE DATA'!N81+'CASE DATA'!O81+'CASE DATA'!P81+'CASE DATA'!Q81+'CASE DATA'!R81,"N/A")</f>
        <v>N/A</v>
      </c>
      <c r="K80" s="162" t="str">
        <f xml:space="preserve"> IF(H80="YES",IF(C80+180&lt;'BASIC INFO'!$B$3, "YES", "NO"),"N/A")</f>
        <v>N/A</v>
      </c>
      <c r="L80" s="185" t="str">
        <f>IF(OR('CASE DATA'!F81="GTR", 'CASE DATA'!F81="GPL"),IF(OR('CASE DATA'!E81="81.6(2)", 'CASE DATA'!E81="99F.15(6)(b)(1)", 'CASE DATA'!E81= "124.401(1)(a)", 'CASE DATA'!E81= "124.401(1)(b)", 'CASE DATA'!E81= "124.401(1)(c)", 'CASE DATA'!E81= "124.401(1)(d)", 'CASE DATA'!E81="124.401(4)", 'CASE DATA'!E81="124.401(1)(b)", 'CASE DATA'!E81="124.401(1)(c)", 'CASE DATA'!E81="124.401D(2)(b)", 'CASE DATA'!E81="124.401D(2)(c)", 'CASE DATA'!E81="124.406(1)(a)", 'CASE DATA'!E81="124.406(1)(b) ", 'CASE DATA'!E81="124.406(2)(a)", 'CASE DATA'!E81="124.406(2)(b) ", 'CASE DATA'!E81="124.406(3)", 'CASE DATA'!E81="124.406A ", 'CASE DATA'!E81="124.407(2)(a)", 'CASE DATA'!E81="124B.9(1)", 'CASE DATA'!E81="124B.9(2)", 'CASE DATA'!E81="321J.2(2)(c)", 'CASE DATA'!E81="453B.12(2)", 'CASE DATA'!E81="453B.12(3)", 'CASE DATA'!E81="453B.12(4)", 'CASE DATA'!E81="462A.14(2)(c)", 'CASE DATA'!E81="462A.14(2)(d)", 'CASE DATA'!E81="462A.14(2)(e)", 'CASE DATA'!E81="705.1(2)", 'CASE DATA'!E81="706.3(1)", 'CASE DATA'!E81="706.3(2)", 'CASE DATA'!E81="706A.2(1)", 'CASE DATA'!E81="706A.2(2)", 'CASE DATA'!E81="706A.2(4)", 'CASE DATA'!E81="706B.2(1)(a)", 'CASE DATA'!E81="706B.2(1)(b)", 'CASE DATA'!E81="706B.2(1)(c)", 'CASE DATA'!E81="706B.2(1)(d)", 'CASE DATA'!E81="707.2", 'CASE DATA'!E81="707.3", 'CASE DATA'!E81="707.3A", 'CASE DATA'!E81="707.4", 'CASE DATA'!E81="707.5(1)(a)", 'CASE DATA'!E81="707.6A(1)", 'CASE DATA'!E81="707.6A(2)", 'CASE DATA'!E81="707.6A(3)", 'CASE DATA'!E81="707.6A(4)", 'CASE DATA'!E81="707.7(1)", 'CASE DATA'!E81="707.7(3)", 'CASE DATA'!E81="707.7(2)", 'CASE DATA'!E81="707.8(1)", 'CASE DATA'!E81="707.8(2)", 'CASE DATA'!E81="707.8(3)", 'CASE DATA'!E81="707.8(4)", 'CASE DATA'!E81="707.8(5)", 'CASE DATA'!E81="707.8(6)", 'CASE DATA'!E81="707.9", 'CASE DATA'!E81="707.11", 'CASE DATA'!E81="707A.2", 'CASE DATA'!E81="708.2(4)", 'CASE DATA'!E81="708.2(5)", 'CASE DATA'!E81="708.2A(4)", 'CASE DATA'!E81="708.2A(5)", 'CASE DATA'!E81="708.2C(2)", 'CASE DATA'!E81="708.2C(4)", 'CASE DATA'!E81="708.3(1)", 'CASE DATA'!E81="708.3(2)", 'CASE DATA'!E81="708.3A(1)", 'CASE DATA'!E81="708.3A(2)", 'CASE DATA'!E81="708.3B", 'CASE DATA'!E81="708.4(1)", 'CASE DATA'!E81="708.4(2)", 'CASE DATA'!E81="708.5", 'CASE DATA'!E81="708.8", 'CASE DATA'!E81="708.11(3)(a)", 'CASE DATA'!E81="708.11(3)(b)", 'CASE DATA'!E81="708.12(3)(f)", 'CASE DATA'!E81="708.13(3)", 'CASE DATA'!E81="708.14", 'CASE DATA'!E81="708A.2", 'CASE DATA'!E81="708A.4(1)", 'CASE DATA'!E81="708A.4(2)", 'CASE DATA'!E81="708A.5", 'CASE DATA'!E81="708A.6(1)", 'CASE DATA'!E81="708.A.6(2)", 'CASE DATA'!E81="709.2", 'CASE DATA'!E81="709.3", 'CASE DATA'!E81="709.4", 'CASE DATA'!E81="709.8(1)(a)", 'CASE DATA'!E81="709.8(1)(b)", 'CASE DATA'!E81="709.8(1)(c)", 'CASE DATA'!E81="709.8(1)(d)", 'CASE DATA'!E81="709.8(1)(e)", 'CASE DATA'!E81="709.11(1)", 'CASE DATA'!E81="709.11(2)", 'CASE DATA'!E81="709.15(2)(a)(1)", 'CASE DATA'!E81="709.15(3)(a)(1)", 'CASE DATA'!E81="709.18", 'CASE DATA'!E81="709A.6(2)", 'CASE DATA'!E81="709D.3(1)", 'CASE DATA'!E81="709D.3(2)", 'CASE DATA'!E81="709.D.3(3)", 'CASE DATA'!E81="710.2", 'CASE DATA'!E81="710.3", 'CASE DATA'!E81="710.4", 'CASE DATA'!E81="710.5", 'CASE DATA'!E81="710.10(1)", 'CASE DATA'!E81="710.10(2)", 'CASE DATA'!E81="710.10(3)", 'CASE DATA'!E81="710.11", 'CASE DATA'!E81="710A.2(1)", 'CASE DATA'!E81="710A.2(2)", 'CASE DATA'!E81="710A.2(3)", 'CASE DATA'!E81="710A.2(4)", 'CASE DATA'!E81="710A.2(5)", 'CASE DATA'!E81="710A.2(6)", 'CASE DATA'!E81="710A.2(7)", 'CASE DATA'!E81="710A.2A", 'CASE DATA'!E81="711.2", 'CASE DATA'!E81="711.3", 'CASE DATA'!E81="711.4", 'CASE DATA'!E81="712.2", 'CASE DATA'!E81="712.3", 'CASE DATA'!E81="712.6(1)", 'CASE DATA'!E81="712.7", 'CASE DATA'!E81="712.8", 'CASE DATA'!E81="", 'CASE DATA'!E81="713.3", 'CASE DATA'!E81="713.4", 'CASE DATA'!E81="713.5", 'CASE DATA'!E81="713.6", 'CASE DATA'!E81="713.6A(1)", 'CASE DATA'!E81="714.2(1)", 'CASE DATA'!E81="714.2(2)", 'CASE DATA'!E81="714.3A(2)(b)", 'CASE DATA'!E81="714.9", 'CASE DATA'!E81="714.10", 'CASE DATA'!E81="714.26(2)(a)", 'CASE DATA'!E81="714.26(2)(b)", 'CASE DATA'!E81="715A.2(2)(a)", 'CASE DATA'!E81="715A.6(2)(a)", 'CASE DATA'!E81="715A.6(2)(b)", 'CASE DATA'!E81="715A.8(3)(a)", 'CASE DATA'!E81="715A.8(3)(b)", 'CASE DATA'!E81="715A.10(1)", 'CASE DATA'!E81="715A.10(2)", 'CASE DATA'!E81="716.3", 'CASE DATA'!E81="716.4", 'CASE DATA'!E81="716.8(6)", 'CASE DATA'!E81="716.10(2)(a)", 'CASE DATA'!E81="716.10(2)(b)", 'CASE DATA'!E81="716.10(2)(c)", 'CASE DATA'!E81="716.10(2)(d)", 'CASE DATA'!E81="716.12", 'CASE DATA'!E81="719.1(1)(f)", 'CASE DATA'!E81="719.1(2)(e)", 'CASE DATA'!E81="719.1(2)(f)", 'CASE DATA'!E81="719.1(2)(g)", 'CASE DATA'!E81="719.4(1)", 'CASE DATA'!E81="719.4(4)", 'CASE DATA'!E81="719.5(1)", 'CASE DATA'!E81="719.5(2)", 'CASE DATA'!E81="719.6(1)", 'CASE DATA'!E81="719.6(2)", 'CASE DATA'!E81="719.7(4)(a)", 'CASE DATA'!E81="719.7(4)(b)", 'CASE DATA'!E81="719.7A(3)", 'CASE DATA'!E81="719.9", 'CASE DATA'!E81="719.8", 'CASE DATA'!E81="720.2", 'CASE DATA'!E81="720.3", 'CASE DATA'!E81="721.1", 'CASE DATA'!E81="722.1", 'CASE DATA'!E81="", 'CASE DATA'!E81="722.2", 'CASE DATA'!E81="722.10", 'CASE DATA'!E81="723(5)(3)(c)", 'CASE DATA'!E81="723A.2", 'CASE DATA'!E81="723A.3(1)", 'CASE DATA'!E81="723A.3(2)", 'CASE DATA'!E81="724.1B", 'CASE DATA'!E81="724.1C", 'CASE DATA'!E81="724.3", 'CASE DATA'!E81="724.4B", 'CASE DATA'!E81="724.10", 'CASE DATA'!E81="724.16(2)", 'CASE DATA'!E81="724.16A(1)(a)", 'CASE DATA'!E81="724.16A(1)(b)", 'CASE DATA'!E81="724.17", 'CASE DATA'!E81="724.21", 'CASE DATA'!E81="724.26(1)", 'CASE DATA'!E81="922(g)(8)", 'CASE DATA'!E81="724.29A(2)", 'CASE DATA'!E81="724.29A(3)", 'CASE DATA'!E81="724.30(1)", 'CASE DATA'!E81="724.30(2)", 'CASE DATA'!E81="725.1(2)(b)", 'CASE DATA'!E81="725.2(1)", 'CASE DATA'!E81="725.2(2)", 'CASE DATA'!E81="725.3(2)", 'CASE DATA'!E81="725.3(1)", 'CASE DATA'!E81="725.7(2)(a)(3)", 'CASE DATA'!E81="725.7(2)(a)(4)", 'CASE DATA'!E81="725.7(2)(b)(2)", 'CASE DATA'!E81="725.7(2)(b(3)", 'CASE DATA'!E81="726.7(2)(c)(1)", 'CASE DATA'!E81="726.7(2)(c)(2)", 'CASE DATA'!E81="725.7(2)(d)", 'CASE DATA'!E81="726.2", 'CASE DATA'!E81="726.3", 'CASE DATA'!E81="726.5", 'CASE DATA'!E81="726.6(4)", 'CASE DATA'!E81="726.6(5)", 'CASE DATA'!E81="726.6(6)", 'CASE DATA'!E81="726.6A", 'CASE DATA'!E81="726.7(2)", 'CASE DATA'!E81="726.8(2)", 'CASE DATA'!E81="728.12(1)", 'CASE DATA'!E81="728.12(2)"),"felony","eligible"),"N/A")</f>
        <v>N/A</v>
      </c>
      <c r="M80" s="185" t="str">
        <f>IF(L80="eligible",IF(OR('CASE DATA'!E81="123.46",'CASE DATA'!E81="123.47",'CASE DATA'!E81="235B.20",'CASE DATA'!E81="321.218",'CASE DATA'!E81="321A.32",'CASE DATA'!E81="321J.21",'CASE DATA'!E81="321J.2",'CASE DATA'!E81="707.5",'CASE DATA'!E81="708.2(3)",'CASE DATA'!E81="708.2A",'CASE DATA'!E81="708.7",'CASE DATA'!E81="708.11",'CASE DATA'!E81="708.12",'CASE DATA'!E81="716.8(3)",'CASE DATA'!E81="716.8(4)", LEFT('CASE DATA'!E81,4)="717C", LEFT('CASE DATA'!E81, 3)="719", LEFT('CASE DATA'!E81,3)="720", 'CASE DATA'!E81="721.2", 'CASE DATA'!E81="721.10", 'CASE DATA'!E81="723.1", LEFT('CASE DATA'!E81,3)="724", LEFT('CASE DATA'!E81,3)="726", LEFT('CASE DATA'!E81,3)="728", LEFT('CASE DATA'!E81,4)="901A"),"ineligible misd", "eligible"),"N/A")</f>
        <v>N/A</v>
      </c>
      <c r="N80" s="185" t="str">
        <f>IF(L80="eligible",IF(COUNTIF('CASE DATA'!$C$4:$C$200, "")-COUNTIF('CASE DATA'!$A$4:$A$200, "")&gt;0, "YES","NO"),"N/A")</f>
        <v>N/A</v>
      </c>
      <c r="O80" s="185" t="str">
        <f xml:space="preserve"> IF(M80="eligible",'CASE DATA'!K81,"N/A")</f>
        <v>N/A</v>
      </c>
      <c r="P80" s="185" t="str">
        <f xml:space="preserve"> IF(M80="eligible",'CASE DATA'!I81+'CASE DATA'!J81+'CASE DATA'!L81+'CASE DATA'!M81+'CASE DATA'!N81+'CASE DATA'!O81+'CASE DATA'!M81+'CASE DATA'!Q81+'CASE DATA'!R81,"N/A")</f>
        <v>N/A</v>
      </c>
      <c r="Q80" s="11" t="str">
        <f>IF(M80="eligible",IF(C80+730.5&lt;'BASIC INFO'!$B$3, "YES", "NO"),"N/A")</f>
        <v>N/A</v>
      </c>
      <c r="R80" s="186" t="str">
        <f xml:space="preserve"> IF(OR('CASE DATA'!F81="DEF"), "YES", "NO")</f>
        <v>NO</v>
      </c>
      <c r="S80" s="162" t="str">
        <f>IF(R80="YES",'CASE DATA'!H81,"N/A")</f>
        <v>N/A</v>
      </c>
      <c r="T80" s="185" t="str">
        <f xml:space="preserve"> IF(R80="YES",'CASE DATA'!K81,"N/A")</f>
        <v>N/A</v>
      </c>
      <c r="U80" s="185" t="str">
        <f>IF(R80="YES",'CASE DATA'!I81+'CASE DATA'!J81+'CASE DATA'!L81+'CASE DATA'!M81+'CASE DATA'!N81+'CASE DATA'!O81+'CASE DATA'!P81+'CASE DATA'!Q81+'CASE DATA'!R81,"N/A")</f>
        <v>N/A</v>
      </c>
      <c r="V80" s="189" t="str">
        <f>IF(OR('CASE DATA'!E81="123.46",'CASE DATA'!E81="123.47"),"YES","NO")</f>
        <v>NO</v>
      </c>
      <c r="W80" s="189"/>
      <c r="X80" s="185" t="str">
        <f>IF(V80="YES",IF(C80+730.5&lt;'BASIC INFO'!$B$3, "YES","NO"), "N/A")</f>
        <v>N/A</v>
      </c>
      <c r="Y80" s="189" t="str">
        <f t="shared" si="1"/>
        <v>NO</v>
      </c>
      <c r="Z80" s="187" t="str">
        <f xml:space="preserve"> IF('BASIC INFO'!$B$6+6574.5&gt;C80, "YES", "NO")</f>
        <v>YES</v>
      </c>
    </row>
    <row r="81" spans="1:26" x14ac:dyDescent="0.25">
      <c r="A81" s="162">
        <f xml:space="preserve"> 'CASE DATA'!A82</f>
        <v>0</v>
      </c>
      <c r="B81" s="162">
        <f xml:space="preserve"> 'CASE DATA'!E82</f>
        <v>0</v>
      </c>
      <c r="C81" s="163">
        <f xml:space="preserve"> 'CASE DATA'!C82</f>
        <v>0</v>
      </c>
      <c r="D81" s="11" t="str">
        <f xml:space="preserve"> IF(OR('CASE DATA'!F82="JUV", 'CASE DATA'!F82="JWV"), "YES", "NO")</f>
        <v>NO</v>
      </c>
      <c r="E81" s="11"/>
      <c r="F81" s="11" t="str">
        <f>IF(D81="YES",IF(COUNTIF('CASE DATA'!$C$4:$C$200, "")-COUNTIF('CASE DATA'!$A$4:$A$200, "")&gt;0, "YES","NO"),"N/A")</f>
        <v>N/A</v>
      </c>
      <c r="G81" s="164" t="str">
        <f xml:space="preserve"> _xlfn.IFS(D81="NO", "N/A", AND('BASIC INFO'!$B$3&gt;'BASIC INFO'!$B$6+6574.5, C81+730.5&lt;'BASIC INFO'!$B$3), "YES", 'BASIC INFO'!$B$3&lt;('BASIC INFO'!$B$6+6574.5), "NOT YET 18", C81+730.5&gt;'BASIC INFO'!$B$3, "NOT YET 2 YEARS")</f>
        <v>N/A</v>
      </c>
      <c r="H81" s="186" t="str">
        <f xml:space="preserve"> IF(LEFT('CASE DATA'!E82,4)&lt;&gt;"321.",IF(OR('CASE DATA'!F82="DISM", 'CASE DATA'!F82="ACQ", 'CASE DATA'!F82="NOTF", 'CASE DATA'!F82="WTHD", 'CASE DATA'!F82="TNSF"), "YES", "NO"), "TRAFFIC")</f>
        <v>NO</v>
      </c>
      <c r="I81" s="185" t="str">
        <f xml:space="preserve"> IF(H81="YES",'CASE DATA'!K82,"N/A")</f>
        <v>N/A</v>
      </c>
      <c r="J81" s="185" t="str">
        <f>IF(H81="YES",'CASE DATA'!I82+'CASE DATA'!J82+'CASE DATA'!L82+'CASE DATA'!M82+'CASE DATA'!N82+'CASE DATA'!O82+'CASE DATA'!P82+'CASE DATA'!Q82+'CASE DATA'!R82,"N/A")</f>
        <v>N/A</v>
      </c>
      <c r="K81" s="162" t="str">
        <f xml:space="preserve"> IF(H81="YES",IF(C81+180&lt;'BASIC INFO'!$B$3, "YES", "NO"),"N/A")</f>
        <v>N/A</v>
      </c>
      <c r="L81" s="185" t="str">
        <f>IF(OR('CASE DATA'!F82="GTR", 'CASE DATA'!F82="GPL"),IF(OR('CASE DATA'!E82="81.6(2)", 'CASE DATA'!E82="99F.15(6)(b)(1)", 'CASE DATA'!E82= "124.401(1)(a)", 'CASE DATA'!E82= "124.401(1)(b)", 'CASE DATA'!E82= "124.401(1)(c)", 'CASE DATA'!E82= "124.401(1)(d)", 'CASE DATA'!E82="124.401(4)", 'CASE DATA'!E82="124.401(1)(b)", 'CASE DATA'!E82="124.401(1)(c)", 'CASE DATA'!E82="124.401D(2)(b)", 'CASE DATA'!E82="124.401D(2)(c)", 'CASE DATA'!E82="124.406(1)(a)", 'CASE DATA'!E82="124.406(1)(b) ", 'CASE DATA'!E82="124.406(2)(a)", 'CASE DATA'!E82="124.406(2)(b) ", 'CASE DATA'!E82="124.406(3)", 'CASE DATA'!E82="124.406A ", 'CASE DATA'!E82="124.407(2)(a)", 'CASE DATA'!E82="124B.9(1)", 'CASE DATA'!E82="124B.9(2)", 'CASE DATA'!E82="321J.2(2)(c)", 'CASE DATA'!E82="453B.12(2)", 'CASE DATA'!E82="453B.12(3)", 'CASE DATA'!E82="453B.12(4)", 'CASE DATA'!E82="462A.14(2)(c)", 'CASE DATA'!E82="462A.14(2)(d)", 'CASE DATA'!E82="462A.14(2)(e)", 'CASE DATA'!E82="705.1(2)", 'CASE DATA'!E82="706.3(1)", 'CASE DATA'!E82="706.3(2)", 'CASE DATA'!E82="706A.2(1)", 'CASE DATA'!E82="706A.2(2)", 'CASE DATA'!E82="706A.2(4)", 'CASE DATA'!E82="706B.2(1)(a)", 'CASE DATA'!E82="706B.2(1)(b)", 'CASE DATA'!E82="706B.2(1)(c)", 'CASE DATA'!E82="706B.2(1)(d)", 'CASE DATA'!E82="707.2", 'CASE DATA'!E82="707.3", 'CASE DATA'!E82="707.3A", 'CASE DATA'!E82="707.4", 'CASE DATA'!E82="707.5(1)(a)", 'CASE DATA'!E82="707.6A(1)", 'CASE DATA'!E82="707.6A(2)", 'CASE DATA'!E82="707.6A(3)", 'CASE DATA'!E82="707.6A(4)", 'CASE DATA'!E82="707.7(1)", 'CASE DATA'!E82="707.7(3)", 'CASE DATA'!E82="707.7(2)", 'CASE DATA'!E82="707.8(1)", 'CASE DATA'!E82="707.8(2)", 'CASE DATA'!E82="707.8(3)", 'CASE DATA'!E82="707.8(4)", 'CASE DATA'!E82="707.8(5)", 'CASE DATA'!E82="707.8(6)", 'CASE DATA'!E82="707.9", 'CASE DATA'!E82="707.11", 'CASE DATA'!E82="707A.2", 'CASE DATA'!E82="708.2(4)", 'CASE DATA'!E82="708.2(5)", 'CASE DATA'!E82="708.2A(4)", 'CASE DATA'!E82="708.2A(5)", 'CASE DATA'!E82="708.2C(2)", 'CASE DATA'!E82="708.2C(4)", 'CASE DATA'!E82="708.3(1)", 'CASE DATA'!E82="708.3(2)", 'CASE DATA'!E82="708.3A(1)", 'CASE DATA'!E82="708.3A(2)", 'CASE DATA'!E82="708.3B", 'CASE DATA'!E82="708.4(1)", 'CASE DATA'!E82="708.4(2)", 'CASE DATA'!E82="708.5", 'CASE DATA'!E82="708.8", 'CASE DATA'!E82="708.11(3)(a)", 'CASE DATA'!E82="708.11(3)(b)", 'CASE DATA'!E82="708.12(3)(f)", 'CASE DATA'!E82="708.13(3)", 'CASE DATA'!E82="708.14", 'CASE DATA'!E82="708A.2", 'CASE DATA'!E82="708A.4(1)", 'CASE DATA'!E82="708A.4(2)", 'CASE DATA'!E82="708A.5", 'CASE DATA'!E82="708A.6(1)", 'CASE DATA'!E82="708.A.6(2)", 'CASE DATA'!E82="709.2", 'CASE DATA'!E82="709.3", 'CASE DATA'!E82="709.4", 'CASE DATA'!E82="709.8(1)(a)", 'CASE DATA'!E82="709.8(1)(b)", 'CASE DATA'!E82="709.8(1)(c)", 'CASE DATA'!E82="709.8(1)(d)", 'CASE DATA'!E82="709.8(1)(e)", 'CASE DATA'!E82="709.11(1)", 'CASE DATA'!E82="709.11(2)", 'CASE DATA'!E82="709.15(2)(a)(1)", 'CASE DATA'!E82="709.15(3)(a)(1)", 'CASE DATA'!E82="709.18", 'CASE DATA'!E82="709A.6(2)", 'CASE DATA'!E82="709D.3(1)", 'CASE DATA'!E82="709D.3(2)", 'CASE DATA'!E82="709.D.3(3)", 'CASE DATA'!E82="710.2", 'CASE DATA'!E82="710.3", 'CASE DATA'!E82="710.4", 'CASE DATA'!E82="710.5", 'CASE DATA'!E82="710.10(1)", 'CASE DATA'!E82="710.10(2)", 'CASE DATA'!E82="710.10(3)", 'CASE DATA'!E82="710.11", 'CASE DATA'!E82="710A.2(1)", 'CASE DATA'!E82="710A.2(2)", 'CASE DATA'!E82="710A.2(3)", 'CASE DATA'!E82="710A.2(4)", 'CASE DATA'!E82="710A.2(5)", 'CASE DATA'!E82="710A.2(6)", 'CASE DATA'!E82="710A.2(7)", 'CASE DATA'!E82="710A.2A", 'CASE DATA'!E82="711.2", 'CASE DATA'!E82="711.3", 'CASE DATA'!E82="711.4", 'CASE DATA'!E82="712.2", 'CASE DATA'!E82="712.3", 'CASE DATA'!E82="712.6(1)", 'CASE DATA'!E82="712.7", 'CASE DATA'!E82="712.8", 'CASE DATA'!E82="", 'CASE DATA'!E82="713.3", 'CASE DATA'!E82="713.4", 'CASE DATA'!E82="713.5", 'CASE DATA'!E82="713.6", 'CASE DATA'!E82="713.6A(1)", 'CASE DATA'!E82="714.2(1)", 'CASE DATA'!E82="714.2(2)", 'CASE DATA'!E82="714.3A(2)(b)", 'CASE DATA'!E82="714.9", 'CASE DATA'!E82="714.10", 'CASE DATA'!E82="714.26(2)(a)", 'CASE DATA'!E82="714.26(2)(b)", 'CASE DATA'!E82="715A.2(2)(a)", 'CASE DATA'!E82="715A.6(2)(a)", 'CASE DATA'!E82="715A.6(2)(b)", 'CASE DATA'!E82="715A.8(3)(a)", 'CASE DATA'!E82="715A.8(3)(b)", 'CASE DATA'!E82="715A.10(1)", 'CASE DATA'!E82="715A.10(2)", 'CASE DATA'!E82="716.3", 'CASE DATA'!E82="716.4", 'CASE DATA'!E82="716.8(6)", 'CASE DATA'!E82="716.10(2)(a)", 'CASE DATA'!E82="716.10(2)(b)", 'CASE DATA'!E82="716.10(2)(c)", 'CASE DATA'!E82="716.10(2)(d)", 'CASE DATA'!E82="716.12", 'CASE DATA'!E82="719.1(1)(f)", 'CASE DATA'!E82="719.1(2)(e)", 'CASE DATA'!E82="719.1(2)(f)", 'CASE DATA'!E82="719.1(2)(g)", 'CASE DATA'!E82="719.4(1)", 'CASE DATA'!E82="719.4(4)", 'CASE DATA'!E82="719.5(1)", 'CASE DATA'!E82="719.5(2)", 'CASE DATA'!E82="719.6(1)", 'CASE DATA'!E82="719.6(2)", 'CASE DATA'!E82="719.7(4)(a)", 'CASE DATA'!E82="719.7(4)(b)", 'CASE DATA'!E82="719.7A(3)", 'CASE DATA'!E82="719.9", 'CASE DATA'!E82="719.8", 'CASE DATA'!E82="720.2", 'CASE DATA'!E82="720.3", 'CASE DATA'!E82="721.1", 'CASE DATA'!E82="722.1", 'CASE DATA'!E82="", 'CASE DATA'!E82="722.2", 'CASE DATA'!E82="722.10", 'CASE DATA'!E82="723(5)(3)(c)", 'CASE DATA'!E82="723A.2", 'CASE DATA'!E82="723A.3(1)", 'CASE DATA'!E82="723A.3(2)", 'CASE DATA'!E82="724.1B", 'CASE DATA'!E82="724.1C", 'CASE DATA'!E82="724.3", 'CASE DATA'!E82="724.4B", 'CASE DATA'!E82="724.10", 'CASE DATA'!E82="724.16(2)", 'CASE DATA'!E82="724.16A(1)(a)", 'CASE DATA'!E82="724.16A(1)(b)", 'CASE DATA'!E82="724.17", 'CASE DATA'!E82="724.21", 'CASE DATA'!E82="724.26(1)", 'CASE DATA'!E82="922(g)(8)", 'CASE DATA'!E82="724.29A(2)", 'CASE DATA'!E82="724.29A(3)", 'CASE DATA'!E82="724.30(1)", 'CASE DATA'!E82="724.30(2)", 'CASE DATA'!E82="725.1(2)(b)", 'CASE DATA'!E82="725.2(1)", 'CASE DATA'!E82="725.2(2)", 'CASE DATA'!E82="725.3(2)", 'CASE DATA'!E82="725.3(1)", 'CASE DATA'!E82="725.7(2)(a)(3)", 'CASE DATA'!E82="725.7(2)(a)(4)", 'CASE DATA'!E82="725.7(2)(b)(2)", 'CASE DATA'!E82="725.7(2)(b(3)", 'CASE DATA'!E82="726.7(2)(c)(1)", 'CASE DATA'!E82="726.7(2)(c)(2)", 'CASE DATA'!E82="725.7(2)(d)", 'CASE DATA'!E82="726.2", 'CASE DATA'!E82="726.3", 'CASE DATA'!E82="726.5", 'CASE DATA'!E82="726.6(4)", 'CASE DATA'!E82="726.6(5)", 'CASE DATA'!E82="726.6(6)", 'CASE DATA'!E82="726.6A", 'CASE DATA'!E82="726.7(2)", 'CASE DATA'!E82="726.8(2)", 'CASE DATA'!E82="728.12(1)", 'CASE DATA'!E82="728.12(2)"),"felony","eligible"),"N/A")</f>
        <v>N/A</v>
      </c>
      <c r="M81" s="185" t="str">
        <f>IF(L81="eligible",IF(OR('CASE DATA'!E82="123.46",'CASE DATA'!E82="123.47",'CASE DATA'!E82="235B.20",'CASE DATA'!E82="321.218",'CASE DATA'!E82="321A.32",'CASE DATA'!E82="321J.21",'CASE DATA'!E82="321J.2",'CASE DATA'!E82="707.5",'CASE DATA'!E82="708.2(3)",'CASE DATA'!E82="708.2A",'CASE DATA'!E82="708.7",'CASE DATA'!E82="708.11",'CASE DATA'!E82="708.12",'CASE DATA'!E82="716.8(3)",'CASE DATA'!E82="716.8(4)", LEFT('CASE DATA'!E82,4)="717C", LEFT('CASE DATA'!E82, 3)="719", LEFT('CASE DATA'!E82,3)="720", 'CASE DATA'!E82="721.2", 'CASE DATA'!E82="721.10", 'CASE DATA'!E82="723.1", LEFT('CASE DATA'!E82,3)="724", LEFT('CASE DATA'!E82,3)="726", LEFT('CASE DATA'!E82,3)="728", LEFT('CASE DATA'!E82,4)="901A"),"ineligible misd", "eligible"),"N/A")</f>
        <v>N/A</v>
      </c>
      <c r="N81" s="185" t="str">
        <f>IF(L81="eligible",IF(COUNTIF('CASE DATA'!$C$4:$C$200, "")-COUNTIF('CASE DATA'!$A$4:$A$200, "")&gt;0, "YES","NO"),"N/A")</f>
        <v>N/A</v>
      </c>
      <c r="O81" s="185" t="str">
        <f xml:space="preserve"> IF(M81="eligible",'CASE DATA'!K82,"N/A")</f>
        <v>N/A</v>
      </c>
      <c r="P81" s="185" t="str">
        <f xml:space="preserve"> IF(M81="eligible",'CASE DATA'!I82+'CASE DATA'!J82+'CASE DATA'!L82+'CASE DATA'!M82+'CASE DATA'!N82+'CASE DATA'!O82+'CASE DATA'!M82+'CASE DATA'!Q82+'CASE DATA'!R82,"N/A")</f>
        <v>N/A</v>
      </c>
      <c r="Q81" s="11" t="str">
        <f>IF(M81="eligible",IF(C81+730.5&lt;'BASIC INFO'!$B$3, "YES", "NO"),"N/A")</f>
        <v>N/A</v>
      </c>
      <c r="R81" s="186" t="str">
        <f xml:space="preserve"> IF(OR('CASE DATA'!F82="DEF"), "YES", "NO")</f>
        <v>NO</v>
      </c>
      <c r="S81" s="162" t="str">
        <f>IF(R81="YES",'CASE DATA'!H82,"N/A")</f>
        <v>N/A</v>
      </c>
      <c r="T81" s="185" t="str">
        <f xml:space="preserve"> IF(R81="YES",'CASE DATA'!K82,"N/A")</f>
        <v>N/A</v>
      </c>
      <c r="U81" s="185" t="str">
        <f>IF(R81="YES",'CASE DATA'!I82+'CASE DATA'!J82+'CASE DATA'!L82+'CASE DATA'!M82+'CASE DATA'!N82+'CASE DATA'!O82+'CASE DATA'!P82+'CASE DATA'!Q82+'CASE DATA'!R82,"N/A")</f>
        <v>N/A</v>
      </c>
      <c r="V81" s="189" t="str">
        <f>IF(OR('CASE DATA'!E82="123.46",'CASE DATA'!E82="123.47"),"YES","NO")</f>
        <v>NO</v>
      </c>
      <c r="W81" s="189"/>
      <c r="X81" s="185" t="str">
        <f>IF(V81="YES",IF(C81+730.5&lt;'BASIC INFO'!$B$3, "YES","NO"), "N/A")</f>
        <v>N/A</v>
      </c>
      <c r="Y81" s="189" t="str">
        <f t="shared" si="1"/>
        <v>NO</v>
      </c>
      <c r="Z81" s="187" t="str">
        <f xml:space="preserve"> IF('BASIC INFO'!$B$6+6574.5&gt;C81, "YES", "NO")</f>
        <v>YES</v>
      </c>
    </row>
    <row r="82" spans="1:26" x14ac:dyDescent="0.25">
      <c r="A82" s="162">
        <f xml:space="preserve"> 'CASE DATA'!A83</f>
        <v>0</v>
      </c>
      <c r="B82" s="162">
        <f xml:space="preserve"> 'CASE DATA'!E83</f>
        <v>0</v>
      </c>
      <c r="C82" s="163">
        <f xml:space="preserve"> 'CASE DATA'!C83</f>
        <v>0</v>
      </c>
      <c r="D82" s="11" t="str">
        <f xml:space="preserve"> IF(OR('CASE DATA'!F83="JUV", 'CASE DATA'!F83="JWV"), "YES", "NO")</f>
        <v>NO</v>
      </c>
      <c r="E82" s="11"/>
      <c r="F82" s="11" t="str">
        <f>IF(D82="YES",IF(COUNTIF('CASE DATA'!$C$4:$C$200, "")-COUNTIF('CASE DATA'!$A$4:$A$200, "")&gt;0, "YES","NO"),"N/A")</f>
        <v>N/A</v>
      </c>
      <c r="G82" s="164" t="str">
        <f xml:space="preserve"> _xlfn.IFS(D82="NO", "N/A", AND('BASIC INFO'!$B$3&gt;'BASIC INFO'!$B$6+6574.5, C82+730.5&lt;'BASIC INFO'!$B$3), "YES", 'BASIC INFO'!$B$3&lt;('BASIC INFO'!$B$6+6574.5), "NOT YET 18", C82+730.5&gt;'BASIC INFO'!$B$3, "NOT YET 2 YEARS")</f>
        <v>N/A</v>
      </c>
      <c r="H82" s="186" t="str">
        <f xml:space="preserve"> IF(LEFT('CASE DATA'!E83,4)&lt;&gt;"321.",IF(OR('CASE DATA'!F83="DISM", 'CASE DATA'!F83="ACQ", 'CASE DATA'!F83="NOTF", 'CASE DATA'!F83="WTHD", 'CASE DATA'!F83="TNSF"), "YES", "NO"), "TRAFFIC")</f>
        <v>NO</v>
      </c>
      <c r="I82" s="185" t="str">
        <f xml:space="preserve"> IF(H82="YES",'CASE DATA'!K83,"N/A")</f>
        <v>N/A</v>
      </c>
      <c r="J82" s="185" t="str">
        <f>IF(H82="YES",'CASE DATA'!I83+'CASE DATA'!J83+'CASE DATA'!L83+'CASE DATA'!M83+'CASE DATA'!N83+'CASE DATA'!O83+'CASE DATA'!P83+'CASE DATA'!Q83+'CASE DATA'!R83,"N/A")</f>
        <v>N/A</v>
      </c>
      <c r="K82" s="162" t="str">
        <f xml:space="preserve"> IF(H82="YES",IF(C82+180&lt;'BASIC INFO'!$B$3, "YES", "NO"),"N/A")</f>
        <v>N/A</v>
      </c>
      <c r="L82" s="185" t="str">
        <f>IF(OR('CASE DATA'!F83="GTR", 'CASE DATA'!F83="GPL"),IF(OR('CASE DATA'!E83="81.6(2)", 'CASE DATA'!E83="99F.15(6)(b)(1)", 'CASE DATA'!E83= "124.401(1)(a)", 'CASE DATA'!E83= "124.401(1)(b)", 'CASE DATA'!E83= "124.401(1)(c)", 'CASE DATA'!E83= "124.401(1)(d)", 'CASE DATA'!E83="124.401(4)", 'CASE DATA'!E83="124.401(1)(b)", 'CASE DATA'!E83="124.401(1)(c)", 'CASE DATA'!E83="124.401D(2)(b)", 'CASE DATA'!E83="124.401D(2)(c)", 'CASE DATA'!E83="124.406(1)(a)", 'CASE DATA'!E83="124.406(1)(b) ", 'CASE DATA'!E83="124.406(2)(a)", 'CASE DATA'!E83="124.406(2)(b) ", 'CASE DATA'!E83="124.406(3)", 'CASE DATA'!E83="124.406A ", 'CASE DATA'!E83="124.407(2)(a)", 'CASE DATA'!E83="124B.9(1)", 'CASE DATA'!E83="124B.9(2)", 'CASE DATA'!E83="321J.2(2)(c)", 'CASE DATA'!E83="453B.12(2)", 'CASE DATA'!E83="453B.12(3)", 'CASE DATA'!E83="453B.12(4)", 'CASE DATA'!E83="462A.14(2)(c)", 'CASE DATA'!E83="462A.14(2)(d)", 'CASE DATA'!E83="462A.14(2)(e)", 'CASE DATA'!E83="705.1(2)", 'CASE DATA'!E83="706.3(1)", 'CASE DATA'!E83="706.3(2)", 'CASE DATA'!E83="706A.2(1)", 'CASE DATA'!E83="706A.2(2)", 'CASE DATA'!E83="706A.2(4)", 'CASE DATA'!E83="706B.2(1)(a)", 'CASE DATA'!E83="706B.2(1)(b)", 'CASE DATA'!E83="706B.2(1)(c)", 'CASE DATA'!E83="706B.2(1)(d)", 'CASE DATA'!E83="707.2", 'CASE DATA'!E83="707.3", 'CASE DATA'!E83="707.3A", 'CASE DATA'!E83="707.4", 'CASE DATA'!E83="707.5(1)(a)", 'CASE DATA'!E83="707.6A(1)", 'CASE DATA'!E83="707.6A(2)", 'CASE DATA'!E83="707.6A(3)", 'CASE DATA'!E83="707.6A(4)", 'CASE DATA'!E83="707.7(1)", 'CASE DATA'!E83="707.7(3)", 'CASE DATA'!E83="707.7(2)", 'CASE DATA'!E83="707.8(1)", 'CASE DATA'!E83="707.8(2)", 'CASE DATA'!E83="707.8(3)", 'CASE DATA'!E83="707.8(4)", 'CASE DATA'!E83="707.8(5)", 'CASE DATA'!E83="707.8(6)", 'CASE DATA'!E83="707.9", 'CASE DATA'!E83="707.11", 'CASE DATA'!E83="707A.2", 'CASE DATA'!E83="708.2(4)", 'CASE DATA'!E83="708.2(5)", 'CASE DATA'!E83="708.2A(4)", 'CASE DATA'!E83="708.2A(5)", 'CASE DATA'!E83="708.2C(2)", 'CASE DATA'!E83="708.2C(4)", 'CASE DATA'!E83="708.3(1)", 'CASE DATA'!E83="708.3(2)", 'CASE DATA'!E83="708.3A(1)", 'CASE DATA'!E83="708.3A(2)", 'CASE DATA'!E83="708.3B", 'CASE DATA'!E83="708.4(1)", 'CASE DATA'!E83="708.4(2)", 'CASE DATA'!E83="708.5", 'CASE DATA'!E83="708.8", 'CASE DATA'!E83="708.11(3)(a)", 'CASE DATA'!E83="708.11(3)(b)", 'CASE DATA'!E83="708.12(3)(f)", 'CASE DATA'!E83="708.13(3)", 'CASE DATA'!E83="708.14", 'CASE DATA'!E83="708A.2", 'CASE DATA'!E83="708A.4(1)", 'CASE DATA'!E83="708A.4(2)", 'CASE DATA'!E83="708A.5", 'CASE DATA'!E83="708A.6(1)", 'CASE DATA'!E83="708.A.6(2)", 'CASE DATA'!E83="709.2", 'CASE DATA'!E83="709.3", 'CASE DATA'!E83="709.4", 'CASE DATA'!E83="709.8(1)(a)", 'CASE DATA'!E83="709.8(1)(b)", 'CASE DATA'!E83="709.8(1)(c)", 'CASE DATA'!E83="709.8(1)(d)", 'CASE DATA'!E83="709.8(1)(e)", 'CASE DATA'!E83="709.11(1)", 'CASE DATA'!E83="709.11(2)", 'CASE DATA'!E83="709.15(2)(a)(1)", 'CASE DATA'!E83="709.15(3)(a)(1)", 'CASE DATA'!E83="709.18", 'CASE DATA'!E83="709A.6(2)", 'CASE DATA'!E83="709D.3(1)", 'CASE DATA'!E83="709D.3(2)", 'CASE DATA'!E83="709.D.3(3)", 'CASE DATA'!E83="710.2", 'CASE DATA'!E83="710.3", 'CASE DATA'!E83="710.4", 'CASE DATA'!E83="710.5", 'CASE DATA'!E83="710.10(1)", 'CASE DATA'!E83="710.10(2)", 'CASE DATA'!E83="710.10(3)", 'CASE DATA'!E83="710.11", 'CASE DATA'!E83="710A.2(1)", 'CASE DATA'!E83="710A.2(2)", 'CASE DATA'!E83="710A.2(3)", 'CASE DATA'!E83="710A.2(4)", 'CASE DATA'!E83="710A.2(5)", 'CASE DATA'!E83="710A.2(6)", 'CASE DATA'!E83="710A.2(7)", 'CASE DATA'!E83="710A.2A", 'CASE DATA'!E83="711.2", 'CASE DATA'!E83="711.3", 'CASE DATA'!E83="711.4", 'CASE DATA'!E83="712.2", 'CASE DATA'!E83="712.3", 'CASE DATA'!E83="712.6(1)", 'CASE DATA'!E83="712.7", 'CASE DATA'!E83="712.8", 'CASE DATA'!E83="", 'CASE DATA'!E83="713.3", 'CASE DATA'!E83="713.4", 'CASE DATA'!E83="713.5", 'CASE DATA'!E83="713.6", 'CASE DATA'!E83="713.6A(1)", 'CASE DATA'!E83="714.2(1)", 'CASE DATA'!E83="714.2(2)", 'CASE DATA'!E83="714.3A(2)(b)", 'CASE DATA'!E83="714.9", 'CASE DATA'!E83="714.10", 'CASE DATA'!E83="714.26(2)(a)", 'CASE DATA'!E83="714.26(2)(b)", 'CASE DATA'!E83="715A.2(2)(a)", 'CASE DATA'!E83="715A.6(2)(a)", 'CASE DATA'!E83="715A.6(2)(b)", 'CASE DATA'!E83="715A.8(3)(a)", 'CASE DATA'!E83="715A.8(3)(b)", 'CASE DATA'!E83="715A.10(1)", 'CASE DATA'!E83="715A.10(2)", 'CASE DATA'!E83="716.3", 'CASE DATA'!E83="716.4", 'CASE DATA'!E83="716.8(6)", 'CASE DATA'!E83="716.10(2)(a)", 'CASE DATA'!E83="716.10(2)(b)", 'CASE DATA'!E83="716.10(2)(c)", 'CASE DATA'!E83="716.10(2)(d)", 'CASE DATA'!E83="716.12", 'CASE DATA'!E83="719.1(1)(f)", 'CASE DATA'!E83="719.1(2)(e)", 'CASE DATA'!E83="719.1(2)(f)", 'CASE DATA'!E83="719.1(2)(g)", 'CASE DATA'!E83="719.4(1)", 'CASE DATA'!E83="719.4(4)", 'CASE DATA'!E83="719.5(1)", 'CASE DATA'!E83="719.5(2)", 'CASE DATA'!E83="719.6(1)", 'CASE DATA'!E83="719.6(2)", 'CASE DATA'!E83="719.7(4)(a)", 'CASE DATA'!E83="719.7(4)(b)", 'CASE DATA'!E83="719.7A(3)", 'CASE DATA'!E83="719.9", 'CASE DATA'!E83="719.8", 'CASE DATA'!E83="720.2", 'CASE DATA'!E83="720.3", 'CASE DATA'!E83="721.1", 'CASE DATA'!E83="722.1", 'CASE DATA'!E83="", 'CASE DATA'!E83="722.2", 'CASE DATA'!E83="722.10", 'CASE DATA'!E83="723(5)(3)(c)", 'CASE DATA'!E83="723A.2", 'CASE DATA'!E83="723A.3(1)", 'CASE DATA'!E83="723A.3(2)", 'CASE DATA'!E83="724.1B", 'CASE DATA'!E83="724.1C", 'CASE DATA'!E83="724.3", 'CASE DATA'!E83="724.4B", 'CASE DATA'!E83="724.10", 'CASE DATA'!E83="724.16(2)", 'CASE DATA'!E83="724.16A(1)(a)", 'CASE DATA'!E83="724.16A(1)(b)", 'CASE DATA'!E83="724.17", 'CASE DATA'!E83="724.21", 'CASE DATA'!E83="724.26(1)", 'CASE DATA'!E83="922(g)(8)", 'CASE DATA'!E83="724.29A(2)", 'CASE DATA'!E83="724.29A(3)", 'CASE DATA'!E83="724.30(1)", 'CASE DATA'!E83="724.30(2)", 'CASE DATA'!E83="725.1(2)(b)", 'CASE DATA'!E83="725.2(1)", 'CASE DATA'!E83="725.2(2)", 'CASE DATA'!E83="725.3(2)", 'CASE DATA'!E83="725.3(1)", 'CASE DATA'!E83="725.7(2)(a)(3)", 'CASE DATA'!E83="725.7(2)(a)(4)", 'CASE DATA'!E83="725.7(2)(b)(2)", 'CASE DATA'!E83="725.7(2)(b(3)", 'CASE DATA'!E83="726.7(2)(c)(1)", 'CASE DATA'!E83="726.7(2)(c)(2)", 'CASE DATA'!E83="725.7(2)(d)", 'CASE DATA'!E83="726.2", 'CASE DATA'!E83="726.3", 'CASE DATA'!E83="726.5", 'CASE DATA'!E83="726.6(4)", 'CASE DATA'!E83="726.6(5)", 'CASE DATA'!E83="726.6(6)", 'CASE DATA'!E83="726.6A", 'CASE DATA'!E83="726.7(2)", 'CASE DATA'!E83="726.8(2)", 'CASE DATA'!E83="728.12(1)", 'CASE DATA'!E83="728.12(2)"),"felony","eligible"),"N/A")</f>
        <v>N/A</v>
      </c>
      <c r="M82" s="185" t="str">
        <f>IF(L82="eligible",IF(OR('CASE DATA'!E83="123.46",'CASE DATA'!E83="123.47",'CASE DATA'!E83="235B.20",'CASE DATA'!E83="321.218",'CASE DATA'!E83="321A.32",'CASE DATA'!E83="321J.21",'CASE DATA'!E83="321J.2",'CASE DATA'!E83="707.5",'CASE DATA'!E83="708.2(3)",'CASE DATA'!E83="708.2A",'CASE DATA'!E83="708.7",'CASE DATA'!E83="708.11",'CASE DATA'!E83="708.12",'CASE DATA'!E83="716.8(3)",'CASE DATA'!E83="716.8(4)", LEFT('CASE DATA'!E83,4)="717C", LEFT('CASE DATA'!E83, 3)="719", LEFT('CASE DATA'!E83,3)="720", 'CASE DATA'!E83="721.2", 'CASE DATA'!E83="721.10", 'CASE DATA'!E83="723.1", LEFT('CASE DATA'!E83,3)="724", LEFT('CASE DATA'!E83,3)="726", LEFT('CASE DATA'!E83,3)="728", LEFT('CASE DATA'!E83,4)="901A"),"ineligible misd", "eligible"),"N/A")</f>
        <v>N/A</v>
      </c>
      <c r="N82" s="185" t="str">
        <f>IF(L82="eligible",IF(COUNTIF('CASE DATA'!$C$4:$C$200, "")-COUNTIF('CASE DATA'!$A$4:$A$200, "")&gt;0, "YES","NO"),"N/A")</f>
        <v>N/A</v>
      </c>
      <c r="O82" s="185" t="str">
        <f xml:space="preserve"> IF(M82="eligible",'CASE DATA'!K83,"N/A")</f>
        <v>N/A</v>
      </c>
      <c r="P82" s="185" t="str">
        <f xml:space="preserve"> IF(M82="eligible",'CASE DATA'!I83+'CASE DATA'!J83+'CASE DATA'!L83+'CASE DATA'!M83+'CASE DATA'!N83+'CASE DATA'!O83+'CASE DATA'!M83+'CASE DATA'!Q83+'CASE DATA'!R83,"N/A")</f>
        <v>N/A</v>
      </c>
      <c r="Q82" s="11" t="str">
        <f>IF(M82="eligible",IF(C82+730.5&lt;'BASIC INFO'!$B$3, "YES", "NO"),"N/A")</f>
        <v>N/A</v>
      </c>
      <c r="R82" s="186" t="str">
        <f xml:space="preserve"> IF(OR('CASE DATA'!F83="DEF"), "YES", "NO")</f>
        <v>NO</v>
      </c>
      <c r="S82" s="162" t="str">
        <f>IF(R82="YES",'CASE DATA'!H83,"N/A")</f>
        <v>N/A</v>
      </c>
      <c r="T82" s="185" t="str">
        <f xml:space="preserve"> IF(R82="YES",'CASE DATA'!K83,"N/A")</f>
        <v>N/A</v>
      </c>
      <c r="U82" s="185" t="str">
        <f>IF(R82="YES",'CASE DATA'!I83+'CASE DATA'!J83+'CASE DATA'!L83+'CASE DATA'!M83+'CASE DATA'!N83+'CASE DATA'!O83+'CASE DATA'!P83+'CASE DATA'!Q83+'CASE DATA'!R83,"N/A")</f>
        <v>N/A</v>
      </c>
      <c r="V82" s="189" t="str">
        <f>IF(OR('CASE DATA'!E83="123.46",'CASE DATA'!E83="123.47"),"YES","NO")</f>
        <v>NO</v>
      </c>
      <c r="W82" s="189"/>
      <c r="X82" s="185" t="str">
        <f>IF(V82="YES",IF(C82+730.5&lt;'BASIC INFO'!$B$3, "YES","NO"), "N/A")</f>
        <v>N/A</v>
      </c>
      <c r="Y82" s="189" t="str">
        <f t="shared" si="1"/>
        <v>NO</v>
      </c>
      <c r="Z82" s="187" t="str">
        <f xml:space="preserve"> IF('BASIC INFO'!$B$6+6574.5&gt;C82, "YES", "NO")</f>
        <v>YES</v>
      </c>
    </row>
    <row r="83" spans="1:26" x14ac:dyDescent="0.25">
      <c r="A83" s="162">
        <f xml:space="preserve"> 'CASE DATA'!A84</f>
        <v>0</v>
      </c>
      <c r="B83" s="162">
        <f xml:space="preserve"> 'CASE DATA'!E84</f>
        <v>0</v>
      </c>
      <c r="C83" s="163">
        <f xml:space="preserve"> 'CASE DATA'!C84</f>
        <v>0</v>
      </c>
      <c r="D83" s="11" t="str">
        <f xml:space="preserve"> IF(OR('CASE DATA'!F84="JUV", 'CASE DATA'!F84="JWV"), "YES", "NO")</f>
        <v>NO</v>
      </c>
      <c r="E83" s="11"/>
      <c r="F83" s="11" t="str">
        <f>IF(D83="YES",IF(COUNTIF('CASE DATA'!$C$4:$C$200, "")-COUNTIF('CASE DATA'!$A$4:$A$200, "")&gt;0, "YES","NO"),"N/A")</f>
        <v>N/A</v>
      </c>
      <c r="G83" s="164" t="str">
        <f xml:space="preserve"> _xlfn.IFS(D83="NO", "N/A", AND('BASIC INFO'!$B$3&gt;'BASIC INFO'!$B$6+6574.5, C83+730.5&lt;'BASIC INFO'!$B$3), "YES", 'BASIC INFO'!$B$3&lt;('BASIC INFO'!$B$6+6574.5), "NOT YET 18", C83+730.5&gt;'BASIC INFO'!$B$3, "NOT YET 2 YEARS")</f>
        <v>N/A</v>
      </c>
      <c r="H83" s="186" t="str">
        <f xml:space="preserve"> IF(LEFT('CASE DATA'!E84,4)&lt;&gt;"321.",IF(OR('CASE DATA'!F84="DISM", 'CASE DATA'!F84="ACQ", 'CASE DATA'!F84="NOTF", 'CASE DATA'!F84="WTHD", 'CASE DATA'!F84="TNSF"), "YES", "NO"), "TRAFFIC")</f>
        <v>NO</v>
      </c>
      <c r="I83" s="185" t="str">
        <f xml:space="preserve"> IF(H83="YES",'CASE DATA'!K84,"N/A")</f>
        <v>N/A</v>
      </c>
      <c r="J83" s="185" t="str">
        <f>IF(H83="YES",'CASE DATA'!I84+'CASE DATA'!J84+'CASE DATA'!L84+'CASE DATA'!M84+'CASE DATA'!N84+'CASE DATA'!O84+'CASE DATA'!P84+'CASE DATA'!Q84+'CASE DATA'!R84,"N/A")</f>
        <v>N/A</v>
      </c>
      <c r="K83" s="162" t="str">
        <f xml:space="preserve"> IF(H83="YES",IF(C83+180&lt;'BASIC INFO'!$B$3, "YES", "NO"),"N/A")</f>
        <v>N/A</v>
      </c>
      <c r="L83" s="185" t="str">
        <f>IF(OR('CASE DATA'!F84="GTR", 'CASE DATA'!F84="GPL"),IF(OR('CASE DATA'!E84="81.6(2)", 'CASE DATA'!E84="99F.15(6)(b)(1)", 'CASE DATA'!E84= "124.401(1)(a)", 'CASE DATA'!E84= "124.401(1)(b)", 'CASE DATA'!E84= "124.401(1)(c)", 'CASE DATA'!E84= "124.401(1)(d)", 'CASE DATA'!E84="124.401(4)", 'CASE DATA'!E84="124.401(1)(b)", 'CASE DATA'!E84="124.401(1)(c)", 'CASE DATA'!E84="124.401D(2)(b)", 'CASE DATA'!E84="124.401D(2)(c)", 'CASE DATA'!E84="124.406(1)(a)", 'CASE DATA'!E84="124.406(1)(b) ", 'CASE DATA'!E84="124.406(2)(a)", 'CASE DATA'!E84="124.406(2)(b) ", 'CASE DATA'!E84="124.406(3)", 'CASE DATA'!E84="124.406A ", 'CASE DATA'!E84="124.407(2)(a)", 'CASE DATA'!E84="124B.9(1)", 'CASE DATA'!E84="124B.9(2)", 'CASE DATA'!E84="321J.2(2)(c)", 'CASE DATA'!E84="453B.12(2)", 'CASE DATA'!E84="453B.12(3)", 'CASE DATA'!E84="453B.12(4)", 'CASE DATA'!E84="462A.14(2)(c)", 'CASE DATA'!E84="462A.14(2)(d)", 'CASE DATA'!E84="462A.14(2)(e)", 'CASE DATA'!E84="705.1(2)", 'CASE DATA'!E84="706.3(1)", 'CASE DATA'!E84="706.3(2)", 'CASE DATA'!E84="706A.2(1)", 'CASE DATA'!E84="706A.2(2)", 'CASE DATA'!E84="706A.2(4)", 'CASE DATA'!E84="706B.2(1)(a)", 'CASE DATA'!E84="706B.2(1)(b)", 'CASE DATA'!E84="706B.2(1)(c)", 'CASE DATA'!E84="706B.2(1)(d)", 'CASE DATA'!E84="707.2", 'CASE DATA'!E84="707.3", 'CASE DATA'!E84="707.3A", 'CASE DATA'!E84="707.4", 'CASE DATA'!E84="707.5(1)(a)", 'CASE DATA'!E84="707.6A(1)", 'CASE DATA'!E84="707.6A(2)", 'CASE DATA'!E84="707.6A(3)", 'CASE DATA'!E84="707.6A(4)", 'CASE DATA'!E84="707.7(1)", 'CASE DATA'!E84="707.7(3)", 'CASE DATA'!E84="707.7(2)", 'CASE DATA'!E84="707.8(1)", 'CASE DATA'!E84="707.8(2)", 'CASE DATA'!E84="707.8(3)", 'CASE DATA'!E84="707.8(4)", 'CASE DATA'!E84="707.8(5)", 'CASE DATA'!E84="707.8(6)", 'CASE DATA'!E84="707.9", 'CASE DATA'!E84="707.11", 'CASE DATA'!E84="707A.2", 'CASE DATA'!E84="708.2(4)", 'CASE DATA'!E84="708.2(5)", 'CASE DATA'!E84="708.2A(4)", 'CASE DATA'!E84="708.2A(5)", 'CASE DATA'!E84="708.2C(2)", 'CASE DATA'!E84="708.2C(4)", 'CASE DATA'!E84="708.3(1)", 'CASE DATA'!E84="708.3(2)", 'CASE DATA'!E84="708.3A(1)", 'CASE DATA'!E84="708.3A(2)", 'CASE DATA'!E84="708.3B", 'CASE DATA'!E84="708.4(1)", 'CASE DATA'!E84="708.4(2)", 'CASE DATA'!E84="708.5", 'CASE DATA'!E84="708.8", 'CASE DATA'!E84="708.11(3)(a)", 'CASE DATA'!E84="708.11(3)(b)", 'CASE DATA'!E84="708.12(3)(f)", 'CASE DATA'!E84="708.13(3)", 'CASE DATA'!E84="708.14", 'CASE DATA'!E84="708A.2", 'CASE DATA'!E84="708A.4(1)", 'CASE DATA'!E84="708A.4(2)", 'CASE DATA'!E84="708A.5", 'CASE DATA'!E84="708A.6(1)", 'CASE DATA'!E84="708.A.6(2)", 'CASE DATA'!E84="709.2", 'CASE DATA'!E84="709.3", 'CASE DATA'!E84="709.4", 'CASE DATA'!E84="709.8(1)(a)", 'CASE DATA'!E84="709.8(1)(b)", 'CASE DATA'!E84="709.8(1)(c)", 'CASE DATA'!E84="709.8(1)(d)", 'CASE DATA'!E84="709.8(1)(e)", 'CASE DATA'!E84="709.11(1)", 'CASE DATA'!E84="709.11(2)", 'CASE DATA'!E84="709.15(2)(a)(1)", 'CASE DATA'!E84="709.15(3)(a)(1)", 'CASE DATA'!E84="709.18", 'CASE DATA'!E84="709A.6(2)", 'CASE DATA'!E84="709D.3(1)", 'CASE DATA'!E84="709D.3(2)", 'CASE DATA'!E84="709.D.3(3)", 'CASE DATA'!E84="710.2", 'CASE DATA'!E84="710.3", 'CASE DATA'!E84="710.4", 'CASE DATA'!E84="710.5", 'CASE DATA'!E84="710.10(1)", 'CASE DATA'!E84="710.10(2)", 'CASE DATA'!E84="710.10(3)", 'CASE DATA'!E84="710.11", 'CASE DATA'!E84="710A.2(1)", 'CASE DATA'!E84="710A.2(2)", 'CASE DATA'!E84="710A.2(3)", 'CASE DATA'!E84="710A.2(4)", 'CASE DATA'!E84="710A.2(5)", 'CASE DATA'!E84="710A.2(6)", 'CASE DATA'!E84="710A.2(7)", 'CASE DATA'!E84="710A.2A", 'CASE DATA'!E84="711.2", 'CASE DATA'!E84="711.3", 'CASE DATA'!E84="711.4", 'CASE DATA'!E84="712.2", 'CASE DATA'!E84="712.3", 'CASE DATA'!E84="712.6(1)", 'CASE DATA'!E84="712.7", 'CASE DATA'!E84="712.8", 'CASE DATA'!E84="", 'CASE DATA'!E84="713.3", 'CASE DATA'!E84="713.4", 'CASE DATA'!E84="713.5", 'CASE DATA'!E84="713.6", 'CASE DATA'!E84="713.6A(1)", 'CASE DATA'!E84="714.2(1)", 'CASE DATA'!E84="714.2(2)", 'CASE DATA'!E84="714.3A(2)(b)", 'CASE DATA'!E84="714.9", 'CASE DATA'!E84="714.10", 'CASE DATA'!E84="714.26(2)(a)", 'CASE DATA'!E84="714.26(2)(b)", 'CASE DATA'!E84="715A.2(2)(a)", 'CASE DATA'!E84="715A.6(2)(a)", 'CASE DATA'!E84="715A.6(2)(b)", 'CASE DATA'!E84="715A.8(3)(a)", 'CASE DATA'!E84="715A.8(3)(b)", 'CASE DATA'!E84="715A.10(1)", 'CASE DATA'!E84="715A.10(2)", 'CASE DATA'!E84="716.3", 'CASE DATA'!E84="716.4", 'CASE DATA'!E84="716.8(6)", 'CASE DATA'!E84="716.10(2)(a)", 'CASE DATA'!E84="716.10(2)(b)", 'CASE DATA'!E84="716.10(2)(c)", 'CASE DATA'!E84="716.10(2)(d)", 'CASE DATA'!E84="716.12", 'CASE DATA'!E84="719.1(1)(f)", 'CASE DATA'!E84="719.1(2)(e)", 'CASE DATA'!E84="719.1(2)(f)", 'CASE DATA'!E84="719.1(2)(g)", 'CASE DATA'!E84="719.4(1)", 'CASE DATA'!E84="719.4(4)", 'CASE DATA'!E84="719.5(1)", 'CASE DATA'!E84="719.5(2)", 'CASE DATA'!E84="719.6(1)", 'CASE DATA'!E84="719.6(2)", 'CASE DATA'!E84="719.7(4)(a)", 'CASE DATA'!E84="719.7(4)(b)", 'CASE DATA'!E84="719.7A(3)", 'CASE DATA'!E84="719.9", 'CASE DATA'!E84="719.8", 'CASE DATA'!E84="720.2", 'CASE DATA'!E84="720.3", 'CASE DATA'!E84="721.1", 'CASE DATA'!E84="722.1", 'CASE DATA'!E84="", 'CASE DATA'!E84="722.2", 'CASE DATA'!E84="722.10", 'CASE DATA'!E84="723(5)(3)(c)", 'CASE DATA'!E84="723A.2", 'CASE DATA'!E84="723A.3(1)", 'CASE DATA'!E84="723A.3(2)", 'CASE DATA'!E84="724.1B", 'CASE DATA'!E84="724.1C", 'CASE DATA'!E84="724.3", 'CASE DATA'!E84="724.4B", 'CASE DATA'!E84="724.10", 'CASE DATA'!E84="724.16(2)", 'CASE DATA'!E84="724.16A(1)(a)", 'CASE DATA'!E84="724.16A(1)(b)", 'CASE DATA'!E84="724.17", 'CASE DATA'!E84="724.21", 'CASE DATA'!E84="724.26(1)", 'CASE DATA'!E84="922(g)(8)", 'CASE DATA'!E84="724.29A(2)", 'CASE DATA'!E84="724.29A(3)", 'CASE DATA'!E84="724.30(1)", 'CASE DATA'!E84="724.30(2)", 'CASE DATA'!E84="725.1(2)(b)", 'CASE DATA'!E84="725.2(1)", 'CASE DATA'!E84="725.2(2)", 'CASE DATA'!E84="725.3(2)", 'CASE DATA'!E84="725.3(1)", 'CASE DATA'!E84="725.7(2)(a)(3)", 'CASE DATA'!E84="725.7(2)(a)(4)", 'CASE DATA'!E84="725.7(2)(b)(2)", 'CASE DATA'!E84="725.7(2)(b(3)", 'CASE DATA'!E84="726.7(2)(c)(1)", 'CASE DATA'!E84="726.7(2)(c)(2)", 'CASE DATA'!E84="725.7(2)(d)", 'CASE DATA'!E84="726.2", 'CASE DATA'!E84="726.3", 'CASE DATA'!E84="726.5", 'CASE DATA'!E84="726.6(4)", 'CASE DATA'!E84="726.6(5)", 'CASE DATA'!E84="726.6(6)", 'CASE DATA'!E84="726.6A", 'CASE DATA'!E84="726.7(2)", 'CASE DATA'!E84="726.8(2)", 'CASE DATA'!E84="728.12(1)", 'CASE DATA'!E84="728.12(2)"),"felony","eligible"),"N/A")</f>
        <v>N/A</v>
      </c>
      <c r="M83" s="185" t="str">
        <f>IF(L83="eligible",IF(OR('CASE DATA'!E84="123.46",'CASE DATA'!E84="123.47",'CASE DATA'!E84="235B.20",'CASE DATA'!E84="321.218",'CASE DATA'!E84="321A.32",'CASE DATA'!E84="321J.21",'CASE DATA'!E84="321J.2",'CASE DATA'!E84="707.5",'CASE DATA'!E84="708.2(3)",'CASE DATA'!E84="708.2A",'CASE DATA'!E84="708.7",'CASE DATA'!E84="708.11",'CASE DATA'!E84="708.12",'CASE DATA'!E84="716.8(3)",'CASE DATA'!E84="716.8(4)", LEFT('CASE DATA'!E84,4)="717C", LEFT('CASE DATA'!E84, 3)="719", LEFT('CASE DATA'!E84,3)="720", 'CASE DATA'!E84="721.2", 'CASE DATA'!E84="721.10", 'CASE DATA'!E84="723.1", LEFT('CASE DATA'!E84,3)="724", LEFT('CASE DATA'!E84,3)="726", LEFT('CASE DATA'!E84,3)="728", LEFT('CASE DATA'!E84,4)="901A"),"ineligible misd", "eligible"),"N/A")</f>
        <v>N/A</v>
      </c>
      <c r="N83" s="185" t="str">
        <f>IF(L83="eligible",IF(COUNTIF('CASE DATA'!$C$4:$C$200, "")-COUNTIF('CASE DATA'!$A$4:$A$200, "")&gt;0, "YES","NO"),"N/A")</f>
        <v>N/A</v>
      </c>
      <c r="O83" s="185" t="str">
        <f xml:space="preserve"> IF(M83="eligible",'CASE DATA'!K84,"N/A")</f>
        <v>N/A</v>
      </c>
      <c r="P83" s="185" t="str">
        <f xml:space="preserve"> IF(M83="eligible",'CASE DATA'!I84+'CASE DATA'!J84+'CASE DATA'!L84+'CASE DATA'!M84+'CASE DATA'!N84+'CASE DATA'!O84+'CASE DATA'!M84+'CASE DATA'!Q84+'CASE DATA'!R84,"N/A")</f>
        <v>N/A</v>
      </c>
      <c r="Q83" s="11" t="str">
        <f>IF(M83="eligible",IF(C83+730.5&lt;'BASIC INFO'!$B$3, "YES", "NO"),"N/A")</f>
        <v>N/A</v>
      </c>
      <c r="R83" s="186" t="str">
        <f xml:space="preserve"> IF(OR('CASE DATA'!F84="DEF"), "YES", "NO")</f>
        <v>NO</v>
      </c>
      <c r="S83" s="162" t="str">
        <f>IF(R83="YES",'CASE DATA'!H84,"N/A")</f>
        <v>N/A</v>
      </c>
      <c r="T83" s="185" t="str">
        <f xml:space="preserve"> IF(R83="YES",'CASE DATA'!K84,"N/A")</f>
        <v>N/A</v>
      </c>
      <c r="U83" s="185" t="str">
        <f>IF(R83="YES",'CASE DATA'!I84+'CASE DATA'!J84+'CASE DATA'!L84+'CASE DATA'!M84+'CASE DATA'!N84+'CASE DATA'!O84+'CASE DATA'!P84+'CASE DATA'!Q84+'CASE DATA'!R84,"N/A")</f>
        <v>N/A</v>
      </c>
      <c r="V83" s="189" t="str">
        <f>IF(OR('CASE DATA'!E84="123.46",'CASE DATA'!E84="123.47"),"YES","NO")</f>
        <v>NO</v>
      </c>
      <c r="W83" s="189"/>
      <c r="X83" s="185" t="str">
        <f>IF(V83="YES",IF(C83+730.5&lt;'BASIC INFO'!$B$3, "YES","NO"), "N/A")</f>
        <v>N/A</v>
      </c>
      <c r="Y83" s="189" t="str">
        <f t="shared" si="1"/>
        <v>NO</v>
      </c>
      <c r="Z83" s="187" t="str">
        <f xml:space="preserve"> IF('BASIC INFO'!$B$6+6574.5&gt;C83, "YES", "NO")</f>
        <v>YES</v>
      </c>
    </row>
    <row r="84" spans="1:26" x14ac:dyDescent="0.25">
      <c r="A84" s="162">
        <f xml:space="preserve"> 'CASE DATA'!A85</f>
        <v>0</v>
      </c>
      <c r="B84" s="162">
        <f xml:space="preserve"> 'CASE DATA'!E85</f>
        <v>0</v>
      </c>
      <c r="C84" s="163">
        <f xml:space="preserve"> 'CASE DATA'!C85</f>
        <v>0</v>
      </c>
      <c r="D84" s="11" t="str">
        <f xml:space="preserve"> IF(OR('CASE DATA'!F85="JUV", 'CASE DATA'!F85="JWV"), "YES", "NO")</f>
        <v>NO</v>
      </c>
      <c r="E84" s="11"/>
      <c r="F84" s="11" t="str">
        <f>IF(D84="YES",IF(COUNTIF('CASE DATA'!$C$4:$C$200, "")-COUNTIF('CASE DATA'!$A$4:$A$200, "")&gt;0, "YES","NO"),"N/A")</f>
        <v>N/A</v>
      </c>
      <c r="G84" s="164" t="str">
        <f xml:space="preserve"> _xlfn.IFS(D84="NO", "N/A", AND('BASIC INFO'!$B$3&gt;'BASIC INFO'!$B$6+6574.5, C84+730.5&lt;'BASIC INFO'!$B$3), "YES", 'BASIC INFO'!$B$3&lt;('BASIC INFO'!$B$6+6574.5), "NOT YET 18", C84+730.5&gt;'BASIC INFO'!$B$3, "NOT YET 2 YEARS")</f>
        <v>N/A</v>
      </c>
      <c r="H84" s="186" t="str">
        <f xml:space="preserve"> IF(LEFT('CASE DATA'!E85,4)&lt;&gt;"321.",IF(OR('CASE DATA'!F85="DISM", 'CASE DATA'!F85="ACQ", 'CASE DATA'!F85="NOTF", 'CASE DATA'!F85="WTHD", 'CASE DATA'!F85="TNSF"), "YES", "NO"), "TRAFFIC")</f>
        <v>NO</v>
      </c>
      <c r="I84" s="185" t="str">
        <f xml:space="preserve"> IF(H84="YES",'CASE DATA'!K85,"N/A")</f>
        <v>N/A</v>
      </c>
      <c r="J84" s="185" t="str">
        <f>IF(H84="YES",'CASE DATA'!I85+'CASE DATA'!J85+'CASE DATA'!L85+'CASE DATA'!M85+'CASE DATA'!N85+'CASE DATA'!O85+'CASE DATA'!P85+'CASE DATA'!Q85+'CASE DATA'!R85,"N/A")</f>
        <v>N/A</v>
      </c>
      <c r="K84" s="162" t="str">
        <f xml:space="preserve"> IF(H84="YES",IF(C84+180&lt;'BASIC INFO'!$B$3, "YES", "NO"),"N/A")</f>
        <v>N/A</v>
      </c>
      <c r="L84" s="185" t="str">
        <f>IF(OR('CASE DATA'!F85="GTR", 'CASE DATA'!F85="GPL"),IF(OR('CASE DATA'!E85="81.6(2)", 'CASE DATA'!E85="99F.15(6)(b)(1)", 'CASE DATA'!E85= "124.401(1)(a)", 'CASE DATA'!E85= "124.401(1)(b)", 'CASE DATA'!E85= "124.401(1)(c)", 'CASE DATA'!E85= "124.401(1)(d)", 'CASE DATA'!E85="124.401(4)", 'CASE DATA'!E85="124.401(1)(b)", 'CASE DATA'!E85="124.401(1)(c)", 'CASE DATA'!E85="124.401D(2)(b)", 'CASE DATA'!E85="124.401D(2)(c)", 'CASE DATA'!E85="124.406(1)(a)", 'CASE DATA'!E85="124.406(1)(b) ", 'CASE DATA'!E85="124.406(2)(a)", 'CASE DATA'!E85="124.406(2)(b) ", 'CASE DATA'!E85="124.406(3)", 'CASE DATA'!E85="124.406A ", 'CASE DATA'!E85="124.407(2)(a)", 'CASE DATA'!E85="124B.9(1)", 'CASE DATA'!E85="124B.9(2)", 'CASE DATA'!E85="321J.2(2)(c)", 'CASE DATA'!E85="453B.12(2)", 'CASE DATA'!E85="453B.12(3)", 'CASE DATA'!E85="453B.12(4)", 'CASE DATA'!E85="462A.14(2)(c)", 'CASE DATA'!E85="462A.14(2)(d)", 'CASE DATA'!E85="462A.14(2)(e)", 'CASE DATA'!E85="705.1(2)", 'CASE DATA'!E85="706.3(1)", 'CASE DATA'!E85="706.3(2)", 'CASE DATA'!E85="706A.2(1)", 'CASE DATA'!E85="706A.2(2)", 'CASE DATA'!E85="706A.2(4)", 'CASE DATA'!E85="706B.2(1)(a)", 'CASE DATA'!E85="706B.2(1)(b)", 'CASE DATA'!E85="706B.2(1)(c)", 'CASE DATA'!E85="706B.2(1)(d)", 'CASE DATA'!E85="707.2", 'CASE DATA'!E85="707.3", 'CASE DATA'!E85="707.3A", 'CASE DATA'!E85="707.4", 'CASE DATA'!E85="707.5(1)(a)", 'CASE DATA'!E85="707.6A(1)", 'CASE DATA'!E85="707.6A(2)", 'CASE DATA'!E85="707.6A(3)", 'CASE DATA'!E85="707.6A(4)", 'CASE DATA'!E85="707.7(1)", 'CASE DATA'!E85="707.7(3)", 'CASE DATA'!E85="707.7(2)", 'CASE DATA'!E85="707.8(1)", 'CASE DATA'!E85="707.8(2)", 'CASE DATA'!E85="707.8(3)", 'CASE DATA'!E85="707.8(4)", 'CASE DATA'!E85="707.8(5)", 'CASE DATA'!E85="707.8(6)", 'CASE DATA'!E85="707.9", 'CASE DATA'!E85="707.11", 'CASE DATA'!E85="707A.2", 'CASE DATA'!E85="708.2(4)", 'CASE DATA'!E85="708.2(5)", 'CASE DATA'!E85="708.2A(4)", 'CASE DATA'!E85="708.2A(5)", 'CASE DATA'!E85="708.2C(2)", 'CASE DATA'!E85="708.2C(4)", 'CASE DATA'!E85="708.3(1)", 'CASE DATA'!E85="708.3(2)", 'CASE DATA'!E85="708.3A(1)", 'CASE DATA'!E85="708.3A(2)", 'CASE DATA'!E85="708.3B", 'CASE DATA'!E85="708.4(1)", 'CASE DATA'!E85="708.4(2)", 'CASE DATA'!E85="708.5", 'CASE DATA'!E85="708.8", 'CASE DATA'!E85="708.11(3)(a)", 'CASE DATA'!E85="708.11(3)(b)", 'CASE DATA'!E85="708.12(3)(f)", 'CASE DATA'!E85="708.13(3)", 'CASE DATA'!E85="708.14", 'CASE DATA'!E85="708A.2", 'CASE DATA'!E85="708A.4(1)", 'CASE DATA'!E85="708A.4(2)", 'CASE DATA'!E85="708A.5", 'CASE DATA'!E85="708A.6(1)", 'CASE DATA'!E85="708.A.6(2)", 'CASE DATA'!E85="709.2", 'CASE DATA'!E85="709.3", 'CASE DATA'!E85="709.4", 'CASE DATA'!E85="709.8(1)(a)", 'CASE DATA'!E85="709.8(1)(b)", 'CASE DATA'!E85="709.8(1)(c)", 'CASE DATA'!E85="709.8(1)(d)", 'CASE DATA'!E85="709.8(1)(e)", 'CASE DATA'!E85="709.11(1)", 'CASE DATA'!E85="709.11(2)", 'CASE DATA'!E85="709.15(2)(a)(1)", 'CASE DATA'!E85="709.15(3)(a)(1)", 'CASE DATA'!E85="709.18", 'CASE DATA'!E85="709A.6(2)", 'CASE DATA'!E85="709D.3(1)", 'CASE DATA'!E85="709D.3(2)", 'CASE DATA'!E85="709.D.3(3)", 'CASE DATA'!E85="710.2", 'CASE DATA'!E85="710.3", 'CASE DATA'!E85="710.4", 'CASE DATA'!E85="710.5", 'CASE DATA'!E85="710.10(1)", 'CASE DATA'!E85="710.10(2)", 'CASE DATA'!E85="710.10(3)", 'CASE DATA'!E85="710.11", 'CASE DATA'!E85="710A.2(1)", 'CASE DATA'!E85="710A.2(2)", 'CASE DATA'!E85="710A.2(3)", 'CASE DATA'!E85="710A.2(4)", 'CASE DATA'!E85="710A.2(5)", 'CASE DATA'!E85="710A.2(6)", 'CASE DATA'!E85="710A.2(7)", 'CASE DATA'!E85="710A.2A", 'CASE DATA'!E85="711.2", 'CASE DATA'!E85="711.3", 'CASE DATA'!E85="711.4", 'CASE DATA'!E85="712.2", 'CASE DATA'!E85="712.3", 'CASE DATA'!E85="712.6(1)", 'CASE DATA'!E85="712.7", 'CASE DATA'!E85="712.8", 'CASE DATA'!E85="", 'CASE DATA'!E85="713.3", 'CASE DATA'!E85="713.4", 'CASE DATA'!E85="713.5", 'CASE DATA'!E85="713.6", 'CASE DATA'!E85="713.6A(1)", 'CASE DATA'!E85="714.2(1)", 'CASE DATA'!E85="714.2(2)", 'CASE DATA'!E85="714.3A(2)(b)", 'CASE DATA'!E85="714.9", 'CASE DATA'!E85="714.10", 'CASE DATA'!E85="714.26(2)(a)", 'CASE DATA'!E85="714.26(2)(b)", 'CASE DATA'!E85="715A.2(2)(a)", 'CASE DATA'!E85="715A.6(2)(a)", 'CASE DATA'!E85="715A.6(2)(b)", 'CASE DATA'!E85="715A.8(3)(a)", 'CASE DATA'!E85="715A.8(3)(b)", 'CASE DATA'!E85="715A.10(1)", 'CASE DATA'!E85="715A.10(2)", 'CASE DATA'!E85="716.3", 'CASE DATA'!E85="716.4", 'CASE DATA'!E85="716.8(6)", 'CASE DATA'!E85="716.10(2)(a)", 'CASE DATA'!E85="716.10(2)(b)", 'CASE DATA'!E85="716.10(2)(c)", 'CASE DATA'!E85="716.10(2)(d)", 'CASE DATA'!E85="716.12", 'CASE DATA'!E85="719.1(1)(f)", 'CASE DATA'!E85="719.1(2)(e)", 'CASE DATA'!E85="719.1(2)(f)", 'CASE DATA'!E85="719.1(2)(g)", 'CASE DATA'!E85="719.4(1)", 'CASE DATA'!E85="719.4(4)", 'CASE DATA'!E85="719.5(1)", 'CASE DATA'!E85="719.5(2)", 'CASE DATA'!E85="719.6(1)", 'CASE DATA'!E85="719.6(2)", 'CASE DATA'!E85="719.7(4)(a)", 'CASE DATA'!E85="719.7(4)(b)", 'CASE DATA'!E85="719.7A(3)", 'CASE DATA'!E85="719.9", 'CASE DATA'!E85="719.8", 'CASE DATA'!E85="720.2", 'CASE DATA'!E85="720.3", 'CASE DATA'!E85="721.1", 'CASE DATA'!E85="722.1", 'CASE DATA'!E85="", 'CASE DATA'!E85="722.2", 'CASE DATA'!E85="722.10", 'CASE DATA'!E85="723(5)(3)(c)", 'CASE DATA'!E85="723A.2", 'CASE DATA'!E85="723A.3(1)", 'CASE DATA'!E85="723A.3(2)", 'CASE DATA'!E85="724.1B", 'CASE DATA'!E85="724.1C", 'CASE DATA'!E85="724.3", 'CASE DATA'!E85="724.4B", 'CASE DATA'!E85="724.10", 'CASE DATA'!E85="724.16(2)", 'CASE DATA'!E85="724.16A(1)(a)", 'CASE DATA'!E85="724.16A(1)(b)", 'CASE DATA'!E85="724.17", 'CASE DATA'!E85="724.21", 'CASE DATA'!E85="724.26(1)", 'CASE DATA'!E85="922(g)(8)", 'CASE DATA'!E85="724.29A(2)", 'CASE DATA'!E85="724.29A(3)", 'CASE DATA'!E85="724.30(1)", 'CASE DATA'!E85="724.30(2)", 'CASE DATA'!E85="725.1(2)(b)", 'CASE DATA'!E85="725.2(1)", 'CASE DATA'!E85="725.2(2)", 'CASE DATA'!E85="725.3(2)", 'CASE DATA'!E85="725.3(1)", 'CASE DATA'!E85="725.7(2)(a)(3)", 'CASE DATA'!E85="725.7(2)(a)(4)", 'CASE DATA'!E85="725.7(2)(b)(2)", 'CASE DATA'!E85="725.7(2)(b(3)", 'CASE DATA'!E85="726.7(2)(c)(1)", 'CASE DATA'!E85="726.7(2)(c)(2)", 'CASE DATA'!E85="725.7(2)(d)", 'CASE DATA'!E85="726.2", 'CASE DATA'!E85="726.3", 'CASE DATA'!E85="726.5", 'CASE DATA'!E85="726.6(4)", 'CASE DATA'!E85="726.6(5)", 'CASE DATA'!E85="726.6(6)", 'CASE DATA'!E85="726.6A", 'CASE DATA'!E85="726.7(2)", 'CASE DATA'!E85="726.8(2)", 'CASE DATA'!E85="728.12(1)", 'CASE DATA'!E85="728.12(2)"),"felony","eligible"),"N/A")</f>
        <v>N/A</v>
      </c>
      <c r="M84" s="185" t="str">
        <f>IF(L84="eligible",IF(OR('CASE DATA'!E85="123.46",'CASE DATA'!E85="123.47",'CASE DATA'!E85="235B.20",'CASE DATA'!E85="321.218",'CASE DATA'!E85="321A.32",'CASE DATA'!E85="321J.21",'CASE DATA'!E85="321J.2",'CASE DATA'!E85="707.5",'CASE DATA'!E85="708.2(3)",'CASE DATA'!E85="708.2A",'CASE DATA'!E85="708.7",'CASE DATA'!E85="708.11",'CASE DATA'!E85="708.12",'CASE DATA'!E85="716.8(3)",'CASE DATA'!E85="716.8(4)", LEFT('CASE DATA'!E85,4)="717C", LEFT('CASE DATA'!E85, 3)="719", LEFT('CASE DATA'!E85,3)="720", 'CASE DATA'!E85="721.2", 'CASE DATA'!E85="721.10", 'CASE DATA'!E85="723.1", LEFT('CASE DATA'!E85,3)="724", LEFT('CASE DATA'!E85,3)="726", LEFT('CASE DATA'!E85,3)="728", LEFT('CASE DATA'!E85,4)="901A"),"ineligible misd", "eligible"),"N/A")</f>
        <v>N/A</v>
      </c>
      <c r="N84" s="185" t="str">
        <f>IF(L84="eligible",IF(COUNTIF('CASE DATA'!$C$4:$C$200, "")-COUNTIF('CASE DATA'!$A$4:$A$200, "")&gt;0, "YES","NO"),"N/A")</f>
        <v>N/A</v>
      </c>
      <c r="O84" s="185" t="str">
        <f xml:space="preserve"> IF(M84="eligible",'CASE DATA'!K85,"N/A")</f>
        <v>N/A</v>
      </c>
      <c r="P84" s="185" t="str">
        <f xml:space="preserve"> IF(M84="eligible",'CASE DATA'!I85+'CASE DATA'!J85+'CASE DATA'!L85+'CASE DATA'!M85+'CASE DATA'!N85+'CASE DATA'!O85+'CASE DATA'!M85+'CASE DATA'!Q85+'CASE DATA'!R85,"N/A")</f>
        <v>N/A</v>
      </c>
      <c r="Q84" s="11" t="str">
        <f>IF(M84="eligible",IF(C84+730.5&lt;'BASIC INFO'!$B$3, "YES", "NO"),"N/A")</f>
        <v>N/A</v>
      </c>
      <c r="R84" s="186" t="str">
        <f xml:space="preserve"> IF(OR('CASE DATA'!F85="DEF"), "YES", "NO")</f>
        <v>NO</v>
      </c>
      <c r="S84" s="162" t="str">
        <f>IF(R84="YES",'CASE DATA'!H85,"N/A")</f>
        <v>N/A</v>
      </c>
      <c r="T84" s="185" t="str">
        <f xml:space="preserve"> IF(R84="YES",'CASE DATA'!K85,"N/A")</f>
        <v>N/A</v>
      </c>
      <c r="U84" s="185" t="str">
        <f>IF(R84="YES",'CASE DATA'!I85+'CASE DATA'!J85+'CASE DATA'!L85+'CASE DATA'!M85+'CASE DATA'!N85+'CASE DATA'!O85+'CASE DATA'!P85+'CASE DATA'!Q85+'CASE DATA'!R85,"N/A")</f>
        <v>N/A</v>
      </c>
      <c r="V84" s="189" t="str">
        <f>IF(OR('CASE DATA'!E85="123.46",'CASE DATA'!E85="123.47"),"YES","NO")</f>
        <v>NO</v>
      </c>
      <c r="W84" s="189"/>
      <c r="X84" s="185" t="str">
        <f>IF(V84="YES",IF(C84+730.5&lt;'BASIC INFO'!$B$3, "YES","NO"), "N/A")</f>
        <v>N/A</v>
      </c>
      <c r="Y84" s="189" t="str">
        <f t="shared" si="1"/>
        <v>NO</v>
      </c>
      <c r="Z84" s="187" t="str">
        <f xml:space="preserve"> IF('BASIC INFO'!$B$6+6574.5&gt;C84, "YES", "NO")</f>
        <v>YES</v>
      </c>
    </row>
    <row r="85" spans="1:26" x14ac:dyDescent="0.25">
      <c r="A85" s="162">
        <f xml:space="preserve"> 'CASE DATA'!A86</f>
        <v>0</v>
      </c>
      <c r="B85" s="162">
        <f xml:space="preserve"> 'CASE DATA'!E86</f>
        <v>0</v>
      </c>
      <c r="C85" s="163">
        <f xml:space="preserve"> 'CASE DATA'!C86</f>
        <v>0</v>
      </c>
      <c r="D85" s="11" t="str">
        <f xml:space="preserve"> IF(OR('CASE DATA'!F86="JUV", 'CASE DATA'!F86="JWV"), "YES", "NO")</f>
        <v>NO</v>
      </c>
      <c r="E85" s="11"/>
      <c r="F85" s="11" t="str">
        <f>IF(D85="YES",IF(COUNTIF('CASE DATA'!$C$4:$C$200, "")-COUNTIF('CASE DATA'!$A$4:$A$200, "")&gt;0, "YES","NO"),"N/A")</f>
        <v>N/A</v>
      </c>
      <c r="G85" s="164" t="str">
        <f xml:space="preserve"> _xlfn.IFS(D85="NO", "N/A", AND('BASIC INFO'!$B$3&gt;'BASIC INFO'!$B$6+6574.5, C85+730.5&lt;'BASIC INFO'!$B$3), "YES", 'BASIC INFO'!$B$3&lt;('BASIC INFO'!$B$6+6574.5), "NOT YET 18", C85+730.5&gt;'BASIC INFO'!$B$3, "NOT YET 2 YEARS")</f>
        <v>N/A</v>
      </c>
      <c r="H85" s="186" t="str">
        <f xml:space="preserve"> IF(LEFT('CASE DATA'!E86,4)&lt;&gt;"321.",IF(OR('CASE DATA'!F86="DISM", 'CASE DATA'!F86="ACQ", 'CASE DATA'!F86="NOTF", 'CASE DATA'!F86="WTHD", 'CASE DATA'!F86="TNSF"), "YES", "NO"), "TRAFFIC")</f>
        <v>NO</v>
      </c>
      <c r="I85" s="185" t="str">
        <f xml:space="preserve"> IF(H85="YES",'CASE DATA'!K86,"N/A")</f>
        <v>N/A</v>
      </c>
      <c r="J85" s="185" t="str">
        <f>IF(H85="YES",'CASE DATA'!I86+'CASE DATA'!J86+'CASE DATA'!L86+'CASE DATA'!M86+'CASE DATA'!N86+'CASE DATA'!O86+'CASE DATA'!P86+'CASE DATA'!Q86+'CASE DATA'!R86,"N/A")</f>
        <v>N/A</v>
      </c>
      <c r="K85" s="162" t="str">
        <f xml:space="preserve"> IF(H85="YES",IF(C85+180&lt;'BASIC INFO'!$B$3, "YES", "NO"),"N/A")</f>
        <v>N/A</v>
      </c>
      <c r="L85" s="185" t="str">
        <f>IF(OR('CASE DATA'!F86="GTR", 'CASE DATA'!F86="GPL"),IF(OR('CASE DATA'!E86="81.6(2)", 'CASE DATA'!E86="99F.15(6)(b)(1)", 'CASE DATA'!E86= "124.401(1)(a)", 'CASE DATA'!E86= "124.401(1)(b)", 'CASE DATA'!E86= "124.401(1)(c)", 'CASE DATA'!E86= "124.401(1)(d)", 'CASE DATA'!E86="124.401(4)", 'CASE DATA'!E86="124.401(1)(b)", 'CASE DATA'!E86="124.401(1)(c)", 'CASE DATA'!E86="124.401D(2)(b)", 'CASE DATA'!E86="124.401D(2)(c)", 'CASE DATA'!E86="124.406(1)(a)", 'CASE DATA'!E86="124.406(1)(b) ", 'CASE DATA'!E86="124.406(2)(a)", 'CASE DATA'!E86="124.406(2)(b) ", 'CASE DATA'!E86="124.406(3)", 'CASE DATA'!E86="124.406A ", 'CASE DATA'!E86="124.407(2)(a)", 'CASE DATA'!E86="124B.9(1)", 'CASE DATA'!E86="124B.9(2)", 'CASE DATA'!E86="321J.2(2)(c)", 'CASE DATA'!E86="453B.12(2)", 'CASE DATA'!E86="453B.12(3)", 'CASE DATA'!E86="453B.12(4)", 'CASE DATA'!E86="462A.14(2)(c)", 'CASE DATA'!E86="462A.14(2)(d)", 'CASE DATA'!E86="462A.14(2)(e)", 'CASE DATA'!E86="705.1(2)", 'CASE DATA'!E86="706.3(1)", 'CASE DATA'!E86="706.3(2)", 'CASE DATA'!E86="706A.2(1)", 'CASE DATA'!E86="706A.2(2)", 'CASE DATA'!E86="706A.2(4)", 'CASE DATA'!E86="706B.2(1)(a)", 'CASE DATA'!E86="706B.2(1)(b)", 'CASE DATA'!E86="706B.2(1)(c)", 'CASE DATA'!E86="706B.2(1)(d)", 'CASE DATA'!E86="707.2", 'CASE DATA'!E86="707.3", 'CASE DATA'!E86="707.3A", 'CASE DATA'!E86="707.4", 'CASE DATA'!E86="707.5(1)(a)", 'CASE DATA'!E86="707.6A(1)", 'CASE DATA'!E86="707.6A(2)", 'CASE DATA'!E86="707.6A(3)", 'CASE DATA'!E86="707.6A(4)", 'CASE DATA'!E86="707.7(1)", 'CASE DATA'!E86="707.7(3)", 'CASE DATA'!E86="707.7(2)", 'CASE DATA'!E86="707.8(1)", 'CASE DATA'!E86="707.8(2)", 'CASE DATA'!E86="707.8(3)", 'CASE DATA'!E86="707.8(4)", 'CASE DATA'!E86="707.8(5)", 'CASE DATA'!E86="707.8(6)", 'CASE DATA'!E86="707.9", 'CASE DATA'!E86="707.11", 'CASE DATA'!E86="707A.2", 'CASE DATA'!E86="708.2(4)", 'CASE DATA'!E86="708.2(5)", 'CASE DATA'!E86="708.2A(4)", 'CASE DATA'!E86="708.2A(5)", 'CASE DATA'!E86="708.2C(2)", 'CASE DATA'!E86="708.2C(4)", 'CASE DATA'!E86="708.3(1)", 'CASE DATA'!E86="708.3(2)", 'CASE DATA'!E86="708.3A(1)", 'CASE DATA'!E86="708.3A(2)", 'CASE DATA'!E86="708.3B", 'CASE DATA'!E86="708.4(1)", 'CASE DATA'!E86="708.4(2)", 'CASE DATA'!E86="708.5", 'CASE DATA'!E86="708.8", 'CASE DATA'!E86="708.11(3)(a)", 'CASE DATA'!E86="708.11(3)(b)", 'CASE DATA'!E86="708.12(3)(f)", 'CASE DATA'!E86="708.13(3)", 'CASE DATA'!E86="708.14", 'CASE DATA'!E86="708A.2", 'CASE DATA'!E86="708A.4(1)", 'CASE DATA'!E86="708A.4(2)", 'CASE DATA'!E86="708A.5", 'CASE DATA'!E86="708A.6(1)", 'CASE DATA'!E86="708.A.6(2)", 'CASE DATA'!E86="709.2", 'CASE DATA'!E86="709.3", 'CASE DATA'!E86="709.4", 'CASE DATA'!E86="709.8(1)(a)", 'CASE DATA'!E86="709.8(1)(b)", 'CASE DATA'!E86="709.8(1)(c)", 'CASE DATA'!E86="709.8(1)(d)", 'CASE DATA'!E86="709.8(1)(e)", 'CASE DATA'!E86="709.11(1)", 'CASE DATA'!E86="709.11(2)", 'CASE DATA'!E86="709.15(2)(a)(1)", 'CASE DATA'!E86="709.15(3)(a)(1)", 'CASE DATA'!E86="709.18", 'CASE DATA'!E86="709A.6(2)", 'CASE DATA'!E86="709D.3(1)", 'CASE DATA'!E86="709D.3(2)", 'CASE DATA'!E86="709.D.3(3)", 'CASE DATA'!E86="710.2", 'CASE DATA'!E86="710.3", 'CASE DATA'!E86="710.4", 'CASE DATA'!E86="710.5", 'CASE DATA'!E86="710.10(1)", 'CASE DATA'!E86="710.10(2)", 'CASE DATA'!E86="710.10(3)", 'CASE DATA'!E86="710.11", 'CASE DATA'!E86="710A.2(1)", 'CASE DATA'!E86="710A.2(2)", 'CASE DATA'!E86="710A.2(3)", 'CASE DATA'!E86="710A.2(4)", 'CASE DATA'!E86="710A.2(5)", 'CASE DATA'!E86="710A.2(6)", 'CASE DATA'!E86="710A.2(7)", 'CASE DATA'!E86="710A.2A", 'CASE DATA'!E86="711.2", 'CASE DATA'!E86="711.3", 'CASE DATA'!E86="711.4", 'CASE DATA'!E86="712.2", 'CASE DATA'!E86="712.3", 'CASE DATA'!E86="712.6(1)", 'CASE DATA'!E86="712.7", 'CASE DATA'!E86="712.8", 'CASE DATA'!E86="", 'CASE DATA'!E86="713.3", 'CASE DATA'!E86="713.4", 'CASE DATA'!E86="713.5", 'CASE DATA'!E86="713.6", 'CASE DATA'!E86="713.6A(1)", 'CASE DATA'!E86="714.2(1)", 'CASE DATA'!E86="714.2(2)", 'CASE DATA'!E86="714.3A(2)(b)", 'CASE DATA'!E86="714.9", 'CASE DATA'!E86="714.10", 'CASE DATA'!E86="714.26(2)(a)", 'CASE DATA'!E86="714.26(2)(b)", 'CASE DATA'!E86="715A.2(2)(a)", 'CASE DATA'!E86="715A.6(2)(a)", 'CASE DATA'!E86="715A.6(2)(b)", 'CASE DATA'!E86="715A.8(3)(a)", 'CASE DATA'!E86="715A.8(3)(b)", 'CASE DATA'!E86="715A.10(1)", 'CASE DATA'!E86="715A.10(2)", 'CASE DATA'!E86="716.3", 'CASE DATA'!E86="716.4", 'CASE DATA'!E86="716.8(6)", 'CASE DATA'!E86="716.10(2)(a)", 'CASE DATA'!E86="716.10(2)(b)", 'CASE DATA'!E86="716.10(2)(c)", 'CASE DATA'!E86="716.10(2)(d)", 'CASE DATA'!E86="716.12", 'CASE DATA'!E86="719.1(1)(f)", 'CASE DATA'!E86="719.1(2)(e)", 'CASE DATA'!E86="719.1(2)(f)", 'CASE DATA'!E86="719.1(2)(g)", 'CASE DATA'!E86="719.4(1)", 'CASE DATA'!E86="719.4(4)", 'CASE DATA'!E86="719.5(1)", 'CASE DATA'!E86="719.5(2)", 'CASE DATA'!E86="719.6(1)", 'CASE DATA'!E86="719.6(2)", 'CASE DATA'!E86="719.7(4)(a)", 'CASE DATA'!E86="719.7(4)(b)", 'CASE DATA'!E86="719.7A(3)", 'CASE DATA'!E86="719.9", 'CASE DATA'!E86="719.8", 'CASE DATA'!E86="720.2", 'CASE DATA'!E86="720.3", 'CASE DATA'!E86="721.1", 'CASE DATA'!E86="722.1", 'CASE DATA'!E86="", 'CASE DATA'!E86="722.2", 'CASE DATA'!E86="722.10", 'CASE DATA'!E86="723(5)(3)(c)", 'CASE DATA'!E86="723A.2", 'CASE DATA'!E86="723A.3(1)", 'CASE DATA'!E86="723A.3(2)", 'CASE DATA'!E86="724.1B", 'CASE DATA'!E86="724.1C", 'CASE DATA'!E86="724.3", 'CASE DATA'!E86="724.4B", 'CASE DATA'!E86="724.10", 'CASE DATA'!E86="724.16(2)", 'CASE DATA'!E86="724.16A(1)(a)", 'CASE DATA'!E86="724.16A(1)(b)", 'CASE DATA'!E86="724.17", 'CASE DATA'!E86="724.21", 'CASE DATA'!E86="724.26(1)", 'CASE DATA'!E86="922(g)(8)", 'CASE DATA'!E86="724.29A(2)", 'CASE DATA'!E86="724.29A(3)", 'CASE DATA'!E86="724.30(1)", 'CASE DATA'!E86="724.30(2)", 'CASE DATA'!E86="725.1(2)(b)", 'CASE DATA'!E86="725.2(1)", 'CASE DATA'!E86="725.2(2)", 'CASE DATA'!E86="725.3(2)", 'CASE DATA'!E86="725.3(1)", 'CASE DATA'!E86="725.7(2)(a)(3)", 'CASE DATA'!E86="725.7(2)(a)(4)", 'CASE DATA'!E86="725.7(2)(b)(2)", 'CASE DATA'!E86="725.7(2)(b(3)", 'CASE DATA'!E86="726.7(2)(c)(1)", 'CASE DATA'!E86="726.7(2)(c)(2)", 'CASE DATA'!E86="725.7(2)(d)", 'CASE DATA'!E86="726.2", 'CASE DATA'!E86="726.3", 'CASE DATA'!E86="726.5", 'CASE DATA'!E86="726.6(4)", 'CASE DATA'!E86="726.6(5)", 'CASE DATA'!E86="726.6(6)", 'CASE DATA'!E86="726.6A", 'CASE DATA'!E86="726.7(2)", 'CASE DATA'!E86="726.8(2)", 'CASE DATA'!E86="728.12(1)", 'CASE DATA'!E86="728.12(2)"),"felony","eligible"),"N/A")</f>
        <v>N/A</v>
      </c>
      <c r="M85" s="185" t="str">
        <f>IF(L85="eligible",IF(OR('CASE DATA'!E86="123.46",'CASE DATA'!E86="123.47",'CASE DATA'!E86="235B.20",'CASE DATA'!E86="321.218",'CASE DATA'!E86="321A.32",'CASE DATA'!E86="321J.21",'CASE DATA'!E86="321J.2",'CASE DATA'!E86="707.5",'CASE DATA'!E86="708.2(3)",'CASE DATA'!E86="708.2A",'CASE DATA'!E86="708.7",'CASE DATA'!E86="708.11",'CASE DATA'!E86="708.12",'CASE DATA'!E86="716.8(3)",'CASE DATA'!E86="716.8(4)", LEFT('CASE DATA'!E86,4)="717C", LEFT('CASE DATA'!E86, 3)="719", LEFT('CASE DATA'!E86,3)="720", 'CASE DATA'!E86="721.2", 'CASE DATA'!E86="721.10", 'CASE DATA'!E86="723.1", LEFT('CASE DATA'!E86,3)="724", LEFT('CASE DATA'!E86,3)="726", LEFT('CASE DATA'!E86,3)="728", LEFT('CASE DATA'!E86,4)="901A"),"ineligible misd", "eligible"),"N/A")</f>
        <v>N/A</v>
      </c>
      <c r="N85" s="185" t="str">
        <f>IF(L85="eligible",IF(COUNTIF('CASE DATA'!$C$4:$C$200, "")-COUNTIF('CASE DATA'!$A$4:$A$200, "")&gt;0, "YES","NO"),"N/A")</f>
        <v>N/A</v>
      </c>
      <c r="O85" s="185" t="str">
        <f xml:space="preserve"> IF(M85="eligible",'CASE DATA'!K86,"N/A")</f>
        <v>N/A</v>
      </c>
      <c r="P85" s="185" t="str">
        <f xml:space="preserve"> IF(M85="eligible",'CASE DATA'!I86+'CASE DATA'!J86+'CASE DATA'!L86+'CASE DATA'!M86+'CASE DATA'!N86+'CASE DATA'!O86+'CASE DATA'!M86+'CASE DATA'!Q86+'CASE DATA'!R86,"N/A")</f>
        <v>N/A</v>
      </c>
      <c r="Q85" s="11" t="str">
        <f>IF(M85="eligible",IF(C85+730.5&lt;'BASIC INFO'!$B$3, "YES", "NO"),"N/A")</f>
        <v>N/A</v>
      </c>
      <c r="R85" s="186" t="str">
        <f xml:space="preserve"> IF(OR('CASE DATA'!F86="DEF"), "YES", "NO")</f>
        <v>NO</v>
      </c>
      <c r="S85" s="162" t="str">
        <f>IF(R85="YES",'CASE DATA'!H86,"N/A")</f>
        <v>N/A</v>
      </c>
      <c r="T85" s="185" t="str">
        <f xml:space="preserve"> IF(R85="YES",'CASE DATA'!K86,"N/A")</f>
        <v>N/A</v>
      </c>
      <c r="U85" s="185" t="str">
        <f>IF(R85="YES",'CASE DATA'!I86+'CASE DATA'!J86+'CASE DATA'!L86+'CASE DATA'!M86+'CASE DATA'!N86+'CASE DATA'!O86+'CASE DATA'!P86+'CASE DATA'!Q86+'CASE DATA'!R86,"N/A")</f>
        <v>N/A</v>
      </c>
      <c r="V85" s="189" t="str">
        <f>IF(OR('CASE DATA'!E86="123.46",'CASE DATA'!E86="123.47"),"YES","NO")</f>
        <v>NO</v>
      </c>
      <c r="W85" s="189"/>
      <c r="X85" s="185" t="str">
        <f>IF(V85="YES",IF(C85+730.5&lt;'BASIC INFO'!$B$3, "YES","NO"), "N/A")</f>
        <v>N/A</v>
      </c>
      <c r="Y85" s="189" t="str">
        <f t="shared" si="1"/>
        <v>NO</v>
      </c>
      <c r="Z85" s="187" t="str">
        <f xml:space="preserve"> IF('BASIC INFO'!$B$6+6574.5&gt;C85, "YES", "NO")</f>
        <v>YES</v>
      </c>
    </row>
    <row r="86" spans="1:26" x14ac:dyDescent="0.25">
      <c r="A86" s="162">
        <f xml:space="preserve"> 'CASE DATA'!A87</f>
        <v>0</v>
      </c>
      <c r="B86" s="162">
        <f xml:space="preserve"> 'CASE DATA'!E87</f>
        <v>0</v>
      </c>
      <c r="C86" s="163">
        <f xml:space="preserve"> 'CASE DATA'!C87</f>
        <v>0</v>
      </c>
      <c r="D86" s="11" t="str">
        <f xml:space="preserve"> IF(OR('CASE DATA'!F87="JUV", 'CASE DATA'!F87="JWV"), "YES", "NO")</f>
        <v>NO</v>
      </c>
      <c r="E86" s="11"/>
      <c r="F86" s="11" t="str">
        <f>IF(D86="YES",IF(COUNTIF('CASE DATA'!$C$4:$C$200, "")-COUNTIF('CASE DATA'!$A$4:$A$200, "")&gt;0, "YES","NO"),"N/A")</f>
        <v>N/A</v>
      </c>
      <c r="G86" s="164" t="str">
        <f xml:space="preserve"> _xlfn.IFS(D86="NO", "N/A", AND('BASIC INFO'!$B$3&gt;'BASIC INFO'!$B$6+6574.5, C86+730.5&lt;'BASIC INFO'!$B$3), "YES", 'BASIC INFO'!$B$3&lt;('BASIC INFO'!$B$6+6574.5), "NOT YET 18", C86+730.5&gt;'BASIC INFO'!$B$3, "NOT YET 2 YEARS")</f>
        <v>N/A</v>
      </c>
      <c r="H86" s="186" t="str">
        <f xml:space="preserve"> IF(LEFT('CASE DATA'!E87,4)&lt;&gt;"321.",IF(OR('CASE DATA'!F87="DISM", 'CASE DATA'!F87="ACQ", 'CASE DATA'!F87="NOTF", 'CASE DATA'!F87="WTHD", 'CASE DATA'!F87="TNSF"), "YES", "NO"), "TRAFFIC")</f>
        <v>NO</v>
      </c>
      <c r="I86" s="185" t="str">
        <f xml:space="preserve"> IF(H86="YES",'CASE DATA'!K87,"N/A")</f>
        <v>N/A</v>
      </c>
      <c r="J86" s="185" t="str">
        <f>IF(H86="YES",'CASE DATA'!I87+'CASE DATA'!J87+'CASE DATA'!L87+'CASE DATA'!M87+'CASE DATA'!N87+'CASE DATA'!O87+'CASE DATA'!P87+'CASE DATA'!Q87+'CASE DATA'!R87,"N/A")</f>
        <v>N/A</v>
      </c>
      <c r="K86" s="162" t="str">
        <f xml:space="preserve"> IF(H86="YES",IF(C86+180&lt;'BASIC INFO'!$B$3, "YES", "NO"),"N/A")</f>
        <v>N/A</v>
      </c>
      <c r="L86" s="185" t="str">
        <f>IF(OR('CASE DATA'!F87="GTR", 'CASE DATA'!F87="GPL"),IF(OR('CASE DATA'!E87="81.6(2)", 'CASE DATA'!E87="99F.15(6)(b)(1)", 'CASE DATA'!E87= "124.401(1)(a)", 'CASE DATA'!E87= "124.401(1)(b)", 'CASE DATA'!E87= "124.401(1)(c)", 'CASE DATA'!E87= "124.401(1)(d)", 'CASE DATA'!E87="124.401(4)", 'CASE DATA'!E87="124.401(1)(b)", 'CASE DATA'!E87="124.401(1)(c)", 'CASE DATA'!E87="124.401D(2)(b)", 'CASE DATA'!E87="124.401D(2)(c)", 'CASE DATA'!E87="124.406(1)(a)", 'CASE DATA'!E87="124.406(1)(b) ", 'CASE DATA'!E87="124.406(2)(a)", 'CASE DATA'!E87="124.406(2)(b) ", 'CASE DATA'!E87="124.406(3)", 'CASE DATA'!E87="124.406A ", 'CASE DATA'!E87="124.407(2)(a)", 'CASE DATA'!E87="124B.9(1)", 'CASE DATA'!E87="124B.9(2)", 'CASE DATA'!E87="321J.2(2)(c)", 'CASE DATA'!E87="453B.12(2)", 'CASE DATA'!E87="453B.12(3)", 'CASE DATA'!E87="453B.12(4)", 'CASE DATA'!E87="462A.14(2)(c)", 'CASE DATA'!E87="462A.14(2)(d)", 'CASE DATA'!E87="462A.14(2)(e)", 'CASE DATA'!E87="705.1(2)", 'CASE DATA'!E87="706.3(1)", 'CASE DATA'!E87="706.3(2)", 'CASE DATA'!E87="706A.2(1)", 'CASE DATA'!E87="706A.2(2)", 'CASE DATA'!E87="706A.2(4)", 'CASE DATA'!E87="706B.2(1)(a)", 'CASE DATA'!E87="706B.2(1)(b)", 'CASE DATA'!E87="706B.2(1)(c)", 'CASE DATA'!E87="706B.2(1)(d)", 'CASE DATA'!E87="707.2", 'CASE DATA'!E87="707.3", 'CASE DATA'!E87="707.3A", 'CASE DATA'!E87="707.4", 'CASE DATA'!E87="707.5(1)(a)", 'CASE DATA'!E87="707.6A(1)", 'CASE DATA'!E87="707.6A(2)", 'CASE DATA'!E87="707.6A(3)", 'CASE DATA'!E87="707.6A(4)", 'CASE DATA'!E87="707.7(1)", 'CASE DATA'!E87="707.7(3)", 'CASE DATA'!E87="707.7(2)", 'CASE DATA'!E87="707.8(1)", 'CASE DATA'!E87="707.8(2)", 'CASE DATA'!E87="707.8(3)", 'CASE DATA'!E87="707.8(4)", 'CASE DATA'!E87="707.8(5)", 'CASE DATA'!E87="707.8(6)", 'CASE DATA'!E87="707.9", 'CASE DATA'!E87="707.11", 'CASE DATA'!E87="707A.2", 'CASE DATA'!E87="708.2(4)", 'CASE DATA'!E87="708.2(5)", 'CASE DATA'!E87="708.2A(4)", 'CASE DATA'!E87="708.2A(5)", 'CASE DATA'!E87="708.2C(2)", 'CASE DATA'!E87="708.2C(4)", 'CASE DATA'!E87="708.3(1)", 'CASE DATA'!E87="708.3(2)", 'CASE DATA'!E87="708.3A(1)", 'CASE DATA'!E87="708.3A(2)", 'CASE DATA'!E87="708.3B", 'CASE DATA'!E87="708.4(1)", 'CASE DATA'!E87="708.4(2)", 'CASE DATA'!E87="708.5", 'CASE DATA'!E87="708.8", 'CASE DATA'!E87="708.11(3)(a)", 'CASE DATA'!E87="708.11(3)(b)", 'CASE DATA'!E87="708.12(3)(f)", 'CASE DATA'!E87="708.13(3)", 'CASE DATA'!E87="708.14", 'CASE DATA'!E87="708A.2", 'CASE DATA'!E87="708A.4(1)", 'CASE DATA'!E87="708A.4(2)", 'CASE DATA'!E87="708A.5", 'CASE DATA'!E87="708A.6(1)", 'CASE DATA'!E87="708.A.6(2)", 'CASE DATA'!E87="709.2", 'CASE DATA'!E87="709.3", 'CASE DATA'!E87="709.4", 'CASE DATA'!E87="709.8(1)(a)", 'CASE DATA'!E87="709.8(1)(b)", 'CASE DATA'!E87="709.8(1)(c)", 'CASE DATA'!E87="709.8(1)(d)", 'CASE DATA'!E87="709.8(1)(e)", 'CASE DATA'!E87="709.11(1)", 'CASE DATA'!E87="709.11(2)", 'CASE DATA'!E87="709.15(2)(a)(1)", 'CASE DATA'!E87="709.15(3)(a)(1)", 'CASE DATA'!E87="709.18", 'CASE DATA'!E87="709A.6(2)", 'CASE DATA'!E87="709D.3(1)", 'CASE DATA'!E87="709D.3(2)", 'CASE DATA'!E87="709.D.3(3)", 'CASE DATA'!E87="710.2", 'CASE DATA'!E87="710.3", 'CASE DATA'!E87="710.4", 'CASE DATA'!E87="710.5", 'CASE DATA'!E87="710.10(1)", 'CASE DATA'!E87="710.10(2)", 'CASE DATA'!E87="710.10(3)", 'CASE DATA'!E87="710.11", 'CASE DATA'!E87="710A.2(1)", 'CASE DATA'!E87="710A.2(2)", 'CASE DATA'!E87="710A.2(3)", 'CASE DATA'!E87="710A.2(4)", 'CASE DATA'!E87="710A.2(5)", 'CASE DATA'!E87="710A.2(6)", 'CASE DATA'!E87="710A.2(7)", 'CASE DATA'!E87="710A.2A", 'CASE DATA'!E87="711.2", 'CASE DATA'!E87="711.3", 'CASE DATA'!E87="711.4", 'CASE DATA'!E87="712.2", 'CASE DATA'!E87="712.3", 'CASE DATA'!E87="712.6(1)", 'CASE DATA'!E87="712.7", 'CASE DATA'!E87="712.8", 'CASE DATA'!E87="", 'CASE DATA'!E87="713.3", 'CASE DATA'!E87="713.4", 'CASE DATA'!E87="713.5", 'CASE DATA'!E87="713.6", 'CASE DATA'!E87="713.6A(1)", 'CASE DATA'!E87="714.2(1)", 'CASE DATA'!E87="714.2(2)", 'CASE DATA'!E87="714.3A(2)(b)", 'CASE DATA'!E87="714.9", 'CASE DATA'!E87="714.10", 'CASE DATA'!E87="714.26(2)(a)", 'CASE DATA'!E87="714.26(2)(b)", 'CASE DATA'!E87="715A.2(2)(a)", 'CASE DATA'!E87="715A.6(2)(a)", 'CASE DATA'!E87="715A.6(2)(b)", 'CASE DATA'!E87="715A.8(3)(a)", 'CASE DATA'!E87="715A.8(3)(b)", 'CASE DATA'!E87="715A.10(1)", 'CASE DATA'!E87="715A.10(2)", 'CASE DATA'!E87="716.3", 'CASE DATA'!E87="716.4", 'CASE DATA'!E87="716.8(6)", 'CASE DATA'!E87="716.10(2)(a)", 'CASE DATA'!E87="716.10(2)(b)", 'CASE DATA'!E87="716.10(2)(c)", 'CASE DATA'!E87="716.10(2)(d)", 'CASE DATA'!E87="716.12", 'CASE DATA'!E87="719.1(1)(f)", 'CASE DATA'!E87="719.1(2)(e)", 'CASE DATA'!E87="719.1(2)(f)", 'CASE DATA'!E87="719.1(2)(g)", 'CASE DATA'!E87="719.4(1)", 'CASE DATA'!E87="719.4(4)", 'CASE DATA'!E87="719.5(1)", 'CASE DATA'!E87="719.5(2)", 'CASE DATA'!E87="719.6(1)", 'CASE DATA'!E87="719.6(2)", 'CASE DATA'!E87="719.7(4)(a)", 'CASE DATA'!E87="719.7(4)(b)", 'CASE DATA'!E87="719.7A(3)", 'CASE DATA'!E87="719.9", 'CASE DATA'!E87="719.8", 'CASE DATA'!E87="720.2", 'CASE DATA'!E87="720.3", 'CASE DATA'!E87="721.1", 'CASE DATA'!E87="722.1", 'CASE DATA'!E87="", 'CASE DATA'!E87="722.2", 'CASE DATA'!E87="722.10", 'CASE DATA'!E87="723(5)(3)(c)", 'CASE DATA'!E87="723A.2", 'CASE DATA'!E87="723A.3(1)", 'CASE DATA'!E87="723A.3(2)", 'CASE DATA'!E87="724.1B", 'CASE DATA'!E87="724.1C", 'CASE DATA'!E87="724.3", 'CASE DATA'!E87="724.4B", 'CASE DATA'!E87="724.10", 'CASE DATA'!E87="724.16(2)", 'CASE DATA'!E87="724.16A(1)(a)", 'CASE DATA'!E87="724.16A(1)(b)", 'CASE DATA'!E87="724.17", 'CASE DATA'!E87="724.21", 'CASE DATA'!E87="724.26(1)", 'CASE DATA'!E87="922(g)(8)", 'CASE DATA'!E87="724.29A(2)", 'CASE DATA'!E87="724.29A(3)", 'CASE DATA'!E87="724.30(1)", 'CASE DATA'!E87="724.30(2)", 'CASE DATA'!E87="725.1(2)(b)", 'CASE DATA'!E87="725.2(1)", 'CASE DATA'!E87="725.2(2)", 'CASE DATA'!E87="725.3(2)", 'CASE DATA'!E87="725.3(1)", 'CASE DATA'!E87="725.7(2)(a)(3)", 'CASE DATA'!E87="725.7(2)(a)(4)", 'CASE DATA'!E87="725.7(2)(b)(2)", 'CASE DATA'!E87="725.7(2)(b(3)", 'CASE DATA'!E87="726.7(2)(c)(1)", 'CASE DATA'!E87="726.7(2)(c)(2)", 'CASE DATA'!E87="725.7(2)(d)", 'CASE DATA'!E87="726.2", 'CASE DATA'!E87="726.3", 'CASE DATA'!E87="726.5", 'CASE DATA'!E87="726.6(4)", 'CASE DATA'!E87="726.6(5)", 'CASE DATA'!E87="726.6(6)", 'CASE DATA'!E87="726.6A", 'CASE DATA'!E87="726.7(2)", 'CASE DATA'!E87="726.8(2)", 'CASE DATA'!E87="728.12(1)", 'CASE DATA'!E87="728.12(2)"),"felony","eligible"),"N/A")</f>
        <v>N/A</v>
      </c>
      <c r="M86" s="185" t="str">
        <f>IF(L86="eligible",IF(OR('CASE DATA'!E87="123.46",'CASE DATA'!E87="123.47",'CASE DATA'!E87="235B.20",'CASE DATA'!E87="321.218",'CASE DATA'!E87="321A.32",'CASE DATA'!E87="321J.21",'CASE DATA'!E87="321J.2",'CASE DATA'!E87="707.5",'CASE DATA'!E87="708.2(3)",'CASE DATA'!E87="708.2A",'CASE DATA'!E87="708.7",'CASE DATA'!E87="708.11",'CASE DATA'!E87="708.12",'CASE DATA'!E87="716.8(3)",'CASE DATA'!E87="716.8(4)", LEFT('CASE DATA'!E87,4)="717C", LEFT('CASE DATA'!E87, 3)="719", LEFT('CASE DATA'!E87,3)="720", 'CASE DATA'!E87="721.2", 'CASE DATA'!E87="721.10", 'CASE DATA'!E87="723.1", LEFT('CASE DATA'!E87,3)="724", LEFT('CASE DATA'!E87,3)="726", LEFT('CASE DATA'!E87,3)="728", LEFT('CASE DATA'!E87,4)="901A"),"ineligible misd", "eligible"),"N/A")</f>
        <v>N/A</v>
      </c>
      <c r="N86" s="185" t="str">
        <f>IF(L86="eligible",IF(COUNTIF('CASE DATA'!$C$4:$C$200, "")-COUNTIF('CASE DATA'!$A$4:$A$200, "")&gt;0, "YES","NO"),"N/A")</f>
        <v>N/A</v>
      </c>
      <c r="O86" s="185" t="str">
        <f xml:space="preserve"> IF(M86="eligible",'CASE DATA'!K87,"N/A")</f>
        <v>N/A</v>
      </c>
      <c r="P86" s="185" t="str">
        <f xml:space="preserve"> IF(M86="eligible",'CASE DATA'!I87+'CASE DATA'!J87+'CASE DATA'!L87+'CASE DATA'!M87+'CASE DATA'!N87+'CASE DATA'!O87+'CASE DATA'!M87+'CASE DATA'!Q87+'CASE DATA'!R87,"N/A")</f>
        <v>N/A</v>
      </c>
      <c r="Q86" s="11" t="str">
        <f>IF(M86="eligible",IF(C86+730.5&lt;'BASIC INFO'!$B$3, "YES", "NO"),"N/A")</f>
        <v>N/A</v>
      </c>
      <c r="R86" s="186" t="str">
        <f xml:space="preserve"> IF(OR('CASE DATA'!F87="DEF"), "YES", "NO")</f>
        <v>NO</v>
      </c>
      <c r="S86" s="162" t="str">
        <f>IF(R86="YES",'CASE DATA'!H87,"N/A")</f>
        <v>N/A</v>
      </c>
      <c r="T86" s="185" t="str">
        <f xml:space="preserve"> IF(R86="YES",'CASE DATA'!K87,"N/A")</f>
        <v>N/A</v>
      </c>
      <c r="U86" s="185" t="str">
        <f>IF(R86="YES",'CASE DATA'!I87+'CASE DATA'!J87+'CASE DATA'!L87+'CASE DATA'!M87+'CASE DATA'!N87+'CASE DATA'!O87+'CASE DATA'!P87+'CASE DATA'!Q87+'CASE DATA'!R87,"N/A")</f>
        <v>N/A</v>
      </c>
      <c r="V86" s="189" t="str">
        <f>IF(OR('CASE DATA'!E87="123.46",'CASE DATA'!E87="123.47"),"YES","NO")</f>
        <v>NO</v>
      </c>
      <c r="W86" s="189"/>
      <c r="X86" s="185" t="str">
        <f>IF(V86="YES",IF(C86+730.5&lt;'BASIC INFO'!$B$3, "YES","NO"), "N/A")</f>
        <v>N/A</v>
      </c>
      <c r="Y86" s="189" t="str">
        <f t="shared" si="1"/>
        <v>NO</v>
      </c>
      <c r="Z86" s="187" t="str">
        <f xml:space="preserve"> IF('BASIC INFO'!$B$6+6574.5&gt;C86, "YES", "NO")</f>
        <v>YES</v>
      </c>
    </row>
    <row r="87" spans="1:26" x14ac:dyDescent="0.25">
      <c r="A87" s="162">
        <f xml:space="preserve"> 'CASE DATA'!A88</f>
        <v>0</v>
      </c>
      <c r="B87" s="162">
        <f xml:space="preserve"> 'CASE DATA'!E88</f>
        <v>0</v>
      </c>
      <c r="C87" s="163">
        <f xml:space="preserve"> 'CASE DATA'!C88</f>
        <v>0</v>
      </c>
      <c r="D87" s="11" t="str">
        <f xml:space="preserve"> IF(OR('CASE DATA'!F88="JUV", 'CASE DATA'!F88="JWV"), "YES", "NO")</f>
        <v>NO</v>
      </c>
      <c r="E87" s="11"/>
      <c r="F87" s="11" t="str">
        <f>IF(D87="YES",IF(COUNTIF('CASE DATA'!$C$4:$C$200, "")-COUNTIF('CASE DATA'!$A$4:$A$200, "")&gt;0, "YES","NO"),"N/A")</f>
        <v>N/A</v>
      </c>
      <c r="G87" s="164" t="str">
        <f xml:space="preserve"> _xlfn.IFS(D87="NO", "N/A", AND('BASIC INFO'!$B$3&gt;'BASIC INFO'!$B$6+6574.5, C87+730.5&lt;'BASIC INFO'!$B$3), "YES", 'BASIC INFO'!$B$3&lt;('BASIC INFO'!$B$6+6574.5), "NOT YET 18", C87+730.5&gt;'BASIC INFO'!$B$3, "NOT YET 2 YEARS")</f>
        <v>N/A</v>
      </c>
      <c r="H87" s="186" t="str">
        <f xml:space="preserve"> IF(LEFT('CASE DATA'!E88,4)&lt;&gt;"321.",IF(OR('CASE DATA'!F88="DISM", 'CASE DATA'!F88="ACQ", 'CASE DATA'!F88="NOTF", 'CASE DATA'!F88="WTHD", 'CASE DATA'!F88="TNSF"), "YES", "NO"), "TRAFFIC")</f>
        <v>NO</v>
      </c>
      <c r="I87" s="185" t="str">
        <f xml:space="preserve"> IF(H87="YES",'CASE DATA'!K88,"N/A")</f>
        <v>N/A</v>
      </c>
      <c r="J87" s="185" t="str">
        <f>IF(H87="YES",'CASE DATA'!I88+'CASE DATA'!J88+'CASE DATA'!L88+'CASE DATA'!M88+'CASE DATA'!N88+'CASE DATA'!O88+'CASE DATA'!P88+'CASE DATA'!Q88+'CASE DATA'!R88,"N/A")</f>
        <v>N/A</v>
      </c>
      <c r="K87" s="162" t="str">
        <f xml:space="preserve"> IF(H87="YES",IF(C87+180&lt;'BASIC INFO'!$B$3, "YES", "NO"),"N/A")</f>
        <v>N/A</v>
      </c>
      <c r="L87" s="185" t="str">
        <f>IF(OR('CASE DATA'!F88="GTR", 'CASE DATA'!F88="GPL"),IF(OR('CASE DATA'!E88="81.6(2)", 'CASE DATA'!E88="99F.15(6)(b)(1)", 'CASE DATA'!E88= "124.401(1)(a)", 'CASE DATA'!E88= "124.401(1)(b)", 'CASE DATA'!E88= "124.401(1)(c)", 'CASE DATA'!E88= "124.401(1)(d)", 'CASE DATA'!E88="124.401(4)", 'CASE DATA'!E88="124.401(1)(b)", 'CASE DATA'!E88="124.401(1)(c)", 'CASE DATA'!E88="124.401D(2)(b)", 'CASE DATA'!E88="124.401D(2)(c)", 'CASE DATA'!E88="124.406(1)(a)", 'CASE DATA'!E88="124.406(1)(b) ", 'CASE DATA'!E88="124.406(2)(a)", 'CASE DATA'!E88="124.406(2)(b) ", 'CASE DATA'!E88="124.406(3)", 'CASE DATA'!E88="124.406A ", 'CASE DATA'!E88="124.407(2)(a)", 'CASE DATA'!E88="124B.9(1)", 'CASE DATA'!E88="124B.9(2)", 'CASE DATA'!E88="321J.2(2)(c)", 'CASE DATA'!E88="453B.12(2)", 'CASE DATA'!E88="453B.12(3)", 'CASE DATA'!E88="453B.12(4)", 'CASE DATA'!E88="462A.14(2)(c)", 'CASE DATA'!E88="462A.14(2)(d)", 'CASE DATA'!E88="462A.14(2)(e)", 'CASE DATA'!E88="705.1(2)", 'CASE DATA'!E88="706.3(1)", 'CASE DATA'!E88="706.3(2)", 'CASE DATA'!E88="706A.2(1)", 'CASE DATA'!E88="706A.2(2)", 'CASE DATA'!E88="706A.2(4)", 'CASE DATA'!E88="706B.2(1)(a)", 'CASE DATA'!E88="706B.2(1)(b)", 'CASE DATA'!E88="706B.2(1)(c)", 'CASE DATA'!E88="706B.2(1)(d)", 'CASE DATA'!E88="707.2", 'CASE DATA'!E88="707.3", 'CASE DATA'!E88="707.3A", 'CASE DATA'!E88="707.4", 'CASE DATA'!E88="707.5(1)(a)", 'CASE DATA'!E88="707.6A(1)", 'CASE DATA'!E88="707.6A(2)", 'CASE DATA'!E88="707.6A(3)", 'CASE DATA'!E88="707.6A(4)", 'CASE DATA'!E88="707.7(1)", 'CASE DATA'!E88="707.7(3)", 'CASE DATA'!E88="707.7(2)", 'CASE DATA'!E88="707.8(1)", 'CASE DATA'!E88="707.8(2)", 'CASE DATA'!E88="707.8(3)", 'CASE DATA'!E88="707.8(4)", 'CASE DATA'!E88="707.8(5)", 'CASE DATA'!E88="707.8(6)", 'CASE DATA'!E88="707.9", 'CASE DATA'!E88="707.11", 'CASE DATA'!E88="707A.2", 'CASE DATA'!E88="708.2(4)", 'CASE DATA'!E88="708.2(5)", 'CASE DATA'!E88="708.2A(4)", 'CASE DATA'!E88="708.2A(5)", 'CASE DATA'!E88="708.2C(2)", 'CASE DATA'!E88="708.2C(4)", 'CASE DATA'!E88="708.3(1)", 'CASE DATA'!E88="708.3(2)", 'CASE DATA'!E88="708.3A(1)", 'CASE DATA'!E88="708.3A(2)", 'CASE DATA'!E88="708.3B", 'CASE DATA'!E88="708.4(1)", 'CASE DATA'!E88="708.4(2)", 'CASE DATA'!E88="708.5", 'CASE DATA'!E88="708.8", 'CASE DATA'!E88="708.11(3)(a)", 'CASE DATA'!E88="708.11(3)(b)", 'CASE DATA'!E88="708.12(3)(f)", 'CASE DATA'!E88="708.13(3)", 'CASE DATA'!E88="708.14", 'CASE DATA'!E88="708A.2", 'CASE DATA'!E88="708A.4(1)", 'CASE DATA'!E88="708A.4(2)", 'CASE DATA'!E88="708A.5", 'CASE DATA'!E88="708A.6(1)", 'CASE DATA'!E88="708.A.6(2)", 'CASE DATA'!E88="709.2", 'CASE DATA'!E88="709.3", 'CASE DATA'!E88="709.4", 'CASE DATA'!E88="709.8(1)(a)", 'CASE DATA'!E88="709.8(1)(b)", 'CASE DATA'!E88="709.8(1)(c)", 'CASE DATA'!E88="709.8(1)(d)", 'CASE DATA'!E88="709.8(1)(e)", 'CASE DATA'!E88="709.11(1)", 'CASE DATA'!E88="709.11(2)", 'CASE DATA'!E88="709.15(2)(a)(1)", 'CASE DATA'!E88="709.15(3)(a)(1)", 'CASE DATA'!E88="709.18", 'CASE DATA'!E88="709A.6(2)", 'CASE DATA'!E88="709D.3(1)", 'CASE DATA'!E88="709D.3(2)", 'CASE DATA'!E88="709.D.3(3)", 'CASE DATA'!E88="710.2", 'CASE DATA'!E88="710.3", 'CASE DATA'!E88="710.4", 'CASE DATA'!E88="710.5", 'CASE DATA'!E88="710.10(1)", 'CASE DATA'!E88="710.10(2)", 'CASE DATA'!E88="710.10(3)", 'CASE DATA'!E88="710.11", 'CASE DATA'!E88="710A.2(1)", 'CASE DATA'!E88="710A.2(2)", 'CASE DATA'!E88="710A.2(3)", 'CASE DATA'!E88="710A.2(4)", 'CASE DATA'!E88="710A.2(5)", 'CASE DATA'!E88="710A.2(6)", 'CASE DATA'!E88="710A.2(7)", 'CASE DATA'!E88="710A.2A", 'CASE DATA'!E88="711.2", 'CASE DATA'!E88="711.3", 'CASE DATA'!E88="711.4", 'CASE DATA'!E88="712.2", 'CASE DATA'!E88="712.3", 'CASE DATA'!E88="712.6(1)", 'CASE DATA'!E88="712.7", 'CASE DATA'!E88="712.8", 'CASE DATA'!E88="", 'CASE DATA'!E88="713.3", 'CASE DATA'!E88="713.4", 'CASE DATA'!E88="713.5", 'CASE DATA'!E88="713.6", 'CASE DATA'!E88="713.6A(1)", 'CASE DATA'!E88="714.2(1)", 'CASE DATA'!E88="714.2(2)", 'CASE DATA'!E88="714.3A(2)(b)", 'CASE DATA'!E88="714.9", 'CASE DATA'!E88="714.10", 'CASE DATA'!E88="714.26(2)(a)", 'CASE DATA'!E88="714.26(2)(b)", 'CASE DATA'!E88="715A.2(2)(a)", 'CASE DATA'!E88="715A.6(2)(a)", 'CASE DATA'!E88="715A.6(2)(b)", 'CASE DATA'!E88="715A.8(3)(a)", 'CASE DATA'!E88="715A.8(3)(b)", 'CASE DATA'!E88="715A.10(1)", 'CASE DATA'!E88="715A.10(2)", 'CASE DATA'!E88="716.3", 'CASE DATA'!E88="716.4", 'CASE DATA'!E88="716.8(6)", 'CASE DATA'!E88="716.10(2)(a)", 'CASE DATA'!E88="716.10(2)(b)", 'CASE DATA'!E88="716.10(2)(c)", 'CASE DATA'!E88="716.10(2)(d)", 'CASE DATA'!E88="716.12", 'CASE DATA'!E88="719.1(1)(f)", 'CASE DATA'!E88="719.1(2)(e)", 'CASE DATA'!E88="719.1(2)(f)", 'CASE DATA'!E88="719.1(2)(g)", 'CASE DATA'!E88="719.4(1)", 'CASE DATA'!E88="719.4(4)", 'CASE DATA'!E88="719.5(1)", 'CASE DATA'!E88="719.5(2)", 'CASE DATA'!E88="719.6(1)", 'CASE DATA'!E88="719.6(2)", 'CASE DATA'!E88="719.7(4)(a)", 'CASE DATA'!E88="719.7(4)(b)", 'CASE DATA'!E88="719.7A(3)", 'CASE DATA'!E88="719.9", 'CASE DATA'!E88="719.8", 'CASE DATA'!E88="720.2", 'CASE DATA'!E88="720.3", 'CASE DATA'!E88="721.1", 'CASE DATA'!E88="722.1", 'CASE DATA'!E88="", 'CASE DATA'!E88="722.2", 'CASE DATA'!E88="722.10", 'CASE DATA'!E88="723(5)(3)(c)", 'CASE DATA'!E88="723A.2", 'CASE DATA'!E88="723A.3(1)", 'CASE DATA'!E88="723A.3(2)", 'CASE DATA'!E88="724.1B", 'CASE DATA'!E88="724.1C", 'CASE DATA'!E88="724.3", 'CASE DATA'!E88="724.4B", 'CASE DATA'!E88="724.10", 'CASE DATA'!E88="724.16(2)", 'CASE DATA'!E88="724.16A(1)(a)", 'CASE DATA'!E88="724.16A(1)(b)", 'CASE DATA'!E88="724.17", 'CASE DATA'!E88="724.21", 'CASE DATA'!E88="724.26(1)", 'CASE DATA'!E88="922(g)(8)", 'CASE DATA'!E88="724.29A(2)", 'CASE DATA'!E88="724.29A(3)", 'CASE DATA'!E88="724.30(1)", 'CASE DATA'!E88="724.30(2)", 'CASE DATA'!E88="725.1(2)(b)", 'CASE DATA'!E88="725.2(1)", 'CASE DATA'!E88="725.2(2)", 'CASE DATA'!E88="725.3(2)", 'CASE DATA'!E88="725.3(1)", 'CASE DATA'!E88="725.7(2)(a)(3)", 'CASE DATA'!E88="725.7(2)(a)(4)", 'CASE DATA'!E88="725.7(2)(b)(2)", 'CASE DATA'!E88="725.7(2)(b(3)", 'CASE DATA'!E88="726.7(2)(c)(1)", 'CASE DATA'!E88="726.7(2)(c)(2)", 'CASE DATA'!E88="725.7(2)(d)", 'CASE DATA'!E88="726.2", 'CASE DATA'!E88="726.3", 'CASE DATA'!E88="726.5", 'CASE DATA'!E88="726.6(4)", 'CASE DATA'!E88="726.6(5)", 'CASE DATA'!E88="726.6(6)", 'CASE DATA'!E88="726.6A", 'CASE DATA'!E88="726.7(2)", 'CASE DATA'!E88="726.8(2)", 'CASE DATA'!E88="728.12(1)", 'CASE DATA'!E88="728.12(2)"),"felony","eligible"),"N/A")</f>
        <v>N/A</v>
      </c>
      <c r="M87" s="185" t="str">
        <f>IF(L87="eligible",IF(OR('CASE DATA'!E88="123.46",'CASE DATA'!E88="123.47",'CASE DATA'!E88="235B.20",'CASE DATA'!E88="321.218",'CASE DATA'!E88="321A.32",'CASE DATA'!E88="321J.21",'CASE DATA'!E88="321J.2",'CASE DATA'!E88="707.5",'CASE DATA'!E88="708.2(3)",'CASE DATA'!E88="708.2A",'CASE DATA'!E88="708.7",'CASE DATA'!E88="708.11",'CASE DATA'!E88="708.12",'CASE DATA'!E88="716.8(3)",'CASE DATA'!E88="716.8(4)", LEFT('CASE DATA'!E88,4)="717C", LEFT('CASE DATA'!E88, 3)="719", LEFT('CASE DATA'!E88,3)="720", 'CASE DATA'!E88="721.2", 'CASE DATA'!E88="721.10", 'CASE DATA'!E88="723.1", LEFT('CASE DATA'!E88,3)="724", LEFT('CASE DATA'!E88,3)="726", LEFT('CASE DATA'!E88,3)="728", LEFT('CASE DATA'!E88,4)="901A"),"ineligible misd", "eligible"),"N/A")</f>
        <v>N/A</v>
      </c>
      <c r="N87" s="185" t="str">
        <f>IF(L87="eligible",IF(COUNTIF('CASE DATA'!$C$4:$C$200, "")-COUNTIF('CASE DATA'!$A$4:$A$200, "")&gt;0, "YES","NO"),"N/A")</f>
        <v>N/A</v>
      </c>
      <c r="O87" s="185" t="str">
        <f xml:space="preserve"> IF(M87="eligible",'CASE DATA'!K88,"N/A")</f>
        <v>N/A</v>
      </c>
      <c r="P87" s="185" t="str">
        <f xml:space="preserve"> IF(M87="eligible",'CASE DATA'!I88+'CASE DATA'!J88+'CASE DATA'!L88+'CASE DATA'!M88+'CASE DATA'!N88+'CASE DATA'!O88+'CASE DATA'!M88+'CASE DATA'!Q88+'CASE DATA'!R88,"N/A")</f>
        <v>N/A</v>
      </c>
      <c r="Q87" s="11" t="str">
        <f>IF(M87="eligible",IF(C87+730.5&lt;'BASIC INFO'!$B$3, "YES", "NO"),"N/A")</f>
        <v>N/A</v>
      </c>
      <c r="R87" s="186" t="str">
        <f xml:space="preserve"> IF(OR('CASE DATA'!F88="DEF"), "YES", "NO")</f>
        <v>NO</v>
      </c>
      <c r="S87" s="162" t="str">
        <f>IF(R87="YES",'CASE DATA'!H88,"N/A")</f>
        <v>N/A</v>
      </c>
      <c r="T87" s="185" t="str">
        <f xml:space="preserve"> IF(R87="YES",'CASE DATA'!K88,"N/A")</f>
        <v>N/A</v>
      </c>
      <c r="U87" s="185" t="str">
        <f>IF(R87="YES",'CASE DATA'!I88+'CASE DATA'!J88+'CASE DATA'!L88+'CASE DATA'!M88+'CASE DATA'!N88+'CASE DATA'!O88+'CASE DATA'!P88+'CASE DATA'!Q88+'CASE DATA'!R88,"N/A")</f>
        <v>N/A</v>
      </c>
      <c r="V87" s="189" t="str">
        <f>IF(OR('CASE DATA'!E88="123.46",'CASE DATA'!E88="123.47"),"YES","NO")</f>
        <v>NO</v>
      </c>
      <c r="W87" s="189"/>
      <c r="X87" s="185" t="str">
        <f>IF(V87="YES",IF(C87+730.5&lt;'BASIC INFO'!$B$3, "YES","NO"), "N/A")</f>
        <v>N/A</v>
      </c>
      <c r="Y87" s="189" t="str">
        <f t="shared" si="1"/>
        <v>NO</v>
      </c>
      <c r="Z87" s="187" t="str">
        <f xml:space="preserve"> IF('BASIC INFO'!$B$6+6574.5&gt;C87, "YES", "NO")</f>
        <v>YES</v>
      </c>
    </row>
    <row r="88" spans="1:26" x14ac:dyDescent="0.25">
      <c r="A88" s="162">
        <f xml:space="preserve"> 'CASE DATA'!A89</f>
        <v>0</v>
      </c>
      <c r="B88" s="162">
        <f xml:space="preserve"> 'CASE DATA'!E89</f>
        <v>0</v>
      </c>
      <c r="C88" s="163">
        <f xml:space="preserve"> 'CASE DATA'!C89</f>
        <v>0</v>
      </c>
      <c r="D88" s="11" t="str">
        <f xml:space="preserve"> IF(OR('CASE DATA'!F89="JUV", 'CASE DATA'!F89="JWV"), "YES", "NO")</f>
        <v>NO</v>
      </c>
      <c r="E88" s="11"/>
      <c r="F88" s="11" t="str">
        <f>IF(D88="YES",IF(COUNTIF('CASE DATA'!$C$4:$C$200, "")-COUNTIF('CASE DATA'!$A$4:$A$200, "")&gt;0, "YES","NO"),"N/A")</f>
        <v>N/A</v>
      </c>
      <c r="G88" s="164" t="str">
        <f xml:space="preserve"> _xlfn.IFS(D88="NO", "N/A", AND('BASIC INFO'!$B$3&gt;'BASIC INFO'!$B$6+6574.5, C88+730.5&lt;'BASIC INFO'!$B$3), "YES", 'BASIC INFO'!$B$3&lt;('BASIC INFO'!$B$6+6574.5), "NOT YET 18", C88+730.5&gt;'BASIC INFO'!$B$3, "NOT YET 2 YEARS")</f>
        <v>N/A</v>
      </c>
      <c r="H88" s="186" t="str">
        <f xml:space="preserve"> IF(LEFT('CASE DATA'!E89,4)&lt;&gt;"321.",IF(OR('CASE DATA'!F89="DISM", 'CASE DATA'!F89="ACQ", 'CASE DATA'!F89="NOTF", 'CASE DATA'!F89="WTHD", 'CASE DATA'!F89="TNSF"), "YES", "NO"), "TRAFFIC")</f>
        <v>NO</v>
      </c>
      <c r="I88" s="185" t="str">
        <f xml:space="preserve"> IF(H88="YES",'CASE DATA'!K89,"N/A")</f>
        <v>N/A</v>
      </c>
      <c r="J88" s="185" t="str">
        <f>IF(H88="YES",'CASE DATA'!I89+'CASE DATA'!J89+'CASE DATA'!L89+'CASE DATA'!M89+'CASE DATA'!N89+'CASE DATA'!O89+'CASE DATA'!P89+'CASE DATA'!Q89+'CASE DATA'!R89,"N/A")</f>
        <v>N/A</v>
      </c>
      <c r="K88" s="162" t="str">
        <f xml:space="preserve"> IF(H88="YES",IF(C88+180&lt;'BASIC INFO'!$B$3, "YES", "NO"),"N/A")</f>
        <v>N/A</v>
      </c>
      <c r="L88" s="185" t="str">
        <f>IF(OR('CASE DATA'!F89="GTR", 'CASE DATA'!F89="GPL"),IF(OR('CASE DATA'!E89="81.6(2)", 'CASE DATA'!E89="99F.15(6)(b)(1)", 'CASE DATA'!E89= "124.401(1)(a)", 'CASE DATA'!E89= "124.401(1)(b)", 'CASE DATA'!E89= "124.401(1)(c)", 'CASE DATA'!E89= "124.401(1)(d)", 'CASE DATA'!E89="124.401(4)", 'CASE DATA'!E89="124.401(1)(b)", 'CASE DATA'!E89="124.401(1)(c)", 'CASE DATA'!E89="124.401D(2)(b)", 'CASE DATA'!E89="124.401D(2)(c)", 'CASE DATA'!E89="124.406(1)(a)", 'CASE DATA'!E89="124.406(1)(b) ", 'CASE DATA'!E89="124.406(2)(a)", 'CASE DATA'!E89="124.406(2)(b) ", 'CASE DATA'!E89="124.406(3)", 'CASE DATA'!E89="124.406A ", 'CASE DATA'!E89="124.407(2)(a)", 'CASE DATA'!E89="124B.9(1)", 'CASE DATA'!E89="124B.9(2)", 'CASE DATA'!E89="321J.2(2)(c)", 'CASE DATA'!E89="453B.12(2)", 'CASE DATA'!E89="453B.12(3)", 'CASE DATA'!E89="453B.12(4)", 'CASE DATA'!E89="462A.14(2)(c)", 'CASE DATA'!E89="462A.14(2)(d)", 'CASE DATA'!E89="462A.14(2)(e)", 'CASE DATA'!E89="705.1(2)", 'CASE DATA'!E89="706.3(1)", 'CASE DATA'!E89="706.3(2)", 'CASE DATA'!E89="706A.2(1)", 'CASE DATA'!E89="706A.2(2)", 'CASE DATA'!E89="706A.2(4)", 'CASE DATA'!E89="706B.2(1)(a)", 'CASE DATA'!E89="706B.2(1)(b)", 'CASE DATA'!E89="706B.2(1)(c)", 'CASE DATA'!E89="706B.2(1)(d)", 'CASE DATA'!E89="707.2", 'CASE DATA'!E89="707.3", 'CASE DATA'!E89="707.3A", 'CASE DATA'!E89="707.4", 'CASE DATA'!E89="707.5(1)(a)", 'CASE DATA'!E89="707.6A(1)", 'CASE DATA'!E89="707.6A(2)", 'CASE DATA'!E89="707.6A(3)", 'CASE DATA'!E89="707.6A(4)", 'CASE DATA'!E89="707.7(1)", 'CASE DATA'!E89="707.7(3)", 'CASE DATA'!E89="707.7(2)", 'CASE DATA'!E89="707.8(1)", 'CASE DATA'!E89="707.8(2)", 'CASE DATA'!E89="707.8(3)", 'CASE DATA'!E89="707.8(4)", 'CASE DATA'!E89="707.8(5)", 'CASE DATA'!E89="707.8(6)", 'CASE DATA'!E89="707.9", 'CASE DATA'!E89="707.11", 'CASE DATA'!E89="707A.2", 'CASE DATA'!E89="708.2(4)", 'CASE DATA'!E89="708.2(5)", 'CASE DATA'!E89="708.2A(4)", 'CASE DATA'!E89="708.2A(5)", 'CASE DATA'!E89="708.2C(2)", 'CASE DATA'!E89="708.2C(4)", 'CASE DATA'!E89="708.3(1)", 'CASE DATA'!E89="708.3(2)", 'CASE DATA'!E89="708.3A(1)", 'CASE DATA'!E89="708.3A(2)", 'CASE DATA'!E89="708.3B", 'CASE DATA'!E89="708.4(1)", 'CASE DATA'!E89="708.4(2)", 'CASE DATA'!E89="708.5", 'CASE DATA'!E89="708.8", 'CASE DATA'!E89="708.11(3)(a)", 'CASE DATA'!E89="708.11(3)(b)", 'CASE DATA'!E89="708.12(3)(f)", 'CASE DATA'!E89="708.13(3)", 'CASE DATA'!E89="708.14", 'CASE DATA'!E89="708A.2", 'CASE DATA'!E89="708A.4(1)", 'CASE DATA'!E89="708A.4(2)", 'CASE DATA'!E89="708A.5", 'CASE DATA'!E89="708A.6(1)", 'CASE DATA'!E89="708.A.6(2)", 'CASE DATA'!E89="709.2", 'CASE DATA'!E89="709.3", 'CASE DATA'!E89="709.4", 'CASE DATA'!E89="709.8(1)(a)", 'CASE DATA'!E89="709.8(1)(b)", 'CASE DATA'!E89="709.8(1)(c)", 'CASE DATA'!E89="709.8(1)(d)", 'CASE DATA'!E89="709.8(1)(e)", 'CASE DATA'!E89="709.11(1)", 'CASE DATA'!E89="709.11(2)", 'CASE DATA'!E89="709.15(2)(a)(1)", 'CASE DATA'!E89="709.15(3)(a)(1)", 'CASE DATA'!E89="709.18", 'CASE DATA'!E89="709A.6(2)", 'CASE DATA'!E89="709D.3(1)", 'CASE DATA'!E89="709D.3(2)", 'CASE DATA'!E89="709.D.3(3)", 'CASE DATA'!E89="710.2", 'CASE DATA'!E89="710.3", 'CASE DATA'!E89="710.4", 'CASE DATA'!E89="710.5", 'CASE DATA'!E89="710.10(1)", 'CASE DATA'!E89="710.10(2)", 'CASE DATA'!E89="710.10(3)", 'CASE DATA'!E89="710.11", 'CASE DATA'!E89="710A.2(1)", 'CASE DATA'!E89="710A.2(2)", 'CASE DATA'!E89="710A.2(3)", 'CASE DATA'!E89="710A.2(4)", 'CASE DATA'!E89="710A.2(5)", 'CASE DATA'!E89="710A.2(6)", 'CASE DATA'!E89="710A.2(7)", 'CASE DATA'!E89="710A.2A", 'CASE DATA'!E89="711.2", 'CASE DATA'!E89="711.3", 'CASE DATA'!E89="711.4", 'CASE DATA'!E89="712.2", 'CASE DATA'!E89="712.3", 'CASE DATA'!E89="712.6(1)", 'CASE DATA'!E89="712.7", 'CASE DATA'!E89="712.8", 'CASE DATA'!E89="", 'CASE DATA'!E89="713.3", 'CASE DATA'!E89="713.4", 'CASE DATA'!E89="713.5", 'CASE DATA'!E89="713.6", 'CASE DATA'!E89="713.6A(1)", 'CASE DATA'!E89="714.2(1)", 'CASE DATA'!E89="714.2(2)", 'CASE DATA'!E89="714.3A(2)(b)", 'CASE DATA'!E89="714.9", 'CASE DATA'!E89="714.10", 'CASE DATA'!E89="714.26(2)(a)", 'CASE DATA'!E89="714.26(2)(b)", 'CASE DATA'!E89="715A.2(2)(a)", 'CASE DATA'!E89="715A.6(2)(a)", 'CASE DATA'!E89="715A.6(2)(b)", 'CASE DATA'!E89="715A.8(3)(a)", 'CASE DATA'!E89="715A.8(3)(b)", 'CASE DATA'!E89="715A.10(1)", 'CASE DATA'!E89="715A.10(2)", 'CASE DATA'!E89="716.3", 'CASE DATA'!E89="716.4", 'CASE DATA'!E89="716.8(6)", 'CASE DATA'!E89="716.10(2)(a)", 'CASE DATA'!E89="716.10(2)(b)", 'CASE DATA'!E89="716.10(2)(c)", 'CASE DATA'!E89="716.10(2)(d)", 'CASE DATA'!E89="716.12", 'CASE DATA'!E89="719.1(1)(f)", 'CASE DATA'!E89="719.1(2)(e)", 'CASE DATA'!E89="719.1(2)(f)", 'CASE DATA'!E89="719.1(2)(g)", 'CASE DATA'!E89="719.4(1)", 'CASE DATA'!E89="719.4(4)", 'CASE DATA'!E89="719.5(1)", 'CASE DATA'!E89="719.5(2)", 'CASE DATA'!E89="719.6(1)", 'CASE DATA'!E89="719.6(2)", 'CASE DATA'!E89="719.7(4)(a)", 'CASE DATA'!E89="719.7(4)(b)", 'CASE DATA'!E89="719.7A(3)", 'CASE DATA'!E89="719.9", 'CASE DATA'!E89="719.8", 'CASE DATA'!E89="720.2", 'CASE DATA'!E89="720.3", 'CASE DATA'!E89="721.1", 'CASE DATA'!E89="722.1", 'CASE DATA'!E89="", 'CASE DATA'!E89="722.2", 'CASE DATA'!E89="722.10", 'CASE DATA'!E89="723(5)(3)(c)", 'CASE DATA'!E89="723A.2", 'CASE DATA'!E89="723A.3(1)", 'CASE DATA'!E89="723A.3(2)", 'CASE DATA'!E89="724.1B", 'CASE DATA'!E89="724.1C", 'CASE DATA'!E89="724.3", 'CASE DATA'!E89="724.4B", 'CASE DATA'!E89="724.10", 'CASE DATA'!E89="724.16(2)", 'CASE DATA'!E89="724.16A(1)(a)", 'CASE DATA'!E89="724.16A(1)(b)", 'CASE DATA'!E89="724.17", 'CASE DATA'!E89="724.21", 'CASE DATA'!E89="724.26(1)", 'CASE DATA'!E89="922(g)(8)", 'CASE DATA'!E89="724.29A(2)", 'CASE DATA'!E89="724.29A(3)", 'CASE DATA'!E89="724.30(1)", 'CASE DATA'!E89="724.30(2)", 'CASE DATA'!E89="725.1(2)(b)", 'CASE DATA'!E89="725.2(1)", 'CASE DATA'!E89="725.2(2)", 'CASE DATA'!E89="725.3(2)", 'CASE DATA'!E89="725.3(1)", 'CASE DATA'!E89="725.7(2)(a)(3)", 'CASE DATA'!E89="725.7(2)(a)(4)", 'CASE DATA'!E89="725.7(2)(b)(2)", 'CASE DATA'!E89="725.7(2)(b(3)", 'CASE DATA'!E89="726.7(2)(c)(1)", 'CASE DATA'!E89="726.7(2)(c)(2)", 'CASE DATA'!E89="725.7(2)(d)", 'CASE DATA'!E89="726.2", 'CASE DATA'!E89="726.3", 'CASE DATA'!E89="726.5", 'CASE DATA'!E89="726.6(4)", 'CASE DATA'!E89="726.6(5)", 'CASE DATA'!E89="726.6(6)", 'CASE DATA'!E89="726.6A", 'CASE DATA'!E89="726.7(2)", 'CASE DATA'!E89="726.8(2)", 'CASE DATA'!E89="728.12(1)", 'CASE DATA'!E89="728.12(2)"),"felony","eligible"),"N/A")</f>
        <v>N/A</v>
      </c>
      <c r="M88" s="185" t="str">
        <f>IF(L88="eligible",IF(OR('CASE DATA'!E89="123.46",'CASE DATA'!E89="123.47",'CASE DATA'!E89="235B.20",'CASE DATA'!E89="321.218",'CASE DATA'!E89="321A.32",'CASE DATA'!E89="321J.21",'CASE DATA'!E89="321J.2",'CASE DATA'!E89="707.5",'CASE DATA'!E89="708.2(3)",'CASE DATA'!E89="708.2A",'CASE DATA'!E89="708.7",'CASE DATA'!E89="708.11",'CASE DATA'!E89="708.12",'CASE DATA'!E89="716.8(3)",'CASE DATA'!E89="716.8(4)", LEFT('CASE DATA'!E89,4)="717C", LEFT('CASE DATA'!E89, 3)="719", LEFT('CASE DATA'!E89,3)="720", 'CASE DATA'!E89="721.2", 'CASE DATA'!E89="721.10", 'CASE DATA'!E89="723.1", LEFT('CASE DATA'!E89,3)="724", LEFT('CASE DATA'!E89,3)="726", LEFT('CASE DATA'!E89,3)="728", LEFT('CASE DATA'!E89,4)="901A"),"ineligible misd", "eligible"),"N/A")</f>
        <v>N/A</v>
      </c>
      <c r="N88" s="185" t="str">
        <f>IF(L88="eligible",IF(COUNTIF('CASE DATA'!$C$4:$C$200, "")-COUNTIF('CASE DATA'!$A$4:$A$200, "")&gt;0, "YES","NO"),"N/A")</f>
        <v>N/A</v>
      </c>
      <c r="O88" s="185" t="str">
        <f xml:space="preserve"> IF(M88="eligible",'CASE DATA'!K89,"N/A")</f>
        <v>N/A</v>
      </c>
      <c r="P88" s="185" t="str">
        <f xml:space="preserve"> IF(M88="eligible",'CASE DATA'!I89+'CASE DATA'!J89+'CASE DATA'!L89+'CASE DATA'!M89+'CASE DATA'!N89+'CASE DATA'!O89+'CASE DATA'!M89+'CASE DATA'!Q89+'CASE DATA'!R89,"N/A")</f>
        <v>N/A</v>
      </c>
      <c r="Q88" s="11" t="str">
        <f>IF(M88="eligible",IF(C88+730.5&lt;'BASIC INFO'!$B$3, "YES", "NO"),"N/A")</f>
        <v>N/A</v>
      </c>
      <c r="R88" s="186" t="str">
        <f xml:space="preserve"> IF(OR('CASE DATA'!F89="DEF"), "YES", "NO")</f>
        <v>NO</v>
      </c>
      <c r="S88" s="162" t="str">
        <f>IF(R88="YES",'CASE DATA'!H89,"N/A")</f>
        <v>N/A</v>
      </c>
      <c r="T88" s="185" t="str">
        <f xml:space="preserve"> IF(R88="YES",'CASE DATA'!K89,"N/A")</f>
        <v>N/A</v>
      </c>
      <c r="U88" s="185" t="str">
        <f>IF(R88="YES",'CASE DATA'!I89+'CASE DATA'!J89+'CASE DATA'!L89+'CASE DATA'!M89+'CASE DATA'!N89+'CASE DATA'!O89+'CASE DATA'!P89+'CASE DATA'!Q89+'CASE DATA'!R89,"N/A")</f>
        <v>N/A</v>
      </c>
      <c r="V88" s="189" t="str">
        <f>IF(OR('CASE DATA'!E89="123.46",'CASE DATA'!E89="123.47"),"YES","NO")</f>
        <v>NO</v>
      </c>
      <c r="W88" s="189"/>
      <c r="X88" s="185" t="str">
        <f>IF(V88="YES",IF(C88+730.5&lt;'BASIC INFO'!$B$3, "YES","NO"), "N/A")</f>
        <v>N/A</v>
      </c>
      <c r="Y88" s="189" t="str">
        <f t="shared" si="1"/>
        <v>NO</v>
      </c>
      <c r="Z88" s="187" t="str">
        <f xml:space="preserve"> IF('BASIC INFO'!$B$6+6574.5&gt;C88, "YES", "NO")</f>
        <v>YES</v>
      </c>
    </row>
    <row r="89" spans="1:26" x14ac:dyDescent="0.25">
      <c r="A89" s="162">
        <f xml:space="preserve"> 'CASE DATA'!A90</f>
        <v>0</v>
      </c>
      <c r="B89" s="162">
        <f xml:space="preserve"> 'CASE DATA'!E90</f>
        <v>0</v>
      </c>
      <c r="C89" s="163">
        <f xml:space="preserve"> 'CASE DATA'!C90</f>
        <v>0</v>
      </c>
      <c r="D89" s="11" t="str">
        <f xml:space="preserve"> IF(OR('CASE DATA'!F90="JUV", 'CASE DATA'!F90="JWV"), "YES", "NO")</f>
        <v>NO</v>
      </c>
      <c r="E89" s="11"/>
      <c r="F89" s="11" t="str">
        <f>IF(D89="YES",IF(COUNTIF('CASE DATA'!$C$4:$C$200, "")-COUNTIF('CASE DATA'!$A$4:$A$200, "")&gt;0, "YES","NO"),"N/A")</f>
        <v>N/A</v>
      </c>
      <c r="G89" s="164" t="str">
        <f xml:space="preserve"> _xlfn.IFS(D89="NO", "N/A", AND('BASIC INFO'!$B$3&gt;'BASIC INFO'!$B$6+6574.5, C89+730.5&lt;'BASIC INFO'!$B$3), "YES", 'BASIC INFO'!$B$3&lt;('BASIC INFO'!$B$6+6574.5), "NOT YET 18", C89+730.5&gt;'BASIC INFO'!$B$3, "NOT YET 2 YEARS")</f>
        <v>N/A</v>
      </c>
      <c r="H89" s="186" t="str">
        <f xml:space="preserve"> IF(LEFT('CASE DATA'!E90,4)&lt;&gt;"321.",IF(OR('CASE DATA'!F90="DISM", 'CASE DATA'!F90="ACQ", 'CASE DATA'!F90="NOTF", 'CASE DATA'!F90="WTHD", 'CASE DATA'!F90="TNSF"), "YES", "NO"), "TRAFFIC")</f>
        <v>NO</v>
      </c>
      <c r="I89" s="185" t="str">
        <f xml:space="preserve"> IF(H89="YES",'CASE DATA'!K90,"N/A")</f>
        <v>N/A</v>
      </c>
      <c r="J89" s="185" t="str">
        <f>IF(H89="YES",'CASE DATA'!I90+'CASE DATA'!J90+'CASE DATA'!L90+'CASE DATA'!M90+'CASE DATA'!N90+'CASE DATA'!O90+'CASE DATA'!P90+'CASE DATA'!Q90+'CASE DATA'!R90,"N/A")</f>
        <v>N/A</v>
      </c>
      <c r="K89" s="162" t="str">
        <f xml:space="preserve"> IF(H89="YES",IF(C89+180&lt;'BASIC INFO'!$B$3, "YES", "NO"),"N/A")</f>
        <v>N/A</v>
      </c>
      <c r="L89" s="185" t="str">
        <f>IF(OR('CASE DATA'!F90="GTR", 'CASE DATA'!F90="GPL"),IF(OR('CASE DATA'!E90="81.6(2)", 'CASE DATA'!E90="99F.15(6)(b)(1)", 'CASE DATA'!E90= "124.401(1)(a)", 'CASE DATA'!E90= "124.401(1)(b)", 'CASE DATA'!E90= "124.401(1)(c)", 'CASE DATA'!E90= "124.401(1)(d)", 'CASE DATA'!E90="124.401(4)", 'CASE DATA'!E90="124.401(1)(b)", 'CASE DATA'!E90="124.401(1)(c)", 'CASE DATA'!E90="124.401D(2)(b)", 'CASE DATA'!E90="124.401D(2)(c)", 'CASE DATA'!E90="124.406(1)(a)", 'CASE DATA'!E90="124.406(1)(b) ", 'CASE DATA'!E90="124.406(2)(a)", 'CASE DATA'!E90="124.406(2)(b) ", 'CASE DATA'!E90="124.406(3)", 'CASE DATA'!E90="124.406A ", 'CASE DATA'!E90="124.407(2)(a)", 'CASE DATA'!E90="124B.9(1)", 'CASE DATA'!E90="124B.9(2)", 'CASE DATA'!E90="321J.2(2)(c)", 'CASE DATA'!E90="453B.12(2)", 'CASE DATA'!E90="453B.12(3)", 'CASE DATA'!E90="453B.12(4)", 'CASE DATA'!E90="462A.14(2)(c)", 'CASE DATA'!E90="462A.14(2)(d)", 'CASE DATA'!E90="462A.14(2)(e)", 'CASE DATA'!E90="705.1(2)", 'CASE DATA'!E90="706.3(1)", 'CASE DATA'!E90="706.3(2)", 'CASE DATA'!E90="706A.2(1)", 'CASE DATA'!E90="706A.2(2)", 'CASE DATA'!E90="706A.2(4)", 'CASE DATA'!E90="706B.2(1)(a)", 'CASE DATA'!E90="706B.2(1)(b)", 'CASE DATA'!E90="706B.2(1)(c)", 'CASE DATA'!E90="706B.2(1)(d)", 'CASE DATA'!E90="707.2", 'CASE DATA'!E90="707.3", 'CASE DATA'!E90="707.3A", 'CASE DATA'!E90="707.4", 'CASE DATA'!E90="707.5(1)(a)", 'CASE DATA'!E90="707.6A(1)", 'CASE DATA'!E90="707.6A(2)", 'CASE DATA'!E90="707.6A(3)", 'CASE DATA'!E90="707.6A(4)", 'CASE DATA'!E90="707.7(1)", 'CASE DATA'!E90="707.7(3)", 'CASE DATA'!E90="707.7(2)", 'CASE DATA'!E90="707.8(1)", 'CASE DATA'!E90="707.8(2)", 'CASE DATA'!E90="707.8(3)", 'CASE DATA'!E90="707.8(4)", 'CASE DATA'!E90="707.8(5)", 'CASE DATA'!E90="707.8(6)", 'CASE DATA'!E90="707.9", 'CASE DATA'!E90="707.11", 'CASE DATA'!E90="707A.2", 'CASE DATA'!E90="708.2(4)", 'CASE DATA'!E90="708.2(5)", 'CASE DATA'!E90="708.2A(4)", 'CASE DATA'!E90="708.2A(5)", 'CASE DATA'!E90="708.2C(2)", 'CASE DATA'!E90="708.2C(4)", 'CASE DATA'!E90="708.3(1)", 'CASE DATA'!E90="708.3(2)", 'CASE DATA'!E90="708.3A(1)", 'CASE DATA'!E90="708.3A(2)", 'CASE DATA'!E90="708.3B", 'CASE DATA'!E90="708.4(1)", 'CASE DATA'!E90="708.4(2)", 'CASE DATA'!E90="708.5", 'CASE DATA'!E90="708.8", 'CASE DATA'!E90="708.11(3)(a)", 'CASE DATA'!E90="708.11(3)(b)", 'CASE DATA'!E90="708.12(3)(f)", 'CASE DATA'!E90="708.13(3)", 'CASE DATA'!E90="708.14", 'CASE DATA'!E90="708A.2", 'CASE DATA'!E90="708A.4(1)", 'CASE DATA'!E90="708A.4(2)", 'CASE DATA'!E90="708A.5", 'CASE DATA'!E90="708A.6(1)", 'CASE DATA'!E90="708.A.6(2)", 'CASE DATA'!E90="709.2", 'CASE DATA'!E90="709.3", 'CASE DATA'!E90="709.4", 'CASE DATA'!E90="709.8(1)(a)", 'CASE DATA'!E90="709.8(1)(b)", 'CASE DATA'!E90="709.8(1)(c)", 'CASE DATA'!E90="709.8(1)(d)", 'CASE DATA'!E90="709.8(1)(e)", 'CASE DATA'!E90="709.11(1)", 'CASE DATA'!E90="709.11(2)", 'CASE DATA'!E90="709.15(2)(a)(1)", 'CASE DATA'!E90="709.15(3)(a)(1)", 'CASE DATA'!E90="709.18", 'CASE DATA'!E90="709A.6(2)", 'CASE DATA'!E90="709D.3(1)", 'CASE DATA'!E90="709D.3(2)", 'CASE DATA'!E90="709.D.3(3)", 'CASE DATA'!E90="710.2", 'CASE DATA'!E90="710.3", 'CASE DATA'!E90="710.4", 'CASE DATA'!E90="710.5", 'CASE DATA'!E90="710.10(1)", 'CASE DATA'!E90="710.10(2)", 'CASE DATA'!E90="710.10(3)", 'CASE DATA'!E90="710.11", 'CASE DATA'!E90="710A.2(1)", 'CASE DATA'!E90="710A.2(2)", 'CASE DATA'!E90="710A.2(3)", 'CASE DATA'!E90="710A.2(4)", 'CASE DATA'!E90="710A.2(5)", 'CASE DATA'!E90="710A.2(6)", 'CASE DATA'!E90="710A.2(7)", 'CASE DATA'!E90="710A.2A", 'CASE DATA'!E90="711.2", 'CASE DATA'!E90="711.3", 'CASE DATA'!E90="711.4", 'CASE DATA'!E90="712.2", 'CASE DATA'!E90="712.3", 'CASE DATA'!E90="712.6(1)", 'CASE DATA'!E90="712.7", 'CASE DATA'!E90="712.8", 'CASE DATA'!E90="", 'CASE DATA'!E90="713.3", 'CASE DATA'!E90="713.4", 'CASE DATA'!E90="713.5", 'CASE DATA'!E90="713.6", 'CASE DATA'!E90="713.6A(1)", 'CASE DATA'!E90="714.2(1)", 'CASE DATA'!E90="714.2(2)", 'CASE DATA'!E90="714.3A(2)(b)", 'CASE DATA'!E90="714.9", 'CASE DATA'!E90="714.10", 'CASE DATA'!E90="714.26(2)(a)", 'CASE DATA'!E90="714.26(2)(b)", 'CASE DATA'!E90="715A.2(2)(a)", 'CASE DATA'!E90="715A.6(2)(a)", 'CASE DATA'!E90="715A.6(2)(b)", 'CASE DATA'!E90="715A.8(3)(a)", 'CASE DATA'!E90="715A.8(3)(b)", 'CASE DATA'!E90="715A.10(1)", 'CASE DATA'!E90="715A.10(2)", 'CASE DATA'!E90="716.3", 'CASE DATA'!E90="716.4", 'CASE DATA'!E90="716.8(6)", 'CASE DATA'!E90="716.10(2)(a)", 'CASE DATA'!E90="716.10(2)(b)", 'CASE DATA'!E90="716.10(2)(c)", 'CASE DATA'!E90="716.10(2)(d)", 'CASE DATA'!E90="716.12", 'CASE DATA'!E90="719.1(1)(f)", 'CASE DATA'!E90="719.1(2)(e)", 'CASE DATA'!E90="719.1(2)(f)", 'CASE DATA'!E90="719.1(2)(g)", 'CASE DATA'!E90="719.4(1)", 'CASE DATA'!E90="719.4(4)", 'CASE DATA'!E90="719.5(1)", 'CASE DATA'!E90="719.5(2)", 'CASE DATA'!E90="719.6(1)", 'CASE DATA'!E90="719.6(2)", 'CASE DATA'!E90="719.7(4)(a)", 'CASE DATA'!E90="719.7(4)(b)", 'CASE DATA'!E90="719.7A(3)", 'CASE DATA'!E90="719.9", 'CASE DATA'!E90="719.8", 'CASE DATA'!E90="720.2", 'CASE DATA'!E90="720.3", 'CASE DATA'!E90="721.1", 'CASE DATA'!E90="722.1", 'CASE DATA'!E90="", 'CASE DATA'!E90="722.2", 'CASE DATA'!E90="722.10", 'CASE DATA'!E90="723(5)(3)(c)", 'CASE DATA'!E90="723A.2", 'CASE DATA'!E90="723A.3(1)", 'CASE DATA'!E90="723A.3(2)", 'CASE DATA'!E90="724.1B", 'CASE DATA'!E90="724.1C", 'CASE DATA'!E90="724.3", 'CASE DATA'!E90="724.4B", 'CASE DATA'!E90="724.10", 'CASE DATA'!E90="724.16(2)", 'CASE DATA'!E90="724.16A(1)(a)", 'CASE DATA'!E90="724.16A(1)(b)", 'CASE DATA'!E90="724.17", 'CASE DATA'!E90="724.21", 'CASE DATA'!E90="724.26(1)", 'CASE DATA'!E90="922(g)(8)", 'CASE DATA'!E90="724.29A(2)", 'CASE DATA'!E90="724.29A(3)", 'CASE DATA'!E90="724.30(1)", 'CASE DATA'!E90="724.30(2)", 'CASE DATA'!E90="725.1(2)(b)", 'CASE DATA'!E90="725.2(1)", 'CASE DATA'!E90="725.2(2)", 'CASE DATA'!E90="725.3(2)", 'CASE DATA'!E90="725.3(1)", 'CASE DATA'!E90="725.7(2)(a)(3)", 'CASE DATA'!E90="725.7(2)(a)(4)", 'CASE DATA'!E90="725.7(2)(b)(2)", 'CASE DATA'!E90="725.7(2)(b(3)", 'CASE DATA'!E90="726.7(2)(c)(1)", 'CASE DATA'!E90="726.7(2)(c)(2)", 'CASE DATA'!E90="725.7(2)(d)", 'CASE DATA'!E90="726.2", 'CASE DATA'!E90="726.3", 'CASE DATA'!E90="726.5", 'CASE DATA'!E90="726.6(4)", 'CASE DATA'!E90="726.6(5)", 'CASE DATA'!E90="726.6(6)", 'CASE DATA'!E90="726.6A", 'CASE DATA'!E90="726.7(2)", 'CASE DATA'!E90="726.8(2)", 'CASE DATA'!E90="728.12(1)", 'CASE DATA'!E90="728.12(2)"),"felony","eligible"),"N/A")</f>
        <v>N/A</v>
      </c>
      <c r="M89" s="185" t="str">
        <f>IF(L89="eligible",IF(OR('CASE DATA'!E90="123.46",'CASE DATA'!E90="123.47",'CASE DATA'!E90="235B.20",'CASE DATA'!E90="321.218",'CASE DATA'!E90="321A.32",'CASE DATA'!E90="321J.21",'CASE DATA'!E90="321J.2",'CASE DATA'!E90="707.5",'CASE DATA'!E90="708.2(3)",'CASE DATA'!E90="708.2A",'CASE DATA'!E90="708.7",'CASE DATA'!E90="708.11",'CASE DATA'!E90="708.12",'CASE DATA'!E90="716.8(3)",'CASE DATA'!E90="716.8(4)", LEFT('CASE DATA'!E90,4)="717C", LEFT('CASE DATA'!E90, 3)="719", LEFT('CASE DATA'!E90,3)="720", 'CASE DATA'!E90="721.2", 'CASE DATA'!E90="721.10", 'CASE DATA'!E90="723.1", LEFT('CASE DATA'!E90,3)="724", LEFT('CASE DATA'!E90,3)="726", LEFT('CASE DATA'!E90,3)="728", LEFT('CASE DATA'!E90,4)="901A"),"ineligible misd", "eligible"),"N/A")</f>
        <v>N/A</v>
      </c>
      <c r="N89" s="185" t="str">
        <f>IF(L89="eligible",IF(COUNTIF('CASE DATA'!$C$4:$C$200, "")-COUNTIF('CASE DATA'!$A$4:$A$200, "")&gt;0, "YES","NO"),"N/A")</f>
        <v>N/A</v>
      </c>
      <c r="O89" s="185" t="str">
        <f xml:space="preserve"> IF(M89="eligible",'CASE DATA'!K90,"N/A")</f>
        <v>N/A</v>
      </c>
      <c r="P89" s="185" t="str">
        <f xml:space="preserve"> IF(M89="eligible",'CASE DATA'!I90+'CASE DATA'!J90+'CASE DATA'!L90+'CASE DATA'!M90+'CASE DATA'!N90+'CASE DATA'!O90+'CASE DATA'!M90+'CASE DATA'!Q90+'CASE DATA'!R90,"N/A")</f>
        <v>N/A</v>
      </c>
      <c r="Q89" s="11" t="str">
        <f>IF(M89="eligible",IF(C89+730.5&lt;'BASIC INFO'!$B$3, "YES", "NO"),"N/A")</f>
        <v>N/A</v>
      </c>
      <c r="R89" s="186" t="str">
        <f xml:space="preserve"> IF(OR('CASE DATA'!F90="DEF"), "YES", "NO")</f>
        <v>NO</v>
      </c>
      <c r="S89" s="162" t="str">
        <f>IF(R89="YES",'CASE DATA'!H90,"N/A")</f>
        <v>N/A</v>
      </c>
      <c r="T89" s="185" t="str">
        <f xml:space="preserve"> IF(R89="YES",'CASE DATA'!K90,"N/A")</f>
        <v>N/A</v>
      </c>
      <c r="U89" s="185" t="str">
        <f>IF(R89="YES",'CASE DATA'!I90+'CASE DATA'!J90+'CASE DATA'!L90+'CASE DATA'!M90+'CASE DATA'!N90+'CASE DATA'!O90+'CASE DATA'!P90+'CASE DATA'!Q90+'CASE DATA'!R90,"N/A")</f>
        <v>N/A</v>
      </c>
      <c r="V89" s="189" t="str">
        <f>IF(OR('CASE DATA'!E90="123.46",'CASE DATA'!E90="123.47"),"YES","NO")</f>
        <v>NO</v>
      </c>
      <c r="W89" s="189"/>
      <c r="X89" s="185" t="str">
        <f>IF(V89="YES",IF(C89+730.5&lt;'BASIC INFO'!$B$3, "YES","NO"), "N/A")</f>
        <v>N/A</v>
      </c>
      <c r="Y89" s="189" t="str">
        <f t="shared" si="1"/>
        <v>NO</v>
      </c>
      <c r="Z89" s="187" t="str">
        <f xml:space="preserve"> IF('BASIC INFO'!$B$6+6574.5&gt;C89, "YES", "NO")</f>
        <v>YES</v>
      </c>
    </row>
    <row r="90" spans="1:26" x14ac:dyDescent="0.25">
      <c r="A90" s="162">
        <f xml:space="preserve"> 'CASE DATA'!A91</f>
        <v>0</v>
      </c>
      <c r="B90" s="162">
        <f xml:space="preserve"> 'CASE DATA'!E91</f>
        <v>0</v>
      </c>
      <c r="C90" s="163">
        <f xml:space="preserve"> 'CASE DATA'!C91</f>
        <v>0</v>
      </c>
      <c r="D90" s="11" t="str">
        <f xml:space="preserve"> IF(OR('CASE DATA'!F91="JUV", 'CASE DATA'!F91="JWV"), "YES", "NO")</f>
        <v>NO</v>
      </c>
      <c r="E90" s="11"/>
      <c r="F90" s="11" t="str">
        <f>IF(D90="YES",IF(COUNTIF('CASE DATA'!$C$4:$C$200, "")-COUNTIF('CASE DATA'!$A$4:$A$200, "")&gt;0, "YES","NO"),"N/A")</f>
        <v>N/A</v>
      </c>
      <c r="G90" s="164" t="str">
        <f xml:space="preserve"> _xlfn.IFS(D90="NO", "N/A", AND('BASIC INFO'!$B$3&gt;'BASIC INFO'!$B$6+6574.5, C90+730.5&lt;'BASIC INFO'!$B$3), "YES", 'BASIC INFO'!$B$3&lt;('BASIC INFO'!$B$6+6574.5), "NOT YET 18", C90+730.5&gt;'BASIC INFO'!$B$3, "NOT YET 2 YEARS")</f>
        <v>N/A</v>
      </c>
      <c r="H90" s="186" t="str">
        <f xml:space="preserve"> IF(LEFT('CASE DATA'!E91,4)&lt;&gt;"321.",IF(OR('CASE DATA'!F91="DISM", 'CASE DATA'!F91="ACQ", 'CASE DATA'!F91="NOTF", 'CASE DATA'!F91="WTHD", 'CASE DATA'!F91="TNSF"), "YES", "NO"), "TRAFFIC")</f>
        <v>NO</v>
      </c>
      <c r="I90" s="185" t="str">
        <f xml:space="preserve"> IF(H90="YES",'CASE DATA'!K91,"N/A")</f>
        <v>N/A</v>
      </c>
      <c r="J90" s="185" t="str">
        <f>IF(H90="YES",'CASE DATA'!I91+'CASE DATA'!J91+'CASE DATA'!L91+'CASE DATA'!M91+'CASE DATA'!N91+'CASE DATA'!O91+'CASE DATA'!P91+'CASE DATA'!Q91+'CASE DATA'!R91,"N/A")</f>
        <v>N/A</v>
      </c>
      <c r="K90" s="162" t="str">
        <f xml:space="preserve"> IF(H90="YES",IF(C90+180&lt;'BASIC INFO'!$B$3, "YES", "NO"),"N/A")</f>
        <v>N/A</v>
      </c>
      <c r="L90" s="185" t="str">
        <f>IF(OR('CASE DATA'!F91="GTR", 'CASE DATA'!F91="GPL"),IF(OR('CASE DATA'!E91="81.6(2)", 'CASE DATA'!E91="99F.15(6)(b)(1)", 'CASE DATA'!E91= "124.401(1)(a)", 'CASE DATA'!E91= "124.401(1)(b)", 'CASE DATA'!E91= "124.401(1)(c)", 'CASE DATA'!E91= "124.401(1)(d)", 'CASE DATA'!E91="124.401(4)", 'CASE DATA'!E91="124.401(1)(b)", 'CASE DATA'!E91="124.401(1)(c)", 'CASE DATA'!E91="124.401D(2)(b)", 'CASE DATA'!E91="124.401D(2)(c)", 'CASE DATA'!E91="124.406(1)(a)", 'CASE DATA'!E91="124.406(1)(b) ", 'CASE DATA'!E91="124.406(2)(a)", 'CASE DATA'!E91="124.406(2)(b) ", 'CASE DATA'!E91="124.406(3)", 'CASE DATA'!E91="124.406A ", 'CASE DATA'!E91="124.407(2)(a)", 'CASE DATA'!E91="124B.9(1)", 'CASE DATA'!E91="124B.9(2)", 'CASE DATA'!E91="321J.2(2)(c)", 'CASE DATA'!E91="453B.12(2)", 'CASE DATA'!E91="453B.12(3)", 'CASE DATA'!E91="453B.12(4)", 'CASE DATA'!E91="462A.14(2)(c)", 'CASE DATA'!E91="462A.14(2)(d)", 'CASE DATA'!E91="462A.14(2)(e)", 'CASE DATA'!E91="705.1(2)", 'CASE DATA'!E91="706.3(1)", 'CASE DATA'!E91="706.3(2)", 'CASE DATA'!E91="706A.2(1)", 'CASE DATA'!E91="706A.2(2)", 'CASE DATA'!E91="706A.2(4)", 'CASE DATA'!E91="706B.2(1)(a)", 'CASE DATA'!E91="706B.2(1)(b)", 'CASE DATA'!E91="706B.2(1)(c)", 'CASE DATA'!E91="706B.2(1)(d)", 'CASE DATA'!E91="707.2", 'CASE DATA'!E91="707.3", 'CASE DATA'!E91="707.3A", 'CASE DATA'!E91="707.4", 'CASE DATA'!E91="707.5(1)(a)", 'CASE DATA'!E91="707.6A(1)", 'CASE DATA'!E91="707.6A(2)", 'CASE DATA'!E91="707.6A(3)", 'CASE DATA'!E91="707.6A(4)", 'CASE DATA'!E91="707.7(1)", 'CASE DATA'!E91="707.7(3)", 'CASE DATA'!E91="707.7(2)", 'CASE DATA'!E91="707.8(1)", 'CASE DATA'!E91="707.8(2)", 'CASE DATA'!E91="707.8(3)", 'CASE DATA'!E91="707.8(4)", 'CASE DATA'!E91="707.8(5)", 'CASE DATA'!E91="707.8(6)", 'CASE DATA'!E91="707.9", 'CASE DATA'!E91="707.11", 'CASE DATA'!E91="707A.2", 'CASE DATA'!E91="708.2(4)", 'CASE DATA'!E91="708.2(5)", 'CASE DATA'!E91="708.2A(4)", 'CASE DATA'!E91="708.2A(5)", 'CASE DATA'!E91="708.2C(2)", 'CASE DATA'!E91="708.2C(4)", 'CASE DATA'!E91="708.3(1)", 'CASE DATA'!E91="708.3(2)", 'CASE DATA'!E91="708.3A(1)", 'CASE DATA'!E91="708.3A(2)", 'CASE DATA'!E91="708.3B", 'CASE DATA'!E91="708.4(1)", 'CASE DATA'!E91="708.4(2)", 'CASE DATA'!E91="708.5", 'CASE DATA'!E91="708.8", 'CASE DATA'!E91="708.11(3)(a)", 'CASE DATA'!E91="708.11(3)(b)", 'CASE DATA'!E91="708.12(3)(f)", 'CASE DATA'!E91="708.13(3)", 'CASE DATA'!E91="708.14", 'CASE DATA'!E91="708A.2", 'CASE DATA'!E91="708A.4(1)", 'CASE DATA'!E91="708A.4(2)", 'CASE DATA'!E91="708A.5", 'CASE DATA'!E91="708A.6(1)", 'CASE DATA'!E91="708.A.6(2)", 'CASE DATA'!E91="709.2", 'CASE DATA'!E91="709.3", 'CASE DATA'!E91="709.4", 'CASE DATA'!E91="709.8(1)(a)", 'CASE DATA'!E91="709.8(1)(b)", 'CASE DATA'!E91="709.8(1)(c)", 'CASE DATA'!E91="709.8(1)(d)", 'CASE DATA'!E91="709.8(1)(e)", 'CASE DATA'!E91="709.11(1)", 'CASE DATA'!E91="709.11(2)", 'CASE DATA'!E91="709.15(2)(a)(1)", 'CASE DATA'!E91="709.15(3)(a)(1)", 'CASE DATA'!E91="709.18", 'CASE DATA'!E91="709A.6(2)", 'CASE DATA'!E91="709D.3(1)", 'CASE DATA'!E91="709D.3(2)", 'CASE DATA'!E91="709.D.3(3)", 'CASE DATA'!E91="710.2", 'CASE DATA'!E91="710.3", 'CASE DATA'!E91="710.4", 'CASE DATA'!E91="710.5", 'CASE DATA'!E91="710.10(1)", 'CASE DATA'!E91="710.10(2)", 'CASE DATA'!E91="710.10(3)", 'CASE DATA'!E91="710.11", 'CASE DATA'!E91="710A.2(1)", 'CASE DATA'!E91="710A.2(2)", 'CASE DATA'!E91="710A.2(3)", 'CASE DATA'!E91="710A.2(4)", 'CASE DATA'!E91="710A.2(5)", 'CASE DATA'!E91="710A.2(6)", 'CASE DATA'!E91="710A.2(7)", 'CASE DATA'!E91="710A.2A", 'CASE DATA'!E91="711.2", 'CASE DATA'!E91="711.3", 'CASE DATA'!E91="711.4", 'CASE DATA'!E91="712.2", 'CASE DATA'!E91="712.3", 'CASE DATA'!E91="712.6(1)", 'CASE DATA'!E91="712.7", 'CASE DATA'!E91="712.8", 'CASE DATA'!E91="", 'CASE DATA'!E91="713.3", 'CASE DATA'!E91="713.4", 'CASE DATA'!E91="713.5", 'CASE DATA'!E91="713.6", 'CASE DATA'!E91="713.6A(1)", 'CASE DATA'!E91="714.2(1)", 'CASE DATA'!E91="714.2(2)", 'CASE DATA'!E91="714.3A(2)(b)", 'CASE DATA'!E91="714.9", 'CASE DATA'!E91="714.10", 'CASE DATA'!E91="714.26(2)(a)", 'CASE DATA'!E91="714.26(2)(b)", 'CASE DATA'!E91="715A.2(2)(a)", 'CASE DATA'!E91="715A.6(2)(a)", 'CASE DATA'!E91="715A.6(2)(b)", 'CASE DATA'!E91="715A.8(3)(a)", 'CASE DATA'!E91="715A.8(3)(b)", 'CASE DATA'!E91="715A.10(1)", 'CASE DATA'!E91="715A.10(2)", 'CASE DATA'!E91="716.3", 'CASE DATA'!E91="716.4", 'CASE DATA'!E91="716.8(6)", 'CASE DATA'!E91="716.10(2)(a)", 'CASE DATA'!E91="716.10(2)(b)", 'CASE DATA'!E91="716.10(2)(c)", 'CASE DATA'!E91="716.10(2)(d)", 'CASE DATA'!E91="716.12", 'CASE DATA'!E91="719.1(1)(f)", 'CASE DATA'!E91="719.1(2)(e)", 'CASE DATA'!E91="719.1(2)(f)", 'CASE DATA'!E91="719.1(2)(g)", 'CASE DATA'!E91="719.4(1)", 'CASE DATA'!E91="719.4(4)", 'CASE DATA'!E91="719.5(1)", 'CASE DATA'!E91="719.5(2)", 'CASE DATA'!E91="719.6(1)", 'CASE DATA'!E91="719.6(2)", 'CASE DATA'!E91="719.7(4)(a)", 'CASE DATA'!E91="719.7(4)(b)", 'CASE DATA'!E91="719.7A(3)", 'CASE DATA'!E91="719.9", 'CASE DATA'!E91="719.8", 'CASE DATA'!E91="720.2", 'CASE DATA'!E91="720.3", 'CASE DATA'!E91="721.1", 'CASE DATA'!E91="722.1", 'CASE DATA'!E91="", 'CASE DATA'!E91="722.2", 'CASE DATA'!E91="722.10", 'CASE DATA'!E91="723(5)(3)(c)", 'CASE DATA'!E91="723A.2", 'CASE DATA'!E91="723A.3(1)", 'CASE DATA'!E91="723A.3(2)", 'CASE DATA'!E91="724.1B", 'CASE DATA'!E91="724.1C", 'CASE DATA'!E91="724.3", 'CASE DATA'!E91="724.4B", 'CASE DATA'!E91="724.10", 'CASE DATA'!E91="724.16(2)", 'CASE DATA'!E91="724.16A(1)(a)", 'CASE DATA'!E91="724.16A(1)(b)", 'CASE DATA'!E91="724.17", 'CASE DATA'!E91="724.21", 'CASE DATA'!E91="724.26(1)", 'CASE DATA'!E91="922(g)(8)", 'CASE DATA'!E91="724.29A(2)", 'CASE DATA'!E91="724.29A(3)", 'CASE DATA'!E91="724.30(1)", 'CASE DATA'!E91="724.30(2)", 'CASE DATA'!E91="725.1(2)(b)", 'CASE DATA'!E91="725.2(1)", 'CASE DATA'!E91="725.2(2)", 'CASE DATA'!E91="725.3(2)", 'CASE DATA'!E91="725.3(1)", 'CASE DATA'!E91="725.7(2)(a)(3)", 'CASE DATA'!E91="725.7(2)(a)(4)", 'CASE DATA'!E91="725.7(2)(b)(2)", 'CASE DATA'!E91="725.7(2)(b(3)", 'CASE DATA'!E91="726.7(2)(c)(1)", 'CASE DATA'!E91="726.7(2)(c)(2)", 'CASE DATA'!E91="725.7(2)(d)", 'CASE DATA'!E91="726.2", 'CASE DATA'!E91="726.3", 'CASE DATA'!E91="726.5", 'CASE DATA'!E91="726.6(4)", 'CASE DATA'!E91="726.6(5)", 'CASE DATA'!E91="726.6(6)", 'CASE DATA'!E91="726.6A", 'CASE DATA'!E91="726.7(2)", 'CASE DATA'!E91="726.8(2)", 'CASE DATA'!E91="728.12(1)", 'CASE DATA'!E91="728.12(2)"),"felony","eligible"),"N/A")</f>
        <v>N/A</v>
      </c>
      <c r="M90" s="185" t="str">
        <f>IF(L90="eligible",IF(OR('CASE DATA'!E91="123.46",'CASE DATA'!E91="123.47",'CASE DATA'!E91="235B.20",'CASE DATA'!E91="321.218",'CASE DATA'!E91="321A.32",'CASE DATA'!E91="321J.21",'CASE DATA'!E91="321J.2",'CASE DATA'!E91="707.5",'CASE DATA'!E91="708.2(3)",'CASE DATA'!E91="708.2A",'CASE DATA'!E91="708.7",'CASE DATA'!E91="708.11",'CASE DATA'!E91="708.12",'CASE DATA'!E91="716.8(3)",'CASE DATA'!E91="716.8(4)", LEFT('CASE DATA'!E91,4)="717C", LEFT('CASE DATA'!E91, 3)="719", LEFT('CASE DATA'!E91,3)="720", 'CASE DATA'!E91="721.2", 'CASE DATA'!E91="721.10", 'CASE DATA'!E91="723.1", LEFT('CASE DATA'!E91,3)="724", LEFT('CASE DATA'!E91,3)="726", LEFT('CASE DATA'!E91,3)="728", LEFT('CASE DATA'!E91,4)="901A"),"ineligible misd", "eligible"),"N/A")</f>
        <v>N/A</v>
      </c>
      <c r="N90" s="185" t="str">
        <f>IF(L90="eligible",IF(COUNTIF('CASE DATA'!$C$4:$C$200, "")-COUNTIF('CASE DATA'!$A$4:$A$200, "")&gt;0, "YES","NO"),"N/A")</f>
        <v>N/A</v>
      </c>
      <c r="O90" s="185" t="str">
        <f xml:space="preserve"> IF(M90="eligible",'CASE DATA'!K91,"N/A")</f>
        <v>N/A</v>
      </c>
      <c r="P90" s="185" t="str">
        <f xml:space="preserve"> IF(M90="eligible",'CASE DATA'!I91+'CASE DATA'!J91+'CASE DATA'!L91+'CASE DATA'!M91+'CASE DATA'!N91+'CASE DATA'!O91+'CASE DATA'!M91+'CASE DATA'!Q91+'CASE DATA'!R91,"N/A")</f>
        <v>N/A</v>
      </c>
      <c r="Q90" s="11" t="str">
        <f>IF(M90="eligible",IF(C90+730.5&lt;'BASIC INFO'!$B$3, "YES", "NO"),"N/A")</f>
        <v>N/A</v>
      </c>
      <c r="R90" s="186" t="str">
        <f xml:space="preserve"> IF(OR('CASE DATA'!F91="DEF"), "YES", "NO")</f>
        <v>NO</v>
      </c>
      <c r="S90" s="162" t="str">
        <f>IF(R90="YES",'CASE DATA'!H91,"N/A")</f>
        <v>N/A</v>
      </c>
      <c r="T90" s="185" t="str">
        <f xml:space="preserve"> IF(R90="YES",'CASE DATA'!K91,"N/A")</f>
        <v>N/A</v>
      </c>
      <c r="U90" s="185" t="str">
        <f>IF(R90="YES",'CASE DATA'!I91+'CASE DATA'!J91+'CASE DATA'!L91+'CASE DATA'!M91+'CASE DATA'!N91+'CASE DATA'!O91+'CASE DATA'!P91+'CASE DATA'!Q91+'CASE DATA'!R91,"N/A")</f>
        <v>N/A</v>
      </c>
      <c r="V90" s="189" t="str">
        <f>IF(OR('CASE DATA'!E91="123.46",'CASE DATA'!E91="123.47"),"YES","NO")</f>
        <v>NO</v>
      </c>
      <c r="W90" s="189"/>
      <c r="X90" s="185" t="str">
        <f>IF(V90="YES",IF(C90+730.5&lt;'BASIC INFO'!$B$3, "YES","NO"), "N/A")</f>
        <v>N/A</v>
      </c>
      <c r="Y90" s="189" t="str">
        <f t="shared" si="1"/>
        <v>NO</v>
      </c>
      <c r="Z90" s="187" t="str">
        <f xml:space="preserve"> IF('BASIC INFO'!$B$6+6574.5&gt;C90, "YES", "NO")</f>
        <v>YES</v>
      </c>
    </row>
    <row r="91" spans="1:26" x14ac:dyDescent="0.25">
      <c r="A91" s="162">
        <f xml:space="preserve"> 'CASE DATA'!A92</f>
        <v>0</v>
      </c>
      <c r="B91" s="162">
        <f xml:space="preserve"> 'CASE DATA'!E92</f>
        <v>0</v>
      </c>
      <c r="C91" s="163">
        <f xml:space="preserve"> 'CASE DATA'!C92</f>
        <v>0</v>
      </c>
      <c r="D91" s="11" t="str">
        <f xml:space="preserve"> IF(OR('CASE DATA'!F92="JUV", 'CASE DATA'!F92="JWV"), "YES", "NO")</f>
        <v>NO</v>
      </c>
      <c r="E91" s="11"/>
      <c r="F91" s="11" t="str">
        <f>IF(D91="YES",IF(COUNTIF('CASE DATA'!$C$4:$C$200, "")-COUNTIF('CASE DATA'!$A$4:$A$200, "")&gt;0, "YES","NO"),"N/A")</f>
        <v>N/A</v>
      </c>
      <c r="G91" s="164" t="str">
        <f xml:space="preserve"> _xlfn.IFS(D91="NO", "N/A", AND('BASIC INFO'!$B$3&gt;'BASIC INFO'!$B$6+6574.5, C91+730.5&lt;'BASIC INFO'!$B$3), "YES", 'BASIC INFO'!$B$3&lt;('BASIC INFO'!$B$6+6574.5), "NOT YET 18", C91+730.5&gt;'BASIC INFO'!$B$3, "NOT YET 2 YEARS")</f>
        <v>N/A</v>
      </c>
      <c r="H91" s="186" t="str">
        <f xml:space="preserve"> IF(LEFT('CASE DATA'!E92,4)&lt;&gt;"321.",IF(OR('CASE DATA'!F92="DISM", 'CASE DATA'!F92="ACQ", 'CASE DATA'!F92="NOTF", 'CASE DATA'!F92="WTHD", 'CASE DATA'!F92="TNSF"), "YES", "NO"), "TRAFFIC")</f>
        <v>NO</v>
      </c>
      <c r="I91" s="185" t="str">
        <f xml:space="preserve"> IF(H91="YES",'CASE DATA'!K92,"N/A")</f>
        <v>N/A</v>
      </c>
      <c r="J91" s="185" t="str">
        <f>IF(H91="YES",'CASE DATA'!I92+'CASE DATA'!J92+'CASE DATA'!L92+'CASE DATA'!M92+'CASE DATA'!N92+'CASE DATA'!O92+'CASE DATA'!P92+'CASE DATA'!Q92+'CASE DATA'!R92,"N/A")</f>
        <v>N/A</v>
      </c>
      <c r="K91" s="162" t="str">
        <f xml:space="preserve"> IF(H91="YES",IF(C91+180&lt;'BASIC INFO'!$B$3, "YES", "NO"),"N/A")</f>
        <v>N/A</v>
      </c>
      <c r="L91" s="185" t="str">
        <f>IF(OR('CASE DATA'!F92="GTR", 'CASE DATA'!F92="GPL"),IF(OR('CASE DATA'!E92="81.6(2)", 'CASE DATA'!E92="99F.15(6)(b)(1)", 'CASE DATA'!E92= "124.401(1)(a)", 'CASE DATA'!E92= "124.401(1)(b)", 'CASE DATA'!E92= "124.401(1)(c)", 'CASE DATA'!E92= "124.401(1)(d)", 'CASE DATA'!E92="124.401(4)", 'CASE DATA'!E92="124.401(1)(b)", 'CASE DATA'!E92="124.401(1)(c)", 'CASE DATA'!E92="124.401D(2)(b)", 'CASE DATA'!E92="124.401D(2)(c)", 'CASE DATA'!E92="124.406(1)(a)", 'CASE DATA'!E92="124.406(1)(b) ", 'CASE DATA'!E92="124.406(2)(a)", 'CASE DATA'!E92="124.406(2)(b) ", 'CASE DATA'!E92="124.406(3)", 'CASE DATA'!E92="124.406A ", 'CASE DATA'!E92="124.407(2)(a)", 'CASE DATA'!E92="124B.9(1)", 'CASE DATA'!E92="124B.9(2)", 'CASE DATA'!E92="321J.2(2)(c)", 'CASE DATA'!E92="453B.12(2)", 'CASE DATA'!E92="453B.12(3)", 'CASE DATA'!E92="453B.12(4)", 'CASE DATA'!E92="462A.14(2)(c)", 'CASE DATA'!E92="462A.14(2)(d)", 'CASE DATA'!E92="462A.14(2)(e)", 'CASE DATA'!E92="705.1(2)", 'CASE DATA'!E92="706.3(1)", 'CASE DATA'!E92="706.3(2)", 'CASE DATA'!E92="706A.2(1)", 'CASE DATA'!E92="706A.2(2)", 'CASE DATA'!E92="706A.2(4)", 'CASE DATA'!E92="706B.2(1)(a)", 'CASE DATA'!E92="706B.2(1)(b)", 'CASE DATA'!E92="706B.2(1)(c)", 'CASE DATA'!E92="706B.2(1)(d)", 'CASE DATA'!E92="707.2", 'CASE DATA'!E92="707.3", 'CASE DATA'!E92="707.3A", 'CASE DATA'!E92="707.4", 'CASE DATA'!E92="707.5(1)(a)", 'CASE DATA'!E92="707.6A(1)", 'CASE DATA'!E92="707.6A(2)", 'CASE DATA'!E92="707.6A(3)", 'CASE DATA'!E92="707.6A(4)", 'CASE DATA'!E92="707.7(1)", 'CASE DATA'!E92="707.7(3)", 'CASE DATA'!E92="707.7(2)", 'CASE DATA'!E92="707.8(1)", 'CASE DATA'!E92="707.8(2)", 'CASE DATA'!E92="707.8(3)", 'CASE DATA'!E92="707.8(4)", 'CASE DATA'!E92="707.8(5)", 'CASE DATA'!E92="707.8(6)", 'CASE DATA'!E92="707.9", 'CASE DATA'!E92="707.11", 'CASE DATA'!E92="707A.2", 'CASE DATA'!E92="708.2(4)", 'CASE DATA'!E92="708.2(5)", 'CASE DATA'!E92="708.2A(4)", 'CASE DATA'!E92="708.2A(5)", 'CASE DATA'!E92="708.2C(2)", 'CASE DATA'!E92="708.2C(4)", 'CASE DATA'!E92="708.3(1)", 'CASE DATA'!E92="708.3(2)", 'CASE DATA'!E92="708.3A(1)", 'CASE DATA'!E92="708.3A(2)", 'CASE DATA'!E92="708.3B", 'CASE DATA'!E92="708.4(1)", 'CASE DATA'!E92="708.4(2)", 'CASE DATA'!E92="708.5", 'CASE DATA'!E92="708.8", 'CASE DATA'!E92="708.11(3)(a)", 'CASE DATA'!E92="708.11(3)(b)", 'CASE DATA'!E92="708.12(3)(f)", 'CASE DATA'!E92="708.13(3)", 'CASE DATA'!E92="708.14", 'CASE DATA'!E92="708A.2", 'CASE DATA'!E92="708A.4(1)", 'CASE DATA'!E92="708A.4(2)", 'CASE DATA'!E92="708A.5", 'CASE DATA'!E92="708A.6(1)", 'CASE DATA'!E92="708.A.6(2)", 'CASE DATA'!E92="709.2", 'CASE DATA'!E92="709.3", 'CASE DATA'!E92="709.4", 'CASE DATA'!E92="709.8(1)(a)", 'CASE DATA'!E92="709.8(1)(b)", 'CASE DATA'!E92="709.8(1)(c)", 'CASE DATA'!E92="709.8(1)(d)", 'CASE DATA'!E92="709.8(1)(e)", 'CASE DATA'!E92="709.11(1)", 'CASE DATA'!E92="709.11(2)", 'CASE DATA'!E92="709.15(2)(a)(1)", 'CASE DATA'!E92="709.15(3)(a)(1)", 'CASE DATA'!E92="709.18", 'CASE DATA'!E92="709A.6(2)", 'CASE DATA'!E92="709D.3(1)", 'CASE DATA'!E92="709D.3(2)", 'CASE DATA'!E92="709.D.3(3)", 'CASE DATA'!E92="710.2", 'CASE DATA'!E92="710.3", 'CASE DATA'!E92="710.4", 'CASE DATA'!E92="710.5", 'CASE DATA'!E92="710.10(1)", 'CASE DATA'!E92="710.10(2)", 'CASE DATA'!E92="710.10(3)", 'CASE DATA'!E92="710.11", 'CASE DATA'!E92="710A.2(1)", 'CASE DATA'!E92="710A.2(2)", 'CASE DATA'!E92="710A.2(3)", 'CASE DATA'!E92="710A.2(4)", 'CASE DATA'!E92="710A.2(5)", 'CASE DATA'!E92="710A.2(6)", 'CASE DATA'!E92="710A.2(7)", 'CASE DATA'!E92="710A.2A", 'CASE DATA'!E92="711.2", 'CASE DATA'!E92="711.3", 'CASE DATA'!E92="711.4", 'CASE DATA'!E92="712.2", 'CASE DATA'!E92="712.3", 'CASE DATA'!E92="712.6(1)", 'CASE DATA'!E92="712.7", 'CASE DATA'!E92="712.8", 'CASE DATA'!E92="", 'CASE DATA'!E92="713.3", 'CASE DATA'!E92="713.4", 'CASE DATA'!E92="713.5", 'CASE DATA'!E92="713.6", 'CASE DATA'!E92="713.6A(1)", 'CASE DATA'!E92="714.2(1)", 'CASE DATA'!E92="714.2(2)", 'CASE DATA'!E92="714.3A(2)(b)", 'CASE DATA'!E92="714.9", 'CASE DATA'!E92="714.10", 'CASE DATA'!E92="714.26(2)(a)", 'CASE DATA'!E92="714.26(2)(b)", 'CASE DATA'!E92="715A.2(2)(a)", 'CASE DATA'!E92="715A.6(2)(a)", 'CASE DATA'!E92="715A.6(2)(b)", 'CASE DATA'!E92="715A.8(3)(a)", 'CASE DATA'!E92="715A.8(3)(b)", 'CASE DATA'!E92="715A.10(1)", 'CASE DATA'!E92="715A.10(2)", 'CASE DATA'!E92="716.3", 'CASE DATA'!E92="716.4", 'CASE DATA'!E92="716.8(6)", 'CASE DATA'!E92="716.10(2)(a)", 'CASE DATA'!E92="716.10(2)(b)", 'CASE DATA'!E92="716.10(2)(c)", 'CASE DATA'!E92="716.10(2)(d)", 'CASE DATA'!E92="716.12", 'CASE DATA'!E92="719.1(1)(f)", 'CASE DATA'!E92="719.1(2)(e)", 'CASE DATA'!E92="719.1(2)(f)", 'CASE DATA'!E92="719.1(2)(g)", 'CASE DATA'!E92="719.4(1)", 'CASE DATA'!E92="719.4(4)", 'CASE DATA'!E92="719.5(1)", 'CASE DATA'!E92="719.5(2)", 'CASE DATA'!E92="719.6(1)", 'CASE DATA'!E92="719.6(2)", 'CASE DATA'!E92="719.7(4)(a)", 'CASE DATA'!E92="719.7(4)(b)", 'CASE DATA'!E92="719.7A(3)", 'CASE DATA'!E92="719.9", 'CASE DATA'!E92="719.8", 'CASE DATA'!E92="720.2", 'CASE DATA'!E92="720.3", 'CASE DATA'!E92="721.1", 'CASE DATA'!E92="722.1", 'CASE DATA'!E92="", 'CASE DATA'!E92="722.2", 'CASE DATA'!E92="722.10", 'CASE DATA'!E92="723(5)(3)(c)", 'CASE DATA'!E92="723A.2", 'CASE DATA'!E92="723A.3(1)", 'CASE DATA'!E92="723A.3(2)", 'CASE DATA'!E92="724.1B", 'CASE DATA'!E92="724.1C", 'CASE DATA'!E92="724.3", 'CASE DATA'!E92="724.4B", 'CASE DATA'!E92="724.10", 'CASE DATA'!E92="724.16(2)", 'CASE DATA'!E92="724.16A(1)(a)", 'CASE DATA'!E92="724.16A(1)(b)", 'CASE DATA'!E92="724.17", 'CASE DATA'!E92="724.21", 'CASE DATA'!E92="724.26(1)", 'CASE DATA'!E92="922(g)(8)", 'CASE DATA'!E92="724.29A(2)", 'CASE DATA'!E92="724.29A(3)", 'CASE DATA'!E92="724.30(1)", 'CASE DATA'!E92="724.30(2)", 'CASE DATA'!E92="725.1(2)(b)", 'CASE DATA'!E92="725.2(1)", 'CASE DATA'!E92="725.2(2)", 'CASE DATA'!E92="725.3(2)", 'CASE DATA'!E92="725.3(1)", 'CASE DATA'!E92="725.7(2)(a)(3)", 'CASE DATA'!E92="725.7(2)(a)(4)", 'CASE DATA'!E92="725.7(2)(b)(2)", 'CASE DATA'!E92="725.7(2)(b(3)", 'CASE DATA'!E92="726.7(2)(c)(1)", 'CASE DATA'!E92="726.7(2)(c)(2)", 'CASE DATA'!E92="725.7(2)(d)", 'CASE DATA'!E92="726.2", 'CASE DATA'!E92="726.3", 'CASE DATA'!E92="726.5", 'CASE DATA'!E92="726.6(4)", 'CASE DATA'!E92="726.6(5)", 'CASE DATA'!E92="726.6(6)", 'CASE DATA'!E92="726.6A", 'CASE DATA'!E92="726.7(2)", 'CASE DATA'!E92="726.8(2)", 'CASE DATA'!E92="728.12(1)", 'CASE DATA'!E92="728.12(2)"),"felony","eligible"),"N/A")</f>
        <v>N/A</v>
      </c>
      <c r="M91" s="185" t="str">
        <f>IF(L91="eligible",IF(OR('CASE DATA'!E92="123.46",'CASE DATA'!E92="123.47",'CASE DATA'!E92="235B.20",'CASE DATA'!E92="321.218",'CASE DATA'!E92="321A.32",'CASE DATA'!E92="321J.21",'CASE DATA'!E92="321J.2",'CASE DATA'!E92="707.5",'CASE DATA'!E92="708.2(3)",'CASE DATA'!E92="708.2A",'CASE DATA'!E92="708.7",'CASE DATA'!E92="708.11",'CASE DATA'!E92="708.12",'CASE DATA'!E92="716.8(3)",'CASE DATA'!E92="716.8(4)", LEFT('CASE DATA'!E92,4)="717C", LEFT('CASE DATA'!E92, 3)="719", LEFT('CASE DATA'!E92,3)="720", 'CASE DATA'!E92="721.2", 'CASE DATA'!E92="721.10", 'CASE DATA'!E92="723.1", LEFT('CASE DATA'!E92,3)="724", LEFT('CASE DATA'!E92,3)="726", LEFT('CASE DATA'!E92,3)="728", LEFT('CASE DATA'!E92,4)="901A"),"ineligible misd", "eligible"),"N/A")</f>
        <v>N/A</v>
      </c>
      <c r="N91" s="185" t="str">
        <f>IF(L91="eligible",IF(COUNTIF('CASE DATA'!$C$4:$C$200, "")-COUNTIF('CASE DATA'!$A$4:$A$200, "")&gt;0, "YES","NO"),"N/A")</f>
        <v>N/A</v>
      </c>
      <c r="O91" s="185" t="str">
        <f xml:space="preserve"> IF(M91="eligible",'CASE DATA'!K92,"N/A")</f>
        <v>N/A</v>
      </c>
      <c r="P91" s="185" t="str">
        <f xml:space="preserve"> IF(M91="eligible",'CASE DATA'!I92+'CASE DATA'!J92+'CASE DATA'!L92+'CASE DATA'!M92+'CASE DATA'!N92+'CASE DATA'!O92+'CASE DATA'!M92+'CASE DATA'!Q92+'CASE DATA'!R92,"N/A")</f>
        <v>N/A</v>
      </c>
      <c r="Q91" s="11" t="str">
        <f>IF(M91="eligible",IF(C91+730.5&lt;'BASIC INFO'!$B$3, "YES", "NO"),"N/A")</f>
        <v>N/A</v>
      </c>
      <c r="R91" s="186" t="str">
        <f xml:space="preserve"> IF(OR('CASE DATA'!F92="DEF"), "YES", "NO")</f>
        <v>NO</v>
      </c>
      <c r="S91" s="162" t="str">
        <f>IF(R91="YES",'CASE DATA'!H92,"N/A")</f>
        <v>N/A</v>
      </c>
      <c r="T91" s="185" t="str">
        <f xml:space="preserve"> IF(R91="YES",'CASE DATA'!K92,"N/A")</f>
        <v>N/A</v>
      </c>
      <c r="U91" s="185" t="str">
        <f>IF(R91="YES",'CASE DATA'!I92+'CASE DATA'!J92+'CASE DATA'!L92+'CASE DATA'!M92+'CASE DATA'!N92+'CASE DATA'!O92+'CASE DATA'!P92+'CASE DATA'!Q92+'CASE DATA'!R92,"N/A")</f>
        <v>N/A</v>
      </c>
      <c r="V91" s="189" t="str">
        <f>IF(OR('CASE DATA'!E92="123.46",'CASE DATA'!E92="123.47"),"YES","NO")</f>
        <v>NO</v>
      </c>
      <c r="W91" s="189"/>
      <c r="X91" s="185" t="str">
        <f>IF(V91="YES",IF(C91+730.5&lt;'BASIC INFO'!$B$3, "YES","NO"), "N/A")</f>
        <v>N/A</v>
      </c>
      <c r="Y91" s="189" t="str">
        <f t="shared" si="1"/>
        <v>NO</v>
      </c>
      <c r="Z91" s="187" t="str">
        <f xml:space="preserve"> IF('BASIC INFO'!$B$6+6574.5&gt;C91, "YES", "NO")</f>
        <v>YES</v>
      </c>
    </row>
    <row r="92" spans="1:26" x14ac:dyDescent="0.25">
      <c r="A92" s="162">
        <f xml:space="preserve"> 'CASE DATA'!A93</f>
        <v>0</v>
      </c>
      <c r="B92" s="162">
        <f xml:space="preserve"> 'CASE DATA'!E93</f>
        <v>0</v>
      </c>
      <c r="C92" s="163">
        <f xml:space="preserve"> 'CASE DATA'!C93</f>
        <v>0</v>
      </c>
      <c r="D92" s="11" t="str">
        <f xml:space="preserve"> IF(OR('CASE DATA'!F93="JUV", 'CASE DATA'!F93="JWV"), "YES", "NO")</f>
        <v>NO</v>
      </c>
      <c r="E92" s="11"/>
      <c r="F92" s="11" t="str">
        <f>IF(D92="YES",IF(COUNTIF('CASE DATA'!$C$4:$C$200, "")-COUNTIF('CASE DATA'!$A$4:$A$200, "")&gt;0, "YES","NO"),"N/A")</f>
        <v>N/A</v>
      </c>
      <c r="G92" s="164" t="str">
        <f xml:space="preserve"> _xlfn.IFS(D92="NO", "N/A", AND('BASIC INFO'!$B$3&gt;'BASIC INFO'!$B$6+6574.5, C92+730.5&lt;'BASIC INFO'!$B$3), "YES", 'BASIC INFO'!$B$3&lt;('BASIC INFO'!$B$6+6574.5), "NOT YET 18", C92+730.5&gt;'BASIC INFO'!$B$3, "NOT YET 2 YEARS")</f>
        <v>N/A</v>
      </c>
      <c r="H92" s="186" t="str">
        <f xml:space="preserve"> IF(LEFT('CASE DATA'!E93,4)&lt;&gt;"321.",IF(OR('CASE DATA'!F93="DISM", 'CASE DATA'!F93="ACQ", 'CASE DATA'!F93="NOTF", 'CASE DATA'!F93="WTHD", 'CASE DATA'!F93="TNSF"), "YES", "NO"), "TRAFFIC")</f>
        <v>NO</v>
      </c>
      <c r="I92" s="185" t="str">
        <f xml:space="preserve"> IF(H92="YES",'CASE DATA'!K93,"N/A")</f>
        <v>N/A</v>
      </c>
      <c r="J92" s="185" t="str">
        <f>IF(H92="YES",'CASE DATA'!I93+'CASE DATA'!J93+'CASE DATA'!L93+'CASE DATA'!M93+'CASE DATA'!N93+'CASE DATA'!O93+'CASE DATA'!P93+'CASE DATA'!Q93+'CASE DATA'!R93,"N/A")</f>
        <v>N/A</v>
      </c>
      <c r="K92" s="162" t="str">
        <f xml:space="preserve"> IF(H92="YES",IF(C92+180&lt;'BASIC INFO'!$B$3, "YES", "NO"),"N/A")</f>
        <v>N/A</v>
      </c>
      <c r="L92" s="185" t="str">
        <f>IF(OR('CASE DATA'!F93="GTR", 'CASE DATA'!F93="GPL"),IF(OR('CASE DATA'!E93="81.6(2)", 'CASE DATA'!E93="99F.15(6)(b)(1)", 'CASE DATA'!E93= "124.401(1)(a)", 'CASE DATA'!E93= "124.401(1)(b)", 'CASE DATA'!E93= "124.401(1)(c)", 'CASE DATA'!E93= "124.401(1)(d)", 'CASE DATA'!E93="124.401(4)", 'CASE DATA'!E93="124.401(1)(b)", 'CASE DATA'!E93="124.401(1)(c)", 'CASE DATA'!E93="124.401D(2)(b)", 'CASE DATA'!E93="124.401D(2)(c)", 'CASE DATA'!E93="124.406(1)(a)", 'CASE DATA'!E93="124.406(1)(b) ", 'CASE DATA'!E93="124.406(2)(a)", 'CASE DATA'!E93="124.406(2)(b) ", 'CASE DATA'!E93="124.406(3)", 'CASE DATA'!E93="124.406A ", 'CASE DATA'!E93="124.407(2)(a)", 'CASE DATA'!E93="124B.9(1)", 'CASE DATA'!E93="124B.9(2)", 'CASE DATA'!E93="321J.2(2)(c)", 'CASE DATA'!E93="453B.12(2)", 'CASE DATA'!E93="453B.12(3)", 'CASE DATA'!E93="453B.12(4)", 'CASE DATA'!E93="462A.14(2)(c)", 'CASE DATA'!E93="462A.14(2)(d)", 'CASE DATA'!E93="462A.14(2)(e)", 'CASE DATA'!E93="705.1(2)", 'CASE DATA'!E93="706.3(1)", 'CASE DATA'!E93="706.3(2)", 'CASE DATA'!E93="706A.2(1)", 'CASE DATA'!E93="706A.2(2)", 'CASE DATA'!E93="706A.2(4)", 'CASE DATA'!E93="706B.2(1)(a)", 'CASE DATA'!E93="706B.2(1)(b)", 'CASE DATA'!E93="706B.2(1)(c)", 'CASE DATA'!E93="706B.2(1)(d)", 'CASE DATA'!E93="707.2", 'CASE DATA'!E93="707.3", 'CASE DATA'!E93="707.3A", 'CASE DATA'!E93="707.4", 'CASE DATA'!E93="707.5(1)(a)", 'CASE DATA'!E93="707.6A(1)", 'CASE DATA'!E93="707.6A(2)", 'CASE DATA'!E93="707.6A(3)", 'CASE DATA'!E93="707.6A(4)", 'CASE DATA'!E93="707.7(1)", 'CASE DATA'!E93="707.7(3)", 'CASE DATA'!E93="707.7(2)", 'CASE DATA'!E93="707.8(1)", 'CASE DATA'!E93="707.8(2)", 'CASE DATA'!E93="707.8(3)", 'CASE DATA'!E93="707.8(4)", 'CASE DATA'!E93="707.8(5)", 'CASE DATA'!E93="707.8(6)", 'CASE DATA'!E93="707.9", 'CASE DATA'!E93="707.11", 'CASE DATA'!E93="707A.2", 'CASE DATA'!E93="708.2(4)", 'CASE DATA'!E93="708.2(5)", 'CASE DATA'!E93="708.2A(4)", 'CASE DATA'!E93="708.2A(5)", 'CASE DATA'!E93="708.2C(2)", 'CASE DATA'!E93="708.2C(4)", 'CASE DATA'!E93="708.3(1)", 'CASE DATA'!E93="708.3(2)", 'CASE DATA'!E93="708.3A(1)", 'CASE DATA'!E93="708.3A(2)", 'CASE DATA'!E93="708.3B", 'CASE DATA'!E93="708.4(1)", 'CASE DATA'!E93="708.4(2)", 'CASE DATA'!E93="708.5", 'CASE DATA'!E93="708.8", 'CASE DATA'!E93="708.11(3)(a)", 'CASE DATA'!E93="708.11(3)(b)", 'CASE DATA'!E93="708.12(3)(f)", 'CASE DATA'!E93="708.13(3)", 'CASE DATA'!E93="708.14", 'CASE DATA'!E93="708A.2", 'CASE DATA'!E93="708A.4(1)", 'CASE DATA'!E93="708A.4(2)", 'CASE DATA'!E93="708A.5", 'CASE DATA'!E93="708A.6(1)", 'CASE DATA'!E93="708.A.6(2)", 'CASE DATA'!E93="709.2", 'CASE DATA'!E93="709.3", 'CASE DATA'!E93="709.4", 'CASE DATA'!E93="709.8(1)(a)", 'CASE DATA'!E93="709.8(1)(b)", 'CASE DATA'!E93="709.8(1)(c)", 'CASE DATA'!E93="709.8(1)(d)", 'CASE DATA'!E93="709.8(1)(e)", 'CASE DATA'!E93="709.11(1)", 'CASE DATA'!E93="709.11(2)", 'CASE DATA'!E93="709.15(2)(a)(1)", 'CASE DATA'!E93="709.15(3)(a)(1)", 'CASE DATA'!E93="709.18", 'CASE DATA'!E93="709A.6(2)", 'CASE DATA'!E93="709D.3(1)", 'CASE DATA'!E93="709D.3(2)", 'CASE DATA'!E93="709.D.3(3)", 'CASE DATA'!E93="710.2", 'CASE DATA'!E93="710.3", 'CASE DATA'!E93="710.4", 'CASE DATA'!E93="710.5", 'CASE DATA'!E93="710.10(1)", 'CASE DATA'!E93="710.10(2)", 'CASE DATA'!E93="710.10(3)", 'CASE DATA'!E93="710.11", 'CASE DATA'!E93="710A.2(1)", 'CASE DATA'!E93="710A.2(2)", 'CASE DATA'!E93="710A.2(3)", 'CASE DATA'!E93="710A.2(4)", 'CASE DATA'!E93="710A.2(5)", 'CASE DATA'!E93="710A.2(6)", 'CASE DATA'!E93="710A.2(7)", 'CASE DATA'!E93="710A.2A", 'CASE DATA'!E93="711.2", 'CASE DATA'!E93="711.3", 'CASE DATA'!E93="711.4", 'CASE DATA'!E93="712.2", 'CASE DATA'!E93="712.3", 'CASE DATA'!E93="712.6(1)", 'CASE DATA'!E93="712.7", 'CASE DATA'!E93="712.8", 'CASE DATA'!E93="", 'CASE DATA'!E93="713.3", 'CASE DATA'!E93="713.4", 'CASE DATA'!E93="713.5", 'CASE DATA'!E93="713.6", 'CASE DATA'!E93="713.6A(1)", 'CASE DATA'!E93="714.2(1)", 'CASE DATA'!E93="714.2(2)", 'CASE DATA'!E93="714.3A(2)(b)", 'CASE DATA'!E93="714.9", 'CASE DATA'!E93="714.10", 'CASE DATA'!E93="714.26(2)(a)", 'CASE DATA'!E93="714.26(2)(b)", 'CASE DATA'!E93="715A.2(2)(a)", 'CASE DATA'!E93="715A.6(2)(a)", 'CASE DATA'!E93="715A.6(2)(b)", 'CASE DATA'!E93="715A.8(3)(a)", 'CASE DATA'!E93="715A.8(3)(b)", 'CASE DATA'!E93="715A.10(1)", 'CASE DATA'!E93="715A.10(2)", 'CASE DATA'!E93="716.3", 'CASE DATA'!E93="716.4", 'CASE DATA'!E93="716.8(6)", 'CASE DATA'!E93="716.10(2)(a)", 'CASE DATA'!E93="716.10(2)(b)", 'CASE DATA'!E93="716.10(2)(c)", 'CASE DATA'!E93="716.10(2)(d)", 'CASE DATA'!E93="716.12", 'CASE DATA'!E93="719.1(1)(f)", 'CASE DATA'!E93="719.1(2)(e)", 'CASE DATA'!E93="719.1(2)(f)", 'CASE DATA'!E93="719.1(2)(g)", 'CASE DATA'!E93="719.4(1)", 'CASE DATA'!E93="719.4(4)", 'CASE DATA'!E93="719.5(1)", 'CASE DATA'!E93="719.5(2)", 'CASE DATA'!E93="719.6(1)", 'CASE DATA'!E93="719.6(2)", 'CASE DATA'!E93="719.7(4)(a)", 'CASE DATA'!E93="719.7(4)(b)", 'CASE DATA'!E93="719.7A(3)", 'CASE DATA'!E93="719.9", 'CASE DATA'!E93="719.8", 'CASE DATA'!E93="720.2", 'CASE DATA'!E93="720.3", 'CASE DATA'!E93="721.1", 'CASE DATA'!E93="722.1", 'CASE DATA'!E93="", 'CASE DATA'!E93="722.2", 'CASE DATA'!E93="722.10", 'CASE DATA'!E93="723(5)(3)(c)", 'CASE DATA'!E93="723A.2", 'CASE DATA'!E93="723A.3(1)", 'CASE DATA'!E93="723A.3(2)", 'CASE DATA'!E93="724.1B", 'CASE DATA'!E93="724.1C", 'CASE DATA'!E93="724.3", 'CASE DATA'!E93="724.4B", 'CASE DATA'!E93="724.10", 'CASE DATA'!E93="724.16(2)", 'CASE DATA'!E93="724.16A(1)(a)", 'CASE DATA'!E93="724.16A(1)(b)", 'CASE DATA'!E93="724.17", 'CASE DATA'!E93="724.21", 'CASE DATA'!E93="724.26(1)", 'CASE DATA'!E93="922(g)(8)", 'CASE DATA'!E93="724.29A(2)", 'CASE DATA'!E93="724.29A(3)", 'CASE DATA'!E93="724.30(1)", 'CASE DATA'!E93="724.30(2)", 'CASE DATA'!E93="725.1(2)(b)", 'CASE DATA'!E93="725.2(1)", 'CASE DATA'!E93="725.2(2)", 'CASE DATA'!E93="725.3(2)", 'CASE DATA'!E93="725.3(1)", 'CASE DATA'!E93="725.7(2)(a)(3)", 'CASE DATA'!E93="725.7(2)(a)(4)", 'CASE DATA'!E93="725.7(2)(b)(2)", 'CASE DATA'!E93="725.7(2)(b(3)", 'CASE DATA'!E93="726.7(2)(c)(1)", 'CASE DATA'!E93="726.7(2)(c)(2)", 'CASE DATA'!E93="725.7(2)(d)", 'CASE DATA'!E93="726.2", 'CASE DATA'!E93="726.3", 'CASE DATA'!E93="726.5", 'CASE DATA'!E93="726.6(4)", 'CASE DATA'!E93="726.6(5)", 'CASE DATA'!E93="726.6(6)", 'CASE DATA'!E93="726.6A", 'CASE DATA'!E93="726.7(2)", 'CASE DATA'!E93="726.8(2)", 'CASE DATA'!E93="728.12(1)", 'CASE DATA'!E93="728.12(2)"),"felony","eligible"),"N/A")</f>
        <v>N/A</v>
      </c>
      <c r="M92" s="185" t="str">
        <f>IF(L92="eligible",IF(OR('CASE DATA'!E93="123.46",'CASE DATA'!E93="123.47",'CASE DATA'!E93="235B.20",'CASE DATA'!E93="321.218",'CASE DATA'!E93="321A.32",'CASE DATA'!E93="321J.21",'CASE DATA'!E93="321J.2",'CASE DATA'!E93="707.5",'CASE DATA'!E93="708.2(3)",'CASE DATA'!E93="708.2A",'CASE DATA'!E93="708.7",'CASE DATA'!E93="708.11",'CASE DATA'!E93="708.12",'CASE DATA'!E93="716.8(3)",'CASE DATA'!E93="716.8(4)", LEFT('CASE DATA'!E93,4)="717C", LEFT('CASE DATA'!E93, 3)="719", LEFT('CASE DATA'!E93,3)="720", 'CASE DATA'!E93="721.2", 'CASE DATA'!E93="721.10", 'CASE DATA'!E93="723.1", LEFT('CASE DATA'!E93,3)="724", LEFT('CASE DATA'!E93,3)="726", LEFT('CASE DATA'!E93,3)="728", LEFT('CASE DATA'!E93,4)="901A"),"ineligible misd", "eligible"),"N/A")</f>
        <v>N/A</v>
      </c>
      <c r="N92" s="185" t="str">
        <f>IF(L92="eligible",IF(COUNTIF('CASE DATA'!$C$4:$C$200, "")-COUNTIF('CASE DATA'!$A$4:$A$200, "")&gt;0, "YES","NO"),"N/A")</f>
        <v>N/A</v>
      </c>
      <c r="O92" s="185" t="str">
        <f xml:space="preserve"> IF(M92="eligible",'CASE DATA'!K93,"N/A")</f>
        <v>N/A</v>
      </c>
      <c r="P92" s="185" t="str">
        <f xml:space="preserve"> IF(M92="eligible",'CASE DATA'!I93+'CASE DATA'!J93+'CASE DATA'!L93+'CASE DATA'!M93+'CASE DATA'!N93+'CASE DATA'!O93+'CASE DATA'!M93+'CASE DATA'!Q93+'CASE DATA'!R93,"N/A")</f>
        <v>N/A</v>
      </c>
      <c r="Q92" s="11" t="str">
        <f>IF(M92="eligible",IF(C92+730.5&lt;'BASIC INFO'!$B$3, "YES", "NO"),"N/A")</f>
        <v>N/A</v>
      </c>
      <c r="R92" s="186" t="str">
        <f xml:space="preserve"> IF(OR('CASE DATA'!F93="DEF"), "YES", "NO")</f>
        <v>NO</v>
      </c>
      <c r="S92" s="162" t="str">
        <f>IF(R92="YES",'CASE DATA'!H93,"N/A")</f>
        <v>N/A</v>
      </c>
      <c r="T92" s="185" t="str">
        <f xml:space="preserve"> IF(R92="YES",'CASE DATA'!K93,"N/A")</f>
        <v>N/A</v>
      </c>
      <c r="U92" s="185" t="str">
        <f>IF(R92="YES",'CASE DATA'!I93+'CASE DATA'!J93+'CASE DATA'!L93+'CASE DATA'!M93+'CASE DATA'!N93+'CASE DATA'!O93+'CASE DATA'!P93+'CASE DATA'!Q93+'CASE DATA'!R93,"N/A")</f>
        <v>N/A</v>
      </c>
      <c r="V92" s="189" t="str">
        <f>IF(OR('CASE DATA'!E93="123.46",'CASE DATA'!E93="123.47"),"YES","NO")</f>
        <v>NO</v>
      </c>
      <c r="W92" s="189"/>
      <c r="X92" s="185" t="str">
        <f>IF(V92="YES",IF(C92+730.5&lt;'BASIC INFO'!$B$3, "YES","NO"), "N/A")</f>
        <v>N/A</v>
      </c>
      <c r="Y92" s="189" t="str">
        <f t="shared" si="1"/>
        <v>NO</v>
      </c>
      <c r="Z92" s="187" t="str">
        <f xml:space="preserve"> IF('BASIC INFO'!$B$6+6574.5&gt;C92, "YES", "NO")</f>
        <v>YES</v>
      </c>
    </row>
    <row r="93" spans="1:26" x14ac:dyDescent="0.25">
      <c r="A93" s="162">
        <f xml:space="preserve"> 'CASE DATA'!A94</f>
        <v>0</v>
      </c>
      <c r="B93" s="162">
        <f xml:space="preserve"> 'CASE DATA'!E94</f>
        <v>0</v>
      </c>
      <c r="C93" s="163">
        <f xml:space="preserve"> 'CASE DATA'!C94</f>
        <v>0</v>
      </c>
      <c r="D93" s="11" t="str">
        <f xml:space="preserve"> IF(OR('CASE DATA'!F94="JUV", 'CASE DATA'!F94="JWV"), "YES", "NO")</f>
        <v>NO</v>
      </c>
      <c r="E93" s="11"/>
      <c r="F93" s="11" t="str">
        <f>IF(D93="YES",IF(COUNTIF('CASE DATA'!$C$4:$C$200, "")-COUNTIF('CASE DATA'!$A$4:$A$200, "")&gt;0, "YES","NO"),"N/A")</f>
        <v>N/A</v>
      </c>
      <c r="G93" s="164" t="str">
        <f xml:space="preserve"> _xlfn.IFS(D93="NO", "N/A", AND('BASIC INFO'!$B$3&gt;'BASIC INFO'!$B$6+6574.5, C93+730.5&lt;'BASIC INFO'!$B$3), "YES", 'BASIC INFO'!$B$3&lt;('BASIC INFO'!$B$6+6574.5), "NOT YET 18", C93+730.5&gt;'BASIC INFO'!$B$3, "NOT YET 2 YEARS")</f>
        <v>N/A</v>
      </c>
      <c r="H93" s="186" t="str">
        <f xml:space="preserve"> IF(LEFT('CASE DATA'!E94,4)&lt;&gt;"321.",IF(OR('CASE DATA'!F94="DISM", 'CASE DATA'!F94="ACQ", 'CASE DATA'!F94="NOTF", 'CASE DATA'!F94="WTHD", 'CASE DATA'!F94="TNSF"), "YES", "NO"), "TRAFFIC")</f>
        <v>NO</v>
      </c>
      <c r="I93" s="185" t="str">
        <f xml:space="preserve"> IF(H93="YES",'CASE DATA'!K94,"N/A")</f>
        <v>N/A</v>
      </c>
      <c r="J93" s="185" t="str">
        <f>IF(H93="YES",'CASE DATA'!I94+'CASE DATA'!J94+'CASE DATA'!L94+'CASE DATA'!M94+'CASE DATA'!N94+'CASE DATA'!O94+'CASE DATA'!P94+'CASE DATA'!Q94+'CASE DATA'!R94,"N/A")</f>
        <v>N/A</v>
      </c>
      <c r="K93" s="162" t="str">
        <f xml:space="preserve"> IF(H93="YES",IF(C93+180&lt;'BASIC INFO'!$B$3, "YES", "NO"),"N/A")</f>
        <v>N/A</v>
      </c>
      <c r="L93" s="185" t="str">
        <f>IF(OR('CASE DATA'!F94="GTR", 'CASE DATA'!F94="GPL"),IF(OR('CASE DATA'!E94="81.6(2)", 'CASE DATA'!E94="99F.15(6)(b)(1)", 'CASE DATA'!E94= "124.401(1)(a)", 'CASE DATA'!E94= "124.401(1)(b)", 'CASE DATA'!E94= "124.401(1)(c)", 'CASE DATA'!E94= "124.401(1)(d)", 'CASE DATA'!E94="124.401(4)", 'CASE DATA'!E94="124.401(1)(b)", 'CASE DATA'!E94="124.401(1)(c)", 'CASE DATA'!E94="124.401D(2)(b)", 'CASE DATA'!E94="124.401D(2)(c)", 'CASE DATA'!E94="124.406(1)(a)", 'CASE DATA'!E94="124.406(1)(b) ", 'CASE DATA'!E94="124.406(2)(a)", 'CASE DATA'!E94="124.406(2)(b) ", 'CASE DATA'!E94="124.406(3)", 'CASE DATA'!E94="124.406A ", 'CASE DATA'!E94="124.407(2)(a)", 'CASE DATA'!E94="124B.9(1)", 'CASE DATA'!E94="124B.9(2)", 'CASE DATA'!E94="321J.2(2)(c)", 'CASE DATA'!E94="453B.12(2)", 'CASE DATA'!E94="453B.12(3)", 'CASE DATA'!E94="453B.12(4)", 'CASE DATA'!E94="462A.14(2)(c)", 'CASE DATA'!E94="462A.14(2)(d)", 'CASE DATA'!E94="462A.14(2)(e)", 'CASE DATA'!E94="705.1(2)", 'CASE DATA'!E94="706.3(1)", 'CASE DATA'!E94="706.3(2)", 'CASE DATA'!E94="706A.2(1)", 'CASE DATA'!E94="706A.2(2)", 'CASE DATA'!E94="706A.2(4)", 'CASE DATA'!E94="706B.2(1)(a)", 'CASE DATA'!E94="706B.2(1)(b)", 'CASE DATA'!E94="706B.2(1)(c)", 'CASE DATA'!E94="706B.2(1)(d)", 'CASE DATA'!E94="707.2", 'CASE DATA'!E94="707.3", 'CASE DATA'!E94="707.3A", 'CASE DATA'!E94="707.4", 'CASE DATA'!E94="707.5(1)(a)", 'CASE DATA'!E94="707.6A(1)", 'CASE DATA'!E94="707.6A(2)", 'CASE DATA'!E94="707.6A(3)", 'CASE DATA'!E94="707.6A(4)", 'CASE DATA'!E94="707.7(1)", 'CASE DATA'!E94="707.7(3)", 'CASE DATA'!E94="707.7(2)", 'CASE DATA'!E94="707.8(1)", 'CASE DATA'!E94="707.8(2)", 'CASE DATA'!E94="707.8(3)", 'CASE DATA'!E94="707.8(4)", 'CASE DATA'!E94="707.8(5)", 'CASE DATA'!E94="707.8(6)", 'CASE DATA'!E94="707.9", 'CASE DATA'!E94="707.11", 'CASE DATA'!E94="707A.2", 'CASE DATA'!E94="708.2(4)", 'CASE DATA'!E94="708.2(5)", 'CASE DATA'!E94="708.2A(4)", 'CASE DATA'!E94="708.2A(5)", 'CASE DATA'!E94="708.2C(2)", 'CASE DATA'!E94="708.2C(4)", 'CASE DATA'!E94="708.3(1)", 'CASE DATA'!E94="708.3(2)", 'CASE DATA'!E94="708.3A(1)", 'CASE DATA'!E94="708.3A(2)", 'CASE DATA'!E94="708.3B", 'CASE DATA'!E94="708.4(1)", 'CASE DATA'!E94="708.4(2)", 'CASE DATA'!E94="708.5", 'CASE DATA'!E94="708.8", 'CASE DATA'!E94="708.11(3)(a)", 'CASE DATA'!E94="708.11(3)(b)", 'CASE DATA'!E94="708.12(3)(f)", 'CASE DATA'!E94="708.13(3)", 'CASE DATA'!E94="708.14", 'CASE DATA'!E94="708A.2", 'CASE DATA'!E94="708A.4(1)", 'CASE DATA'!E94="708A.4(2)", 'CASE DATA'!E94="708A.5", 'CASE DATA'!E94="708A.6(1)", 'CASE DATA'!E94="708.A.6(2)", 'CASE DATA'!E94="709.2", 'CASE DATA'!E94="709.3", 'CASE DATA'!E94="709.4", 'CASE DATA'!E94="709.8(1)(a)", 'CASE DATA'!E94="709.8(1)(b)", 'CASE DATA'!E94="709.8(1)(c)", 'CASE DATA'!E94="709.8(1)(d)", 'CASE DATA'!E94="709.8(1)(e)", 'CASE DATA'!E94="709.11(1)", 'CASE DATA'!E94="709.11(2)", 'CASE DATA'!E94="709.15(2)(a)(1)", 'CASE DATA'!E94="709.15(3)(a)(1)", 'CASE DATA'!E94="709.18", 'CASE DATA'!E94="709A.6(2)", 'CASE DATA'!E94="709D.3(1)", 'CASE DATA'!E94="709D.3(2)", 'CASE DATA'!E94="709.D.3(3)", 'CASE DATA'!E94="710.2", 'CASE DATA'!E94="710.3", 'CASE DATA'!E94="710.4", 'CASE DATA'!E94="710.5", 'CASE DATA'!E94="710.10(1)", 'CASE DATA'!E94="710.10(2)", 'CASE DATA'!E94="710.10(3)", 'CASE DATA'!E94="710.11", 'CASE DATA'!E94="710A.2(1)", 'CASE DATA'!E94="710A.2(2)", 'CASE DATA'!E94="710A.2(3)", 'CASE DATA'!E94="710A.2(4)", 'CASE DATA'!E94="710A.2(5)", 'CASE DATA'!E94="710A.2(6)", 'CASE DATA'!E94="710A.2(7)", 'CASE DATA'!E94="710A.2A", 'CASE DATA'!E94="711.2", 'CASE DATA'!E94="711.3", 'CASE DATA'!E94="711.4", 'CASE DATA'!E94="712.2", 'CASE DATA'!E94="712.3", 'CASE DATA'!E94="712.6(1)", 'CASE DATA'!E94="712.7", 'CASE DATA'!E94="712.8", 'CASE DATA'!E94="", 'CASE DATA'!E94="713.3", 'CASE DATA'!E94="713.4", 'CASE DATA'!E94="713.5", 'CASE DATA'!E94="713.6", 'CASE DATA'!E94="713.6A(1)", 'CASE DATA'!E94="714.2(1)", 'CASE DATA'!E94="714.2(2)", 'CASE DATA'!E94="714.3A(2)(b)", 'CASE DATA'!E94="714.9", 'CASE DATA'!E94="714.10", 'CASE DATA'!E94="714.26(2)(a)", 'CASE DATA'!E94="714.26(2)(b)", 'CASE DATA'!E94="715A.2(2)(a)", 'CASE DATA'!E94="715A.6(2)(a)", 'CASE DATA'!E94="715A.6(2)(b)", 'CASE DATA'!E94="715A.8(3)(a)", 'CASE DATA'!E94="715A.8(3)(b)", 'CASE DATA'!E94="715A.10(1)", 'CASE DATA'!E94="715A.10(2)", 'CASE DATA'!E94="716.3", 'CASE DATA'!E94="716.4", 'CASE DATA'!E94="716.8(6)", 'CASE DATA'!E94="716.10(2)(a)", 'CASE DATA'!E94="716.10(2)(b)", 'CASE DATA'!E94="716.10(2)(c)", 'CASE DATA'!E94="716.10(2)(d)", 'CASE DATA'!E94="716.12", 'CASE DATA'!E94="719.1(1)(f)", 'CASE DATA'!E94="719.1(2)(e)", 'CASE DATA'!E94="719.1(2)(f)", 'CASE DATA'!E94="719.1(2)(g)", 'CASE DATA'!E94="719.4(1)", 'CASE DATA'!E94="719.4(4)", 'CASE DATA'!E94="719.5(1)", 'CASE DATA'!E94="719.5(2)", 'CASE DATA'!E94="719.6(1)", 'CASE DATA'!E94="719.6(2)", 'CASE DATA'!E94="719.7(4)(a)", 'CASE DATA'!E94="719.7(4)(b)", 'CASE DATA'!E94="719.7A(3)", 'CASE DATA'!E94="719.9", 'CASE DATA'!E94="719.8", 'CASE DATA'!E94="720.2", 'CASE DATA'!E94="720.3", 'CASE DATA'!E94="721.1", 'CASE DATA'!E94="722.1", 'CASE DATA'!E94="", 'CASE DATA'!E94="722.2", 'CASE DATA'!E94="722.10", 'CASE DATA'!E94="723(5)(3)(c)", 'CASE DATA'!E94="723A.2", 'CASE DATA'!E94="723A.3(1)", 'CASE DATA'!E94="723A.3(2)", 'CASE DATA'!E94="724.1B", 'CASE DATA'!E94="724.1C", 'CASE DATA'!E94="724.3", 'CASE DATA'!E94="724.4B", 'CASE DATA'!E94="724.10", 'CASE DATA'!E94="724.16(2)", 'CASE DATA'!E94="724.16A(1)(a)", 'CASE DATA'!E94="724.16A(1)(b)", 'CASE DATA'!E94="724.17", 'CASE DATA'!E94="724.21", 'CASE DATA'!E94="724.26(1)", 'CASE DATA'!E94="922(g)(8)", 'CASE DATA'!E94="724.29A(2)", 'CASE DATA'!E94="724.29A(3)", 'CASE DATA'!E94="724.30(1)", 'CASE DATA'!E94="724.30(2)", 'CASE DATA'!E94="725.1(2)(b)", 'CASE DATA'!E94="725.2(1)", 'CASE DATA'!E94="725.2(2)", 'CASE DATA'!E94="725.3(2)", 'CASE DATA'!E94="725.3(1)", 'CASE DATA'!E94="725.7(2)(a)(3)", 'CASE DATA'!E94="725.7(2)(a)(4)", 'CASE DATA'!E94="725.7(2)(b)(2)", 'CASE DATA'!E94="725.7(2)(b(3)", 'CASE DATA'!E94="726.7(2)(c)(1)", 'CASE DATA'!E94="726.7(2)(c)(2)", 'CASE DATA'!E94="725.7(2)(d)", 'CASE DATA'!E94="726.2", 'CASE DATA'!E94="726.3", 'CASE DATA'!E94="726.5", 'CASE DATA'!E94="726.6(4)", 'CASE DATA'!E94="726.6(5)", 'CASE DATA'!E94="726.6(6)", 'CASE DATA'!E94="726.6A", 'CASE DATA'!E94="726.7(2)", 'CASE DATA'!E94="726.8(2)", 'CASE DATA'!E94="728.12(1)", 'CASE DATA'!E94="728.12(2)"),"felony","eligible"),"N/A")</f>
        <v>N/A</v>
      </c>
      <c r="M93" s="185" t="str">
        <f>IF(L93="eligible",IF(OR('CASE DATA'!E94="123.46",'CASE DATA'!E94="123.47",'CASE DATA'!E94="235B.20",'CASE DATA'!E94="321.218",'CASE DATA'!E94="321A.32",'CASE DATA'!E94="321J.21",'CASE DATA'!E94="321J.2",'CASE DATA'!E94="707.5",'CASE DATA'!E94="708.2(3)",'CASE DATA'!E94="708.2A",'CASE DATA'!E94="708.7",'CASE DATA'!E94="708.11",'CASE DATA'!E94="708.12",'CASE DATA'!E94="716.8(3)",'CASE DATA'!E94="716.8(4)", LEFT('CASE DATA'!E94,4)="717C", LEFT('CASE DATA'!E94, 3)="719", LEFT('CASE DATA'!E94,3)="720", 'CASE DATA'!E94="721.2", 'CASE DATA'!E94="721.10", 'CASE DATA'!E94="723.1", LEFT('CASE DATA'!E94,3)="724", LEFT('CASE DATA'!E94,3)="726", LEFT('CASE DATA'!E94,3)="728", LEFT('CASE DATA'!E94,4)="901A"),"ineligible misd", "eligible"),"N/A")</f>
        <v>N/A</v>
      </c>
      <c r="N93" s="185" t="str">
        <f>IF(L93="eligible",IF(COUNTIF('CASE DATA'!$C$4:$C$200, "")-COUNTIF('CASE DATA'!$A$4:$A$200, "")&gt;0, "YES","NO"),"N/A")</f>
        <v>N/A</v>
      </c>
      <c r="O93" s="185" t="str">
        <f xml:space="preserve"> IF(M93="eligible",'CASE DATA'!K94,"N/A")</f>
        <v>N/A</v>
      </c>
      <c r="P93" s="185" t="str">
        <f xml:space="preserve"> IF(M93="eligible",'CASE DATA'!I94+'CASE DATA'!J94+'CASE DATA'!L94+'CASE DATA'!M94+'CASE DATA'!N94+'CASE DATA'!O94+'CASE DATA'!M94+'CASE DATA'!Q94+'CASE DATA'!R94,"N/A")</f>
        <v>N/A</v>
      </c>
      <c r="Q93" s="11" t="str">
        <f>IF(M93="eligible",IF(C93+730.5&lt;'BASIC INFO'!$B$3, "YES", "NO"),"N/A")</f>
        <v>N/A</v>
      </c>
      <c r="R93" s="186" t="str">
        <f xml:space="preserve"> IF(OR('CASE DATA'!F94="DEF"), "YES", "NO")</f>
        <v>NO</v>
      </c>
      <c r="S93" s="162" t="str">
        <f>IF(R93="YES",'CASE DATA'!H94,"N/A")</f>
        <v>N/A</v>
      </c>
      <c r="T93" s="185" t="str">
        <f xml:space="preserve"> IF(R93="YES",'CASE DATA'!K94,"N/A")</f>
        <v>N/A</v>
      </c>
      <c r="U93" s="185" t="str">
        <f>IF(R93="YES",'CASE DATA'!I94+'CASE DATA'!J94+'CASE DATA'!L94+'CASE DATA'!M94+'CASE DATA'!N94+'CASE DATA'!O94+'CASE DATA'!P94+'CASE DATA'!Q94+'CASE DATA'!R94,"N/A")</f>
        <v>N/A</v>
      </c>
      <c r="V93" s="189" t="str">
        <f>IF(OR('CASE DATA'!E94="123.46",'CASE DATA'!E94="123.47"),"YES","NO")</f>
        <v>NO</v>
      </c>
      <c r="W93" s="189"/>
      <c r="X93" s="185" t="str">
        <f>IF(V93="YES",IF(C93+730.5&lt;'BASIC INFO'!$B$3, "YES","NO"), "N/A")</f>
        <v>N/A</v>
      </c>
      <c r="Y93" s="189" t="str">
        <f t="shared" si="1"/>
        <v>NO</v>
      </c>
      <c r="Z93" s="187" t="str">
        <f xml:space="preserve"> IF('BASIC INFO'!$B$6+6574.5&gt;C93, "YES", "NO")</f>
        <v>YES</v>
      </c>
    </row>
    <row r="94" spans="1:26" x14ac:dyDescent="0.25">
      <c r="A94" s="162">
        <f xml:space="preserve"> 'CASE DATA'!A95</f>
        <v>0</v>
      </c>
      <c r="B94" s="162">
        <f xml:space="preserve"> 'CASE DATA'!E95</f>
        <v>0</v>
      </c>
      <c r="C94" s="163">
        <f xml:space="preserve"> 'CASE DATA'!C95</f>
        <v>0</v>
      </c>
      <c r="D94" s="11" t="str">
        <f xml:space="preserve"> IF(OR('CASE DATA'!F95="JUV", 'CASE DATA'!F95="JWV"), "YES", "NO")</f>
        <v>NO</v>
      </c>
      <c r="E94" s="11"/>
      <c r="F94" s="11" t="str">
        <f>IF(D94="YES",IF(COUNTIF('CASE DATA'!$C$4:$C$200, "")-COUNTIF('CASE DATA'!$A$4:$A$200, "")&gt;0, "YES","NO"),"N/A")</f>
        <v>N/A</v>
      </c>
      <c r="G94" s="164" t="str">
        <f xml:space="preserve"> _xlfn.IFS(D94="NO", "N/A", AND('BASIC INFO'!$B$3&gt;'BASIC INFO'!$B$6+6574.5, C94+730.5&lt;'BASIC INFO'!$B$3), "YES", 'BASIC INFO'!$B$3&lt;('BASIC INFO'!$B$6+6574.5), "NOT YET 18", C94+730.5&gt;'BASIC INFO'!$B$3, "NOT YET 2 YEARS")</f>
        <v>N/A</v>
      </c>
      <c r="H94" s="186" t="str">
        <f xml:space="preserve"> IF(LEFT('CASE DATA'!E95,4)&lt;&gt;"321.",IF(OR('CASE DATA'!F95="DISM", 'CASE DATA'!F95="ACQ", 'CASE DATA'!F95="NOTF", 'CASE DATA'!F95="WTHD", 'CASE DATA'!F95="TNSF"), "YES", "NO"), "TRAFFIC")</f>
        <v>NO</v>
      </c>
      <c r="I94" s="185" t="str">
        <f xml:space="preserve"> IF(H94="YES",'CASE DATA'!K95,"N/A")</f>
        <v>N/A</v>
      </c>
      <c r="J94" s="185" t="str">
        <f>IF(H94="YES",'CASE DATA'!I95+'CASE DATA'!J95+'CASE DATA'!L95+'CASE DATA'!M95+'CASE DATA'!N95+'CASE DATA'!O95+'CASE DATA'!P95+'CASE DATA'!Q95+'CASE DATA'!R95,"N/A")</f>
        <v>N/A</v>
      </c>
      <c r="K94" s="162" t="str">
        <f xml:space="preserve"> IF(H94="YES",IF(C94+180&lt;'BASIC INFO'!$B$3, "YES", "NO"),"N/A")</f>
        <v>N/A</v>
      </c>
      <c r="L94" s="185" t="str">
        <f>IF(OR('CASE DATA'!F95="GTR", 'CASE DATA'!F95="GPL"),IF(OR('CASE DATA'!E95="81.6(2)", 'CASE DATA'!E95="99F.15(6)(b)(1)", 'CASE DATA'!E95= "124.401(1)(a)", 'CASE DATA'!E95= "124.401(1)(b)", 'CASE DATA'!E95= "124.401(1)(c)", 'CASE DATA'!E95= "124.401(1)(d)", 'CASE DATA'!E95="124.401(4)", 'CASE DATA'!E95="124.401(1)(b)", 'CASE DATA'!E95="124.401(1)(c)", 'CASE DATA'!E95="124.401D(2)(b)", 'CASE DATA'!E95="124.401D(2)(c)", 'CASE DATA'!E95="124.406(1)(a)", 'CASE DATA'!E95="124.406(1)(b) ", 'CASE DATA'!E95="124.406(2)(a)", 'CASE DATA'!E95="124.406(2)(b) ", 'CASE DATA'!E95="124.406(3)", 'CASE DATA'!E95="124.406A ", 'CASE DATA'!E95="124.407(2)(a)", 'CASE DATA'!E95="124B.9(1)", 'CASE DATA'!E95="124B.9(2)", 'CASE DATA'!E95="321J.2(2)(c)", 'CASE DATA'!E95="453B.12(2)", 'CASE DATA'!E95="453B.12(3)", 'CASE DATA'!E95="453B.12(4)", 'CASE DATA'!E95="462A.14(2)(c)", 'CASE DATA'!E95="462A.14(2)(d)", 'CASE DATA'!E95="462A.14(2)(e)", 'CASE DATA'!E95="705.1(2)", 'CASE DATA'!E95="706.3(1)", 'CASE DATA'!E95="706.3(2)", 'CASE DATA'!E95="706A.2(1)", 'CASE DATA'!E95="706A.2(2)", 'CASE DATA'!E95="706A.2(4)", 'CASE DATA'!E95="706B.2(1)(a)", 'CASE DATA'!E95="706B.2(1)(b)", 'CASE DATA'!E95="706B.2(1)(c)", 'CASE DATA'!E95="706B.2(1)(d)", 'CASE DATA'!E95="707.2", 'CASE DATA'!E95="707.3", 'CASE DATA'!E95="707.3A", 'CASE DATA'!E95="707.4", 'CASE DATA'!E95="707.5(1)(a)", 'CASE DATA'!E95="707.6A(1)", 'CASE DATA'!E95="707.6A(2)", 'CASE DATA'!E95="707.6A(3)", 'CASE DATA'!E95="707.6A(4)", 'CASE DATA'!E95="707.7(1)", 'CASE DATA'!E95="707.7(3)", 'CASE DATA'!E95="707.7(2)", 'CASE DATA'!E95="707.8(1)", 'CASE DATA'!E95="707.8(2)", 'CASE DATA'!E95="707.8(3)", 'CASE DATA'!E95="707.8(4)", 'CASE DATA'!E95="707.8(5)", 'CASE DATA'!E95="707.8(6)", 'CASE DATA'!E95="707.9", 'CASE DATA'!E95="707.11", 'CASE DATA'!E95="707A.2", 'CASE DATA'!E95="708.2(4)", 'CASE DATA'!E95="708.2(5)", 'CASE DATA'!E95="708.2A(4)", 'CASE DATA'!E95="708.2A(5)", 'CASE DATA'!E95="708.2C(2)", 'CASE DATA'!E95="708.2C(4)", 'CASE DATA'!E95="708.3(1)", 'CASE DATA'!E95="708.3(2)", 'CASE DATA'!E95="708.3A(1)", 'CASE DATA'!E95="708.3A(2)", 'CASE DATA'!E95="708.3B", 'CASE DATA'!E95="708.4(1)", 'CASE DATA'!E95="708.4(2)", 'CASE DATA'!E95="708.5", 'CASE DATA'!E95="708.8", 'CASE DATA'!E95="708.11(3)(a)", 'CASE DATA'!E95="708.11(3)(b)", 'CASE DATA'!E95="708.12(3)(f)", 'CASE DATA'!E95="708.13(3)", 'CASE DATA'!E95="708.14", 'CASE DATA'!E95="708A.2", 'CASE DATA'!E95="708A.4(1)", 'CASE DATA'!E95="708A.4(2)", 'CASE DATA'!E95="708A.5", 'CASE DATA'!E95="708A.6(1)", 'CASE DATA'!E95="708.A.6(2)", 'CASE DATA'!E95="709.2", 'CASE DATA'!E95="709.3", 'CASE DATA'!E95="709.4", 'CASE DATA'!E95="709.8(1)(a)", 'CASE DATA'!E95="709.8(1)(b)", 'CASE DATA'!E95="709.8(1)(c)", 'CASE DATA'!E95="709.8(1)(d)", 'CASE DATA'!E95="709.8(1)(e)", 'CASE DATA'!E95="709.11(1)", 'CASE DATA'!E95="709.11(2)", 'CASE DATA'!E95="709.15(2)(a)(1)", 'CASE DATA'!E95="709.15(3)(a)(1)", 'CASE DATA'!E95="709.18", 'CASE DATA'!E95="709A.6(2)", 'CASE DATA'!E95="709D.3(1)", 'CASE DATA'!E95="709D.3(2)", 'CASE DATA'!E95="709.D.3(3)", 'CASE DATA'!E95="710.2", 'CASE DATA'!E95="710.3", 'CASE DATA'!E95="710.4", 'CASE DATA'!E95="710.5", 'CASE DATA'!E95="710.10(1)", 'CASE DATA'!E95="710.10(2)", 'CASE DATA'!E95="710.10(3)", 'CASE DATA'!E95="710.11", 'CASE DATA'!E95="710A.2(1)", 'CASE DATA'!E95="710A.2(2)", 'CASE DATA'!E95="710A.2(3)", 'CASE DATA'!E95="710A.2(4)", 'CASE DATA'!E95="710A.2(5)", 'CASE DATA'!E95="710A.2(6)", 'CASE DATA'!E95="710A.2(7)", 'CASE DATA'!E95="710A.2A", 'CASE DATA'!E95="711.2", 'CASE DATA'!E95="711.3", 'CASE DATA'!E95="711.4", 'CASE DATA'!E95="712.2", 'CASE DATA'!E95="712.3", 'CASE DATA'!E95="712.6(1)", 'CASE DATA'!E95="712.7", 'CASE DATA'!E95="712.8", 'CASE DATA'!E95="", 'CASE DATA'!E95="713.3", 'CASE DATA'!E95="713.4", 'CASE DATA'!E95="713.5", 'CASE DATA'!E95="713.6", 'CASE DATA'!E95="713.6A(1)", 'CASE DATA'!E95="714.2(1)", 'CASE DATA'!E95="714.2(2)", 'CASE DATA'!E95="714.3A(2)(b)", 'CASE DATA'!E95="714.9", 'CASE DATA'!E95="714.10", 'CASE DATA'!E95="714.26(2)(a)", 'CASE DATA'!E95="714.26(2)(b)", 'CASE DATA'!E95="715A.2(2)(a)", 'CASE DATA'!E95="715A.6(2)(a)", 'CASE DATA'!E95="715A.6(2)(b)", 'CASE DATA'!E95="715A.8(3)(a)", 'CASE DATA'!E95="715A.8(3)(b)", 'CASE DATA'!E95="715A.10(1)", 'CASE DATA'!E95="715A.10(2)", 'CASE DATA'!E95="716.3", 'CASE DATA'!E95="716.4", 'CASE DATA'!E95="716.8(6)", 'CASE DATA'!E95="716.10(2)(a)", 'CASE DATA'!E95="716.10(2)(b)", 'CASE DATA'!E95="716.10(2)(c)", 'CASE DATA'!E95="716.10(2)(d)", 'CASE DATA'!E95="716.12", 'CASE DATA'!E95="719.1(1)(f)", 'CASE DATA'!E95="719.1(2)(e)", 'CASE DATA'!E95="719.1(2)(f)", 'CASE DATA'!E95="719.1(2)(g)", 'CASE DATA'!E95="719.4(1)", 'CASE DATA'!E95="719.4(4)", 'CASE DATA'!E95="719.5(1)", 'CASE DATA'!E95="719.5(2)", 'CASE DATA'!E95="719.6(1)", 'CASE DATA'!E95="719.6(2)", 'CASE DATA'!E95="719.7(4)(a)", 'CASE DATA'!E95="719.7(4)(b)", 'CASE DATA'!E95="719.7A(3)", 'CASE DATA'!E95="719.9", 'CASE DATA'!E95="719.8", 'CASE DATA'!E95="720.2", 'CASE DATA'!E95="720.3", 'CASE DATA'!E95="721.1", 'CASE DATA'!E95="722.1", 'CASE DATA'!E95="", 'CASE DATA'!E95="722.2", 'CASE DATA'!E95="722.10", 'CASE DATA'!E95="723(5)(3)(c)", 'CASE DATA'!E95="723A.2", 'CASE DATA'!E95="723A.3(1)", 'CASE DATA'!E95="723A.3(2)", 'CASE DATA'!E95="724.1B", 'CASE DATA'!E95="724.1C", 'CASE DATA'!E95="724.3", 'CASE DATA'!E95="724.4B", 'CASE DATA'!E95="724.10", 'CASE DATA'!E95="724.16(2)", 'CASE DATA'!E95="724.16A(1)(a)", 'CASE DATA'!E95="724.16A(1)(b)", 'CASE DATA'!E95="724.17", 'CASE DATA'!E95="724.21", 'CASE DATA'!E95="724.26(1)", 'CASE DATA'!E95="922(g)(8)", 'CASE DATA'!E95="724.29A(2)", 'CASE DATA'!E95="724.29A(3)", 'CASE DATA'!E95="724.30(1)", 'CASE DATA'!E95="724.30(2)", 'CASE DATA'!E95="725.1(2)(b)", 'CASE DATA'!E95="725.2(1)", 'CASE DATA'!E95="725.2(2)", 'CASE DATA'!E95="725.3(2)", 'CASE DATA'!E95="725.3(1)", 'CASE DATA'!E95="725.7(2)(a)(3)", 'CASE DATA'!E95="725.7(2)(a)(4)", 'CASE DATA'!E95="725.7(2)(b)(2)", 'CASE DATA'!E95="725.7(2)(b(3)", 'CASE DATA'!E95="726.7(2)(c)(1)", 'CASE DATA'!E95="726.7(2)(c)(2)", 'CASE DATA'!E95="725.7(2)(d)", 'CASE DATA'!E95="726.2", 'CASE DATA'!E95="726.3", 'CASE DATA'!E95="726.5", 'CASE DATA'!E95="726.6(4)", 'CASE DATA'!E95="726.6(5)", 'CASE DATA'!E95="726.6(6)", 'CASE DATA'!E95="726.6A", 'CASE DATA'!E95="726.7(2)", 'CASE DATA'!E95="726.8(2)", 'CASE DATA'!E95="728.12(1)", 'CASE DATA'!E95="728.12(2)"),"felony","eligible"),"N/A")</f>
        <v>N/A</v>
      </c>
      <c r="M94" s="185" t="str">
        <f>IF(L94="eligible",IF(OR('CASE DATA'!E95="123.46",'CASE DATA'!E95="123.47",'CASE DATA'!E95="235B.20",'CASE DATA'!E95="321.218",'CASE DATA'!E95="321A.32",'CASE DATA'!E95="321J.21",'CASE DATA'!E95="321J.2",'CASE DATA'!E95="707.5",'CASE DATA'!E95="708.2(3)",'CASE DATA'!E95="708.2A",'CASE DATA'!E95="708.7",'CASE DATA'!E95="708.11",'CASE DATA'!E95="708.12",'CASE DATA'!E95="716.8(3)",'CASE DATA'!E95="716.8(4)", LEFT('CASE DATA'!E95,4)="717C", LEFT('CASE DATA'!E95, 3)="719", LEFT('CASE DATA'!E95,3)="720", 'CASE DATA'!E95="721.2", 'CASE DATA'!E95="721.10", 'CASE DATA'!E95="723.1", LEFT('CASE DATA'!E95,3)="724", LEFT('CASE DATA'!E95,3)="726", LEFT('CASE DATA'!E95,3)="728", LEFT('CASE DATA'!E95,4)="901A"),"ineligible misd", "eligible"),"N/A")</f>
        <v>N/A</v>
      </c>
      <c r="N94" s="185" t="str">
        <f>IF(L94="eligible",IF(COUNTIF('CASE DATA'!$C$4:$C$200, "")-COUNTIF('CASE DATA'!$A$4:$A$200, "")&gt;0, "YES","NO"),"N/A")</f>
        <v>N/A</v>
      </c>
      <c r="O94" s="185" t="str">
        <f xml:space="preserve"> IF(M94="eligible",'CASE DATA'!K95,"N/A")</f>
        <v>N/A</v>
      </c>
      <c r="P94" s="185" t="str">
        <f xml:space="preserve"> IF(M94="eligible",'CASE DATA'!I95+'CASE DATA'!J95+'CASE DATA'!L95+'CASE DATA'!M95+'CASE DATA'!N95+'CASE DATA'!O95+'CASE DATA'!M95+'CASE DATA'!Q95+'CASE DATA'!R95,"N/A")</f>
        <v>N/A</v>
      </c>
      <c r="Q94" s="11" t="str">
        <f>IF(M94="eligible",IF(C94+730.5&lt;'BASIC INFO'!$B$3, "YES", "NO"),"N/A")</f>
        <v>N/A</v>
      </c>
      <c r="R94" s="186" t="str">
        <f xml:space="preserve"> IF(OR('CASE DATA'!F95="DEF"), "YES", "NO")</f>
        <v>NO</v>
      </c>
      <c r="S94" s="162" t="str">
        <f>IF(R94="YES",'CASE DATA'!H95,"N/A")</f>
        <v>N/A</v>
      </c>
      <c r="T94" s="185" t="str">
        <f xml:space="preserve"> IF(R94="YES",'CASE DATA'!K95,"N/A")</f>
        <v>N/A</v>
      </c>
      <c r="U94" s="185" t="str">
        <f>IF(R94="YES",'CASE DATA'!I95+'CASE DATA'!J95+'CASE DATA'!L95+'CASE DATA'!M95+'CASE DATA'!N95+'CASE DATA'!O95+'CASE DATA'!P95+'CASE DATA'!Q95+'CASE DATA'!R95,"N/A")</f>
        <v>N/A</v>
      </c>
      <c r="V94" s="189" t="str">
        <f>IF(OR('CASE DATA'!E95="123.46",'CASE DATA'!E95="123.47"),"YES","NO")</f>
        <v>NO</v>
      </c>
      <c r="W94" s="189"/>
      <c r="X94" s="185" t="str">
        <f>IF(V94="YES",IF(C94+730.5&lt;'BASIC INFO'!$B$3, "YES","NO"), "N/A")</f>
        <v>N/A</v>
      </c>
      <c r="Y94" s="189" t="str">
        <f t="shared" si="1"/>
        <v>NO</v>
      </c>
      <c r="Z94" s="187" t="str">
        <f xml:space="preserve"> IF('BASIC INFO'!$B$6+6574.5&gt;C94, "YES", "NO")</f>
        <v>YES</v>
      </c>
    </row>
    <row r="95" spans="1:26" x14ac:dyDescent="0.25">
      <c r="A95" s="162">
        <f xml:space="preserve"> 'CASE DATA'!A96</f>
        <v>0</v>
      </c>
      <c r="B95" s="162">
        <f xml:space="preserve"> 'CASE DATA'!E96</f>
        <v>0</v>
      </c>
      <c r="C95" s="163">
        <f xml:space="preserve"> 'CASE DATA'!C96</f>
        <v>0</v>
      </c>
      <c r="D95" s="11" t="str">
        <f xml:space="preserve"> IF(OR('CASE DATA'!F96="JUV", 'CASE DATA'!F96="JWV"), "YES", "NO")</f>
        <v>NO</v>
      </c>
      <c r="E95" s="11"/>
      <c r="F95" s="11" t="str">
        <f>IF(D95="YES",IF(COUNTIF('CASE DATA'!$C$4:$C$200, "")-COUNTIF('CASE DATA'!$A$4:$A$200, "")&gt;0, "YES","NO"),"N/A")</f>
        <v>N/A</v>
      </c>
      <c r="G95" s="164" t="str">
        <f xml:space="preserve"> _xlfn.IFS(D95="NO", "N/A", AND('BASIC INFO'!$B$3&gt;'BASIC INFO'!$B$6+6574.5, C95+730.5&lt;'BASIC INFO'!$B$3), "YES", 'BASIC INFO'!$B$3&lt;('BASIC INFO'!$B$6+6574.5), "NOT YET 18", C95+730.5&gt;'BASIC INFO'!$B$3, "NOT YET 2 YEARS")</f>
        <v>N/A</v>
      </c>
      <c r="H95" s="186" t="str">
        <f xml:space="preserve"> IF(LEFT('CASE DATA'!E96,4)&lt;&gt;"321.",IF(OR('CASE DATA'!F96="DISM", 'CASE DATA'!F96="ACQ", 'CASE DATA'!F96="NOTF", 'CASE DATA'!F96="WTHD", 'CASE DATA'!F96="TNSF"), "YES", "NO"), "TRAFFIC")</f>
        <v>NO</v>
      </c>
      <c r="I95" s="185" t="str">
        <f xml:space="preserve"> IF(H95="YES",'CASE DATA'!K96,"N/A")</f>
        <v>N/A</v>
      </c>
      <c r="J95" s="185" t="str">
        <f>IF(H95="YES",'CASE DATA'!I96+'CASE DATA'!J96+'CASE DATA'!L96+'CASE DATA'!M96+'CASE DATA'!N96+'CASE DATA'!O96+'CASE DATA'!P96+'CASE DATA'!Q96+'CASE DATA'!R96,"N/A")</f>
        <v>N/A</v>
      </c>
      <c r="K95" s="162" t="str">
        <f xml:space="preserve"> IF(H95="YES",IF(C95+180&lt;'BASIC INFO'!$B$3, "YES", "NO"),"N/A")</f>
        <v>N/A</v>
      </c>
      <c r="L95" s="185" t="str">
        <f>IF(OR('CASE DATA'!F96="GTR", 'CASE DATA'!F96="GPL"),IF(OR('CASE DATA'!E96="81.6(2)", 'CASE DATA'!E96="99F.15(6)(b)(1)", 'CASE DATA'!E96= "124.401(1)(a)", 'CASE DATA'!E96= "124.401(1)(b)", 'CASE DATA'!E96= "124.401(1)(c)", 'CASE DATA'!E96= "124.401(1)(d)", 'CASE DATA'!E96="124.401(4)", 'CASE DATA'!E96="124.401(1)(b)", 'CASE DATA'!E96="124.401(1)(c)", 'CASE DATA'!E96="124.401D(2)(b)", 'CASE DATA'!E96="124.401D(2)(c)", 'CASE DATA'!E96="124.406(1)(a)", 'CASE DATA'!E96="124.406(1)(b) ", 'CASE DATA'!E96="124.406(2)(a)", 'CASE DATA'!E96="124.406(2)(b) ", 'CASE DATA'!E96="124.406(3)", 'CASE DATA'!E96="124.406A ", 'CASE DATA'!E96="124.407(2)(a)", 'CASE DATA'!E96="124B.9(1)", 'CASE DATA'!E96="124B.9(2)", 'CASE DATA'!E96="321J.2(2)(c)", 'CASE DATA'!E96="453B.12(2)", 'CASE DATA'!E96="453B.12(3)", 'CASE DATA'!E96="453B.12(4)", 'CASE DATA'!E96="462A.14(2)(c)", 'CASE DATA'!E96="462A.14(2)(d)", 'CASE DATA'!E96="462A.14(2)(e)", 'CASE DATA'!E96="705.1(2)", 'CASE DATA'!E96="706.3(1)", 'CASE DATA'!E96="706.3(2)", 'CASE DATA'!E96="706A.2(1)", 'CASE DATA'!E96="706A.2(2)", 'CASE DATA'!E96="706A.2(4)", 'CASE DATA'!E96="706B.2(1)(a)", 'CASE DATA'!E96="706B.2(1)(b)", 'CASE DATA'!E96="706B.2(1)(c)", 'CASE DATA'!E96="706B.2(1)(d)", 'CASE DATA'!E96="707.2", 'CASE DATA'!E96="707.3", 'CASE DATA'!E96="707.3A", 'CASE DATA'!E96="707.4", 'CASE DATA'!E96="707.5(1)(a)", 'CASE DATA'!E96="707.6A(1)", 'CASE DATA'!E96="707.6A(2)", 'CASE DATA'!E96="707.6A(3)", 'CASE DATA'!E96="707.6A(4)", 'CASE DATA'!E96="707.7(1)", 'CASE DATA'!E96="707.7(3)", 'CASE DATA'!E96="707.7(2)", 'CASE DATA'!E96="707.8(1)", 'CASE DATA'!E96="707.8(2)", 'CASE DATA'!E96="707.8(3)", 'CASE DATA'!E96="707.8(4)", 'CASE DATA'!E96="707.8(5)", 'CASE DATA'!E96="707.8(6)", 'CASE DATA'!E96="707.9", 'CASE DATA'!E96="707.11", 'CASE DATA'!E96="707A.2", 'CASE DATA'!E96="708.2(4)", 'CASE DATA'!E96="708.2(5)", 'CASE DATA'!E96="708.2A(4)", 'CASE DATA'!E96="708.2A(5)", 'CASE DATA'!E96="708.2C(2)", 'CASE DATA'!E96="708.2C(4)", 'CASE DATA'!E96="708.3(1)", 'CASE DATA'!E96="708.3(2)", 'CASE DATA'!E96="708.3A(1)", 'CASE DATA'!E96="708.3A(2)", 'CASE DATA'!E96="708.3B", 'CASE DATA'!E96="708.4(1)", 'CASE DATA'!E96="708.4(2)", 'CASE DATA'!E96="708.5", 'CASE DATA'!E96="708.8", 'CASE DATA'!E96="708.11(3)(a)", 'CASE DATA'!E96="708.11(3)(b)", 'CASE DATA'!E96="708.12(3)(f)", 'CASE DATA'!E96="708.13(3)", 'CASE DATA'!E96="708.14", 'CASE DATA'!E96="708A.2", 'CASE DATA'!E96="708A.4(1)", 'CASE DATA'!E96="708A.4(2)", 'CASE DATA'!E96="708A.5", 'CASE DATA'!E96="708A.6(1)", 'CASE DATA'!E96="708.A.6(2)", 'CASE DATA'!E96="709.2", 'CASE DATA'!E96="709.3", 'CASE DATA'!E96="709.4", 'CASE DATA'!E96="709.8(1)(a)", 'CASE DATA'!E96="709.8(1)(b)", 'CASE DATA'!E96="709.8(1)(c)", 'CASE DATA'!E96="709.8(1)(d)", 'CASE DATA'!E96="709.8(1)(e)", 'CASE DATA'!E96="709.11(1)", 'CASE DATA'!E96="709.11(2)", 'CASE DATA'!E96="709.15(2)(a)(1)", 'CASE DATA'!E96="709.15(3)(a)(1)", 'CASE DATA'!E96="709.18", 'CASE DATA'!E96="709A.6(2)", 'CASE DATA'!E96="709D.3(1)", 'CASE DATA'!E96="709D.3(2)", 'CASE DATA'!E96="709.D.3(3)", 'CASE DATA'!E96="710.2", 'CASE DATA'!E96="710.3", 'CASE DATA'!E96="710.4", 'CASE DATA'!E96="710.5", 'CASE DATA'!E96="710.10(1)", 'CASE DATA'!E96="710.10(2)", 'CASE DATA'!E96="710.10(3)", 'CASE DATA'!E96="710.11", 'CASE DATA'!E96="710A.2(1)", 'CASE DATA'!E96="710A.2(2)", 'CASE DATA'!E96="710A.2(3)", 'CASE DATA'!E96="710A.2(4)", 'CASE DATA'!E96="710A.2(5)", 'CASE DATA'!E96="710A.2(6)", 'CASE DATA'!E96="710A.2(7)", 'CASE DATA'!E96="710A.2A", 'CASE DATA'!E96="711.2", 'CASE DATA'!E96="711.3", 'CASE DATA'!E96="711.4", 'CASE DATA'!E96="712.2", 'CASE DATA'!E96="712.3", 'CASE DATA'!E96="712.6(1)", 'CASE DATA'!E96="712.7", 'CASE DATA'!E96="712.8", 'CASE DATA'!E96="", 'CASE DATA'!E96="713.3", 'CASE DATA'!E96="713.4", 'CASE DATA'!E96="713.5", 'CASE DATA'!E96="713.6", 'CASE DATA'!E96="713.6A(1)", 'CASE DATA'!E96="714.2(1)", 'CASE DATA'!E96="714.2(2)", 'CASE DATA'!E96="714.3A(2)(b)", 'CASE DATA'!E96="714.9", 'CASE DATA'!E96="714.10", 'CASE DATA'!E96="714.26(2)(a)", 'CASE DATA'!E96="714.26(2)(b)", 'CASE DATA'!E96="715A.2(2)(a)", 'CASE DATA'!E96="715A.6(2)(a)", 'CASE DATA'!E96="715A.6(2)(b)", 'CASE DATA'!E96="715A.8(3)(a)", 'CASE DATA'!E96="715A.8(3)(b)", 'CASE DATA'!E96="715A.10(1)", 'CASE DATA'!E96="715A.10(2)", 'CASE DATA'!E96="716.3", 'CASE DATA'!E96="716.4", 'CASE DATA'!E96="716.8(6)", 'CASE DATA'!E96="716.10(2)(a)", 'CASE DATA'!E96="716.10(2)(b)", 'CASE DATA'!E96="716.10(2)(c)", 'CASE DATA'!E96="716.10(2)(d)", 'CASE DATA'!E96="716.12", 'CASE DATA'!E96="719.1(1)(f)", 'CASE DATA'!E96="719.1(2)(e)", 'CASE DATA'!E96="719.1(2)(f)", 'CASE DATA'!E96="719.1(2)(g)", 'CASE DATA'!E96="719.4(1)", 'CASE DATA'!E96="719.4(4)", 'CASE DATA'!E96="719.5(1)", 'CASE DATA'!E96="719.5(2)", 'CASE DATA'!E96="719.6(1)", 'CASE DATA'!E96="719.6(2)", 'CASE DATA'!E96="719.7(4)(a)", 'CASE DATA'!E96="719.7(4)(b)", 'CASE DATA'!E96="719.7A(3)", 'CASE DATA'!E96="719.9", 'CASE DATA'!E96="719.8", 'CASE DATA'!E96="720.2", 'CASE DATA'!E96="720.3", 'CASE DATA'!E96="721.1", 'CASE DATA'!E96="722.1", 'CASE DATA'!E96="", 'CASE DATA'!E96="722.2", 'CASE DATA'!E96="722.10", 'CASE DATA'!E96="723(5)(3)(c)", 'CASE DATA'!E96="723A.2", 'CASE DATA'!E96="723A.3(1)", 'CASE DATA'!E96="723A.3(2)", 'CASE DATA'!E96="724.1B", 'CASE DATA'!E96="724.1C", 'CASE DATA'!E96="724.3", 'CASE DATA'!E96="724.4B", 'CASE DATA'!E96="724.10", 'CASE DATA'!E96="724.16(2)", 'CASE DATA'!E96="724.16A(1)(a)", 'CASE DATA'!E96="724.16A(1)(b)", 'CASE DATA'!E96="724.17", 'CASE DATA'!E96="724.21", 'CASE DATA'!E96="724.26(1)", 'CASE DATA'!E96="922(g)(8)", 'CASE DATA'!E96="724.29A(2)", 'CASE DATA'!E96="724.29A(3)", 'CASE DATA'!E96="724.30(1)", 'CASE DATA'!E96="724.30(2)", 'CASE DATA'!E96="725.1(2)(b)", 'CASE DATA'!E96="725.2(1)", 'CASE DATA'!E96="725.2(2)", 'CASE DATA'!E96="725.3(2)", 'CASE DATA'!E96="725.3(1)", 'CASE DATA'!E96="725.7(2)(a)(3)", 'CASE DATA'!E96="725.7(2)(a)(4)", 'CASE DATA'!E96="725.7(2)(b)(2)", 'CASE DATA'!E96="725.7(2)(b(3)", 'CASE DATA'!E96="726.7(2)(c)(1)", 'CASE DATA'!E96="726.7(2)(c)(2)", 'CASE DATA'!E96="725.7(2)(d)", 'CASE DATA'!E96="726.2", 'CASE DATA'!E96="726.3", 'CASE DATA'!E96="726.5", 'CASE DATA'!E96="726.6(4)", 'CASE DATA'!E96="726.6(5)", 'CASE DATA'!E96="726.6(6)", 'CASE DATA'!E96="726.6A", 'CASE DATA'!E96="726.7(2)", 'CASE DATA'!E96="726.8(2)", 'CASE DATA'!E96="728.12(1)", 'CASE DATA'!E96="728.12(2)"),"felony","eligible"),"N/A")</f>
        <v>N/A</v>
      </c>
      <c r="M95" s="185" t="str">
        <f>IF(L95="eligible",IF(OR('CASE DATA'!E96="123.46",'CASE DATA'!E96="123.47",'CASE DATA'!E96="235B.20",'CASE DATA'!E96="321.218",'CASE DATA'!E96="321A.32",'CASE DATA'!E96="321J.21",'CASE DATA'!E96="321J.2",'CASE DATA'!E96="707.5",'CASE DATA'!E96="708.2(3)",'CASE DATA'!E96="708.2A",'CASE DATA'!E96="708.7",'CASE DATA'!E96="708.11",'CASE DATA'!E96="708.12",'CASE DATA'!E96="716.8(3)",'CASE DATA'!E96="716.8(4)", LEFT('CASE DATA'!E96,4)="717C", LEFT('CASE DATA'!E96, 3)="719", LEFT('CASE DATA'!E96,3)="720", 'CASE DATA'!E96="721.2", 'CASE DATA'!E96="721.10", 'CASE DATA'!E96="723.1", LEFT('CASE DATA'!E96,3)="724", LEFT('CASE DATA'!E96,3)="726", LEFT('CASE DATA'!E96,3)="728", LEFT('CASE DATA'!E96,4)="901A"),"ineligible misd", "eligible"),"N/A")</f>
        <v>N/A</v>
      </c>
      <c r="N95" s="185" t="str">
        <f>IF(L95="eligible",IF(COUNTIF('CASE DATA'!$C$4:$C$200, "")-COUNTIF('CASE DATA'!$A$4:$A$200, "")&gt;0, "YES","NO"),"N/A")</f>
        <v>N/A</v>
      </c>
      <c r="O95" s="185" t="str">
        <f xml:space="preserve"> IF(M95="eligible",'CASE DATA'!K96,"N/A")</f>
        <v>N/A</v>
      </c>
      <c r="P95" s="185" t="str">
        <f xml:space="preserve"> IF(M95="eligible",'CASE DATA'!I96+'CASE DATA'!J96+'CASE DATA'!L96+'CASE DATA'!M96+'CASE DATA'!N96+'CASE DATA'!O96+'CASE DATA'!M96+'CASE DATA'!Q96+'CASE DATA'!R96,"N/A")</f>
        <v>N/A</v>
      </c>
      <c r="Q95" s="11" t="str">
        <f>IF(M95="eligible",IF(C95+730.5&lt;'BASIC INFO'!$B$3, "YES", "NO"),"N/A")</f>
        <v>N/A</v>
      </c>
      <c r="R95" s="186" t="str">
        <f xml:space="preserve"> IF(OR('CASE DATA'!F96="DEF"), "YES", "NO")</f>
        <v>NO</v>
      </c>
      <c r="S95" s="162" t="str">
        <f>IF(R95="YES",'CASE DATA'!H96,"N/A")</f>
        <v>N/A</v>
      </c>
      <c r="T95" s="185" t="str">
        <f xml:space="preserve"> IF(R95="YES",'CASE DATA'!K96,"N/A")</f>
        <v>N/A</v>
      </c>
      <c r="U95" s="185" t="str">
        <f>IF(R95="YES",'CASE DATA'!I96+'CASE DATA'!J96+'CASE DATA'!L96+'CASE DATA'!M96+'CASE DATA'!N96+'CASE DATA'!O96+'CASE DATA'!P96+'CASE DATA'!Q96+'CASE DATA'!R96,"N/A")</f>
        <v>N/A</v>
      </c>
      <c r="V95" s="189" t="str">
        <f>IF(OR('CASE DATA'!E96="123.46",'CASE DATA'!E96="123.47"),"YES","NO")</f>
        <v>NO</v>
      </c>
      <c r="W95" s="189"/>
      <c r="X95" s="185" t="str">
        <f>IF(V95="YES",IF(C95+730.5&lt;'BASIC INFO'!$B$3, "YES","NO"), "N/A")</f>
        <v>N/A</v>
      </c>
      <c r="Y95" s="189" t="str">
        <f t="shared" si="1"/>
        <v>NO</v>
      </c>
      <c r="Z95" s="187" t="str">
        <f xml:space="preserve"> IF('BASIC INFO'!$B$6+6574.5&gt;C95, "YES", "NO")</f>
        <v>YES</v>
      </c>
    </row>
    <row r="96" spans="1:26" x14ac:dyDescent="0.25">
      <c r="A96" s="162">
        <f xml:space="preserve"> 'CASE DATA'!A97</f>
        <v>0</v>
      </c>
      <c r="B96" s="162">
        <f xml:space="preserve"> 'CASE DATA'!E97</f>
        <v>0</v>
      </c>
      <c r="C96" s="163">
        <f xml:space="preserve"> 'CASE DATA'!C97</f>
        <v>0</v>
      </c>
      <c r="D96" s="11" t="str">
        <f xml:space="preserve"> IF(OR('CASE DATA'!F97="JUV", 'CASE DATA'!F97="JWV"), "YES", "NO")</f>
        <v>NO</v>
      </c>
      <c r="E96" s="11"/>
      <c r="F96" s="11" t="str">
        <f>IF(D96="YES",IF(COUNTIF('CASE DATA'!$C$4:$C$200, "")-COUNTIF('CASE DATA'!$A$4:$A$200, "")&gt;0, "YES","NO"),"N/A")</f>
        <v>N/A</v>
      </c>
      <c r="G96" s="164" t="str">
        <f xml:space="preserve"> _xlfn.IFS(D96="NO", "N/A", AND('BASIC INFO'!$B$3&gt;'BASIC INFO'!$B$6+6574.5, C96+730.5&lt;'BASIC INFO'!$B$3), "YES", 'BASIC INFO'!$B$3&lt;('BASIC INFO'!$B$6+6574.5), "NOT YET 18", C96+730.5&gt;'BASIC INFO'!$B$3, "NOT YET 2 YEARS")</f>
        <v>N/A</v>
      </c>
      <c r="H96" s="186" t="str">
        <f xml:space="preserve"> IF(LEFT('CASE DATA'!E97,4)&lt;&gt;"321.",IF(OR('CASE DATA'!F97="DISM", 'CASE DATA'!F97="ACQ", 'CASE DATA'!F97="NOTF", 'CASE DATA'!F97="WTHD", 'CASE DATA'!F97="TNSF"), "YES", "NO"), "TRAFFIC")</f>
        <v>NO</v>
      </c>
      <c r="I96" s="185" t="str">
        <f xml:space="preserve"> IF(H96="YES",'CASE DATA'!K97,"N/A")</f>
        <v>N/A</v>
      </c>
      <c r="J96" s="185" t="str">
        <f>IF(H96="YES",'CASE DATA'!I97+'CASE DATA'!J97+'CASE DATA'!L97+'CASE DATA'!M97+'CASE DATA'!N97+'CASE DATA'!O97+'CASE DATA'!P97+'CASE DATA'!Q97+'CASE DATA'!R97,"N/A")</f>
        <v>N/A</v>
      </c>
      <c r="K96" s="162" t="str">
        <f xml:space="preserve"> IF(H96="YES",IF(C96+180&lt;'BASIC INFO'!$B$3, "YES", "NO"),"N/A")</f>
        <v>N/A</v>
      </c>
      <c r="L96" s="185" t="str">
        <f>IF(OR('CASE DATA'!F97="GTR", 'CASE DATA'!F97="GPL"),IF(OR('CASE DATA'!E97="81.6(2)", 'CASE DATA'!E97="99F.15(6)(b)(1)", 'CASE DATA'!E97= "124.401(1)(a)", 'CASE DATA'!E97= "124.401(1)(b)", 'CASE DATA'!E97= "124.401(1)(c)", 'CASE DATA'!E97= "124.401(1)(d)", 'CASE DATA'!E97="124.401(4)", 'CASE DATA'!E97="124.401(1)(b)", 'CASE DATA'!E97="124.401(1)(c)", 'CASE DATA'!E97="124.401D(2)(b)", 'CASE DATA'!E97="124.401D(2)(c)", 'CASE DATA'!E97="124.406(1)(a)", 'CASE DATA'!E97="124.406(1)(b) ", 'CASE DATA'!E97="124.406(2)(a)", 'CASE DATA'!E97="124.406(2)(b) ", 'CASE DATA'!E97="124.406(3)", 'CASE DATA'!E97="124.406A ", 'CASE DATA'!E97="124.407(2)(a)", 'CASE DATA'!E97="124B.9(1)", 'CASE DATA'!E97="124B.9(2)", 'CASE DATA'!E97="321J.2(2)(c)", 'CASE DATA'!E97="453B.12(2)", 'CASE DATA'!E97="453B.12(3)", 'CASE DATA'!E97="453B.12(4)", 'CASE DATA'!E97="462A.14(2)(c)", 'CASE DATA'!E97="462A.14(2)(d)", 'CASE DATA'!E97="462A.14(2)(e)", 'CASE DATA'!E97="705.1(2)", 'CASE DATA'!E97="706.3(1)", 'CASE DATA'!E97="706.3(2)", 'CASE DATA'!E97="706A.2(1)", 'CASE DATA'!E97="706A.2(2)", 'CASE DATA'!E97="706A.2(4)", 'CASE DATA'!E97="706B.2(1)(a)", 'CASE DATA'!E97="706B.2(1)(b)", 'CASE DATA'!E97="706B.2(1)(c)", 'CASE DATA'!E97="706B.2(1)(d)", 'CASE DATA'!E97="707.2", 'CASE DATA'!E97="707.3", 'CASE DATA'!E97="707.3A", 'CASE DATA'!E97="707.4", 'CASE DATA'!E97="707.5(1)(a)", 'CASE DATA'!E97="707.6A(1)", 'CASE DATA'!E97="707.6A(2)", 'CASE DATA'!E97="707.6A(3)", 'CASE DATA'!E97="707.6A(4)", 'CASE DATA'!E97="707.7(1)", 'CASE DATA'!E97="707.7(3)", 'CASE DATA'!E97="707.7(2)", 'CASE DATA'!E97="707.8(1)", 'CASE DATA'!E97="707.8(2)", 'CASE DATA'!E97="707.8(3)", 'CASE DATA'!E97="707.8(4)", 'CASE DATA'!E97="707.8(5)", 'CASE DATA'!E97="707.8(6)", 'CASE DATA'!E97="707.9", 'CASE DATA'!E97="707.11", 'CASE DATA'!E97="707A.2", 'CASE DATA'!E97="708.2(4)", 'CASE DATA'!E97="708.2(5)", 'CASE DATA'!E97="708.2A(4)", 'CASE DATA'!E97="708.2A(5)", 'CASE DATA'!E97="708.2C(2)", 'CASE DATA'!E97="708.2C(4)", 'CASE DATA'!E97="708.3(1)", 'CASE DATA'!E97="708.3(2)", 'CASE DATA'!E97="708.3A(1)", 'CASE DATA'!E97="708.3A(2)", 'CASE DATA'!E97="708.3B", 'CASE DATA'!E97="708.4(1)", 'CASE DATA'!E97="708.4(2)", 'CASE DATA'!E97="708.5", 'CASE DATA'!E97="708.8", 'CASE DATA'!E97="708.11(3)(a)", 'CASE DATA'!E97="708.11(3)(b)", 'CASE DATA'!E97="708.12(3)(f)", 'CASE DATA'!E97="708.13(3)", 'CASE DATA'!E97="708.14", 'CASE DATA'!E97="708A.2", 'CASE DATA'!E97="708A.4(1)", 'CASE DATA'!E97="708A.4(2)", 'CASE DATA'!E97="708A.5", 'CASE DATA'!E97="708A.6(1)", 'CASE DATA'!E97="708.A.6(2)", 'CASE DATA'!E97="709.2", 'CASE DATA'!E97="709.3", 'CASE DATA'!E97="709.4", 'CASE DATA'!E97="709.8(1)(a)", 'CASE DATA'!E97="709.8(1)(b)", 'CASE DATA'!E97="709.8(1)(c)", 'CASE DATA'!E97="709.8(1)(d)", 'CASE DATA'!E97="709.8(1)(e)", 'CASE DATA'!E97="709.11(1)", 'CASE DATA'!E97="709.11(2)", 'CASE DATA'!E97="709.15(2)(a)(1)", 'CASE DATA'!E97="709.15(3)(a)(1)", 'CASE DATA'!E97="709.18", 'CASE DATA'!E97="709A.6(2)", 'CASE DATA'!E97="709D.3(1)", 'CASE DATA'!E97="709D.3(2)", 'CASE DATA'!E97="709.D.3(3)", 'CASE DATA'!E97="710.2", 'CASE DATA'!E97="710.3", 'CASE DATA'!E97="710.4", 'CASE DATA'!E97="710.5", 'CASE DATA'!E97="710.10(1)", 'CASE DATA'!E97="710.10(2)", 'CASE DATA'!E97="710.10(3)", 'CASE DATA'!E97="710.11", 'CASE DATA'!E97="710A.2(1)", 'CASE DATA'!E97="710A.2(2)", 'CASE DATA'!E97="710A.2(3)", 'CASE DATA'!E97="710A.2(4)", 'CASE DATA'!E97="710A.2(5)", 'CASE DATA'!E97="710A.2(6)", 'CASE DATA'!E97="710A.2(7)", 'CASE DATA'!E97="710A.2A", 'CASE DATA'!E97="711.2", 'CASE DATA'!E97="711.3", 'CASE DATA'!E97="711.4", 'CASE DATA'!E97="712.2", 'CASE DATA'!E97="712.3", 'CASE DATA'!E97="712.6(1)", 'CASE DATA'!E97="712.7", 'CASE DATA'!E97="712.8", 'CASE DATA'!E97="", 'CASE DATA'!E97="713.3", 'CASE DATA'!E97="713.4", 'CASE DATA'!E97="713.5", 'CASE DATA'!E97="713.6", 'CASE DATA'!E97="713.6A(1)", 'CASE DATA'!E97="714.2(1)", 'CASE DATA'!E97="714.2(2)", 'CASE DATA'!E97="714.3A(2)(b)", 'CASE DATA'!E97="714.9", 'CASE DATA'!E97="714.10", 'CASE DATA'!E97="714.26(2)(a)", 'CASE DATA'!E97="714.26(2)(b)", 'CASE DATA'!E97="715A.2(2)(a)", 'CASE DATA'!E97="715A.6(2)(a)", 'CASE DATA'!E97="715A.6(2)(b)", 'CASE DATA'!E97="715A.8(3)(a)", 'CASE DATA'!E97="715A.8(3)(b)", 'CASE DATA'!E97="715A.10(1)", 'CASE DATA'!E97="715A.10(2)", 'CASE DATA'!E97="716.3", 'CASE DATA'!E97="716.4", 'CASE DATA'!E97="716.8(6)", 'CASE DATA'!E97="716.10(2)(a)", 'CASE DATA'!E97="716.10(2)(b)", 'CASE DATA'!E97="716.10(2)(c)", 'CASE DATA'!E97="716.10(2)(d)", 'CASE DATA'!E97="716.12", 'CASE DATA'!E97="719.1(1)(f)", 'CASE DATA'!E97="719.1(2)(e)", 'CASE DATA'!E97="719.1(2)(f)", 'CASE DATA'!E97="719.1(2)(g)", 'CASE DATA'!E97="719.4(1)", 'CASE DATA'!E97="719.4(4)", 'CASE DATA'!E97="719.5(1)", 'CASE DATA'!E97="719.5(2)", 'CASE DATA'!E97="719.6(1)", 'CASE DATA'!E97="719.6(2)", 'CASE DATA'!E97="719.7(4)(a)", 'CASE DATA'!E97="719.7(4)(b)", 'CASE DATA'!E97="719.7A(3)", 'CASE DATA'!E97="719.9", 'CASE DATA'!E97="719.8", 'CASE DATA'!E97="720.2", 'CASE DATA'!E97="720.3", 'CASE DATA'!E97="721.1", 'CASE DATA'!E97="722.1", 'CASE DATA'!E97="", 'CASE DATA'!E97="722.2", 'CASE DATA'!E97="722.10", 'CASE DATA'!E97="723(5)(3)(c)", 'CASE DATA'!E97="723A.2", 'CASE DATA'!E97="723A.3(1)", 'CASE DATA'!E97="723A.3(2)", 'CASE DATA'!E97="724.1B", 'CASE DATA'!E97="724.1C", 'CASE DATA'!E97="724.3", 'CASE DATA'!E97="724.4B", 'CASE DATA'!E97="724.10", 'CASE DATA'!E97="724.16(2)", 'CASE DATA'!E97="724.16A(1)(a)", 'CASE DATA'!E97="724.16A(1)(b)", 'CASE DATA'!E97="724.17", 'CASE DATA'!E97="724.21", 'CASE DATA'!E97="724.26(1)", 'CASE DATA'!E97="922(g)(8)", 'CASE DATA'!E97="724.29A(2)", 'CASE DATA'!E97="724.29A(3)", 'CASE DATA'!E97="724.30(1)", 'CASE DATA'!E97="724.30(2)", 'CASE DATA'!E97="725.1(2)(b)", 'CASE DATA'!E97="725.2(1)", 'CASE DATA'!E97="725.2(2)", 'CASE DATA'!E97="725.3(2)", 'CASE DATA'!E97="725.3(1)", 'CASE DATA'!E97="725.7(2)(a)(3)", 'CASE DATA'!E97="725.7(2)(a)(4)", 'CASE DATA'!E97="725.7(2)(b)(2)", 'CASE DATA'!E97="725.7(2)(b(3)", 'CASE DATA'!E97="726.7(2)(c)(1)", 'CASE DATA'!E97="726.7(2)(c)(2)", 'CASE DATA'!E97="725.7(2)(d)", 'CASE DATA'!E97="726.2", 'CASE DATA'!E97="726.3", 'CASE DATA'!E97="726.5", 'CASE DATA'!E97="726.6(4)", 'CASE DATA'!E97="726.6(5)", 'CASE DATA'!E97="726.6(6)", 'CASE DATA'!E97="726.6A", 'CASE DATA'!E97="726.7(2)", 'CASE DATA'!E97="726.8(2)", 'CASE DATA'!E97="728.12(1)", 'CASE DATA'!E97="728.12(2)"),"felony","eligible"),"N/A")</f>
        <v>N/A</v>
      </c>
      <c r="M96" s="185" t="str">
        <f>IF(L96="eligible",IF(OR('CASE DATA'!E97="123.46",'CASE DATA'!E97="123.47",'CASE DATA'!E97="235B.20",'CASE DATA'!E97="321.218",'CASE DATA'!E97="321A.32",'CASE DATA'!E97="321J.21",'CASE DATA'!E97="321J.2",'CASE DATA'!E97="707.5",'CASE DATA'!E97="708.2(3)",'CASE DATA'!E97="708.2A",'CASE DATA'!E97="708.7",'CASE DATA'!E97="708.11",'CASE DATA'!E97="708.12",'CASE DATA'!E97="716.8(3)",'CASE DATA'!E97="716.8(4)", LEFT('CASE DATA'!E97,4)="717C", LEFT('CASE DATA'!E97, 3)="719", LEFT('CASE DATA'!E97,3)="720", 'CASE DATA'!E97="721.2", 'CASE DATA'!E97="721.10", 'CASE DATA'!E97="723.1", LEFT('CASE DATA'!E97,3)="724", LEFT('CASE DATA'!E97,3)="726", LEFT('CASE DATA'!E97,3)="728", LEFT('CASE DATA'!E97,4)="901A"),"ineligible misd", "eligible"),"N/A")</f>
        <v>N/A</v>
      </c>
      <c r="N96" s="185" t="str">
        <f>IF(L96="eligible",IF(COUNTIF('CASE DATA'!$C$4:$C$200, "")-COUNTIF('CASE DATA'!$A$4:$A$200, "")&gt;0, "YES","NO"),"N/A")</f>
        <v>N/A</v>
      </c>
      <c r="O96" s="185" t="str">
        <f xml:space="preserve"> IF(M96="eligible",'CASE DATA'!K97,"N/A")</f>
        <v>N/A</v>
      </c>
      <c r="P96" s="185" t="str">
        <f xml:space="preserve"> IF(M96="eligible",'CASE DATA'!I97+'CASE DATA'!J97+'CASE DATA'!L97+'CASE DATA'!M97+'CASE DATA'!N97+'CASE DATA'!O97+'CASE DATA'!M97+'CASE DATA'!Q97+'CASE DATA'!R97,"N/A")</f>
        <v>N/A</v>
      </c>
      <c r="Q96" s="11" t="str">
        <f>IF(M96="eligible",IF(C96+730.5&lt;'BASIC INFO'!$B$3, "YES", "NO"),"N/A")</f>
        <v>N/A</v>
      </c>
      <c r="R96" s="186" t="str">
        <f xml:space="preserve"> IF(OR('CASE DATA'!F97="DEF"), "YES", "NO")</f>
        <v>NO</v>
      </c>
      <c r="S96" s="162" t="str">
        <f>IF(R96="YES",'CASE DATA'!H97,"N/A")</f>
        <v>N/A</v>
      </c>
      <c r="T96" s="185" t="str">
        <f xml:space="preserve"> IF(R96="YES",'CASE DATA'!K97,"N/A")</f>
        <v>N/A</v>
      </c>
      <c r="U96" s="185" t="str">
        <f>IF(R96="YES",'CASE DATA'!I97+'CASE DATA'!J97+'CASE DATA'!L97+'CASE DATA'!M97+'CASE DATA'!N97+'CASE DATA'!O97+'CASE DATA'!P97+'CASE DATA'!Q97+'CASE DATA'!R97,"N/A")</f>
        <v>N/A</v>
      </c>
      <c r="V96" s="189" t="str">
        <f>IF(OR('CASE DATA'!E97="123.46",'CASE DATA'!E97="123.47"),"YES","NO")</f>
        <v>NO</v>
      </c>
      <c r="W96" s="189"/>
      <c r="X96" s="185" t="str">
        <f>IF(V96="YES",IF(C96+730.5&lt;'BASIC INFO'!$B$3, "YES","NO"), "N/A")</f>
        <v>N/A</v>
      </c>
      <c r="Y96" s="189" t="str">
        <f t="shared" si="1"/>
        <v>NO</v>
      </c>
      <c r="Z96" s="187" t="str">
        <f xml:space="preserve"> IF('BASIC INFO'!$B$6+6574.5&gt;C96, "YES", "NO")</f>
        <v>YES</v>
      </c>
    </row>
    <row r="97" spans="1:26" x14ac:dyDescent="0.25">
      <c r="A97" s="162">
        <f xml:space="preserve"> 'CASE DATA'!A98</f>
        <v>0</v>
      </c>
      <c r="B97" s="162">
        <f xml:space="preserve"> 'CASE DATA'!E98</f>
        <v>0</v>
      </c>
      <c r="C97" s="163">
        <f xml:space="preserve"> 'CASE DATA'!C98</f>
        <v>0</v>
      </c>
      <c r="D97" s="11" t="str">
        <f xml:space="preserve"> IF(OR('CASE DATA'!F98="JUV", 'CASE DATA'!F98="JWV"), "YES", "NO")</f>
        <v>NO</v>
      </c>
      <c r="E97" s="11"/>
      <c r="F97" s="11" t="str">
        <f>IF(D97="YES",IF(COUNTIF('CASE DATA'!$C$4:$C$200, "")-COUNTIF('CASE DATA'!$A$4:$A$200, "")&gt;0, "YES","NO"),"N/A")</f>
        <v>N/A</v>
      </c>
      <c r="G97" s="164" t="str">
        <f xml:space="preserve"> _xlfn.IFS(D97="NO", "N/A", AND('BASIC INFO'!$B$3&gt;'BASIC INFO'!$B$6+6574.5, C97+730.5&lt;'BASIC INFO'!$B$3), "YES", 'BASIC INFO'!$B$3&lt;('BASIC INFO'!$B$6+6574.5), "NOT YET 18", C97+730.5&gt;'BASIC INFO'!$B$3, "NOT YET 2 YEARS")</f>
        <v>N/A</v>
      </c>
      <c r="H97" s="186" t="str">
        <f xml:space="preserve"> IF(LEFT('CASE DATA'!E98,4)&lt;&gt;"321.",IF(OR('CASE DATA'!F98="DISM", 'CASE DATA'!F98="ACQ", 'CASE DATA'!F98="NOTF", 'CASE DATA'!F98="WTHD", 'CASE DATA'!F98="TNSF"), "YES", "NO"), "TRAFFIC")</f>
        <v>NO</v>
      </c>
      <c r="I97" s="185" t="str">
        <f xml:space="preserve"> IF(H97="YES",'CASE DATA'!K98,"N/A")</f>
        <v>N/A</v>
      </c>
      <c r="J97" s="185" t="str">
        <f>IF(H97="YES",'CASE DATA'!I98+'CASE DATA'!J98+'CASE DATA'!L98+'CASE DATA'!M98+'CASE DATA'!N98+'CASE DATA'!O98+'CASE DATA'!P98+'CASE DATA'!Q98+'CASE DATA'!R98,"N/A")</f>
        <v>N/A</v>
      </c>
      <c r="K97" s="162" t="str">
        <f xml:space="preserve"> IF(H97="YES",IF(C97+180&lt;'BASIC INFO'!$B$3, "YES", "NO"),"N/A")</f>
        <v>N/A</v>
      </c>
      <c r="L97" s="185" t="str">
        <f>IF(OR('CASE DATA'!F98="GTR", 'CASE DATA'!F98="GPL"),IF(OR('CASE DATA'!E98="81.6(2)", 'CASE DATA'!E98="99F.15(6)(b)(1)", 'CASE DATA'!E98= "124.401(1)(a)", 'CASE DATA'!E98= "124.401(1)(b)", 'CASE DATA'!E98= "124.401(1)(c)", 'CASE DATA'!E98= "124.401(1)(d)", 'CASE DATA'!E98="124.401(4)", 'CASE DATA'!E98="124.401(1)(b)", 'CASE DATA'!E98="124.401(1)(c)", 'CASE DATA'!E98="124.401D(2)(b)", 'CASE DATA'!E98="124.401D(2)(c)", 'CASE DATA'!E98="124.406(1)(a)", 'CASE DATA'!E98="124.406(1)(b) ", 'CASE DATA'!E98="124.406(2)(a)", 'CASE DATA'!E98="124.406(2)(b) ", 'CASE DATA'!E98="124.406(3)", 'CASE DATA'!E98="124.406A ", 'CASE DATA'!E98="124.407(2)(a)", 'CASE DATA'!E98="124B.9(1)", 'CASE DATA'!E98="124B.9(2)", 'CASE DATA'!E98="321J.2(2)(c)", 'CASE DATA'!E98="453B.12(2)", 'CASE DATA'!E98="453B.12(3)", 'CASE DATA'!E98="453B.12(4)", 'CASE DATA'!E98="462A.14(2)(c)", 'CASE DATA'!E98="462A.14(2)(d)", 'CASE DATA'!E98="462A.14(2)(e)", 'CASE DATA'!E98="705.1(2)", 'CASE DATA'!E98="706.3(1)", 'CASE DATA'!E98="706.3(2)", 'CASE DATA'!E98="706A.2(1)", 'CASE DATA'!E98="706A.2(2)", 'CASE DATA'!E98="706A.2(4)", 'CASE DATA'!E98="706B.2(1)(a)", 'CASE DATA'!E98="706B.2(1)(b)", 'CASE DATA'!E98="706B.2(1)(c)", 'CASE DATA'!E98="706B.2(1)(d)", 'CASE DATA'!E98="707.2", 'CASE DATA'!E98="707.3", 'CASE DATA'!E98="707.3A", 'CASE DATA'!E98="707.4", 'CASE DATA'!E98="707.5(1)(a)", 'CASE DATA'!E98="707.6A(1)", 'CASE DATA'!E98="707.6A(2)", 'CASE DATA'!E98="707.6A(3)", 'CASE DATA'!E98="707.6A(4)", 'CASE DATA'!E98="707.7(1)", 'CASE DATA'!E98="707.7(3)", 'CASE DATA'!E98="707.7(2)", 'CASE DATA'!E98="707.8(1)", 'CASE DATA'!E98="707.8(2)", 'CASE DATA'!E98="707.8(3)", 'CASE DATA'!E98="707.8(4)", 'CASE DATA'!E98="707.8(5)", 'CASE DATA'!E98="707.8(6)", 'CASE DATA'!E98="707.9", 'CASE DATA'!E98="707.11", 'CASE DATA'!E98="707A.2", 'CASE DATA'!E98="708.2(4)", 'CASE DATA'!E98="708.2(5)", 'CASE DATA'!E98="708.2A(4)", 'CASE DATA'!E98="708.2A(5)", 'CASE DATA'!E98="708.2C(2)", 'CASE DATA'!E98="708.2C(4)", 'CASE DATA'!E98="708.3(1)", 'CASE DATA'!E98="708.3(2)", 'CASE DATA'!E98="708.3A(1)", 'CASE DATA'!E98="708.3A(2)", 'CASE DATA'!E98="708.3B", 'CASE DATA'!E98="708.4(1)", 'CASE DATA'!E98="708.4(2)", 'CASE DATA'!E98="708.5", 'CASE DATA'!E98="708.8", 'CASE DATA'!E98="708.11(3)(a)", 'CASE DATA'!E98="708.11(3)(b)", 'CASE DATA'!E98="708.12(3)(f)", 'CASE DATA'!E98="708.13(3)", 'CASE DATA'!E98="708.14", 'CASE DATA'!E98="708A.2", 'CASE DATA'!E98="708A.4(1)", 'CASE DATA'!E98="708A.4(2)", 'CASE DATA'!E98="708A.5", 'CASE DATA'!E98="708A.6(1)", 'CASE DATA'!E98="708.A.6(2)", 'CASE DATA'!E98="709.2", 'CASE DATA'!E98="709.3", 'CASE DATA'!E98="709.4", 'CASE DATA'!E98="709.8(1)(a)", 'CASE DATA'!E98="709.8(1)(b)", 'CASE DATA'!E98="709.8(1)(c)", 'CASE DATA'!E98="709.8(1)(d)", 'CASE DATA'!E98="709.8(1)(e)", 'CASE DATA'!E98="709.11(1)", 'CASE DATA'!E98="709.11(2)", 'CASE DATA'!E98="709.15(2)(a)(1)", 'CASE DATA'!E98="709.15(3)(a)(1)", 'CASE DATA'!E98="709.18", 'CASE DATA'!E98="709A.6(2)", 'CASE DATA'!E98="709D.3(1)", 'CASE DATA'!E98="709D.3(2)", 'CASE DATA'!E98="709.D.3(3)", 'CASE DATA'!E98="710.2", 'CASE DATA'!E98="710.3", 'CASE DATA'!E98="710.4", 'CASE DATA'!E98="710.5", 'CASE DATA'!E98="710.10(1)", 'CASE DATA'!E98="710.10(2)", 'CASE DATA'!E98="710.10(3)", 'CASE DATA'!E98="710.11", 'CASE DATA'!E98="710A.2(1)", 'CASE DATA'!E98="710A.2(2)", 'CASE DATA'!E98="710A.2(3)", 'CASE DATA'!E98="710A.2(4)", 'CASE DATA'!E98="710A.2(5)", 'CASE DATA'!E98="710A.2(6)", 'CASE DATA'!E98="710A.2(7)", 'CASE DATA'!E98="710A.2A", 'CASE DATA'!E98="711.2", 'CASE DATA'!E98="711.3", 'CASE DATA'!E98="711.4", 'CASE DATA'!E98="712.2", 'CASE DATA'!E98="712.3", 'CASE DATA'!E98="712.6(1)", 'CASE DATA'!E98="712.7", 'CASE DATA'!E98="712.8", 'CASE DATA'!E98="", 'CASE DATA'!E98="713.3", 'CASE DATA'!E98="713.4", 'CASE DATA'!E98="713.5", 'CASE DATA'!E98="713.6", 'CASE DATA'!E98="713.6A(1)", 'CASE DATA'!E98="714.2(1)", 'CASE DATA'!E98="714.2(2)", 'CASE DATA'!E98="714.3A(2)(b)", 'CASE DATA'!E98="714.9", 'CASE DATA'!E98="714.10", 'CASE DATA'!E98="714.26(2)(a)", 'CASE DATA'!E98="714.26(2)(b)", 'CASE DATA'!E98="715A.2(2)(a)", 'CASE DATA'!E98="715A.6(2)(a)", 'CASE DATA'!E98="715A.6(2)(b)", 'CASE DATA'!E98="715A.8(3)(a)", 'CASE DATA'!E98="715A.8(3)(b)", 'CASE DATA'!E98="715A.10(1)", 'CASE DATA'!E98="715A.10(2)", 'CASE DATA'!E98="716.3", 'CASE DATA'!E98="716.4", 'CASE DATA'!E98="716.8(6)", 'CASE DATA'!E98="716.10(2)(a)", 'CASE DATA'!E98="716.10(2)(b)", 'CASE DATA'!E98="716.10(2)(c)", 'CASE DATA'!E98="716.10(2)(d)", 'CASE DATA'!E98="716.12", 'CASE DATA'!E98="719.1(1)(f)", 'CASE DATA'!E98="719.1(2)(e)", 'CASE DATA'!E98="719.1(2)(f)", 'CASE DATA'!E98="719.1(2)(g)", 'CASE DATA'!E98="719.4(1)", 'CASE DATA'!E98="719.4(4)", 'CASE DATA'!E98="719.5(1)", 'CASE DATA'!E98="719.5(2)", 'CASE DATA'!E98="719.6(1)", 'CASE DATA'!E98="719.6(2)", 'CASE DATA'!E98="719.7(4)(a)", 'CASE DATA'!E98="719.7(4)(b)", 'CASE DATA'!E98="719.7A(3)", 'CASE DATA'!E98="719.9", 'CASE DATA'!E98="719.8", 'CASE DATA'!E98="720.2", 'CASE DATA'!E98="720.3", 'CASE DATA'!E98="721.1", 'CASE DATA'!E98="722.1", 'CASE DATA'!E98="", 'CASE DATA'!E98="722.2", 'CASE DATA'!E98="722.10", 'CASE DATA'!E98="723(5)(3)(c)", 'CASE DATA'!E98="723A.2", 'CASE DATA'!E98="723A.3(1)", 'CASE DATA'!E98="723A.3(2)", 'CASE DATA'!E98="724.1B", 'CASE DATA'!E98="724.1C", 'CASE DATA'!E98="724.3", 'CASE DATA'!E98="724.4B", 'CASE DATA'!E98="724.10", 'CASE DATA'!E98="724.16(2)", 'CASE DATA'!E98="724.16A(1)(a)", 'CASE DATA'!E98="724.16A(1)(b)", 'CASE DATA'!E98="724.17", 'CASE DATA'!E98="724.21", 'CASE DATA'!E98="724.26(1)", 'CASE DATA'!E98="922(g)(8)", 'CASE DATA'!E98="724.29A(2)", 'CASE DATA'!E98="724.29A(3)", 'CASE DATA'!E98="724.30(1)", 'CASE DATA'!E98="724.30(2)", 'CASE DATA'!E98="725.1(2)(b)", 'CASE DATA'!E98="725.2(1)", 'CASE DATA'!E98="725.2(2)", 'CASE DATA'!E98="725.3(2)", 'CASE DATA'!E98="725.3(1)", 'CASE DATA'!E98="725.7(2)(a)(3)", 'CASE DATA'!E98="725.7(2)(a)(4)", 'CASE DATA'!E98="725.7(2)(b)(2)", 'CASE DATA'!E98="725.7(2)(b(3)", 'CASE DATA'!E98="726.7(2)(c)(1)", 'CASE DATA'!E98="726.7(2)(c)(2)", 'CASE DATA'!E98="725.7(2)(d)", 'CASE DATA'!E98="726.2", 'CASE DATA'!E98="726.3", 'CASE DATA'!E98="726.5", 'CASE DATA'!E98="726.6(4)", 'CASE DATA'!E98="726.6(5)", 'CASE DATA'!E98="726.6(6)", 'CASE DATA'!E98="726.6A", 'CASE DATA'!E98="726.7(2)", 'CASE DATA'!E98="726.8(2)", 'CASE DATA'!E98="728.12(1)", 'CASE DATA'!E98="728.12(2)"),"felony","eligible"),"N/A")</f>
        <v>N/A</v>
      </c>
      <c r="M97" s="185" t="str">
        <f>IF(L97="eligible",IF(OR('CASE DATA'!E98="123.46",'CASE DATA'!E98="123.47",'CASE DATA'!E98="235B.20",'CASE DATA'!E98="321.218",'CASE DATA'!E98="321A.32",'CASE DATA'!E98="321J.21",'CASE DATA'!E98="321J.2",'CASE DATA'!E98="707.5",'CASE DATA'!E98="708.2(3)",'CASE DATA'!E98="708.2A",'CASE DATA'!E98="708.7",'CASE DATA'!E98="708.11",'CASE DATA'!E98="708.12",'CASE DATA'!E98="716.8(3)",'CASE DATA'!E98="716.8(4)", LEFT('CASE DATA'!E98,4)="717C", LEFT('CASE DATA'!E98, 3)="719", LEFT('CASE DATA'!E98,3)="720", 'CASE DATA'!E98="721.2", 'CASE DATA'!E98="721.10", 'CASE DATA'!E98="723.1", LEFT('CASE DATA'!E98,3)="724", LEFT('CASE DATA'!E98,3)="726", LEFT('CASE DATA'!E98,3)="728", LEFT('CASE DATA'!E98,4)="901A"),"ineligible misd", "eligible"),"N/A")</f>
        <v>N/A</v>
      </c>
      <c r="N97" s="185" t="str">
        <f>IF(L97="eligible",IF(COUNTIF('CASE DATA'!$C$4:$C$200, "")-COUNTIF('CASE DATA'!$A$4:$A$200, "")&gt;0, "YES","NO"),"N/A")</f>
        <v>N/A</v>
      </c>
      <c r="O97" s="185" t="str">
        <f xml:space="preserve"> IF(M97="eligible",'CASE DATA'!K98,"N/A")</f>
        <v>N/A</v>
      </c>
      <c r="P97" s="185" t="str">
        <f xml:space="preserve"> IF(M97="eligible",'CASE DATA'!I98+'CASE DATA'!J98+'CASE DATA'!L98+'CASE DATA'!M98+'CASE DATA'!N98+'CASE DATA'!O98+'CASE DATA'!M98+'CASE DATA'!Q98+'CASE DATA'!R98,"N/A")</f>
        <v>N/A</v>
      </c>
      <c r="Q97" s="11" t="str">
        <f>IF(M97="eligible",IF(C97+730.5&lt;'BASIC INFO'!$B$3, "YES", "NO"),"N/A")</f>
        <v>N/A</v>
      </c>
      <c r="R97" s="186" t="str">
        <f xml:space="preserve"> IF(OR('CASE DATA'!F98="DEF"), "YES", "NO")</f>
        <v>NO</v>
      </c>
      <c r="S97" s="162" t="str">
        <f>IF(R97="YES",'CASE DATA'!H98,"N/A")</f>
        <v>N/A</v>
      </c>
      <c r="T97" s="185" t="str">
        <f xml:space="preserve"> IF(R97="YES",'CASE DATA'!K98,"N/A")</f>
        <v>N/A</v>
      </c>
      <c r="U97" s="185" t="str">
        <f>IF(R97="YES",'CASE DATA'!I98+'CASE DATA'!J98+'CASE DATA'!L98+'CASE DATA'!M98+'CASE DATA'!N98+'CASE DATA'!O98+'CASE DATA'!P98+'CASE DATA'!Q98+'CASE DATA'!R98,"N/A")</f>
        <v>N/A</v>
      </c>
      <c r="V97" s="189" t="str">
        <f>IF(OR('CASE DATA'!E98="123.46",'CASE DATA'!E98="123.47"),"YES","NO")</f>
        <v>NO</v>
      </c>
      <c r="W97" s="189"/>
      <c r="X97" s="185" t="str">
        <f>IF(V97="YES",IF(C97+730.5&lt;'BASIC INFO'!$B$3, "YES","NO"), "N/A")</f>
        <v>N/A</v>
      </c>
      <c r="Y97" s="189" t="str">
        <f t="shared" si="1"/>
        <v>NO</v>
      </c>
      <c r="Z97" s="187" t="str">
        <f xml:space="preserve"> IF('BASIC INFO'!$B$6+6574.5&gt;C97, "YES", "NO")</f>
        <v>YES</v>
      </c>
    </row>
    <row r="98" spans="1:26" x14ac:dyDescent="0.25">
      <c r="A98" s="162">
        <f xml:space="preserve"> 'CASE DATA'!A99</f>
        <v>0</v>
      </c>
      <c r="B98" s="162">
        <f xml:space="preserve"> 'CASE DATA'!E99</f>
        <v>0</v>
      </c>
      <c r="C98" s="163">
        <f xml:space="preserve"> 'CASE DATA'!C99</f>
        <v>0</v>
      </c>
      <c r="D98" s="11" t="str">
        <f xml:space="preserve"> IF(OR('CASE DATA'!F99="JUV", 'CASE DATA'!F99="JWV"), "YES", "NO")</f>
        <v>NO</v>
      </c>
      <c r="E98" s="11"/>
      <c r="F98" s="11" t="str">
        <f>IF(D98="YES",IF(COUNTIF('CASE DATA'!$C$4:$C$200, "")-COUNTIF('CASE DATA'!$A$4:$A$200, "")&gt;0, "YES","NO"),"N/A")</f>
        <v>N/A</v>
      </c>
      <c r="G98" s="164" t="str">
        <f xml:space="preserve"> _xlfn.IFS(D98="NO", "N/A", AND('BASIC INFO'!$B$3&gt;'BASIC INFO'!$B$6+6574.5, C98+730.5&lt;'BASIC INFO'!$B$3), "YES", 'BASIC INFO'!$B$3&lt;('BASIC INFO'!$B$6+6574.5), "NOT YET 18", C98+730.5&gt;'BASIC INFO'!$B$3, "NOT YET 2 YEARS")</f>
        <v>N/A</v>
      </c>
      <c r="H98" s="186" t="str">
        <f xml:space="preserve"> IF(LEFT('CASE DATA'!E99,4)&lt;&gt;"321.",IF(OR('CASE DATA'!F99="DISM", 'CASE DATA'!F99="ACQ", 'CASE DATA'!F99="NOTF", 'CASE DATA'!F99="WTHD", 'CASE DATA'!F99="TNSF"), "YES", "NO"), "TRAFFIC")</f>
        <v>NO</v>
      </c>
      <c r="I98" s="185" t="str">
        <f xml:space="preserve"> IF(H98="YES",'CASE DATA'!K99,"N/A")</f>
        <v>N/A</v>
      </c>
      <c r="J98" s="185" t="str">
        <f>IF(H98="YES",'CASE DATA'!I99+'CASE DATA'!J99+'CASE DATA'!L99+'CASE DATA'!M99+'CASE DATA'!N99+'CASE DATA'!O99+'CASE DATA'!P99+'CASE DATA'!Q99+'CASE DATA'!R99,"N/A")</f>
        <v>N/A</v>
      </c>
      <c r="K98" s="162" t="str">
        <f xml:space="preserve"> IF(H98="YES",IF(C98+180&lt;'BASIC INFO'!$B$3, "YES", "NO"),"N/A")</f>
        <v>N/A</v>
      </c>
      <c r="L98" s="185" t="str">
        <f>IF(OR('CASE DATA'!F99="GTR", 'CASE DATA'!F99="GPL"),IF(OR('CASE DATA'!E99="81.6(2)", 'CASE DATA'!E99="99F.15(6)(b)(1)", 'CASE DATA'!E99= "124.401(1)(a)", 'CASE DATA'!E99= "124.401(1)(b)", 'CASE DATA'!E99= "124.401(1)(c)", 'CASE DATA'!E99= "124.401(1)(d)", 'CASE DATA'!E99="124.401(4)", 'CASE DATA'!E99="124.401(1)(b)", 'CASE DATA'!E99="124.401(1)(c)", 'CASE DATA'!E99="124.401D(2)(b)", 'CASE DATA'!E99="124.401D(2)(c)", 'CASE DATA'!E99="124.406(1)(a)", 'CASE DATA'!E99="124.406(1)(b) ", 'CASE DATA'!E99="124.406(2)(a)", 'CASE DATA'!E99="124.406(2)(b) ", 'CASE DATA'!E99="124.406(3)", 'CASE DATA'!E99="124.406A ", 'CASE DATA'!E99="124.407(2)(a)", 'CASE DATA'!E99="124B.9(1)", 'CASE DATA'!E99="124B.9(2)", 'CASE DATA'!E99="321J.2(2)(c)", 'CASE DATA'!E99="453B.12(2)", 'CASE DATA'!E99="453B.12(3)", 'CASE DATA'!E99="453B.12(4)", 'CASE DATA'!E99="462A.14(2)(c)", 'CASE DATA'!E99="462A.14(2)(d)", 'CASE DATA'!E99="462A.14(2)(e)", 'CASE DATA'!E99="705.1(2)", 'CASE DATA'!E99="706.3(1)", 'CASE DATA'!E99="706.3(2)", 'CASE DATA'!E99="706A.2(1)", 'CASE DATA'!E99="706A.2(2)", 'CASE DATA'!E99="706A.2(4)", 'CASE DATA'!E99="706B.2(1)(a)", 'CASE DATA'!E99="706B.2(1)(b)", 'CASE DATA'!E99="706B.2(1)(c)", 'CASE DATA'!E99="706B.2(1)(d)", 'CASE DATA'!E99="707.2", 'CASE DATA'!E99="707.3", 'CASE DATA'!E99="707.3A", 'CASE DATA'!E99="707.4", 'CASE DATA'!E99="707.5(1)(a)", 'CASE DATA'!E99="707.6A(1)", 'CASE DATA'!E99="707.6A(2)", 'CASE DATA'!E99="707.6A(3)", 'CASE DATA'!E99="707.6A(4)", 'CASE DATA'!E99="707.7(1)", 'CASE DATA'!E99="707.7(3)", 'CASE DATA'!E99="707.7(2)", 'CASE DATA'!E99="707.8(1)", 'CASE DATA'!E99="707.8(2)", 'CASE DATA'!E99="707.8(3)", 'CASE DATA'!E99="707.8(4)", 'CASE DATA'!E99="707.8(5)", 'CASE DATA'!E99="707.8(6)", 'CASE DATA'!E99="707.9", 'CASE DATA'!E99="707.11", 'CASE DATA'!E99="707A.2", 'CASE DATA'!E99="708.2(4)", 'CASE DATA'!E99="708.2(5)", 'CASE DATA'!E99="708.2A(4)", 'CASE DATA'!E99="708.2A(5)", 'CASE DATA'!E99="708.2C(2)", 'CASE DATA'!E99="708.2C(4)", 'CASE DATA'!E99="708.3(1)", 'CASE DATA'!E99="708.3(2)", 'CASE DATA'!E99="708.3A(1)", 'CASE DATA'!E99="708.3A(2)", 'CASE DATA'!E99="708.3B", 'CASE DATA'!E99="708.4(1)", 'CASE DATA'!E99="708.4(2)", 'CASE DATA'!E99="708.5", 'CASE DATA'!E99="708.8", 'CASE DATA'!E99="708.11(3)(a)", 'CASE DATA'!E99="708.11(3)(b)", 'CASE DATA'!E99="708.12(3)(f)", 'CASE DATA'!E99="708.13(3)", 'CASE DATA'!E99="708.14", 'CASE DATA'!E99="708A.2", 'CASE DATA'!E99="708A.4(1)", 'CASE DATA'!E99="708A.4(2)", 'CASE DATA'!E99="708A.5", 'CASE DATA'!E99="708A.6(1)", 'CASE DATA'!E99="708.A.6(2)", 'CASE DATA'!E99="709.2", 'CASE DATA'!E99="709.3", 'CASE DATA'!E99="709.4", 'CASE DATA'!E99="709.8(1)(a)", 'CASE DATA'!E99="709.8(1)(b)", 'CASE DATA'!E99="709.8(1)(c)", 'CASE DATA'!E99="709.8(1)(d)", 'CASE DATA'!E99="709.8(1)(e)", 'CASE DATA'!E99="709.11(1)", 'CASE DATA'!E99="709.11(2)", 'CASE DATA'!E99="709.15(2)(a)(1)", 'CASE DATA'!E99="709.15(3)(a)(1)", 'CASE DATA'!E99="709.18", 'CASE DATA'!E99="709A.6(2)", 'CASE DATA'!E99="709D.3(1)", 'CASE DATA'!E99="709D.3(2)", 'CASE DATA'!E99="709.D.3(3)", 'CASE DATA'!E99="710.2", 'CASE DATA'!E99="710.3", 'CASE DATA'!E99="710.4", 'CASE DATA'!E99="710.5", 'CASE DATA'!E99="710.10(1)", 'CASE DATA'!E99="710.10(2)", 'CASE DATA'!E99="710.10(3)", 'CASE DATA'!E99="710.11", 'CASE DATA'!E99="710A.2(1)", 'CASE DATA'!E99="710A.2(2)", 'CASE DATA'!E99="710A.2(3)", 'CASE DATA'!E99="710A.2(4)", 'CASE DATA'!E99="710A.2(5)", 'CASE DATA'!E99="710A.2(6)", 'CASE DATA'!E99="710A.2(7)", 'CASE DATA'!E99="710A.2A", 'CASE DATA'!E99="711.2", 'CASE DATA'!E99="711.3", 'CASE DATA'!E99="711.4", 'CASE DATA'!E99="712.2", 'CASE DATA'!E99="712.3", 'CASE DATA'!E99="712.6(1)", 'CASE DATA'!E99="712.7", 'CASE DATA'!E99="712.8", 'CASE DATA'!E99="", 'CASE DATA'!E99="713.3", 'CASE DATA'!E99="713.4", 'CASE DATA'!E99="713.5", 'CASE DATA'!E99="713.6", 'CASE DATA'!E99="713.6A(1)", 'CASE DATA'!E99="714.2(1)", 'CASE DATA'!E99="714.2(2)", 'CASE DATA'!E99="714.3A(2)(b)", 'CASE DATA'!E99="714.9", 'CASE DATA'!E99="714.10", 'CASE DATA'!E99="714.26(2)(a)", 'CASE DATA'!E99="714.26(2)(b)", 'CASE DATA'!E99="715A.2(2)(a)", 'CASE DATA'!E99="715A.6(2)(a)", 'CASE DATA'!E99="715A.6(2)(b)", 'CASE DATA'!E99="715A.8(3)(a)", 'CASE DATA'!E99="715A.8(3)(b)", 'CASE DATA'!E99="715A.10(1)", 'CASE DATA'!E99="715A.10(2)", 'CASE DATA'!E99="716.3", 'CASE DATA'!E99="716.4", 'CASE DATA'!E99="716.8(6)", 'CASE DATA'!E99="716.10(2)(a)", 'CASE DATA'!E99="716.10(2)(b)", 'CASE DATA'!E99="716.10(2)(c)", 'CASE DATA'!E99="716.10(2)(d)", 'CASE DATA'!E99="716.12", 'CASE DATA'!E99="719.1(1)(f)", 'CASE DATA'!E99="719.1(2)(e)", 'CASE DATA'!E99="719.1(2)(f)", 'CASE DATA'!E99="719.1(2)(g)", 'CASE DATA'!E99="719.4(1)", 'CASE DATA'!E99="719.4(4)", 'CASE DATA'!E99="719.5(1)", 'CASE DATA'!E99="719.5(2)", 'CASE DATA'!E99="719.6(1)", 'CASE DATA'!E99="719.6(2)", 'CASE DATA'!E99="719.7(4)(a)", 'CASE DATA'!E99="719.7(4)(b)", 'CASE DATA'!E99="719.7A(3)", 'CASE DATA'!E99="719.9", 'CASE DATA'!E99="719.8", 'CASE DATA'!E99="720.2", 'CASE DATA'!E99="720.3", 'CASE DATA'!E99="721.1", 'CASE DATA'!E99="722.1", 'CASE DATA'!E99="", 'CASE DATA'!E99="722.2", 'CASE DATA'!E99="722.10", 'CASE DATA'!E99="723(5)(3)(c)", 'CASE DATA'!E99="723A.2", 'CASE DATA'!E99="723A.3(1)", 'CASE DATA'!E99="723A.3(2)", 'CASE DATA'!E99="724.1B", 'CASE DATA'!E99="724.1C", 'CASE DATA'!E99="724.3", 'CASE DATA'!E99="724.4B", 'CASE DATA'!E99="724.10", 'CASE DATA'!E99="724.16(2)", 'CASE DATA'!E99="724.16A(1)(a)", 'CASE DATA'!E99="724.16A(1)(b)", 'CASE DATA'!E99="724.17", 'CASE DATA'!E99="724.21", 'CASE DATA'!E99="724.26(1)", 'CASE DATA'!E99="922(g)(8)", 'CASE DATA'!E99="724.29A(2)", 'CASE DATA'!E99="724.29A(3)", 'CASE DATA'!E99="724.30(1)", 'CASE DATA'!E99="724.30(2)", 'CASE DATA'!E99="725.1(2)(b)", 'CASE DATA'!E99="725.2(1)", 'CASE DATA'!E99="725.2(2)", 'CASE DATA'!E99="725.3(2)", 'CASE DATA'!E99="725.3(1)", 'CASE DATA'!E99="725.7(2)(a)(3)", 'CASE DATA'!E99="725.7(2)(a)(4)", 'CASE DATA'!E99="725.7(2)(b)(2)", 'CASE DATA'!E99="725.7(2)(b(3)", 'CASE DATA'!E99="726.7(2)(c)(1)", 'CASE DATA'!E99="726.7(2)(c)(2)", 'CASE DATA'!E99="725.7(2)(d)", 'CASE DATA'!E99="726.2", 'CASE DATA'!E99="726.3", 'CASE DATA'!E99="726.5", 'CASE DATA'!E99="726.6(4)", 'CASE DATA'!E99="726.6(5)", 'CASE DATA'!E99="726.6(6)", 'CASE DATA'!E99="726.6A", 'CASE DATA'!E99="726.7(2)", 'CASE DATA'!E99="726.8(2)", 'CASE DATA'!E99="728.12(1)", 'CASE DATA'!E99="728.12(2)"),"felony","eligible"),"N/A")</f>
        <v>N/A</v>
      </c>
      <c r="M98" s="185" t="str">
        <f>IF(L98="eligible",IF(OR('CASE DATA'!E99="123.46",'CASE DATA'!E99="123.47",'CASE DATA'!E99="235B.20",'CASE DATA'!E99="321.218",'CASE DATA'!E99="321A.32",'CASE DATA'!E99="321J.21",'CASE DATA'!E99="321J.2",'CASE DATA'!E99="707.5",'CASE DATA'!E99="708.2(3)",'CASE DATA'!E99="708.2A",'CASE DATA'!E99="708.7",'CASE DATA'!E99="708.11",'CASE DATA'!E99="708.12",'CASE DATA'!E99="716.8(3)",'CASE DATA'!E99="716.8(4)", LEFT('CASE DATA'!E99,4)="717C", LEFT('CASE DATA'!E99, 3)="719", LEFT('CASE DATA'!E99,3)="720", 'CASE DATA'!E99="721.2", 'CASE DATA'!E99="721.10", 'CASE DATA'!E99="723.1", LEFT('CASE DATA'!E99,3)="724", LEFT('CASE DATA'!E99,3)="726", LEFT('CASE DATA'!E99,3)="728", LEFT('CASE DATA'!E99,4)="901A"),"ineligible misd", "eligible"),"N/A")</f>
        <v>N/A</v>
      </c>
      <c r="N98" s="185" t="str">
        <f>IF(L98="eligible",IF(COUNTIF('CASE DATA'!$C$4:$C$200, "")-COUNTIF('CASE DATA'!$A$4:$A$200, "")&gt;0, "YES","NO"),"N/A")</f>
        <v>N/A</v>
      </c>
      <c r="O98" s="185" t="str">
        <f xml:space="preserve"> IF(M98="eligible",'CASE DATA'!K99,"N/A")</f>
        <v>N/A</v>
      </c>
      <c r="P98" s="185" t="str">
        <f xml:space="preserve"> IF(M98="eligible",'CASE DATA'!I99+'CASE DATA'!J99+'CASE DATA'!L99+'CASE DATA'!M99+'CASE DATA'!N99+'CASE DATA'!O99+'CASE DATA'!M99+'CASE DATA'!Q99+'CASE DATA'!R99,"N/A")</f>
        <v>N/A</v>
      </c>
      <c r="Q98" s="11" t="str">
        <f>IF(M98="eligible",IF(C98+730.5&lt;'BASIC INFO'!$B$3, "YES", "NO"),"N/A")</f>
        <v>N/A</v>
      </c>
      <c r="R98" s="186" t="str">
        <f xml:space="preserve"> IF(OR('CASE DATA'!F99="DEF"), "YES", "NO")</f>
        <v>NO</v>
      </c>
      <c r="S98" s="162" t="str">
        <f>IF(R98="YES",'CASE DATA'!H99,"N/A")</f>
        <v>N/A</v>
      </c>
      <c r="T98" s="185" t="str">
        <f xml:space="preserve"> IF(R98="YES",'CASE DATA'!K99,"N/A")</f>
        <v>N/A</v>
      </c>
      <c r="U98" s="185" t="str">
        <f>IF(R98="YES",'CASE DATA'!I99+'CASE DATA'!J99+'CASE DATA'!L99+'CASE DATA'!M99+'CASE DATA'!N99+'CASE DATA'!O99+'CASE DATA'!P99+'CASE DATA'!Q99+'CASE DATA'!R99,"N/A")</f>
        <v>N/A</v>
      </c>
      <c r="V98" s="189" t="str">
        <f>IF(OR('CASE DATA'!E99="123.46",'CASE DATA'!E99="123.47"),"YES","NO")</f>
        <v>NO</v>
      </c>
      <c r="W98" s="189"/>
      <c r="X98" s="185" t="str">
        <f>IF(V98="YES",IF(C98+730.5&lt;'BASIC INFO'!$B$3, "YES","NO"), "N/A")</f>
        <v>N/A</v>
      </c>
      <c r="Y98" s="189" t="str">
        <f t="shared" si="1"/>
        <v>NO</v>
      </c>
      <c r="Z98" s="187" t="str">
        <f xml:space="preserve"> IF('BASIC INFO'!$B$6+6574.5&gt;C98, "YES", "NO")</f>
        <v>YES</v>
      </c>
    </row>
    <row r="99" spans="1:26" x14ac:dyDescent="0.25">
      <c r="A99" s="162">
        <f xml:space="preserve"> 'CASE DATA'!A100</f>
        <v>0</v>
      </c>
      <c r="B99" s="162">
        <f xml:space="preserve"> 'CASE DATA'!E100</f>
        <v>0</v>
      </c>
      <c r="C99" s="163">
        <f xml:space="preserve"> 'CASE DATA'!C100</f>
        <v>0</v>
      </c>
      <c r="D99" s="11" t="str">
        <f xml:space="preserve"> IF(OR('CASE DATA'!F100="JUV", 'CASE DATA'!F100="JWV"), "YES", "NO")</f>
        <v>NO</v>
      </c>
      <c r="E99" s="11"/>
      <c r="F99" s="11" t="str">
        <f>IF(D99="YES",IF(COUNTIF('CASE DATA'!$C$4:$C$200, "")-COUNTIF('CASE DATA'!$A$4:$A$200, "")&gt;0, "YES","NO"),"N/A")</f>
        <v>N/A</v>
      </c>
      <c r="G99" s="164" t="str">
        <f xml:space="preserve"> _xlfn.IFS(D99="NO", "N/A", AND('BASIC INFO'!$B$3&gt;'BASIC INFO'!$B$6+6574.5, C99+730.5&lt;'BASIC INFO'!$B$3), "YES", 'BASIC INFO'!$B$3&lt;('BASIC INFO'!$B$6+6574.5), "NOT YET 18", C99+730.5&gt;'BASIC INFO'!$B$3, "NOT YET 2 YEARS")</f>
        <v>N/A</v>
      </c>
      <c r="H99" s="186" t="str">
        <f xml:space="preserve"> IF(LEFT('CASE DATA'!E100,4)&lt;&gt;"321.",IF(OR('CASE DATA'!F100="DISM", 'CASE DATA'!F100="ACQ", 'CASE DATA'!F100="NOTF", 'CASE DATA'!F100="WTHD", 'CASE DATA'!F100="TNSF"), "YES", "NO"), "TRAFFIC")</f>
        <v>NO</v>
      </c>
      <c r="I99" s="185" t="str">
        <f xml:space="preserve"> IF(H99="YES",'CASE DATA'!K100,"N/A")</f>
        <v>N/A</v>
      </c>
      <c r="J99" s="185" t="str">
        <f>IF(H99="YES",'CASE DATA'!I100+'CASE DATA'!J100+'CASE DATA'!L100+'CASE DATA'!M100+'CASE DATA'!N100+'CASE DATA'!O100+'CASE DATA'!P100+'CASE DATA'!Q100+'CASE DATA'!R100,"N/A")</f>
        <v>N/A</v>
      </c>
      <c r="K99" s="162" t="str">
        <f xml:space="preserve"> IF(H99="YES",IF(C99+180&lt;'BASIC INFO'!$B$3, "YES", "NO"),"N/A")</f>
        <v>N/A</v>
      </c>
      <c r="L99" s="185" t="str">
        <f>IF(OR('CASE DATA'!F100="GTR", 'CASE DATA'!F100="GPL"),IF(OR('CASE DATA'!E100="81.6(2)", 'CASE DATA'!E100="99F.15(6)(b)(1)", 'CASE DATA'!E100= "124.401(1)(a)", 'CASE DATA'!E100= "124.401(1)(b)", 'CASE DATA'!E100= "124.401(1)(c)", 'CASE DATA'!E100= "124.401(1)(d)", 'CASE DATA'!E100="124.401(4)", 'CASE DATA'!E100="124.401(1)(b)", 'CASE DATA'!E100="124.401(1)(c)", 'CASE DATA'!E100="124.401D(2)(b)", 'CASE DATA'!E100="124.401D(2)(c)", 'CASE DATA'!E100="124.406(1)(a)", 'CASE DATA'!E100="124.406(1)(b) ", 'CASE DATA'!E100="124.406(2)(a)", 'CASE DATA'!E100="124.406(2)(b) ", 'CASE DATA'!E100="124.406(3)", 'CASE DATA'!E100="124.406A ", 'CASE DATA'!E100="124.407(2)(a)", 'CASE DATA'!E100="124B.9(1)", 'CASE DATA'!E100="124B.9(2)", 'CASE DATA'!E100="321J.2(2)(c)", 'CASE DATA'!E100="453B.12(2)", 'CASE DATA'!E100="453B.12(3)", 'CASE DATA'!E100="453B.12(4)", 'CASE DATA'!E100="462A.14(2)(c)", 'CASE DATA'!E100="462A.14(2)(d)", 'CASE DATA'!E100="462A.14(2)(e)", 'CASE DATA'!E100="705.1(2)", 'CASE DATA'!E100="706.3(1)", 'CASE DATA'!E100="706.3(2)", 'CASE DATA'!E100="706A.2(1)", 'CASE DATA'!E100="706A.2(2)", 'CASE DATA'!E100="706A.2(4)", 'CASE DATA'!E100="706B.2(1)(a)", 'CASE DATA'!E100="706B.2(1)(b)", 'CASE DATA'!E100="706B.2(1)(c)", 'CASE DATA'!E100="706B.2(1)(d)", 'CASE DATA'!E100="707.2", 'CASE DATA'!E100="707.3", 'CASE DATA'!E100="707.3A", 'CASE DATA'!E100="707.4", 'CASE DATA'!E100="707.5(1)(a)", 'CASE DATA'!E100="707.6A(1)", 'CASE DATA'!E100="707.6A(2)", 'CASE DATA'!E100="707.6A(3)", 'CASE DATA'!E100="707.6A(4)", 'CASE DATA'!E100="707.7(1)", 'CASE DATA'!E100="707.7(3)", 'CASE DATA'!E100="707.7(2)", 'CASE DATA'!E100="707.8(1)", 'CASE DATA'!E100="707.8(2)", 'CASE DATA'!E100="707.8(3)", 'CASE DATA'!E100="707.8(4)", 'CASE DATA'!E100="707.8(5)", 'CASE DATA'!E100="707.8(6)", 'CASE DATA'!E100="707.9", 'CASE DATA'!E100="707.11", 'CASE DATA'!E100="707A.2", 'CASE DATA'!E100="708.2(4)", 'CASE DATA'!E100="708.2(5)", 'CASE DATA'!E100="708.2A(4)", 'CASE DATA'!E100="708.2A(5)", 'CASE DATA'!E100="708.2C(2)", 'CASE DATA'!E100="708.2C(4)", 'CASE DATA'!E100="708.3(1)", 'CASE DATA'!E100="708.3(2)", 'CASE DATA'!E100="708.3A(1)", 'CASE DATA'!E100="708.3A(2)", 'CASE DATA'!E100="708.3B", 'CASE DATA'!E100="708.4(1)", 'CASE DATA'!E100="708.4(2)", 'CASE DATA'!E100="708.5", 'CASE DATA'!E100="708.8", 'CASE DATA'!E100="708.11(3)(a)", 'CASE DATA'!E100="708.11(3)(b)", 'CASE DATA'!E100="708.12(3)(f)", 'CASE DATA'!E100="708.13(3)", 'CASE DATA'!E100="708.14", 'CASE DATA'!E100="708A.2", 'CASE DATA'!E100="708A.4(1)", 'CASE DATA'!E100="708A.4(2)", 'CASE DATA'!E100="708A.5", 'CASE DATA'!E100="708A.6(1)", 'CASE DATA'!E100="708.A.6(2)", 'CASE DATA'!E100="709.2", 'CASE DATA'!E100="709.3", 'CASE DATA'!E100="709.4", 'CASE DATA'!E100="709.8(1)(a)", 'CASE DATA'!E100="709.8(1)(b)", 'CASE DATA'!E100="709.8(1)(c)", 'CASE DATA'!E100="709.8(1)(d)", 'CASE DATA'!E100="709.8(1)(e)", 'CASE DATA'!E100="709.11(1)", 'CASE DATA'!E100="709.11(2)", 'CASE DATA'!E100="709.15(2)(a)(1)", 'CASE DATA'!E100="709.15(3)(a)(1)", 'CASE DATA'!E100="709.18", 'CASE DATA'!E100="709A.6(2)", 'CASE DATA'!E100="709D.3(1)", 'CASE DATA'!E100="709D.3(2)", 'CASE DATA'!E100="709.D.3(3)", 'CASE DATA'!E100="710.2", 'CASE DATA'!E100="710.3", 'CASE DATA'!E100="710.4", 'CASE DATA'!E100="710.5", 'CASE DATA'!E100="710.10(1)", 'CASE DATA'!E100="710.10(2)", 'CASE DATA'!E100="710.10(3)", 'CASE DATA'!E100="710.11", 'CASE DATA'!E100="710A.2(1)", 'CASE DATA'!E100="710A.2(2)", 'CASE DATA'!E100="710A.2(3)", 'CASE DATA'!E100="710A.2(4)", 'CASE DATA'!E100="710A.2(5)", 'CASE DATA'!E100="710A.2(6)", 'CASE DATA'!E100="710A.2(7)", 'CASE DATA'!E100="710A.2A", 'CASE DATA'!E100="711.2", 'CASE DATA'!E100="711.3", 'CASE DATA'!E100="711.4", 'CASE DATA'!E100="712.2", 'CASE DATA'!E100="712.3", 'CASE DATA'!E100="712.6(1)", 'CASE DATA'!E100="712.7", 'CASE DATA'!E100="712.8", 'CASE DATA'!E100="", 'CASE DATA'!E100="713.3", 'CASE DATA'!E100="713.4", 'CASE DATA'!E100="713.5", 'CASE DATA'!E100="713.6", 'CASE DATA'!E100="713.6A(1)", 'CASE DATA'!E100="714.2(1)", 'CASE DATA'!E100="714.2(2)", 'CASE DATA'!E100="714.3A(2)(b)", 'CASE DATA'!E100="714.9", 'CASE DATA'!E100="714.10", 'CASE DATA'!E100="714.26(2)(a)", 'CASE DATA'!E100="714.26(2)(b)", 'CASE DATA'!E100="715A.2(2)(a)", 'CASE DATA'!E100="715A.6(2)(a)", 'CASE DATA'!E100="715A.6(2)(b)", 'CASE DATA'!E100="715A.8(3)(a)", 'CASE DATA'!E100="715A.8(3)(b)", 'CASE DATA'!E100="715A.10(1)", 'CASE DATA'!E100="715A.10(2)", 'CASE DATA'!E100="716.3", 'CASE DATA'!E100="716.4", 'CASE DATA'!E100="716.8(6)", 'CASE DATA'!E100="716.10(2)(a)", 'CASE DATA'!E100="716.10(2)(b)", 'CASE DATA'!E100="716.10(2)(c)", 'CASE DATA'!E100="716.10(2)(d)", 'CASE DATA'!E100="716.12", 'CASE DATA'!E100="719.1(1)(f)", 'CASE DATA'!E100="719.1(2)(e)", 'CASE DATA'!E100="719.1(2)(f)", 'CASE DATA'!E100="719.1(2)(g)", 'CASE DATA'!E100="719.4(1)", 'CASE DATA'!E100="719.4(4)", 'CASE DATA'!E100="719.5(1)", 'CASE DATA'!E100="719.5(2)", 'CASE DATA'!E100="719.6(1)", 'CASE DATA'!E100="719.6(2)", 'CASE DATA'!E100="719.7(4)(a)", 'CASE DATA'!E100="719.7(4)(b)", 'CASE DATA'!E100="719.7A(3)", 'CASE DATA'!E100="719.9", 'CASE DATA'!E100="719.8", 'CASE DATA'!E100="720.2", 'CASE DATA'!E100="720.3", 'CASE DATA'!E100="721.1", 'CASE DATA'!E100="722.1", 'CASE DATA'!E100="", 'CASE DATA'!E100="722.2", 'CASE DATA'!E100="722.10", 'CASE DATA'!E100="723(5)(3)(c)", 'CASE DATA'!E100="723A.2", 'CASE DATA'!E100="723A.3(1)", 'CASE DATA'!E100="723A.3(2)", 'CASE DATA'!E100="724.1B", 'CASE DATA'!E100="724.1C", 'CASE DATA'!E100="724.3", 'CASE DATA'!E100="724.4B", 'CASE DATA'!E100="724.10", 'CASE DATA'!E100="724.16(2)", 'CASE DATA'!E100="724.16A(1)(a)", 'CASE DATA'!E100="724.16A(1)(b)", 'CASE DATA'!E100="724.17", 'CASE DATA'!E100="724.21", 'CASE DATA'!E100="724.26(1)", 'CASE DATA'!E100="922(g)(8)", 'CASE DATA'!E100="724.29A(2)", 'CASE DATA'!E100="724.29A(3)", 'CASE DATA'!E100="724.30(1)", 'CASE DATA'!E100="724.30(2)", 'CASE DATA'!E100="725.1(2)(b)", 'CASE DATA'!E100="725.2(1)", 'CASE DATA'!E100="725.2(2)", 'CASE DATA'!E100="725.3(2)", 'CASE DATA'!E100="725.3(1)", 'CASE DATA'!E100="725.7(2)(a)(3)", 'CASE DATA'!E100="725.7(2)(a)(4)", 'CASE DATA'!E100="725.7(2)(b)(2)", 'CASE DATA'!E100="725.7(2)(b(3)", 'CASE DATA'!E100="726.7(2)(c)(1)", 'CASE DATA'!E100="726.7(2)(c)(2)", 'CASE DATA'!E100="725.7(2)(d)", 'CASE DATA'!E100="726.2", 'CASE DATA'!E100="726.3", 'CASE DATA'!E100="726.5", 'CASE DATA'!E100="726.6(4)", 'CASE DATA'!E100="726.6(5)", 'CASE DATA'!E100="726.6(6)", 'CASE DATA'!E100="726.6A", 'CASE DATA'!E100="726.7(2)", 'CASE DATA'!E100="726.8(2)", 'CASE DATA'!E100="728.12(1)", 'CASE DATA'!E100="728.12(2)"),"felony","eligible"),"N/A")</f>
        <v>N/A</v>
      </c>
      <c r="M99" s="185" t="str">
        <f>IF(L99="eligible",IF(OR('CASE DATA'!E100="123.46",'CASE DATA'!E100="123.47",'CASE DATA'!E100="235B.20",'CASE DATA'!E100="321.218",'CASE DATA'!E100="321A.32",'CASE DATA'!E100="321J.21",'CASE DATA'!E100="321J.2",'CASE DATA'!E100="707.5",'CASE DATA'!E100="708.2(3)",'CASE DATA'!E100="708.2A",'CASE DATA'!E100="708.7",'CASE DATA'!E100="708.11",'CASE DATA'!E100="708.12",'CASE DATA'!E100="716.8(3)",'CASE DATA'!E100="716.8(4)", LEFT('CASE DATA'!E100,4)="717C", LEFT('CASE DATA'!E100, 3)="719", LEFT('CASE DATA'!E100,3)="720", 'CASE DATA'!E100="721.2", 'CASE DATA'!E100="721.10", 'CASE DATA'!E100="723.1", LEFT('CASE DATA'!E100,3)="724", LEFT('CASE DATA'!E100,3)="726", LEFT('CASE DATA'!E100,3)="728", LEFT('CASE DATA'!E100,4)="901A"),"ineligible misd", "eligible"),"N/A")</f>
        <v>N/A</v>
      </c>
      <c r="N99" s="185" t="str">
        <f>IF(L99="eligible",IF(COUNTIF('CASE DATA'!$C$4:$C$200, "")-COUNTIF('CASE DATA'!$A$4:$A$200, "")&gt;0, "YES","NO"),"N/A")</f>
        <v>N/A</v>
      </c>
      <c r="O99" s="185" t="str">
        <f xml:space="preserve"> IF(M99="eligible",'CASE DATA'!K100,"N/A")</f>
        <v>N/A</v>
      </c>
      <c r="P99" s="185" t="str">
        <f xml:space="preserve"> IF(M99="eligible",'CASE DATA'!I100+'CASE DATA'!J100+'CASE DATA'!L100+'CASE DATA'!M100+'CASE DATA'!N100+'CASE DATA'!O100+'CASE DATA'!M100+'CASE DATA'!Q100+'CASE DATA'!R100,"N/A")</f>
        <v>N/A</v>
      </c>
      <c r="Q99" s="11" t="str">
        <f>IF(M99="eligible",IF(C99+730.5&lt;'BASIC INFO'!$B$3, "YES", "NO"),"N/A")</f>
        <v>N/A</v>
      </c>
      <c r="R99" s="186" t="str">
        <f xml:space="preserve"> IF(OR('CASE DATA'!F100="DEF"), "YES", "NO")</f>
        <v>NO</v>
      </c>
      <c r="S99" s="162" t="str">
        <f>IF(R99="YES",'CASE DATA'!H100,"N/A")</f>
        <v>N/A</v>
      </c>
      <c r="T99" s="185" t="str">
        <f xml:space="preserve"> IF(R99="YES",'CASE DATA'!K100,"N/A")</f>
        <v>N/A</v>
      </c>
      <c r="U99" s="185" t="str">
        <f>IF(R99="YES",'CASE DATA'!I100+'CASE DATA'!J100+'CASE DATA'!L100+'CASE DATA'!M100+'CASE DATA'!N100+'CASE DATA'!O100+'CASE DATA'!P100+'CASE DATA'!Q100+'CASE DATA'!R100,"N/A")</f>
        <v>N/A</v>
      </c>
      <c r="V99" s="189" t="str">
        <f>IF(OR('CASE DATA'!E100="123.46",'CASE DATA'!E100="123.47"),"YES","NO")</f>
        <v>NO</v>
      </c>
      <c r="W99" s="189"/>
      <c r="X99" s="185" t="str">
        <f>IF(V99="YES",IF(C99+730.5&lt;'BASIC INFO'!$B$3, "YES","NO"), "N/A")</f>
        <v>N/A</v>
      </c>
      <c r="Y99" s="189" t="str">
        <f t="shared" si="1"/>
        <v>NO</v>
      </c>
      <c r="Z99" s="187" t="str">
        <f xml:space="preserve"> IF('BASIC INFO'!$B$6+6574.5&gt;C99, "YES", "NO")</f>
        <v>YES</v>
      </c>
    </row>
    <row r="100" spans="1:26" x14ac:dyDescent="0.25">
      <c r="A100" s="162">
        <f xml:space="preserve"> 'CASE DATA'!A101</f>
        <v>0</v>
      </c>
      <c r="B100" s="162">
        <f xml:space="preserve"> 'CASE DATA'!E101</f>
        <v>0</v>
      </c>
      <c r="C100" s="163">
        <f xml:space="preserve"> 'CASE DATA'!C101</f>
        <v>0</v>
      </c>
      <c r="D100" s="11" t="str">
        <f xml:space="preserve"> IF(OR('CASE DATA'!F101="JUV", 'CASE DATA'!F101="JWV"), "YES", "NO")</f>
        <v>NO</v>
      </c>
      <c r="E100" s="11"/>
      <c r="F100" s="11" t="str">
        <f>IF(D100="YES",IF(COUNTIF('CASE DATA'!$C$4:$C$200, "")-COUNTIF('CASE DATA'!$A$4:$A$200, "")&gt;0, "YES","NO"),"N/A")</f>
        <v>N/A</v>
      </c>
      <c r="G100" s="164" t="str">
        <f xml:space="preserve"> _xlfn.IFS(D100="NO", "N/A", AND('BASIC INFO'!$B$3&gt;'BASIC INFO'!$B$6+6574.5, C100+730.5&lt;'BASIC INFO'!$B$3), "YES", 'BASIC INFO'!$B$3&lt;('BASIC INFO'!$B$6+6574.5), "NOT YET 18", C100+730.5&gt;'BASIC INFO'!$B$3, "NOT YET 2 YEARS")</f>
        <v>N/A</v>
      </c>
      <c r="H100" s="186" t="str">
        <f xml:space="preserve"> IF(LEFT('CASE DATA'!E101,4)&lt;&gt;"321.",IF(OR('CASE DATA'!F101="DISM", 'CASE DATA'!F101="ACQ", 'CASE DATA'!F101="NOTF", 'CASE DATA'!F101="WTHD", 'CASE DATA'!F101="TNSF"), "YES", "NO"), "TRAFFIC")</f>
        <v>NO</v>
      </c>
      <c r="I100" s="185" t="str">
        <f xml:space="preserve"> IF(H100="YES",'CASE DATA'!K101,"N/A")</f>
        <v>N/A</v>
      </c>
      <c r="J100" s="185" t="str">
        <f>IF(H100="YES",'CASE DATA'!I101+'CASE DATA'!J101+'CASE DATA'!L101+'CASE DATA'!M101+'CASE DATA'!N101+'CASE DATA'!O101+'CASE DATA'!P101+'CASE DATA'!Q101+'CASE DATA'!R101,"N/A")</f>
        <v>N/A</v>
      </c>
      <c r="K100" s="162" t="str">
        <f xml:space="preserve"> IF(H100="YES",IF(C100+180&lt;'BASIC INFO'!$B$3, "YES", "NO"),"N/A")</f>
        <v>N/A</v>
      </c>
      <c r="L100" s="185" t="str">
        <f>IF(OR('CASE DATA'!F101="GTR", 'CASE DATA'!F101="GPL"),IF(OR('CASE DATA'!E101="81.6(2)", 'CASE DATA'!E101="99F.15(6)(b)(1)", 'CASE DATA'!E101= "124.401(1)(a)", 'CASE DATA'!E101= "124.401(1)(b)", 'CASE DATA'!E101= "124.401(1)(c)", 'CASE DATA'!E101= "124.401(1)(d)", 'CASE DATA'!E101="124.401(4)", 'CASE DATA'!E101="124.401(1)(b)", 'CASE DATA'!E101="124.401(1)(c)", 'CASE DATA'!E101="124.401D(2)(b)", 'CASE DATA'!E101="124.401D(2)(c)", 'CASE DATA'!E101="124.406(1)(a)", 'CASE DATA'!E101="124.406(1)(b) ", 'CASE DATA'!E101="124.406(2)(a)", 'CASE DATA'!E101="124.406(2)(b) ", 'CASE DATA'!E101="124.406(3)", 'CASE DATA'!E101="124.406A ", 'CASE DATA'!E101="124.407(2)(a)", 'CASE DATA'!E101="124B.9(1)", 'CASE DATA'!E101="124B.9(2)", 'CASE DATA'!E101="321J.2(2)(c)", 'CASE DATA'!E101="453B.12(2)", 'CASE DATA'!E101="453B.12(3)", 'CASE DATA'!E101="453B.12(4)", 'CASE DATA'!E101="462A.14(2)(c)", 'CASE DATA'!E101="462A.14(2)(d)", 'CASE DATA'!E101="462A.14(2)(e)", 'CASE DATA'!E101="705.1(2)", 'CASE DATA'!E101="706.3(1)", 'CASE DATA'!E101="706.3(2)", 'CASE DATA'!E101="706A.2(1)", 'CASE DATA'!E101="706A.2(2)", 'CASE DATA'!E101="706A.2(4)", 'CASE DATA'!E101="706B.2(1)(a)", 'CASE DATA'!E101="706B.2(1)(b)", 'CASE DATA'!E101="706B.2(1)(c)", 'CASE DATA'!E101="706B.2(1)(d)", 'CASE DATA'!E101="707.2", 'CASE DATA'!E101="707.3", 'CASE DATA'!E101="707.3A", 'CASE DATA'!E101="707.4", 'CASE DATA'!E101="707.5(1)(a)", 'CASE DATA'!E101="707.6A(1)", 'CASE DATA'!E101="707.6A(2)", 'CASE DATA'!E101="707.6A(3)", 'CASE DATA'!E101="707.6A(4)", 'CASE DATA'!E101="707.7(1)", 'CASE DATA'!E101="707.7(3)", 'CASE DATA'!E101="707.7(2)", 'CASE DATA'!E101="707.8(1)", 'CASE DATA'!E101="707.8(2)", 'CASE DATA'!E101="707.8(3)", 'CASE DATA'!E101="707.8(4)", 'CASE DATA'!E101="707.8(5)", 'CASE DATA'!E101="707.8(6)", 'CASE DATA'!E101="707.9", 'CASE DATA'!E101="707.11", 'CASE DATA'!E101="707A.2", 'CASE DATA'!E101="708.2(4)", 'CASE DATA'!E101="708.2(5)", 'CASE DATA'!E101="708.2A(4)", 'CASE DATA'!E101="708.2A(5)", 'CASE DATA'!E101="708.2C(2)", 'CASE DATA'!E101="708.2C(4)", 'CASE DATA'!E101="708.3(1)", 'CASE DATA'!E101="708.3(2)", 'CASE DATA'!E101="708.3A(1)", 'CASE DATA'!E101="708.3A(2)", 'CASE DATA'!E101="708.3B", 'CASE DATA'!E101="708.4(1)", 'CASE DATA'!E101="708.4(2)", 'CASE DATA'!E101="708.5", 'CASE DATA'!E101="708.8", 'CASE DATA'!E101="708.11(3)(a)", 'CASE DATA'!E101="708.11(3)(b)", 'CASE DATA'!E101="708.12(3)(f)", 'CASE DATA'!E101="708.13(3)", 'CASE DATA'!E101="708.14", 'CASE DATA'!E101="708A.2", 'CASE DATA'!E101="708A.4(1)", 'CASE DATA'!E101="708A.4(2)", 'CASE DATA'!E101="708A.5", 'CASE DATA'!E101="708A.6(1)", 'CASE DATA'!E101="708.A.6(2)", 'CASE DATA'!E101="709.2", 'CASE DATA'!E101="709.3", 'CASE DATA'!E101="709.4", 'CASE DATA'!E101="709.8(1)(a)", 'CASE DATA'!E101="709.8(1)(b)", 'CASE DATA'!E101="709.8(1)(c)", 'CASE DATA'!E101="709.8(1)(d)", 'CASE DATA'!E101="709.8(1)(e)", 'CASE DATA'!E101="709.11(1)", 'CASE DATA'!E101="709.11(2)", 'CASE DATA'!E101="709.15(2)(a)(1)", 'CASE DATA'!E101="709.15(3)(a)(1)", 'CASE DATA'!E101="709.18", 'CASE DATA'!E101="709A.6(2)", 'CASE DATA'!E101="709D.3(1)", 'CASE DATA'!E101="709D.3(2)", 'CASE DATA'!E101="709.D.3(3)", 'CASE DATA'!E101="710.2", 'CASE DATA'!E101="710.3", 'CASE DATA'!E101="710.4", 'CASE DATA'!E101="710.5", 'CASE DATA'!E101="710.10(1)", 'CASE DATA'!E101="710.10(2)", 'CASE DATA'!E101="710.10(3)", 'CASE DATA'!E101="710.11", 'CASE DATA'!E101="710A.2(1)", 'CASE DATA'!E101="710A.2(2)", 'CASE DATA'!E101="710A.2(3)", 'CASE DATA'!E101="710A.2(4)", 'CASE DATA'!E101="710A.2(5)", 'CASE DATA'!E101="710A.2(6)", 'CASE DATA'!E101="710A.2(7)", 'CASE DATA'!E101="710A.2A", 'CASE DATA'!E101="711.2", 'CASE DATA'!E101="711.3", 'CASE DATA'!E101="711.4", 'CASE DATA'!E101="712.2", 'CASE DATA'!E101="712.3", 'CASE DATA'!E101="712.6(1)", 'CASE DATA'!E101="712.7", 'CASE DATA'!E101="712.8", 'CASE DATA'!E101="", 'CASE DATA'!E101="713.3", 'CASE DATA'!E101="713.4", 'CASE DATA'!E101="713.5", 'CASE DATA'!E101="713.6", 'CASE DATA'!E101="713.6A(1)", 'CASE DATA'!E101="714.2(1)", 'CASE DATA'!E101="714.2(2)", 'CASE DATA'!E101="714.3A(2)(b)", 'CASE DATA'!E101="714.9", 'CASE DATA'!E101="714.10", 'CASE DATA'!E101="714.26(2)(a)", 'CASE DATA'!E101="714.26(2)(b)", 'CASE DATA'!E101="715A.2(2)(a)", 'CASE DATA'!E101="715A.6(2)(a)", 'CASE DATA'!E101="715A.6(2)(b)", 'CASE DATA'!E101="715A.8(3)(a)", 'CASE DATA'!E101="715A.8(3)(b)", 'CASE DATA'!E101="715A.10(1)", 'CASE DATA'!E101="715A.10(2)", 'CASE DATA'!E101="716.3", 'CASE DATA'!E101="716.4", 'CASE DATA'!E101="716.8(6)", 'CASE DATA'!E101="716.10(2)(a)", 'CASE DATA'!E101="716.10(2)(b)", 'CASE DATA'!E101="716.10(2)(c)", 'CASE DATA'!E101="716.10(2)(d)", 'CASE DATA'!E101="716.12", 'CASE DATA'!E101="719.1(1)(f)", 'CASE DATA'!E101="719.1(2)(e)", 'CASE DATA'!E101="719.1(2)(f)", 'CASE DATA'!E101="719.1(2)(g)", 'CASE DATA'!E101="719.4(1)", 'CASE DATA'!E101="719.4(4)", 'CASE DATA'!E101="719.5(1)", 'CASE DATA'!E101="719.5(2)", 'CASE DATA'!E101="719.6(1)", 'CASE DATA'!E101="719.6(2)", 'CASE DATA'!E101="719.7(4)(a)", 'CASE DATA'!E101="719.7(4)(b)", 'CASE DATA'!E101="719.7A(3)", 'CASE DATA'!E101="719.9", 'CASE DATA'!E101="719.8", 'CASE DATA'!E101="720.2", 'CASE DATA'!E101="720.3", 'CASE DATA'!E101="721.1", 'CASE DATA'!E101="722.1", 'CASE DATA'!E101="", 'CASE DATA'!E101="722.2", 'CASE DATA'!E101="722.10", 'CASE DATA'!E101="723(5)(3)(c)", 'CASE DATA'!E101="723A.2", 'CASE DATA'!E101="723A.3(1)", 'CASE DATA'!E101="723A.3(2)", 'CASE DATA'!E101="724.1B", 'CASE DATA'!E101="724.1C", 'CASE DATA'!E101="724.3", 'CASE DATA'!E101="724.4B", 'CASE DATA'!E101="724.10", 'CASE DATA'!E101="724.16(2)", 'CASE DATA'!E101="724.16A(1)(a)", 'CASE DATA'!E101="724.16A(1)(b)", 'CASE DATA'!E101="724.17", 'CASE DATA'!E101="724.21", 'CASE DATA'!E101="724.26(1)", 'CASE DATA'!E101="922(g)(8)", 'CASE DATA'!E101="724.29A(2)", 'CASE DATA'!E101="724.29A(3)", 'CASE DATA'!E101="724.30(1)", 'CASE DATA'!E101="724.30(2)", 'CASE DATA'!E101="725.1(2)(b)", 'CASE DATA'!E101="725.2(1)", 'CASE DATA'!E101="725.2(2)", 'CASE DATA'!E101="725.3(2)", 'CASE DATA'!E101="725.3(1)", 'CASE DATA'!E101="725.7(2)(a)(3)", 'CASE DATA'!E101="725.7(2)(a)(4)", 'CASE DATA'!E101="725.7(2)(b)(2)", 'CASE DATA'!E101="725.7(2)(b(3)", 'CASE DATA'!E101="726.7(2)(c)(1)", 'CASE DATA'!E101="726.7(2)(c)(2)", 'CASE DATA'!E101="725.7(2)(d)", 'CASE DATA'!E101="726.2", 'CASE DATA'!E101="726.3", 'CASE DATA'!E101="726.5", 'CASE DATA'!E101="726.6(4)", 'CASE DATA'!E101="726.6(5)", 'CASE DATA'!E101="726.6(6)", 'CASE DATA'!E101="726.6A", 'CASE DATA'!E101="726.7(2)", 'CASE DATA'!E101="726.8(2)", 'CASE DATA'!E101="728.12(1)", 'CASE DATA'!E101="728.12(2)"),"felony","eligible"),"N/A")</f>
        <v>N/A</v>
      </c>
      <c r="M100" s="185" t="str">
        <f>IF(L100="eligible",IF(OR('CASE DATA'!E101="123.46",'CASE DATA'!E101="123.47",'CASE DATA'!E101="235B.20",'CASE DATA'!E101="321.218",'CASE DATA'!E101="321A.32",'CASE DATA'!E101="321J.21",'CASE DATA'!E101="321J.2",'CASE DATA'!E101="707.5",'CASE DATA'!E101="708.2(3)",'CASE DATA'!E101="708.2A",'CASE DATA'!E101="708.7",'CASE DATA'!E101="708.11",'CASE DATA'!E101="708.12",'CASE DATA'!E101="716.8(3)",'CASE DATA'!E101="716.8(4)", LEFT('CASE DATA'!E101,4)="717C", LEFT('CASE DATA'!E101, 3)="719", LEFT('CASE DATA'!E101,3)="720", 'CASE DATA'!E101="721.2", 'CASE DATA'!E101="721.10", 'CASE DATA'!E101="723.1", LEFT('CASE DATA'!E101,3)="724", LEFT('CASE DATA'!E101,3)="726", LEFT('CASE DATA'!E101,3)="728", LEFT('CASE DATA'!E101,4)="901A"),"ineligible misd", "eligible"),"N/A")</f>
        <v>N/A</v>
      </c>
      <c r="N100" s="185" t="str">
        <f>IF(L100="eligible",IF(COUNTIF('CASE DATA'!$C$4:$C$200, "")-COUNTIF('CASE DATA'!$A$4:$A$200, "")&gt;0, "YES","NO"),"N/A")</f>
        <v>N/A</v>
      </c>
      <c r="O100" s="185" t="str">
        <f xml:space="preserve"> IF(M100="eligible",'CASE DATA'!K101,"N/A")</f>
        <v>N/A</v>
      </c>
      <c r="P100" s="185" t="str">
        <f xml:space="preserve"> IF(M100="eligible",'CASE DATA'!I101+'CASE DATA'!J101+'CASE DATA'!L101+'CASE DATA'!M101+'CASE DATA'!N101+'CASE DATA'!O101+'CASE DATA'!M101+'CASE DATA'!Q101+'CASE DATA'!R101,"N/A")</f>
        <v>N/A</v>
      </c>
      <c r="Q100" s="11" t="str">
        <f>IF(M100="eligible",IF(C100+730.5&lt;'BASIC INFO'!$B$3, "YES", "NO"),"N/A")</f>
        <v>N/A</v>
      </c>
      <c r="R100" s="186" t="str">
        <f xml:space="preserve"> IF(OR('CASE DATA'!F101="DEF"), "YES", "NO")</f>
        <v>NO</v>
      </c>
      <c r="S100" s="162" t="str">
        <f>IF(R100="YES",'CASE DATA'!H101,"N/A")</f>
        <v>N/A</v>
      </c>
      <c r="T100" s="185" t="str">
        <f xml:space="preserve"> IF(R100="YES",'CASE DATA'!K101,"N/A")</f>
        <v>N/A</v>
      </c>
      <c r="U100" s="185" t="str">
        <f>IF(R100="YES",'CASE DATA'!I101+'CASE DATA'!J101+'CASE DATA'!L101+'CASE DATA'!M101+'CASE DATA'!N101+'CASE DATA'!O101+'CASE DATA'!P101+'CASE DATA'!Q101+'CASE DATA'!R101,"N/A")</f>
        <v>N/A</v>
      </c>
      <c r="V100" s="189" t="str">
        <f>IF(OR('CASE DATA'!E101="123.46",'CASE DATA'!E101="123.47"),"YES","NO")</f>
        <v>NO</v>
      </c>
      <c r="W100" s="189"/>
      <c r="X100" s="185" t="str">
        <f>IF(V100="YES",IF(C100+730.5&lt;'BASIC INFO'!$B$3, "YES","NO"), "N/A")</f>
        <v>N/A</v>
      </c>
      <c r="Y100" s="189" t="str">
        <f t="shared" si="1"/>
        <v>NO</v>
      </c>
      <c r="Z100" s="187" t="str">
        <f xml:space="preserve"> IF('BASIC INFO'!$B$6+6574.5&gt;C100, "YES", "NO")</f>
        <v>YES</v>
      </c>
    </row>
    <row r="101" spans="1:26" x14ac:dyDescent="0.25">
      <c r="A101" s="162">
        <f xml:space="preserve"> 'CASE DATA'!A102</f>
        <v>0</v>
      </c>
      <c r="B101" s="162">
        <f xml:space="preserve"> 'CASE DATA'!E102</f>
        <v>0</v>
      </c>
      <c r="C101" s="163">
        <f xml:space="preserve"> 'CASE DATA'!C102</f>
        <v>0</v>
      </c>
      <c r="D101" s="11" t="str">
        <f xml:space="preserve"> IF(OR('CASE DATA'!F102="JUV", 'CASE DATA'!F102="JWV"), "YES", "NO")</f>
        <v>NO</v>
      </c>
      <c r="E101" s="11"/>
      <c r="F101" s="11" t="str">
        <f>IF(D101="YES",IF(COUNTIF('CASE DATA'!$C$4:$C$200, "")-COUNTIF('CASE DATA'!$A$4:$A$200, "")&gt;0, "YES","NO"),"N/A")</f>
        <v>N/A</v>
      </c>
      <c r="G101" s="164" t="str">
        <f xml:space="preserve"> _xlfn.IFS(D101="NO", "N/A", AND('BASIC INFO'!$B$3&gt;'BASIC INFO'!$B$6+6574.5, C101+730.5&lt;'BASIC INFO'!$B$3), "YES", 'BASIC INFO'!$B$3&lt;('BASIC INFO'!$B$6+6574.5), "NOT YET 18", C101+730.5&gt;'BASIC INFO'!$B$3, "NOT YET 2 YEARS")</f>
        <v>N/A</v>
      </c>
      <c r="H101" s="186" t="str">
        <f xml:space="preserve"> IF(LEFT('CASE DATA'!E102,4)&lt;&gt;"321.",IF(OR('CASE DATA'!F102="DISM", 'CASE DATA'!F102="ACQ", 'CASE DATA'!F102="NOTF", 'CASE DATA'!F102="WTHD", 'CASE DATA'!F102="TNSF"), "YES", "NO"), "TRAFFIC")</f>
        <v>NO</v>
      </c>
      <c r="I101" s="185" t="str">
        <f xml:space="preserve"> IF(H101="YES",'CASE DATA'!K102,"N/A")</f>
        <v>N/A</v>
      </c>
      <c r="J101" s="185" t="str">
        <f>IF(H101="YES",'CASE DATA'!I102+'CASE DATA'!J102+'CASE DATA'!L102+'CASE DATA'!M102+'CASE DATA'!N102+'CASE DATA'!O102+'CASE DATA'!P102+'CASE DATA'!Q102+'CASE DATA'!R102,"N/A")</f>
        <v>N/A</v>
      </c>
      <c r="K101" s="162" t="str">
        <f xml:space="preserve"> IF(H101="YES",IF(C101+180&lt;'BASIC INFO'!$B$3, "YES", "NO"),"N/A")</f>
        <v>N/A</v>
      </c>
      <c r="L101" s="185" t="str">
        <f>IF(OR('CASE DATA'!F102="GTR", 'CASE DATA'!F102="GPL"),IF(OR('CASE DATA'!E102="81.6(2)", 'CASE DATA'!E102="99F.15(6)(b)(1)", 'CASE DATA'!E102= "124.401(1)(a)", 'CASE DATA'!E102= "124.401(1)(b)", 'CASE DATA'!E102= "124.401(1)(c)", 'CASE DATA'!E102= "124.401(1)(d)", 'CASE DATA'!E102="124.401(4)", 'CASE DATA'!E102="124.401(1)(b)", 'CASE DATA'!E102="124.401(1)(c)", 'CASE DATA'!E102="124.401D(2)(b)", 'CASE DATA'!E102="124.401D(2)(c)", 'CASE DATA'!E102="124.406(1)(a)", 'CASE DATA'!E102="124.406(1)(b) ", 'CASE DATA'!E102="124.406(2)(a)", 'CASE DATA'!E102="124.406(2)(b) ", 'CASE DATA'!E102="124.406(3)", 'CASE DATA'!E102="124.406A ", 'CASE DATA'!E102="124.407(2)(a)", 'CASE DATA'!E102="124B.9(1)", 'CASE DATA'!E102="124B.9(2)", 'CASE DATA'!E102="321J.2(2)(c)", 'CASE DATA'!E102="453B.12(2)", 'CASE DATA'!E102="453B.12(3)", 'CASE DATA'!E102="453B.12(4)", 'CASE DATA'!E102="462A.14(2)(c)", 'CASE DATA'!E102="462A.14(2)(d)", 'CASE DATA'!E102="462A.14(2)(e)", 'CASE DATA'!E102="705.1(2)", 'CASE DATA'!E102="706.3(1)", 'CASE DATA'!E102="706.3(2)", 'CASE DATA'!E102="706A.2(1)", 'CASE DATA'!E102="706A.2(2)", 'CASE DATA'!E102="706A.2(4)", 'CASE DATA'!E102="706B.2(1)(a)", 'CASE DATA'!E102="706B.2(1)(b)", 'CASE DATA'!E102="706B.2(1)(c)", 'CASE DATA'!E102="706B.2(1)(d)", 'CASE DATA'!E102="707.2", 'CASE DATA'!E102="707.3", 'CASE DATA'!E102="707.3A", 'CASE DATA'!E102="707.4", 'CASE DATA'!E102="707.5(1)(a)", 'CASE DATA'!E102="707.6A(1)", 'CASE DATA'!E102="707.6A(2)", 'CASE DATA'!E102="707.6A(3)", 'CASE DATA'!E102="707.6A(4)", 'CASE DATA'!E102="707.7(1)", 'CASE DATA'!E102="707.7(3)", 'CASE DATA'!E102="707.7(2)", 'CASE DATA'!E102="707.8(1)", 'CASE DATA'!E102="707.8(2)", 'CASE DATA'!E102="707.8(3)", 'CASE DATA'!E102="707.8(4)", 'CASE DATA'!E102="707.8(5)", 'CASE DATA'!E102="707.8(6)", 'CASE DATA'!E102="707.9", 'CASE DATA'!E102="707.11", 'CASE DATA'!E102="707A.2", 'CASE DATA'!E102="708.2(4)", 'CASE DATA'!E102="708.2(5)", 'CASE DATA'!E102="708.2A(4)", 'CASE DATA'!E102="708.2A(5)", 'CASE DATA'!E102="708.2C(2)", 'CASE DATA'!E102="708.2C(4)", 'CASE DATA'!E102="708.3(1)", 'CASE DATA'!E102="708.3(2)", 'CASE DATA'!E102="708.3A(1)", 'CASE DATA'!E102="708.3A(2)", 'CASE DATA'!E102="708.3B", 'CASE DATA'!E102="708.4(1)", 'CASE DATA'!E102="708.4(2)", 'CASE DATA'!E102="708.5", 'CASE DATA'!E102="708.8", 'CASE DATA'!E102="708.11(3)(a)", 'CASE DATA'!E102="708.11(3)(b)", 'CASE DATA'!E102="708.12(3)(f)", 'CASE DATA'!E102="708.13(3)", 'CASE DATA'!E102="708.14", 'CASE DATA'!E102="708A.2", 'CASE DATA'!E102="708A.4(1)", 'CASE DATA'!E102="708A.4(2)", 'CASE DATA'!E102="708A.5", 'CASE DATA'!E102="708A.6(1)", 'CASE DATA'!E102="708.A.6(2)", 'CASE DATA'!E102="709.2", 'CASE DATA'!E102="709.3", 'CASE DATA'!E102="709.4", 'CASE DATA'!E102="709.8(1)(a)", 'CASE DATA'!E102="709.8(1)(b)", 'CASE DATA'!E102="709.8(1)(c)", 'CASE DATA'!E102="709.8(1)(d)", 'CASE DATA'!E102="709.8(1)(e)", 'CASE DATA'!E102="709.11(1)", 'CASE DATA'!E102="709.11(2)", 'CASE DATA'!E102="709.15(2)(a)(1)", 'CASE DATA'!E102="709.15(3)(a)(1)", 'CASE DATA'!E102="709.18", 'CASE DATA'!E102="709A.6(2)", 'CASE DATA'!E102="709D.3(1)", 'CASE DATA'!E102="709D.3(2)", 'CASE DATA'!E102="709.D.3(3)", 'CASE DATA'!E102="710.2", 'CASE DATA'!E102="710.3", 'CASE DATA'!E102="710.4", 'CASE DATA'!E102="710.5", 'CASE DATA'!E102="710.10(1)", 'CASE DATA'!E102="710.10(2)", 'CASE DATA'!E102="710.10(3)", 'CASE DATA'!E102="710.11", 'CASE DATA'!E102="710A.2(1)", 'CASE DATA'!E102="710A.2(2)", 'CASE DATA'!E102="710A.2(3)", 'CASE DATA'!E102="710A.2(4)", 'CASE DATA'!E102="710A.2(5)", 'CASE DATA'!E102="710A.2(6)", 'CASE DATA'!E102="710A.2(7)", 'CASE DATA'!E102="710A.2A", 'CASE DATA'!E102="711.2", 'CASE DATA'!E102="711.3", 'CASE DATA'!E102="711.4", 'CASE DATA'!E102="712.2", 'CASE DATA'!E102="712.3", 'CASE DATA'!E102="712.6(1)", 'CASE DATA'!E102="712.7", 'CASE DATA'!E102="712.8", 'CASE DATA'!E102="", 'CASE DATA'!E102="713.3", 'CASE DATA'!E102="713.4", 'CASE DATA'!E102="713.5", 'CASE DATA'!E102="713.6", 'CASE DATA'!E102="713.6A(1)", 'CASE DATA'!E102="714.2(1)", 'CASE DATA'!E102="714.2(2)", 'CASE DATA'!E102="714.3A(2)(b)", 'CASE DATA'!E102="714.9", 'CASE DATA'!E102="714.10", 'CASE DATA'!E102="714.26(2)(a)", 'CASE DATA'!E102="714.26(2)(b)", 'CASE DATA'!E102="715A.2(2)(a)", 'CASE DATA'!E102="715A.6(2)(a)", 'CASE DATA'!E102="715A.6(2)(b)", 'CASE DATA'!E102="715A.8(3)(a)", 'CASE DATA'!E102="715A.8(3)(b)", 'CASE DATA'!E102="715A.10(1)", 'CASE DATA'!E102="715A.10(2)", 'CASE DATA'!E102="716.3", 'CASE DATA'!E102="716.4", 'CASE DATA'!E102="716.8(6)", 'CASE DATA'!E102="716.10(2)(a)", 'CASE DATA'!E102="716.10(2)(b)", 'CASE DATA'!E102="716.10(2)(c)", 'CASE DATA'!E102="716.10(2)(d)", 'CASE DATA'!E102="716.12", 'CASE DATA'!E102="719.1(1)(f)", 'CASE DATA'!E102="719.1(2)(e)", 'CASE DATA'!E102="719.1(2)(f)", 'CASE DATA'!E102="719.1(2)(g)", 'CASE DATA'!E102="719.4(1)", 'CASE DATA'!E102="719.4(4)", 'CASE DATA'!E102="719.5(1)", 'CASE DATA'!E102="719.5(2)", 'CASE DATA'!E102="719.6(1)", 'CASE DATA'!E102="719.6(2)", 'CASE DATA'!E102="719.7(4)(a)", 'CASE DATA'!E102="719.7(4)(b)", 'CASE DATA'!E102="719.7A(3)", 'CASE DATA'!E102="719.9", 'CASE DATA'!E102="719.8", 'CASE DATA'!E102="720.2", 'CASE DATA'!E102="720.3", 'CASE DATA'!E102="721.1", 'CASE DATA'!E102="722.1", 'CASE DATA'!E102="", 'CASE DATA'!E102="722.2", 'CASE DATA'!E102="722.10", 'CASE DATA'!E102="723(5)(3)(c)", 'CASE DATA'!E102="723A.2", 'CASE DATA'!E102="723A.3(1)", 'CASE DATA'!E102="723A.3(2)", 'CASE DATA'!E102="724.1B", 'CASE DATA'!E102="724.1C", 'CASE DATA'!E102="724.3", 'CASE DATA'!E102="724.4B", 'CASE DATA'!E102="724.10", 'CASE DATA'!E102="724.16(2)", 'CASE DATA'!E102="724.16A(1)(a)", 'CASE DATA'!E102="724.16A(1)(b)", 'CASE DATA'!E102="724.17", 'CASE DATA'!E102="724.21", 'CASE DATA'!E102="724.26(1)", 'CASE DATA'!E102="922(g)(8)", 'CASE DATA'!E102="724.29A(2)", 'CASE DATA'!E102="724.29A(3)", 'CASE DATA'!E102="724.30(1)", 'CASE DATA'!E102="724.30(2)", 'CASE DATA'!E102="725.1(2)(b)", 'CASE DATA'!E102="725.2(1)", 'CASE DATA'!E102="725.2(2)", 'CASE DATA'!E102="725.3(2)", 'CASE DATA'!E102="725.3(1)", 'CASE DATA'!E102="725.7(2)(a)(3)", 'CASE DATA'!E102="725.7(2)(a)(4)", 'CASE DATA'!E102="725.7(2)(b)(2)", 'CASE DATA'!E102="725.7(2)(b(3)", 'CASE DATA'!E102="726.7(2)(c)(1)", 'CASE DATA'!E102="726.7(2)(c)(2)", 'CASE DATA'!E102="725.7(2)(d)", 'CASE DATA'!E102="726.2", 'CASE DATA'!E102="726.3", 'CASE DATA'!E102="726.5", 'CASE DATA'!E102="726.6(4)", 'CASE DATA'!E102="726.6(5)", 'CASE DATA'!E102="726.6(6)", 'CASE DATA'!E102="726.6A", 'CASE DATA'!E102="726.7(2)", 'CASE DATA'!E102="726.8(2)", 'CASE DATA'!E102="728.12(1)", 'CASE DATA'!E102="728.12(2)"),"felony","eligible"),"N/A")</f>
        <v>N/A</v>
      </c>
      <c r="M101" s="185" t="str">
        <f>IF(L101="eligible",IF(OR('CASE DATA'!E102="123.46",'CASE DATA'!E102="123.47",'CASE DATA'!E102="235B.20",'CASE DATA'!E102="321.218",'CASE DATA'!E102="321A.32",'CASE DATA'!E102="321J.21",'CASE DATA'!E102="321J.2",'CASE DATA'!E102="707.5",'CASE DATA'!E102="708.2(3)",'CASE DATA'!E102="708.2A",'CASE DATA'!E102="708.7",'CASE DATA'!E102="708.11",'CASE DATA'!E102="708.12",'CASE DATA'!E102="716.8(3)",'CASE DATA'!E102="716.8(4)", LEFT('CASE DATA'!E102,4)="717C", LEFT('CASE DATA'!E102, 3)="719", LEFT('CASE DATA'!E102,3)="720", 'CASE DATA'!E102="721.2", 'CASE DATA'!E102="721.10", 'CASE DATA'!E102="723.1", LEFT('CASE DATA'!E102,3)="724", LEFT('CASE DATA'!E102,3)="726", LEFT('CASE DATA'!E102,3)="728", LEFT('CASE DATA'!E102,4)="901A"),"ineligible misd", "eligible"),"N/A")</f>
        <v>N/A</v>
      </c>
      <c r="N101" s="185" t="str">
        <f>IF(L101="eligible",IF(COUNTIF('CASE DATA'!$C$4:$C$200, "")-COUNTIF('CASE DATA'!$A$4:$A$200, "")&gt;0, "YES","NO"),"N/A")</f>
        <v>N/A</v>
      </c>
      <c r="O101" s="185" t="str">
        <f xml:space="preserve"> IF(M101="eligible",'CASE DATA'!K102,"N/A")</f>
        <v>N/A</v>
      </c>
      <c r="P101" s="185" t="str">
        <f xml:space="preserve"> IF(M101="eligible",'CASE DATA'!I102+'CASE DATA'!J102+'CASE DATA'!L102+'CASE DATA'!M102+'CASE DATA'!N102+'CASE DATA'!O102+'CASE DATA'!M102+'CASE DATA'!Q102+'CASE DATA'!R102,"N/A")</f>
        <v>N/A</v>
      </c>
      <c r="Q101" s="11" t="str">
        <f>IF(M101="eligible",IF(C101+730.5&lt;'BASIC INFO'!$B$3, "YES", "NO"),"N/A")</f>
        <v>N/A</v>
      </c>
      <c r="R101" s="186" t="str">
        <f xml:space="preserve"> IF(OR('CASE DATA'!F102="DEF"), "YES", "NO")</f>
        <v>NO</v>
      </c>
      <c r="S101" s="162" t="str">
        <f>IF(R101="YES",'CASE DATA'!H102,"N/A")</f>
        <v>N/A</v>
      </c>
      <c r="T101" s="185" t="str">
        <f xml:space="preserve"> IF(R101="YES",'CASE DATA'!K102,"N/A")</f>
        <v>N/A</v>
      </c>
      <c r="U101" s="185" t="str">
        <f>IF(R101="YES",'CASE DATA'!I102+'CASE DATA'!J102+'CASE DATA'!L102+'CASE DATA'!M102+'CASE DATA'!N102+'CASE DATA'!O102+'CASE DATA'!P102+'CASE DATA'!Q102+'CASE DATA'!R102,"N/A")</f>
        <v>N/A</v>
      </c>
      <c r="V101" s="189" t="str">
        <f>IF(OR('CASE DATA'!E102="123.46",'CASE DATA'!E102="123.47"),"YES","NO")</f>
        <v>NO</v>
      </c>
      <c r="W101" s="189"/>
      <c r="X101" s="185" t="str">
        <f>IF(V101="YES",IF(C101+730.5&lt;'BASIC INFO'!$B$3, "YES","NO"), "N/A")</f>
        <v>N/A</v>
      </c>
      <c r="Y101" s="189" t="str">
        <f t="shared" ref="Y101:Y164" si="2">V101</f>
        <v>NO</v>
      </c>
      <c r="Z101" s="187" t="str">
        <f xml:space="preserve"> IF('BASIC INFO'!$B$6+6574.5&gt;C101, "YES", "NO")</f>
        <v>YES</v>
      </c>
    </row>
    <row r="102" spans="1:26" x14ac:dyDescent="0.25">
      <c r="A102" s="162">
        <f xml:space="preserve"> 'CASE DATA'!A103</f>
        <v>0</v>
      </c>
      <c r="B102" s="162">
        <f xml:space="preserve"> 'CASE DATA'!E103</f>
        <v>0</v>
      </c>
      <c r="C102" s="163">
        <f xml:space="preserve"> 'CASE DATA'!C103</f>
        <v>0</v>
      </c>
      <c r="D102" s="11" t="str">
        <f xml:space="preserve"> IF(OR('CASE DATA'!F103="JUV", 'CASE DATA'!F103="JWV"), "YES", "NO")</f>
        <v>NO</v>
      </c>
      <c r="E102" s="11"/>
      <c r="F102" s="11" t="str">
        <f>IF(D102="YES",IF(COUNTIF('CASE DATA'!$C$4:$C$200, "")-COUNTIF('CASE DATA'!$A$4:$A$200, "")&gt;0, "YES","NO"),"N/A")</f>
        <v>N/A</v>
      </c>
      <c r="G102" s="164" t="str">
        <f xml:space="preserve"> _xlfn.IFS(D102="NO", "N/A", AND('BASIC INFO'!$B$3&gt;'BASIC INFO'!$B$6+6574.5, C102+730.5&lt;'BASIC INFO'!$B$3), "YES", 'BASIC INFO'!$B$3&lt;('BASIC INFO'!$B$6+6574.5), "NOT YET 18", C102+730.5&gt;'BASIC INFO'!$B$3, "NOT YET 2 YEARS")</f>
        <v>N/A</v>
      </c>
      <c r="H102" s="186" t="str">
        <f xml:space="preserve"> IF(LEFT('CASE DATA'!E103,4)&lt;&gt;"321.",IF(OR('CASE DATA'!F103="DISM", 'CASE DATA'!F103="ACQ", 'CASE DATA'!F103="NOTF", 'CASE DATA'!F103="WTHD", 'CASE DATA'!F103="TNSF"), "YES", "NO"), "TRAFFIC")</f>
        <v>NO</v>
      </c>
      <c r="I102" s="185" t="str">
        <f xml:space="preserve"> IF(H102="YES",'CASE DATA'!K103,"N/A")</f>
        <v>N/A</v>
      </c>
      <c r="J102" s="185" t="str">
        <f>IF(H102="YES",'CASE DATA'!I103+'CASE DATA'!J103+'CASE DATA'!L103+'CASE DATA'!M103+'CASE DATA'!N103+'CASE DATA'!O103+'CASE DATA'!P103+'CASE DATA'!Q103+'CASE DATA'!R103,"N/A")</f>
        <v>N/A</v>
      </c>
      <c r="K102" s="162" t="str">
        <f xml:space="preserve"> IF(H102="YES",IF(C102+180&lt;'BASIC INFO'!$B$3, "YES", "NO"),"N/A")</f>
        <v>N/A</v>
      </c>
      <c r="L102" s="185" t="str">
        <f>IF(OR('CASE DATA'!F103="GTR", 'CASE DATA'!F103="GPL"),IF(OR('CASE DATA'!E103="81.6(2)", 'CASE DATA'!E103="99F.15(6)(b)(1)", 'CASE DATA'!E103= "124.401(1)(a)", 'CASE DATA'!E103= "124.401(1)(b)", 'CASE DATA'!E103= "124.401(1)(c)", 'CASE DATA'!E103= "124.401(1)(d)", 'CASE DATA'!E103="124.401(4)", 'CASE DATA'!E103="124.401(1)(b)", 'CASE DATA'!E103="124.401(1)(c)", 'CASE DATA'!E103="124.401D(2)(b)", 'CASE DATA'!E103="124.401D(2)(c)", 'CASE DATA'!E103="124.406(1)(a)", 'CASE DATA'!E103="124.406(1)(b) ", 'CASE DATA'!E103="124.406(2)(a)", 'CASE DATA'!E103="124.406(2)(b) ", 'CASE DATA'!E103="124.406(3)", 'CASE DATA'!E103="124.406A ", 'CASE DATA'!E103="124.407(2)(a)", 'CASE DATA'!E103="124B.9(1)", 'CASE DATA'!E103="124B.9(2)", 'CASE DATA'!E103="321J.2(2)(c)", 'CASE DATA'!E103="453B.12(2)", 'CASE DATA'!E103="453B.12(3)", 'CASE DATA'!E103="453B.12(4)", 'CASE DATA'!E103="462A.14(2)(c)", 'CASE DATA'!E103="462A.14(2)(d)", 'CASE DATA'!E103="462A.14(2)(e)", 'CASE DATA'!E103="705.1(2)", 'CASE DATA'!E103="706.3(1)", 'CASE DATA'!E103="706.3(2)", 'CASE DATA'!E103="706A.2(1)", 'CASE DATA'!E103="706A.2(2)", 'CASE DATA'!E103="706A.2(4)", 'CASE DATA'!E103="706B.2(1)(a)", 'CASE DATA'!E103="706B.2(1)(b)", 'CASE DATA'!E103="706B.2(1)(c)", 'CASE DATA'!E103="706B.2(1)(d)", 'CASE DATA'!E103="707.2", 'CASE DATA'!E103="707.3", 'CASE DATA'!E103="707.3A", 'CASE DATA'!E103="707.4", 'CASE DATA'!E103="707.5(1)(a)", 'CASE DATA'!E103="707.6A(1)", 'CASE DATA'!E103="707.6A(2)", 'CASE DATA'!E103="707.6A(3)", 'CASE DATA'!E103="707.6A(4)", 'CASE DATA'!E103="707.7(1)", 'CASE DATA'!E103="707.7(3)", 'CASE DATA'!E103="707.7(2)", 'CASE DATA'!E103="707.8(1)", 'CASE DATA'!E103="707.8(2)", 'CASE DATA'!E103="707.8(3)", 'CASE DATA'!E103="707.8(4)", 'CASE DATA'!E103="707.8(5)", 'CASE DATA'!E103="707.8(6)", 'CASE DATA'!E103="707.9", 'CASE DATA'!E103="707.11", 'CASE DATA'!E103="707A.2", 'CASE DATA'!E103="708.2(4)", 'CASE DATA'!E103="708.2(5)", 'CASE DATA'!E103="708.2A(4)", 'CASE DATA'!E103="708.2A(5)", 'CASE DATA'!E103="708.2C(2)", 'CASE DATA'!E103="708.2C(4)", 'CASE DATA'!E103="708.3(1)", 'CASE DATA'!E103="708.3(2)", 'CASE DATA'!E103="708.3A(1)", 'CASE DATA'!E103="708.3A(2)", 'CASE DATA'!E103="708.3B", 'CASE DATA'!E103="708.4(1)", 'CASE DATA'!E103="708.4(2)", 'CASE DATA'!E103="708.5", 'CASE DATA'!E103="708.8", 'CASE DATA'!E103="708.11(3)(a)", 'CASE DATA'!E103="708.11(3)(b)", 'CASE DATA'!E103="708.12(3)(f)", 'CASE DATA'!E103="708.13(3)", 'CASE DATA'!E103="708.14", 'CASE DATA'!E103="708A.2", 'CASE DATA'!E103="708A.4(1)", 'CASE DATA'!E103="708A.4(2)", 'CASE DATA'!E103="708A.5", 'CASE DATA'!E103="708A.6(1)", 'CASE DATA'!E103="708.A.6(2)", 'CASE DATA'!E103="709.2", 'CASE DATA'!E103="709.3", 'CASE DATA'!E103="709.4", 'CASE DATA'!E103="709.8(1)(a)", 'CASE DATA'!E103="709.8(1)(b)", 'CASE DATA'!E103="709.8(1)(c)", 'CASE DATA'!E103="709.8(1)(d)", 'CASE DATA'!E103="709.8(1)(e)", 'CASE DATA'!E103="709.11(1)", 'CASE DATA'!E103="709.11(2)", 'CASE DATA'!E103="709.15(2)(a)(1)", 'CASE DATA'!E103="709.15(3)(a)(1)", 'CASE DATA'!E103="709.18", 'CASE DATA'!E103="709A.6(2)", 'CASE DATA'!E103="709D.3(1)", 'CASE DATA'!E103="709D.3(2)", 'CASE DATA'!E103="709.D.3(3)", 'CASE DATA'!E103="710.2", 'CASE DATA'!E103="710.3", 'CASE DATA'!E103="710.4", 'CASE DATA'!E103="710.5", 'CASE DATA'!E103="710.10(1)", 'CASE DATA'!E103="710.10(2)", 'CASE DATA'!E103="710.10(3)", 'CASE DATA'!E103="710.11", 'CASE DATA'!E103="710A.2(1)", 'CASE DATA'!E103="710A.2(2)", 'CASE DATA'!E103="710A.2(3)", 'CASE DATA'!E103="710A.2(4)", 'CASE DATA'!E103="710A.2(5)", 'CASE DATA'!E103="710A.2(6)", 'CASE DATA'!E103="710A.2(7)", 'CASE DATA'!E103="710A.2A", 'CASE DATA'!E103="711.2", 'CASE DATA'!E103="711.3", 'CASE DATA'!E103="711.4", 'CASE DATA'!E103="712.2", 'CASE DATA'!E103="712.3", 'CASE DATA'!E103="712.6(1)", 'CASE DATA'!E103="712.7", 'CASE DATA'!E103="712.8", 'CASE DATA'!E103="", 'CASE DATA'!E103="713.3", 'CASE DATA'!E103="713.4", 'CASE DATA'!E103="713.5", 'CASE DATA'!E103="713.6", 'CASE DATA'!E103="713.6A(1)", 'CASE DATA'!E103="714.2(1)", 'CASE DATA'!E103="714.2(2)", 'CASE DATA'!E103="714.3A(2)(b)", 'CASE DATA'!E103="714.9", 'CASE DATA'!E103="714.10", 'CASE DATA'!E103="714.26(2)(a)", 'CASE DATA'!E103="714.26(2)(b)", 'CASE DATA'!E103="715A.2(2)(a)", 'CASE DATA'!E103="715A.6(2)(a)", 'CASE DATA'!E103="715A.6(2)(b)", 'CASE DATA'!E103="715A.8(3)(a)", 'CASE DATA'!E103="715A.8(3)(b)", 'CASE DATA'!E103="715A.10(1)", 'CASE DATA'!E103="715A.10(2)", 'CASE DATA'!E103="716.3", 'CASE DATA'!E103="716.4", 'CASE DATA'!E103="716.8(6)", 'CASE DATA'!E103="716.10(2)(a)", 'CASE DATA'!E103="716.10(2)(b)", 'CASE DATA'!E103="716.10(2)(c)", 'CASE DATA'!E103="716.10(2)(d)", 'CASE DATA'!E103="716.12", 'CASE DATA'!E103="719.1(1)(f)", 'CASE DATA'!E103="719.1(2)(e)", 'CASE DATA'!E103="719.1(2)(f)", 'CASE DATA'!E103="719.1(2)(g)", 'CASE DATA'!E103="719.4(1)", 'CASE DATA'!E103="719.4(4)", 'CASE DATA'!E103="719.5(1)", 'CASE DATA'!E103="719.5(2)", 'CASE DATA'!E103="719.6(1)", 'CASE DATA'!E103="719.6(2)", 'CASE DATA'!E103="719.7(4)(a)", 'CASE DATA'!E103="719.7(4)(b)", 'CASE DATA'!E103="719.7A(3)", 'CASE DATA'!E103="719.9", 'CASE DATA'!E103="719.8", 'CASE DATA'!E103="720.2", 'CASE DATA'!E103="720.3", 'CASE DATA'!E103="721.1", 'CASE DATA'!E103="722.1", 'CASE DATA'!E103="", 'CASE DATA'!E103="722.2", 'CASE DATA'!E103="722.10", 'CASE DATA'!E103="723(5)(3)(c)", 'CASE DATA'!E103="723A.2", 'CASE DATA'!E103="723A.3(1)", 'CASE DATA'!E103="723A.3(2)", 'CASE DATA'!E103="724.1B", 'CASE DATA'!E103="724.1C", 'CASE DATA'!E103="724.3", 'CASE DATA'!E103="724.4B", 'CASE DATA'!E103="724.10", 'CASE DATA'!E103="724.16(2)", 'CASE DATA'!E103="724.16A(1)(a)", 'CASE DATA'!E103="724.16A(1)(b)", 'CASE DATA'!E103="724.17", 'CASE DATA'!E103="724.21", 'CASE DATA'!E103="724.26(1)", 'CASE DATA'!E103="922(g)(8)", 'CASE DATA'!E103="724.29A(2)", 'CASE DATA'!E103="724.29A(3)", 'CASE DATA'!E103="724.30(1)", 'CASE DATA'!E103="724.30(2)", 'CASE DATA'!E103="725.1(2)(b)", 'CASE DATA'!E103="725.2(1)", 'CASE DATA'!E103="725.2(2)", 'CASE DATA'!E103="725.3(2)", 'CASE DATA'!E103="725.3(1)", 'CASE DATA'!E103="725.7(2)(a)(3)", 'CASE DATA'!E103="725.7(2)(a)(4)", 'CASE DATA'!E103="725.7(2)(b)(2)", 'CASE DATA'!E103="725.7(2)(b(3)", 'CASE DATA'!E103="726.7(2)(c)(1)", 'CASE DATA'!E103="726.7(2)(c)(2)", 'CASE DATA'!E103="725.7(2)(d)", 'CASE DATA'!E103="726.2", 'CASE DATA'!E103="726.3", 'CASE DATA'!E103="726.5", 'CASE DATA'!E103="726.6(4)", 'CASE DATA'!E103="726.6(5)", 'CASE DATA'!E103="726.6(6)", 'CASE DATA'!E103="726.6A", 'CASE DATA'!E103="726.7(2)", 'CASE DATA'!E103="726.8(2)", 'CASE DATA'!E103="728.12(1)", 'CASE DATA'!E103="728.12(2)"),"felony","eligible"),"N/A")</f>
        <v>N/A</v>
      </c>
      <c r="M102" s="185" t="str">
        <f>IF(L102="eligible",IF(OR('CASE DATA'!E103="123.46",'CASE DATA'!E103="123.47",'CASE DATA'!E103="235B.20",'CASE DATA'!E103="321.218",'CASE DATA'!E103="321A.32",'CASE DATA'!E103="321J.21",'CASE DATA'!E103="321J.2",'CASE DATA'!E103="707.5",'CASE DATA'!E103="708.2(3)",'CASE DATA'!E103="708.2A",'CASE DATA'!E103="708.7",'CASE DATA'!E103="708.11",'CASE DATA'!E103="708.12",'CASE DATA'!E103="716.8(3)",'CASE DATA'!E103="716.8(4)", LEFT('CASE DATA'!E103,4)="717C", LEFT('CASE DATA'!E103, 3)="719", LEFT('CASE DATA'!E103,3)="720", 'CASE DATA'!E103="721.2", 'CASE DATA'!E103="721.10", 'CASE DATA'!E103="723.1", LEFT('CASE DATA'!E103,3)="724", LEFT('CASE DATA'!E103,3)="726", LEFT('CASE DATA'!E103,3)="728", LEFT('CASE DATA'!E103,4)="901A"),"ineligible misd", "eligible"),"N/A")</f>
        <v>N/A</v>
      </c>
      <c r="N102" s="185" t="str">
        <f>IF(L102="eligible",IF(COUNTIF('CASE DATA'!$C$4:$C$200, "")-COUNTIF('CASE DATA'!$A$4:$A$200, "")&gt;0, "YES","NO"),"N/A")</f>
        <v>N/A</v>
      </c>
      <c r="O102" s="185" t="str">
        <f xml:space="preserve"> IF(M102="eligible",'CASE DATA'!K103,"N/A")</f>
        <v>N/A</v>
      </c>
      <c r="P102" s="185" t="str">
        <f xml:space="preserve"> IF(M102="eligible",'CASE DATA'!I103+'CASE DATA'!J103+'CASE DATA'!L103+'CASE DATA'!M103+'CASE DATA'!N103+'CASE DATA'!O103+'CASE DATA'!M103+'CASE DATA'!Q103+'CASE DATA'!R103,"N/A")</f>
        <v>N/A</v>
      </c>
      <c r="Q102" s="11" t="str">
        <f>IF(M102="eligible",IF(C102+730.5&lt;'BASIC INFO'!$B$3, "YES", "NO"),"N/A")</f>
        <v>N/A</v>
      </c>
      <c r="R102" s="186" t="str">
        <f xml:space="preserve"> IF(OR('CASE DATA'!F103="DEF"), "YES", "NO")</f>
        <v>NO</v>
      </c>
      <c r="S102" s="162" t="str">
        <f>IF(R102="YES",'CASE DATA'!H103,"N/A")</f>
        <v>N/A</v>
      </c>
      <c r="T102" s="185" t="str">
        <f xml:space="preserve"> IF(R102="YES",'CASE DATA'!K103,"N/A")</f>
        <v>N/A</v>
      </c>
      <c r="U102" s="185" t="str">
        <f>IF(R102="YES",'CASE DATA'!I103+'CASE DATA'!J103+'CASE DATA'!L103+'CASE DATA'!M103+'CASE DATA'!N103+'CASE DATA'!O103+'CASE DATA'!P103+'CASE DATA'!Q103+'CASE DATA'!R103,"N/A")</f>
        <v>N/A</v>
      </c>
      <c r="V102" s="189" t="str">
        <f>IF(OR('CASE DATA'!E103="123.46",'CASE DATA'!E103="123.47"),"YES","NO")</f>
        <v>NO</v>
      </c>
      <c r="W102" s="189"/>
      <c r="X102" s="185" t="str">
        <f>IF(V102="YES",IF(C102+730.5&lt;'BASIC INFO'!$B$3, "YES","NO"), "N/A")</f>
        <v>N/A</v>
      </c>
      <c r="Y102" s="189" t="str">
        <f t="shared" si="2"/>
        <v>NO</v>
      </c>
      <c r="Z102" s="187" t="str">
        <f xml:space="preserve"> IF('BASIC INFO'!$B$6+6574.5&gt;C102, "YES", "NO")</f>
        <v>YES</v>
      </c>
    </row>
    <row r="103" spans="1:26" x14ac:dyDescent="0.25">
      <c r="A103" s="162">
        <f xml:space="preserve"> 'CASE DATA'!A104</f>
        <v>0</v>
      </c>
      <c r="B103" s="162">
        <f xml:space="preserve"> 'CASE DATA'!E104</f>
        <v>0</v>
      </c>
      <c r="C103" s="163">
        <f xml:space="preserve"> 'CASE DATA'!C104</f>
        <v>0</v>
      </c>
      <c r="D103" s="11" t="str">
        <f xml:space="preserve"> IF(OR('CASE DATA'!F104="JUV", 'CASE DATA'!F104="JWV"), "YES", "NO")</f>
        <v>NO</v>
      </c>
      <c r="E103" s="11"/>
      <c r="F103" s="11" t="str">
        <f>IF(D103="YES",IF(COUNTIF('CASE DATA'!$C$4:$C$200, "")-COUNTIF('CASE DATA'!$A$4:$A$200, "")&gt;0, "YES","NO"),"N/A")</f>
        <v>N/A</v>
      </c>
      <c r="G103" s="164" t="str">
        <f xml:space="preserve"> _xlfn.IFS(D103="NO", "N/A", AND('BASIC INFO'!$B$3&gt;'BASIC INFO'!$B$6+6574.5, C103+730.5&lt;'BASIC INFO'!$B$3), "YES", 'BASIC INFO'!$B$3&lt;('BASIC INFO'!$B$6+6574.5), "NOT YET 18", C103+730.5&gt;'BASIC INFO'!$B$3, "NOT YET 2 YEARS")</f>
        <v>N/A</v>
      </c>
      <c r="H103" s="186" t="str">
        <f xml:space="preserve"> IF(LEFT('CASE DATA'!E104,4)&lt;&gt;"321.",IF(OR('CASE DATA'!F104="DISM", 'CASE DATA'!F104="ACQ", 'CASE DATA'!F104="NOTF", 'CASE DATA'!F104="WTHD", 'CASE DATA'!F104="TNSF"), "YES", "NO"), "TRAFFIC")</f>
        <v>NO</v>
      </c>
      <c r="I103" s="185" t="str">
        <f xml:space="preserve"> IF(H103="YES",'CASE DATA'!K104,"N/A")</f>
        <v>N/A</v>
      </c>
      <c r="J103" s="185" t="str">
        <f>IF(H103="YES",'CASE DATA'!I104+'CASE DATA'!J104+'CASE DATA'!L104+'CASE DATA'!M104+'CASE DATA'!N104+'CASE DATA'!O104+'CASE DATA'!P104+'CASE DATA'!Q104+'CASE DATA'!R104,"N/A")</f>
        <v>N/A</v>
      </c>
      <c r="K103" s="162" t="str">
        <f xml:space="preserve"> IF(H103="YES",IF(C103+180&lt;'BASIC INFO'!$B$3, "YES", "NO"),"N/A")</f>
        <v>N/A</v>
      </c>
      <c r="L103" s="185" t="str">
        <f>IF(OR('CASE DATA'!F104="GTR", 'CASE DATA'!F104="GPL"),IF(OR('CASE DATA'!E104="81.6(2)", 'CASE DATA'!E104="99F.15(6)(b)(1)", 'CASE DATA'!E104= "124.401(1)(a)", 'CASE DATA'!E104= "124.401(1)(b)", 'CASE DATA'!E104= "124.401(1)(c)", 'CASE DATA'!E104= "124.401(1)(d)", 'CASE DATA'!E104="124.401(4)", 'CASE DATA'!E104="124.401(1)(b)", 'CASE DATA'!E104="124.401(1)(c)", 'CASE DATA'!E104="124.401D(2)(b)", 'CASE DATA'!E104="124.401D(2)(c)", 'CASE DATA'!E104="124.406(1)(a)", 'CASE DATA'!E104="124.406(1)(b) ", 'CASE DATA'!E104="124.406(2)(a)", 'CASE DATA'!E104="124.406(2)(b) ", 'CASE DATA'!E104="124.406(3)", 'CASE DATA'!E104="124.406A ", 'CASE DATA'!E104="124.407(2)(a)", 'CASE DATA'!E104="124B.9(1)", 'CASE DATA'!E104="124B.9(2)", 'CASE DATA'!E104="321J.2(2)(c)", 'CASE DATA'!E104="453B.12(2)", 'CASE DATA'!E104="453B.12(3)", 'CASE DATA'!E104="453B.12(4)", 'CASE DATA'!E104="462A.14(2)(c)", 'CASE DATA'!E104="462A.14(2)(d)", 'CASE DATA'!E104="462A.14(2)(e)", 'CASE DATA'!E104="705.1(2)", 'CASE DATA'!E104="706.3(1)", 'CASE DATA'!E104="706.3(2)", 'CASE DATA'!E104="706A.2(1)", 'CASE DATA'!E104="706A.2(2)", 'CASE DATA'!E104="706A.2(4)", 'CASE DATA'!E104="706B.2(1)(a)", 'CASE DATA'!E104="706B.2(1)(b)", 'CASE DATA'!E104="706B.2(1)(c)", 'CASE DATA'!E104="706B.2(1)(d)", 'CASE DATA'!E104="707.2", 'CASE DATA'!E104="707.3", 'CASE DATA'!E104="707.3A", 'CASE DATA'!E104="707.4", 'CASE DATA'!E104="707.5(1)(a)", 'CASE DATA'!E104="707.6A(1)", 'CASE DATA'!E104="707.6A(2)", 'CASE DATA'!E104="707.6A(3)", 'CASE DATA'!E104="707.6A(4)", 'CASE DATA'!E104="707.7(1)", 'CASE DATA'!E104="707.7(3)", 'CASE DATA'!E104="707.7(2)", 'CASE DATA'!E104="707.8(1)", 'CASE DATA'!E104="707.8(2)", 'CASE DATA'!E104="707.8(3)", 'CASE DATA'!E104="707.8(4)", 'CASE DATA'!E104="707.8(5)", 'CASE DATA'!E104="707.8(6)", 'CASE DATA'!E104="707.9", 'CASE DATA'!E104="707.11", 'CASE DATA'!E104="707A.2", 'CASE DATA'!E104="708.2(4)", 'CASE DATA'!E104="708.2(5)", 'CASE DATA'!E104="708.2A(4)", 'CASE DATA'!E104="708.2A(5)", 'CASE DATA'!E104="708.2C(2)", 'CASE DATA'!E104="708.2C(4)", 'CASE DATA'!E104="708.3(1)", 'CASE DATA'!E104="708.3(2)", 'CASE DATA'!E104="708.3A(1)", 'CASE DATA'!E104="708.3A(2)", 'CASE DATA'!E104="708.3B", 'CASE DATA'!E104="708.4(1)", 'CASE DATA'!E104="708.4(2)", 'CASE DATA'!E104="708.5", 'CASE DATA'!E104="708.8", 'CASE DATA'!E104="708.11(3)(a)", 'CASE DATA'!E104="708.11(3)(b)", 'CASE DATA'!E104="708.12(3)(f)", 'CASE DATA'!E104="708.13(3)", 'CASE DATA'!E104="708.14", 'CASE DATA'!E104="708A.2", 'CASE DATA'!E104="708A.4(1)", 'CASE DATA'!E104="708A.4(2)", 'CASE DATA'!E104="708A.5", 'CASE DATA'!E104="708A.6(1)", 'CASE DATA'!E104="708.A.6(2)", 'CASE DATA'!E104="709.2", 'CASE DATA'!E104="709.3", 'CASE DATA'!E104="709.4", 'CASE DATA'!E104="709.8(1)(a)", 'CASE DATA'!E104="709.8(1)(b)", 'CASE DATA'!E104="709.8(1)(c)", 'CASE DATA'!E104="709.8(1)(d)", 'CASE DATA'!E104="709.8(1)(e)", 'CASE DATA'!E104="709.11(1)", 'CASE DATA'!E104="709.11(2)", 'CASE DATA'!E104="709.15(2)(a)(1)", 'CASE DATA'!E104="709.15(3)(a)(1)", 'CASE DATA'!E104="709.18", 'CASE DATA'!E104="709A.6(2)", 'CASE DATA'!E104="709D.3(1)", 'CASE DATA'!E104="709D.3(2)", 'CASE DATA'!E104="709.D.3(3)", 'CASE DATA'!E104="710.2", 'CASE DATA'!E104="710.3", 'CASE DATA'!E104="710.4", 'CASE DATA'!E104="710.5", 'CASE DATA'!E104="710.10(1)", 'CASE DATA'!E104="710.10(2)", 'CASE DATA'!E104="710.10(3)", 'CASE DATA'!E104="710.11", 'CASE DATA'!E104="710A.2(1)", 'CASE DATA'!E104="710A.2(2)", 'CASE DATA'!E104="710A.2(3)", 'CASE DATA'!E104="710A.2(4)", 'CASE DATA'!E104="710A.2(5)", 'CASE DATA'!E104="710A.2(6)", 'CASE DATA'!E104="710A.2(7)", 'CASE DATA'!E104="710A.2A", 'CASE DATA'!E104="711.2", 'CASE DATA'!E104="711.3", 'CASE DATA'!E104="711.4", 'CASE DATA'!E104="712.2", 'CASE DATA'!E104="712.3", 'CASE DATA'!E104="712.6(1)", 'CASE DATA'!E104="712.7", 'CASE DATA'!E104="712.8", 'CASE DATA'!E104="", 'CASE DATA'!E104="713.3", 'CASE DATA'!E104="713.4", 'CASE DATA'!E104="713.5", 'CASE DATA'!E104="713.6", 'CASE DATA'!E104="713.6A(1)", 'CASE DATA'!E104="714.2(1)", 'CASE DATA'!E104="714.2(2)", 'CASE DATA'!E104="714.3A(2)(b)", 'CASE DATA'!E104="714.9", 'CASE DATA'!E104="714.10", 'CASE DATA'!E104="714.26(2)(a)", 'CASE DATA'!E104="714.26(2)(b)", 'CASE DATA'!E104="715A.2(2)(a)", 'CASE DATA'!E104="715A.6(2)(a)", 'CASE DATA'!E104="715A.6(2)(b)", 'CASE DATA'!E104="715A.8(3)(a)", 'CASE DATA'!E104="715A.8(3)(b)", 'CASE DATA'!E104="715A.10(1)", 'CASE DATA'!E104="715A.10(2)", 'CASE DATA'!E104="716.3", 'CASE DATA'!E104="716.4", 'CASE DATA'!E104="716.8(6)", 'CASE DATA'!E104="716.10(2)(a)", 'CASE DATA'!E104="716.10(2)(b)", 'CASE DATA'!E104="716.10(2)(c)", 'CASE DATA'!E104="716.10(2)(d)", 'CASE DATA'!E104="716.12", 'CASE DATA'!E104="719.1(1)(f)", 'CASE DATA'!E104="719.1(2)(e)", 'CASE DATA'!E104="719.1(2)(f)", 'CASE DATA'!E104="719.1(2)(g)", 'CASE DATA'!E104="719.4(1)", 'CASE DATA'!E104="719.4(4)", 'CASE DATA'!E104="719.5(1)", 'CASE DATA'!E104="719.5(2)", 'CASE DATA'!E104="719.6(1)", 'CASE DATA'!E104="719.6(2)", 'CASE DATA'!E104="719.7(4)(a)", 'CASE DATA'!E104="719.7(4)(b)", 'CASE DATA'!E104="719.7A(3)", 'CASE DATA'!E104="719.9", 'CASE DATA'!E104="719.8", 'CASE DATA'!E104="720.2", 'CASE DATA'!E104="720.3", 'CASE DATA'!E104="721.1", 'CASE DATA'!E104="722.1", 'CASE DATA'!E104="", 'CASE DATA'!E104="722.2", 'CASE DATA'!E104="722.10", 'CASE DATA'!E104="723(5)(3)(c)", 'CASE DATA'!E104="723A.2", 'CASE DATA'!E104="723A.3(1)", 'CASE DATA'!E104="723A.3(2)", 'CASE DATA'!E104="724.1B", 'CASE DATA'!E104="724.1C", 'CASE DATA'!E104="724.3", 'CASE DATA'!E104="724.4B", 'CASE DATA'!E104="724.10", 'CASE DATA'!E104="724.16(2)", 'CASE DATA'!E104="724.16A(1)(a)", 'CASE DATA'!E104="724.16A(1)(b)", 'CASE DATA'!E104="724.17", 'CASE DATA'!E104="724.21", 'CASE DATA'!E104="724.26(1)", 'CASE DATA'!E104="922(g)(8)", 'CASE DATA'!E104="724.29A(2)", 'CASE DATA'!E104="724.29A(3)", 'CASE DATA'!E104="724.30(1)", 'CASE DATA'!E104="724.30(2)", 'CASE DATA'!E104="725.1(2)(b)", 'CASE DATA'!E104="725.2(1)", 'CASE DATA'!E104="725.2(2)", 'CASE DATA'!E104="725.3(2)", 'CASE DATA'!E104="725.3(1)", 'CASE DATA'!E104="725.7(2)(a)(3)", 'CASE DATA'!E104="725.7(2)(a)(4)", 'CASE DATA'!E104="725.7(2)(b)(2)", 'CASE DATA'!E104="725.7(2)(b(3)", 'CASE DATA'!E104="726.7(2)(c)(1)", 'CASE DATA'!E104="726.7(2)(c)(2)", 'CASE DATA'!E104="725.7(2)(d)", 'CASE DATA'!E104="726.2", 'CASE DATA'!E104="726.3", 'CASE DATA'!E104="726.5", 'CASE DATA'!E104="726.6(4)", 'CASE DATA'!E104="726.6(5)", 'CASE DATA'!E104="726.6(6)", 'CASE DATA'!E104="726.6A", 'CASE DATA'!E104="726.7(2)", 'CASE DATA'!E104="726.8(2)", 'CASE DATA'!E104="728.12(1)", 'CASE DATA'!E104="728.12(2)"),"felony","eligible"),"N/A")</f>
        <v>N/A</v>
      </c>
      <c r="M103" s="185" t="str">
        <f>IF(L103="eligible",IF(OR('CASE DATA'!E104="123.46",'CASE DATA'!E104="123.47",'CASE DATA'!E104="235B.20",'CASE DATA'!E104="321.218",'CASE DATA'!E104="321A.32",'CASE DATA'!E104="321J.21",'CASE DATA'!E104="321J.2",'CASE DATA'!E104="707.5",'CASE DATA'!E104="708.2(3)",'CASE DATA'!E104="708.2A",'CASE DATA'!E104="708.7",'CASE DATA'!E104="708.11",'CASE DATA'!E104="708.12",'CASE DATA'!E104="716.8(3)",'CASE DATA'!E104="716.8(4)", LEFT('CASE DATA'!E104,4)="717C", LEFT('CASE DATA'!E104, 3)="719", LEFT('CASE DATA'!E104,3)="720", 'CASE DATA'!E104="721.2", 'CASE DATA'!E104="721.10", 'CASE DATA'!E104="723.1", LEFT('CASE DATA'!E104,3)="724", LEFT('CASE DATA'!E104,3)="726", LEFT('CASE DATA'!E104,3)="728", LEFT('CASE DATA'!E104,4)="901A"),"ineligible misd", "eligible"),"N/A")</f>
        <v>N/A</v>
      </c>
      <c r="N103" s="185" t="str">
        <f>IF(L103="eligible",IF(COUNTIF('CASE DATA'!$C$4:$C$200, "")-COUNTIF('CASE DATA'!$A$4:$A$200, "")&gt;0, "YES","NO"),"N/A")</f>
        <v>N/A</v>
      </c>
      <c r="O103" s="185" t="str">
        <f xml:space="preserve"> IF(M103="eligible",'CASE DATA'!K104,"N/A")</f>
        <v>N/A</v>
      </c>
      <c r="P103" s="185" t="str">
        <f xml:space="preserve"> IF(M103="eligible",'CASE DATA'!I104+'CASE DATA'!J104+'CASE DATA'!L104+'CASE DATA'!M104+'CASE DATA'!N104+'CASE DATA'!O104+'CASE DATA'!M104+'CASE DATA'!Q104+'CASE DATA'!R104,"N/A")</f>
        <v>N/A</v>
      </c>
      <c r="Q103" s="11" t="str">
        <f>IF(M103="eligible",IF(C103+730.5&lt;'BASIC INFO'!$B$3, "YES", "NO"),"N/A")</f>
        <v>N/A</v>
      </c>
      <c r="R103" s="186" t="str">
        <f xml:space="preserve"> IF(OR('CASE DATA'!F104="DEF"), "YES", "NO")</f>
        <v>NO</v>
      </c>
      <c r="S103" s="162" t="str">
        <f>IF(R103="YES",'CASE DATA'!H104,"N/A")</f>
        <v>N/A</v>
      </c>
      <c r="T103" s="185" t="str">
        <f xml:space="preserve"> IF(R103="YES",'CASE DATA'!K104,"N/A")</f>
        <v>N/A</v>
      </c>
      <c r="U103" s="185" t="str">
        <f>IF(R103="YES",'CASE DATA'!I104+'CASE DATA'!J104+'CASE DATA'!L104+'CASE DATA'!M104+'CASE DATA'!N104+'CASE DATA'!O104+'CASE DATA'!P104+'CASE DATA'!Q104+'CASE DATA'!R104,"N/A")</f>
        <v>N/A</v>
      </c>
      <c r="V103" s="189" t="str">
        <f>IF(OR('CASE DATA'!E104="123.46",'CASE DATA'!E104="123.47"),"YES","NO")</f>
        <v>NO</v>
      </c>
      <c r="W103" s="189"/>
      <c r="X103" s="185" t="str">
        <f>IF(V103="YES",IF(C103+730.5&lt;'BASIC INFO'!$B$3, "YES","NO"), "N/A")</f>
        <v>N/A</v>
      </c>
      <c r="Y103" s="189" t="str">
        <f t="shared" si="2"/>
        <v>NO</v>
      </c>
      <c r="Z103" s="187" t="str">
        <f xml:space="preserve"> IF('BASIC INFO'!$B$6+6574.5&gt;C103, "YES", "NO")</f>
        <v>YES</v>
      </c>
    </row>
    <row r="104" spans="1:26" x14ac:dyDescent="0.25">
      <c r="A104" s="162">
        <f xml:space="preserve"> 'CASE DATA'!A105</f>
        <v>0</v>
      </c>
      <c r="B104" s="162">
        <f xml:space="preserve"> 'CASE DATA'!E105</f>
        <v>0</v>
      </c>
      <c r="C104" s="163">
        <f xml:space="preserve"> 'CASE DATA'!C105</f>
        <v>0</v>
      </c>
      <c r="D104" s="11" t="str">
        <f xml:space="preserve"> IF(OR('CASE DATA'!F105="JUV", 'CASE DATA'!F105="JWV"), "YES", "NO")</f>
        <v>NO</v>
      </c>
      <c r="E104" s="11"/>
      <c r="F104" s="11" t="str">
        <f>IF(D104="YES",IF(COUNTIF('CASE DATA'!$C$4:$C$200, "")-COUNTIF('CASE DATA'!$A$4:$A$200, "")&gt;0, "YES","NO"),"N/A")</f>
        <v>N/A</v>
      </c>
      <c r="G104" s="164" t="str">
        <f xml:space="preserve"> _xlfn.IFS(D104="NO", "N/A", AND('BASIC INFO'!$B$3&gt;'BASIC INFO'!$B$6+6574.5, C104+730.5&lt;'BASIC INFO'!$B$3), "YES", 'BASIC INFO'!$B$3&lt;('BASIC INFO'!$B$6+6574.5), "NOT YET 18", C104+730.5&gt;'BASIC INFO'!$B$3, "NOT YET 2 YEARS")</f>
        <v>N/A</v>
      </c>
      <c r="H104" s="186" t="str">
        <f xml:space="preserve"> IF(LEFT('CASE DATA'!E105,4)&lt;&gt;"321.",IF(OR('CASE DATA'!F105="DISM", 'CASE DATA'!F105="ACQ", 'CASE DATA'!F105="NOTF", 'CASE DATA'!F105="WTHD", 'CASE DATA'!F105="TNSF"), "YES", "NO"), "TRAFFIC")</f>
        <v>NO</v>
      </c>
      <c r="I104" s="185" t="str">
        <f xml:space="preserve"> IF(H104="YES",'CASE DATA'!K105,"N/A")</f>
        <v>N/A</v>
      </c>
      <c r="J104" s="185" t="str">
        <f>IF(H104="YES",'CASE DATA'!I105+'CASE DATA'!J105+'CASE DATA'!L105+'CASE DATA'!M105+'CASE DATA'!N105+'CASE DATA'!O105+'CASE DATA'!P105+'CASE DATA'!Q105+'CASE DATA'!R105,"N/A")</f>
        <v>N/A</v>
      </c>
      <c r="K104" s="162" t="str">
        <f xml:space="preserve"> IF(H104="YES",IF(C104+180&lt;'BASIC INFO'!$B$3, "YES", "NO"),"N/A")</f>
        <v>N/A</v>
      </c>
      <c r="L104" s="185" t="str">
        <f>IF(OR('CASE DATA'!F105="GTR", 'CASE DATA'!F105="GPL"),IF(OR('CASE DATA'!E105="81.6(2)", 'CASE DATA'!E105="99F.15(6)(b)(1)", 'CASE DATA'!E105= "124.401(1)(a)", 'CASE DATA'!E105= "124.401(1)(b)", 'CASE DATA'!E105= "124.401(1)(c)", 'CASE DATA'!E105= "124.401(1)(d)", 'CASE DATA'!E105="124.401(4)", 'CASE DATA'!E105="124.401(1)(b)", 'CASE DATA'!E105="124.401(1)(c)", 'CASE DATA'!E105="124.401D(2)(b)", 'CASE DATA'!E105="124.401D(2)(c)", 'CASE DATA'!E105="124.406(1)(a)", 'CASE DATA'!E105="124.406(1)(b) ", 'CASE DATA'!E105="124.406(2)(a)", 'CASE DATA'!E105="124.406(2)(b) ", 'CASE DATA'!E105="124.406(3)", 'CASE DATA'!E105="124.406A ", 'CASE DATA'!E105="124.407(2)(a)", 'CASE DATA'!E105="124B.9(1)", 'CASE DATA'!E105="124B.9(2)", 'CASE DATA'!E105="321J.2(2)(c)", 'CASE DATA'!E105="453B.12(2)", 'CASE DATA'!E105="453B.12(3)", 'CASE DATA'!E105="453B.12(4)", 'CASE DATA'!E105="462A.14(2)(c)", 'CASE DATA'!E105="462A.14(2)(d)", 'CASE DATA'!E105="462A.14(2)(e)", 'CASE DATA'!E105="705.1(2)", 'CASE DATA'!E105="706.3(1)", 'CASE DATA'!E105="706.3(2)", 'CASE DATA'!E105="706A.2(1)", 'CASE DATA'!E105="706A.2(2)", 'CASE DATA'!E105="706A.2(4)", 'CASE DATA'!E105="706B.2(1)(a)", 'CASE DATA'!E105="706B.2(1)(b)", 'CASE DATA'!E105="706B.2(1)(c)", 'CASE DATA'!E105="706B.2(1)(d)", 'CASE DATA'!E105="707.2", 'CASE DATA'!E105="707.3", 'CASE DATA'!E105="707.3A", 'CASE DATA'!E105="707.4", 'CASE DATA'!E105="707.5(1)(a)", 'CASE DATA'!E105="707.6A(1)", 'CASE DATA'!E105="707.6A(2)", 'CASE DATA'!E105="707.6A(3)", 'CASE DATA'!E105="707.6A(4)", 'CASE DATA'!E105="707.7(1)", 'CASE DATA'!E105="707.7(3)", 'CASE DATA'!E105="707.7(2)", 'CASE DATA'!E105="707.8(1)", 'CASE DATA'!E105="707.8(2)", 'CASE DATA'!E105="707.8(3)", 'CASE DATA'!E105="707.8(4)", 'CASE DATA'!E105="707.8(5)", 'CASE DATA'!E105="707.8(6)", 'CASE DATA'!E105="707.9", 'CASE DATA'!E105="707.11", 'CASE DATA'!E105="707A.2", 'CASE DATA'!E105="708.2(4)", 'CASE DATA'!E105="708.2(5)", 'CASE DATA'!E105="708.2A(4)", 'CASE DATA'!E105="708.2A(5)", 'CASE DATA'!E105="708.2C(2)", 'CASE DATA'!E105="708.2C(4)", 'CASE DATA'!E105="708.3(1)", 'CASE DATA'!E105="708.3(2)", 'CASE DATA'!E105="708.3A(1)", 'CASE DATA'!E105="708.3A(2)", 'CASE DATA'!E105="708.3B", 'CASE DATA'!E105="708.4(1)", 'CASE DATA'!E105="708.4(2)", 'CASE DATA'!E105="708.5", 'CASE DATA'!E105="708.8", 'CASE DATA'!E105="708.11(3)(a)", 'CASE DATA'!E105="708.11(3)(b)", 'CASE DATA'!E105="708.12(3)(f)", 'CASE DATA'!E105="708.13(3)", 'CASE DATA'!E105="708.14", 'CASE DATA'!E105="708A.2", 'CASE DATA'!E105="708A.4(1)", 'CASE DATA'!E105="708A.4(2)", 'CASE DATA'!E105="708A.5", 'CASE DATA'!E105="708A.6(1)", 'CASE DATA'!E105="708.A.6(2)", 'CASE DATA'!E105="709.2", 'CASE DATA'!E105="709.3", 'CASE DATA'!E105="709.4", 'CASE DATA'!E105="709.8(1)(a)", 'CASE DATA'!E105="709.8(1)(b)", 'CASE DATA'!E105="709.8(1)(c)", 'CASE DATA'!E105="709.8(1)(d)", 'CASE DATA'!E105="709.8(1)(e)", 'CASE DATA'!E105="709.11(1)", 'CASE DATA'!E105="709.11(2)", 'CASE DATA'!E105="709.15(2)(a)(1)", 'CASE DATA'!E105="709.15(3)(a)(1)", 'CASE DATA'!E105="709.18", 'CASE DATA'!E105="709A.6(2)", 'CASE DATA'!E105="709D.3(1)", 'CASE DATA'!E105="709D.3(2)", 'CASE DATA'!E105="709.D.3(3)", 'CASE DATA'!E105="710.2", 'CASE DATA'!E105="710.3", 'CASE DATA'!E105="710.4", 'CASE DATA'!E105="710.5", 'CASE DATA'!E105="710.10(1)", 'CASE DATA'!E105="710.10(2)", 'CASE DATA'!E105="710.10(3)", 'CASE DATA'!E105="710.11", 'CASE DATA'!E105="710A.2(1)", 'CASE DATA'!E105="710A.2(2)", 'CASE DATA'!E105="710A.2(3)", 'CASE DATA'!E105="710A.2(4)", 'CASE DATA'!E105="710A.2(5)", 'CASE DATA'!E105="710A.2(6)", 'CASE DATA'!E105="710A.2(7)", 'CASE DATA'!E105="710A.2A", 'CASE DATA'!E105="711.2", 'CASE DATA'!E105="711.3", 'CASE DATA'!E105="711.4", 'CASE DATA'!E105="712.2", 'CASE DATA'!E105="712.3", 'CASE DATA'!E105="712.6(1)", 'CASE DATA'!E105="712.7", 'CASE DATA'!E105="712.8", 'CASE DATA'!E105="", 'CASE DATA'!E105="713.3", 'CASE DATA'!E105="713.4", 'CASE DATA'!E105="713.5", 'CASE DATA'!E105="713.6", 'CASE DATA'!E105="713.6A(1)", 'CASE DATA'!E105="714.2(1)", 'CASE DATA'!E105="714.2(2)", 'CASE DATA'!E105="714.3A(2)(b)", 'CASE DATA'!E105="714.9", 'CASE DATA'!E105="714.10", 'CASE DATA'!E105="714.26(2)(a)", 'CASE DATA'!E105="714.26(2)(b)", 'CASE DATA'!E105="715A.2(2)(a)", 'CASE DATA'!E105="715A.6(2)(a)", 'CASE DATA'!E105="715A.6(2)(b)", 'CASE DATA'!E105="715A.8(3)(a)", 'CASE DATA'!E105="715A.8(3)(b)", 'CASE DATA'!E105="715A.10(1)", 'CASE DATA'!E105="715A.10(2)", 'CASE DATA'!E105="716.3", 'CASE DATA'!E105="716.4", 'CASE DATA'!E105="716.8(6)", 'CASE DATA'!E105="716.10(2)(a)", 'CASE DATA'!E105="716.10(2)(b)", 'CASE DATA'!E105="716.10(2)(c)", 'CASE DATA'!E105="716.10(2)(d)", 'CASE DATA'!E105="716.12", 'CASE DATA'!E105="719.1(1)(f)", 'CASE DATA'!E105="719.1(2)(e)", 'CASE DATA'!E105="719.1(2)(f)", 'CASE DATA'!E105="719.1(2)(g)", 'CASE DATA'!E105="719.4(1)", 'CASE DATA'!E105="719.4(4)", 'CASE DATA'!E105="719.5(1)", 'CASE DATA'!E105="719.5(2)", 'CASE DATA'!E105="719.6(1)", 'CASE DATA'!E105="719.6(2)", 'CASE DATA'!E105="719.7(4)(a)", 'CASE DATA'!E105="719.7(4)(b)", 'CASE DATA'!E105="719.7A(3)", 'CASE DATA'!E105="719.9", 'CASE DATA'!E105="719.8", 'CASE DATA'!E105="720.2", 'CASE DATA'!E105="720.3", 'CASE DATA'!E105="721.1", 'CASE DATA'!E105="722.1", 'CASE DATA'!E105="", 'CASE DATA'!E105="722.2", 'CASE DATA'!E105="722.10", 'CASE DATA'!E105="723(5)(3)(c)", 'CASE DATA'!E105="723A.2", 'CASE DATA'!E105="723A.3(1)", 'CASE DATA'!E105="723A.3(2)", 'CASE DATA'!E105="724.1B", 'CASE DATA'!E105="724.1C", 'CASE DATA'!E105="724.3", 'CASE DATA'!E105="724.4B", 'CASE DATA'!E105="724.10", 'CASE DATA'!E105="724.16(2)", 'CASE DATA'!E105="724.16A(1)(a)", 'CASE DATA'!E105="724.16A(1)(b)", 'CASE DATA'!E105="724.17", 'CASE DATA'!E105="724.21", 'CASE DATA'!E105="724.26(1)", 'CASE DATA'!E105="922(g)(8)", 'CASE DATA'!E105="724.29A(2)", 'CASE DATA'!E105="724.29A(3)", 'CASE DATA'!E105="724.30(1)", 'CASE DATA'!E105="724.30(2)", 'CASE DATA'!E105="725.1(2)(b)", 'CASE DATA'!E105="725.2(1)", 'CASE DATA'!E105="725.2(2)", 'CASE DATA'!E105="725.3(2)", 'CASE DATA'!E105="725.3(1)", 'CASE DATA'!E105="725.7(2)(a)(3)", 'CASE DATA'!E105="725.7(2)(a)(4)", 'CASE DATA'!E105="725.7(2)(b)(2)", 'CASE DATA'!E105="725.7(2)(b(3)", 'CASE DATA'!E105="726.7(2)(c)(1)", 'CASE DATA'!E105="726.7(2)(c)(2)", 'CASE DATA'!E105="725.7(2)(d)", 'CASE DATA'!E105="726.2", 'CASE DATA'!E105="726.3", 'CASE DATA'!E105="726.5", 'CASE DATA'!E105="726.6(4)", 'CASE DATA'!E105="726.6(5)", 'CASE DATA'!E105="726.6(6)", 'CASE DATA'!E105="726.6A", 'CASE DATA'!E105="726.7(2)", 'CASE DATA'!E105="726.8(2)", 'CASE DATA'!E105="728.12(1)", 'CASE DATA'!E105="728.12(2)"),"felony","eligible"),"N/A")</f>
        <v>N/A</v>
      </c>
      <c r="M104" s="185" t="str">
        <f>IF(L104="eligible",IF(OR('CASE DATA'!E105="123.46",'CASE DATA'!E105="123.47",'CASE DATA'!E105="235B.20",'CASE DATA'!E105="321.218",'CASE DATA'!E105="321A.32",'CASE DATA'!E105="321J.21",'CASE DATA'!E105="321J.2",'CASE DATA'!E105="707.5",'CASE DATA'!E105="708.2(3)",'CASE DATA'!E105="708.2A",'CASE DATA'!E105="708.7",'CASE DATA'!E105="708.11",'CASE DATA'!E105="708.12",'CASE DATA'!E105="716.8(3)",'CASE DATA'!E105="716.8(4)", LEFT('CASE DATA'!E105,4)="717C", LEFT('CASE DATA'!E105, 3)="719", LEFT('CASE DATA'!E105,3)="720", 'CASE DATA'!E105="721.2", 'CASE DATA'!E105="721.10", 'CASE DATA'!E105="723.1", LEFT('CASE DATA'!E105,3)="724", LEFT('CASE DATA'!E105,3)="726", LEFT('CASE DATA'!E105,3)="728", LEFT('CASE DATA'!E105,4)="901A"),"ineligible misd", "eligible"),"N/A")</f>
        <v>N/A</v>
      </c>
      <c r="N104" s="185" t="str">
        <f>IF(L104="eligible",IF(COUNTIF('CASE DATA'!$C$4:$C$200, "")-COUNTIF('CASE DATA'!$A$4:$A$200, "")&gt;0, "YES","NO"),"N/A")</f>
        <v>N/A</v>
      </c>
      <c r="O104" s="185" t="str">
        <f xml:space="preserve"> IF(M104="eligible",'CASE DATA'!K105,"N/A")</f>
        <v>N/A</v>
      </c>
      <c r="P104" s="185" t="str">
        <f xml:space="preserve"> IF(M104="eligible",'CASE DATA'!I105+'CASE DATA'!J105+'CASE DATA'!L105+'CASE DATA'!M105+'CASE DATA'!N105+'CASE DATA'!O105+'CASE DATA'!M105+'CASE DATA'!Q105+'CASE DATA'!R105,"N/A")</f>
        <v>N/A</v>
      </c>
      <c r="Q104" s="11" t="str">
        <f>IF(M104="eligible",IF(C104+730.5&lt;'BASIC INFO'!$B$3, "YES", "NO"),"N/A")</f>
        <v>N/A</v>
      </c>
      <c r="R104" s="186" t="str">
        <f xml:space="preserve"> IF(OR('CASE DATA'!F105="DEF"), "YES", "NO")</f>
        <v>NO</v>
      </c>
      <c r="S104" s="162" t="str">
        <f>IF(R104="YES",'CASE DATA'!H105,"N/A")</f>
        <v>N/A</v>
      </c>
      <c r="T104" s="185" t="str">
        <f xml:space="preserve"> IF(R104="YES",'CASE DATA'!K105,"N/A")</f>
        <v>N/A</v>
      </c>
      <c r="U104" s="185" t="str">
        <f>IF(R104="YES",'CASE DATA'!I105+'CASE DATA'!J105+'CASE DATA'!L105+'CASE DATA'!M105+'CASE DATA'!N105+'CASE DATA'!O105+'CASE DATA'!P105+'CASE DATA'!Q105+'CASE DATA'!R105,"N/A")</f>
        <v>N/A</v>
      </c>
      <c r="V104" s="189" t="str">
        <f>IF(OR('CASE DATA'!E105="123.46",'CASE DATA'!E105="123.47"),"YES","NO")</f>
        <v>NO</v>
      </c>
      <c r="W104" s="189"/>
      <c r="X104" s="185" t="str">
        <f>IF(V104="YES",IF(C104+730.5&lt;'BASIC INFO'!$B$3, "YES","NO"), "N/A")</f>
        <v>N/A</v>
      </c>
      <c r="Y104" s="189" t="str">
        <f t="shared" si="2"/>
        <v>NO</v>
      </c>
      <c r="Z104" s="187" t="str">
        <f xml:space="preserve"> IF('BASIC INFO'!$B$6+6574.5&gt;C104, "YES", "NO")</f>
        <v>YES</v>
      </c>
    </row>
    <row r="105" spans="1:26" x14ac:dyDescent="0.25">
      <c r="A105" s="162">
        <f xml:space="preserve"> 'CASE DATA'!A106</f>
        <v>0</v>
      </c>
      <c r="B105" s="162">
        <f xml:space="preserve"> 'CASE DATA'!E106</f>
        <v>0</v>
      </c>
      <c r="C105" s="163">
        <f xml:space="preserve"> 'CASE DATA'!C106</f>
        <v>0</v>
      </c>
      <c r="D105" s="11" t="str">
        <f xml:space="preserve"> IF(OR('CASE DATA'!F106="JUV", 'CASE DATA'!F106="JWV"), "YES", "NO")</f>
        <v>NO</v>
      </c>
      <c r="E105" s="11"/>
      <c r="F105" s="11" t="str">
        <f>IF(D105="YES",IF(COUNTIF('CASE DATA'!$C$4:$C$200, "")-COUNTIF('CASE DATA'!$A$4:$A$200, "")&gt;0, "YES","NO"),"N/A")</f>
        <v>N/A</v>
      </c>
      <c r="G105" s="164" t="str">
        <f xml:space="preserve"> _xlfn.IFS(D105="NO", "N/A", AND('BASIC INFO'!$B$3&gt;'BASIC INFO'!$B$6+6574.5, C105+730.5&lt;'BASIC INFO'!$B$3), "YES", 'BASIC INFO'!$B$3&lt;('BASIC INFO'!$B$6+6574.5), "NOT YET 18", C105+730.5&gt;'BASIC INFO'!$B$3, "NOT YET 2 YEARS")</f>
        <v>N/A</v>
      </c>
      <c r="H105" s="186" t="str">
        <f xml:space="preserve"> IF(LEFT('CASE DATA'!E106,4)&lt;&gt;"321.",IF(OR('CASE DATA'!F106="DISM", 'CASE DATA'!F106="ACQ", 'CASE DATA'!F106="NOTF", 'CASE DATA'!F106="WTHD", 'CASE DATA'!F106="TNSF"), "YES", "NO"), "TRAFFIC")</f>
        <v>NO</v>
      </c>
      <c r="I105" s="185" t="str">
        <f xml:space="preserve"> IF(H105="YES",'CASE DATA'!K106,"N/A")</f>
        <v>N/A</v>
      </c>
      <c r="J105" s="185" t="str">
        <f>IF(H105="YES",'CASE DATA'!I106+'CASE DATA'!J106+'CASE DATA'!L106+'CASE DATA'!M106+'CASE DATA'!N106+'CASE DATA'!O106+'CASE DATA'!P106+'CASE DATA'!Q106+'CASE DATA'!R106,"N/A")</f>
        <v>N/A</v>
      </c>
      <c r="K105" s="162" t="str">
        <f xml:space="preserve"> IF(H105="YES",IF(C105+180&lt;'BASIC INFO'!$B$3, "YES", "NO"),"N/A")</f>
        <v>N/A</v>
      </c>
      <c r="L105" s="185" t="str">
        <f>IF(OR('CASE DATA'!F106="GTR", 'CASE DATA'!F106="GPL"),IF(OR('CASE DATA'!E106="81.6(2)", 'CASE DATA'!E106="99F.15(6)(b)(1)", 'CASE DATA'!E106= "124.401(1)(a)", 'CASE DATA'!E106= "124.401(1)(b)", 'CASE DATA'!E106= "124.401(1)(c)", 'CASE DATA'!E106= "124.401(1)(d)", 'CASE DATA'!E106="124.401(4)", 'CASE DATA'!E106="124.401(1)(b)", 'CASE DATA'!E106="124.401(1)(c)", 'CASE DATA'!E106="124.401D(2)(b)", 'CASE DATA'!E106="124.401D(2)(c)", 'CASE DATA'!E106="124.406(1)(a)", 'CASE DATA'!E106="124.406(1)(b) ", 'CASE DATA'!E106="124.406(2)(a)", 'CASE DATA'!E106="124.406(2)(b) ", 'CASE DATA'!E106="124.406(3)", 'CASE DATA'!E106="124.406A ", 'CASE DATA'!E106="124.407(2)(a)", 'CASE DATA'!E106="124B.9(1)", 'CASE DATA'!E106="124B.9(2)", 'CASE DATA'!E106="321J.2(2)(c)", 'CASE DATA'!E106="453B.12(2)", 'CASE DATA'!E106="453B.12(3)", 'CASE DATA'!E106="453B.12(4)", 'CASE DATA'!E106="462A.14(2)(c)", 'CASE DATA'!E106="462A.14(2)(d)", 'CASE DATA'!E106="462A.14(2)(e)", 'CASE DATA'!E106="705.1(2)", 'CASE DATA'!E106="706.3(1)", 'CASE DATA'!E106="706.3(2)", 'CASE DATA'!E106="706A.2(1)", 'CASE DATA'!E106="706A.2(2)", 'CASE DATA'!E106="706A.2(4)", 'CASE DATA'!E106="706B.2(1)(a)", 'CASE DATA'!E106="706B.2(1)(b)", 'CASE DATA'!E106="706B.2(1)(c)", 'CASE DATA'!E106="706B.2(1)(d)", 'CASE DATA'!E106="707.2", 'CASE DATA'!E106="707.3", 'CASE DATA'!E106="707.3A", 'CASE DATA'!E106="707.4", 'CASE DATA'!E106="707.5(1)(a)", 'CASE DATA'!E106="707.6A(1)", 'CASE DATA'!E106="707.6A(2)", 'CASE DATA'!E106="707.6A(3)", 'CASE DATA'!E106="707.6A(4)", 'CASE DATA'!E106="707.7(1)", 'CASE DATA'!E106="707.7(3)", 'CASE DATA'!E106="707.7(2)", 'CASE DATA'!E106="707.8(1)", 'CASE DATA'!E106="707.8(2)", 'CASE DATA'!E106="707.8(3)", 'CASE DATA'!E106="707.8(4)", 'CASE DATA'!E106="707.8(5)", 'CASE DATA'!E106="707.8(6)", 'CASE DATA'!E106="707.9", 'CASE DATA'!E106="707.11", 'CASE DATA'!E106="707A.2", 'CASE DATA'!E106="708.2(4)", 'CASE DATA'!E106="708.2(5)", 'CASE DATA'!E106="708.2A(4)", 'CASE DATA'!E106="708.2A(5)", 'CASE DATA'!E106="708.2C(2)", 'CASE DATA'!E106="708.2C(4)", 'CASE DATA'!E106="708.3(1)", 'CASE DATA'!E106="708.3(2)", 'CASE DATA'!E106="708.3A(1)", 'CASE DATA'!E106="708.3A(2)", 'CASE DATA'!E106="708.3B", 'CASE DATA'!E106="708.4(1)", 'CASE DATA'!E106="708.4(2)", 'CASE DATA'!E106="708.5", 'CASE DATA'!E106="708.8", 'CASE DATA'!E106="708.11(3)(a)", 'CASE DATA'!E106="708.11(3)(b)", 'CASE DATA'!E106="708.12(3)(f)", 'CASE DATA'!E106="708.13(3)", 'CASE DATA'!E106="708.14", 'CASE DATA'!E106="708A.2", 'CASE DATA'!E106="708A.4(1)", 'CASE DATA'!E106="708A.4(2)", 'CASE DATA'!E106="708A.5", 'CASE DATA'!E106="708A.6(1)", 'CASE DATA'!E106="708.A.6(2)", 'CASE DATA'!E106="709.2", 'CASE DATA'!E106="709.3", 'CASE DATA'!E106="709.4", 'CASE DATA'!E106="709.8(1)(a)", 'CASE DATA'!E106="709.8(1)(b)", 'CASE DATA'!E106="709.8(1)(c)", 'CASE DATA'!E106="709.8(1)(d)", 'CASE DATA'!E106="709.8(1)(e)", 'CASE DATA'!E106="709.11(1)", 'CASE DATA'!E106="709.11(2)", 'CASE DATA'!E106="709.15(2)(a)(1)", 'CASE DATA'!E106="709.15(3)(a)(1)", 'CASE DATA'!E106="709.18", 'CASE DATA'!E106="709A.6(2)", 'CASE DATA'!E106="709D.3(1)", 'CASE DATA'!E106="709D.3(2)", 'CASE DATA'!E106="709.D.3(3)", 'CASE DATA'!E106="710.2", 'CASE DATA'!E106="710.3", 'CASE DATA'!E106="710.4", 'CASE DATA'!E106="710.5", 'CASE DATA'!E106="710.10(1)", 'CASE DATA'!E106="710.10(2)", 'CASE DATA'!E106="710.10(3)", 'CASE DATA'!E106="710.11", 'CASE DATA'!E106="710A.2(1)", 'CASE DATA'!E106="710A.2(2)", 'CASE DATA'!E106="710A.2(3)", 'CASE DATA'!E106="710A.2(4)", 'CASE DATA'!E106="710A.2(5)", 'CASE DATA'!E106="710A.2(6)", 'CASE DATA'!E106="710A.2(7)", 'CASE DATA'!E106="710A.2A", 'CASE DATA'!E106="711.2", 'CASE DATA'!E106="711.3", 'CASE DATA'!E106="711.4", 'CASE DATA'!E106="712.2", 'CASE DATA'!E106="712.3", 'CASE DATA'!E106="712.6(1)", 'CASE DATA'!E106="712.7", 'CASE DATA'!E106="712.8", 'CASE DATA'!E106="", 'CASE DATA'!E106="713.3", 'CASE DATA'!E106="713.4", 'CASE DATA'!E106="713.5", 'CASE DATA'!E106="713.6", 'CASE DATA'!E106="713.6A(1)", 'CASE DATA'!E106="714.2(1)", 'CASE DATA'!E106="714.2(2)", 'CASE DATA'!E106="714.3A(2)(b)", 'CASE DATA'!E106="714.9", 'CASE DATA'!E106="714.10", 'CASE DATA'!E106="714.26(2)(a)", 'CASE DATA'!E106="714.26(2)(b)", 'CASE DATA'!E106="715A.2(2)(a)", 'CASE DATA'!E106="715A.6(2)(a)", 'CASE DATA'!E106="715A.6(2)(b)", 'CASE DATA'!E106="715A.8(3)(a)", 'CASE DATA'!E106="715A.8(3)(b)", 'CASE DATA'!E106="715A.10(1)", 'CASE DATA'!E106="715A.10(2)", 'CASE DATA'!E106="716.3", 'CASE DATA'!E106="716.4", 'CASE DATA'!E106="716.8(6)", 'CASE DATA'!E106="716.10(2)(a)", 'CASE DATA'!E106="716.10(2)(b)", 'CASE DATA'!E106="716.10(2)(c)", 'CASE DATA'!E106="716.10(2)(d)", 'CASE DATA'!E106="716.12", 'CASE DATA'!E106="719.1(1)(f)", 'CASE DATA'!E106="719.1(2)(e)", 'CASE DATA'!E106="719.1(2)(f)", 'CASE DATA'!E106="719.1(2)(g)", 'CASE DATA'!E106="719.4(1)", 'CASE DATA'!E106="719.4(4)", 'CASE DATA'!E106="719.5(1)", 'CASE DATA'!E106="719.5(2)", 'CASE DATA'!E106="719.6(1)", 'CASE DATA'!E106="719.6(2)", 'CASE DATA'!E106="719.7(4)(a)", 'CASE DATA'!E106="719.7(4)(b)", 'CASE DATA'!E106="719.7A(3)", 'CASE DATA'!E106="719.9", 'CASE DATA'!E106="719.8", 'CASE DATA'!E106="720.2", 'CASE DATA'!E106="720.3", 'CASE DATA'!E106="721.1", 'CASE DATA'!E106="722.1", 'CASE DATA'!E106="", 'CASE DATA'!E106="722.2", 'CASE DATA'!E106="722.10", 'CASE DATA'!E106="723(5)(3)(c)", 'CASE DATA'!E106="723A.2", 'CASE DATA'!E106="723A.3(1)", 'CASE DATA'!E106="723A.3(2)", 'CASE DATA'!E106="724.1B", 'CASE DATA'!E106="724.1C", 'CASE DATA'!E106="724.3", 'CASE DATA'!E106="724.4B", 'CASE DATA'!E106="724.10", 'CASE DATA'!E106="724.16(2)", 'CASE DATA'!E106="724.16A(1)(a)", 'CASE DATA'!E106="724.16A(1)(b)", 'CASE DATA'!E106="724.17", 'CASE DATA'!E106="724.21", 'CASE DATA'!E106="724.26(1)", 'CASE DATA'!E106="922(g)(8)", 'CASE DATA'!E106="724.29A(2)", 'CASE DATA'!E106="724.29A(3)", 'CASE DATA'!E106="724.30(1)", 'CASE DATA'!E106="724.30(2)", 'CASE DATA'!E106="725.1(2)(b)", 'CASE DATA'!E106="725.2(1)", 'CASE DATA'!E106="725.2(2)", 'CASE DATA'!E106="725.3(2)", 'CASE DATA'!E106="725.3(1)", 'CASE DATA'!E106="725.7(2)(a)(3)", 'CASE DATA'!E106="725.7(2)(a)(4)", 'CASE DATA'!E106="725.7(2)(b)(2)", 'CASE DATA'!E106="725.7(2)(b(3)", 'CASE DATA'!E106="726.7(2)(c)(1)", 'CASE DATA'!E106="726.7(2)(c)(2)", 'CASE DATA'!E106="725.7(2)(d)", 'CASE DATA'!E106="726.2", 'CASE DATA'!E106="726.3", 'CASE DATA'!E106="726.5", 'CASE DATA'!E106="726.6(4)", 'CASE DATA'!E106="726.6(5)", 'CASE DATA'!E106="726.6(6)", 'CASE DATA'!E106="726.6A", 'CASE DATA'!E106="726.7(2)", 'CASE DATA'!E106="726.8(2)", 'CASE DATA'!E106="728.12(1)", 'CASE DATA'!E106="728.12(2)"),"felony","eligible"),"N/A")</f>
        <v>N/A</v>
      </c>
      <c r="M105" s="185" t="str">
        <f>IF(L105="eligible",IF(OR('CASE DATA'!E106="123.46",'CASE DATA'!E106="123.47",'CASE DATA'!E106="235B.20",'CASE DATA'!E106="321.218",'CASE DATA'!E106="321A.32",'CASE DATA'!E106="321J.21",'CASE DATA'!E106="321J.2",'CASE DATA'!E106="707.5",'CASE DATA'!E106="708.2(3)",'CASE DATA'!E106="708.2A",'CASE DATA'!E106="708.7",'CASE DATA'!E106="708.11",'CASE DATA'!E106="708.12",'CASE DATA'!E106="716.8(3)",'CASE DATA'!E106="716.8(4)", LEFT('CASE DATA'!E106,4)="717C", LEFT('CASE DATA'!E106, 3)="719", LEFT('CASE DATA'!E106,3)="720", 'CASE DATA'!E106="721.2", 'CASE DATA'!E106="721.10", 'CASE DATA'!E106="723.1", LEFT('CASE DATA'!E106,3)="724", LEFT('CASE DATA'!E106,3)="726", LEFT('CASE DATA'!E106,3)="728", LEFT('CASE DATA'!E106,4)="901A"),"ineligible misd", "eligible"),"N/A")</f>
        <v>N/A</v>
      </c>
      <c r="N105" s="185" t="str">
        <f>IF(L105="eligible",IF(COUNTIF('CASE DATA'!$C$4:$C$200, "")-COUNTIF('CASE DATA'!$A$4:$A$200, "")&gt;0, "YES","NO"),"N/A")</f>
        <v>N/A</v>
      </c>
      <c r="O105" s="185" t="str">
        <f xml:space="preserve"> IF(M105="eligible",'CASE DATA'!K106,"N/A")</f>
        <v>N/A</v>
      </c>
      <c r="P105" s="185" t="str">
        <f xml:space="preserve"> IF(M105="eligible",'CASE DATA'!I106+'CASE DATA'!J106+'CASE DATA'!L106+'CASE DATA'!M106+'CASE DATA'!N106+'CASE DATA'!O106+'CASE DATA'!M106+'CASE DATA'!Q106+'CASE DATA'!R106,"N/A")</f>
        <v>N/A</v>
      </c>
      <c r="Q105" s="11" t="str">
        <f>IF(M105="eligible",IF(C105+730.5&lt;'BASIC INFO'!$B$3, "YES", "NO"),"N/A")</f>
        <v>N/A</v>
      </c>
      <c r="R105" s="186" t="str">
        <f xml:space="preserve"> IF(OR('CASE DATA'!F106="DEF"), "YES", "NO")</f>
        <v>NO</v>
      </c>
      <c r="S105" s="162" t="str">
        <f>IF(R105="YES",'CASE DATA'!H106,"N/A")</f>
        <v>N/A</v>
      </c>
      <c r="T105" s="185" t="str">
        <f xml:space="preserve"> IF(R105="YES",'CASE DATA'!K106,"N/A")</f>
        <v>N/A</v>
      </c>
      <c r="U105" s="185" t="str">
        <f>IF(R105="YES",'CASE DATA'!I106+'CASE DATA'!J106+'CASE DATA'!L106+'CASE DATA'!M106+'CASE DATA'!N106+'CASE DATA'!O106+'CASE DATA'!P106+'CASE DATA'!Q106+'CASE DATA'!R106,"N/A")</f>
        <v>N/A</v>
      </c>
      <c r="V105" s="189" t="str">
        <f>IF(OR('CASE DATA'!E106="123.46",'CASE DATA'!E106="123.47"),"YES","NO")</f>
        <v>NO</v>
      </c>
      <c r="W105" s="189"/>
      <c r="X105" s="185" t="str">
        <f>IF(V105="YES",IF(C105+730.5&lt;'BASIC INFO'!$B$3, "YES","NO"), "N/A")</f>
        <v>N/A</v>
      </c>
      <c r="Y105" s="189" t="str">
        <f t="shared" si="2"/>
        <v>NO</v>
      </c>
      <c r="Z105" s="187" t="str">
        <f xml:space="preserve"> IF('BASIC INFO'!$B$6+6574.5&gt;C105, "YES", "NO")</f>
        <v>YES</v>
      </c>
    </row>
    <row r="106" spans="1:26" x14ac:dyDescent="0.25">
      <c r="A106" s="162">
        <f xml:space="preserve"> 'CASE DATA'!A107</f>
        <v>0</v>
      </c>
      <c r="B106" s="162">
        <f xml:space="preserve"> 'CASE DATA'!E107</f>
        <v>0</v>
      </c>
      <c r="C106" s="163">
        <f xml:space="preserve"> 'CASE DATA'!C107</f>
        <v>0</v>
      </c>
      <c r="D106" s="11" t="str">
        <f xml:space="preserve"> IF(OR('CASE DATA'!F107="JUV", 'CASE DATA'!F107="JWV"), "YES", "NO")</f>
        <v>NO</v>
      </c>
      <c r="E106" s="11"/>
      <c r="F106" s="11" t="str">
        <f>IF(D106="YES",IF(COUNTIF('CASE DATA'!$C$4:$C$200, "")-COUNTIF('CASE DATA'!$A$4:$A$200, "")&gt;0, "YES","NO"),"N/A")</f>
        <v>N/A</v>
      </c>
      <c r="G106" s="164" t="str">
        <f xml:space="preserve"> _xlfn.IFS(D106="NO", "N/A", AND('BASIC INFO'!$B$3&gt;'BASIC INFO'!$B$6+6574.5, C106+730.5&lt;'BASIC INFO'!$B$3), "YES", 'BASIC INFO'!$B$3&lt;('BASIC INFO'!$B$6+6574.5), "NOT YET 18", C106+730.5&gt;'BASIC INFO'!$B$3, "NOT YET 2 YEARS")</f>
        <v>N/A</v>
      </c>
      <c r="H106" s="186" t="str">
        <f xml:space="preserve"> IF(LEFT('CASE DATA'!E107,4)&lt;&gt;"321.",IF(OR('CASE DATA'!F107="DISM", 'CASE DATA'!F107="ACQ", 'CASE DATA'!F107="NOTF", 'CASE DATA'!F107="WTHD", 'CASE DATA'!F107="TNSF"), "YES", "NO"), "TRAFFIC")</f>
        <v>NO</v>
      </c>
      <c r="I106" s="185" t="str">
        <f xml:space="preserve"> IF(H106="YES",'CASE DATA'!K107,"N/A")</f>
        <v>N/A</v>
      </c>
      <c r="J106" s="185" t="str">
        <f>IF(H106="YES",'CASE DATA'!I107+'CASE DATA'!J107+'CASE DATA'!L107+'CASE DATA'!M107+'CASE DATA'!N107+'CASE DATA'!O107+'CASE DATA'!P107+'CASE DATA'!Q107+'CASE DATA'!R107,"N/A")</f>
        <v>N/A</v>
      </c>
      <c r="K106" s="162" t="str">
        <f xml:space="preserve"> IF(H106="YES",IF(C106+180&lt;'BASIC INFO'!$B$3, "YES", "NO"),"N/A")</f>
        <v>N/A</v>
      </c>
      <c r="L106" s="185" t="str">
        <f>IF(OR('CASE DATA'!F107="GTR", 'CASE DATA'!F107="GPL"),IF(OR('CASE DATA'!E107="81.6(2)", 'CASE DATA'!E107="99F.15(6)(b)(1)", 'CASE DATA'!E107= "124.401(1)(a)", 'CASE DATA'!E107= "124.401(1)(b)", 'CASE DATA'!E107= "124.401(1)(c)", 'CASE DATA'!E107= "124.401(1)(d)", 'CASE DATA'!E107="124.401(4)", 'CASE DATA'!E107="124.401(1)(b)", 'CASE DATA'!E107="124.401(1)(c)", 'CASE DATA'!E107="124.401D(2)(b)", 'CASE DATA'!E107="124.401D(2)(c)", 'CASE DATA'!E107="124.406(1)(a)", 'CASE DATA'!E107="124.406(1)(b) ", 'CASE DATA'!E107="124.406(2)(a)", 'CASE DATA'!E107="124.406(2)(b) ", 'CASE DATA'!E107="124.406(3)", 'CASE DATA'!E107="124.406A ", 'CASE DATA'!E107="124.407(2)(a)", 'CASE DATA'!E107="124B.9(1)", 'CASE DATA'!E107="124B.9(2)", 'CASE DATA'!E107="321J.2(2)(c)", 'CASE DATA'!E107="453B.12(2)", 'CASE DATA'!E107="453B.12(3)", 'CASE DATA'!E107="453B.12(4)", 'CASE DATA'!E107="462A.14(2)(c)", 'CASE DATA'!E107="462A.14(2)(d)", 'CASE DATA'!E107="462A.14(2)(e)", 'CASE DATA'!E107="705.1(2)", 'CASE DATA'!E107="706.3(1)", 'CASE DATA'!E107="706.3(2)", 'CASE DATA'!E107="706A.2(1)", 'CASE DATA'!E107="706A.2(2)", 'CASE DATA'!E107="706A.2(4)", 'CASE DATA'!E107="706B.2(1)(a)", 'CASE DATA'!E107="706B.2(1)(b)", 'CASE DATA'!E107="706B.2(1)(c)", 'CASE DATA'!E107="706B.2(1)(d)", 'CASE DATA'!E107="707.2", 'CASE DATA'!E107="707.3", 'CASE DATA'!E107="707.3A", 'CASE DATA'!E107="707.4", 'CASE DATA'!E107="707.5(1)(a)", 'CASE DATA'!E107="707.6A(1)", 'CASE DATA'!E107="707.6A(2)", 'CASE DATA'!E107="707.6A(3)", 'CASE DATA'!E107="707.6A(4)", 'CASE DATA'!E107="707.7(1)", 'CASE DATA'!E107="707.7(3)", 'CASE DATA'!E107="707.7(2)", 'CASE DATA'!E107="707.8(1)", 'CASE DATA'!E107="707.8(2)", 'CASE DATA'!E107="707.8(3)", 'CASE DATA'!E107="707.8(4)", 'CASE DATA'!E107="707.8(5)", 'CASE DATA'!E107="707.8(6)", 'CASE DATA'!E107="707.9", 'CASE DATA'!E107="707.11", 'CASE DATA'!E107="707A.2", 'CASE DATA'!E107="708.2(4)", 'CASE DATA'!E107="708.2(5)", 'CASE DATA'!E107="708.2A(4)", 'CASE DATA'!E107="708.2A(5)", 'CASE DATA'!E107="708.2C(2)", 'CASE DATA'!E107="708.2C(4)", 'CASE DATA'!E107="708.3(1)", 'CASE DATA'!E107="708.3(2)", 'CASE DATA'!E107="708.3A(1)", 'CASE DATA'!E107="708.3A(2)", 'CASE DATA'!E107="708.3B", 'CASE DATA'!E107="708.4(1)", 'CASE DATA'!E107="708.4(2)", 'CASE DATA'!E107="708.5", 'CASE DATA'!E107="708.8", 'CASE DATA'!E107="708.11(3)(a)", 'CASE DATA'!E107="708.11(3)(b)", 'CASE DATA'!E107="708.12(3)(f)", 'CASE DATA'!E107="708.13(3)", 'CASE DATA'!E107="708.14", 'CASE DATA'!E107="708A.2", 'CASE DATA'!E107="708A.4(1)", 'CASE DATA'!E107="708A.4(2)", 'CASE DATA'!E107="708A.5", 'CASE DATA'!E107="708A.6(1)", 'CASE DATA'!E107="708.A.6(2)", 'CASE DATA'!E107="709.2", 'CASE DATA'!E107="709.3", 'CASE DATA'!E107="709.4", 'CASE DATA'!E107="709.8(1)(a)", 'CASE DATA'!E107="709.8(1)(b)", 'CASE DATA'!E107="709.8(1)(c)", 'CASE DATA'!E107="709.8(1)(d)", 'CASE DATA'!E107="709.8(1)(e)", 'CASE DATA'!E107="709.11(1)", 'CASE DATA'!E107="709.11(2)", 'CASE DATA'!E107="709.15(2)(a)(1)", 'CASE DATA'!E107="709.15(3)(a)(1)", 'CASE DATA'!E107="709.18", 'CASE DATA'!E107="709A.6(2)", 'CASE DATA'!E107="709D.3(1)", 'CASE DATA'!E107="709D.3(2)", 'CASE DATA'!E107="709.D.3(3)", 'CASE DATA'!E107="710.2", 'CASE DATA'!E107="710.3", 'CASE DATA'!E107="710.4", 'CASE DATA'!E107="710.5", 'CASE DATA'!E107="710.10(1)", 'CASE DATA'!E107="710.10(2)", 'CASE DATA'!E107="710.10(3)", 'CASE DATA'!E107="710.11", 'CASE DATA'!E107="710A.2(1)", 'CASE DATA'!E107="710A.2(2)", 'CASE DATA'!E107="710A.2(3)", 'CASE DATA'!E107="710A.2(4)", 'CASE DATA'!E107="710A.2(5)", 'CASE DATA'!E107="710A.2(6)", 'CASE DATA'!E107="710A.2(7)", 'CASE DATA'!E107="710A.2A", 'CASE DATA'!E107="711.2", 'CASE DATA'!E107="711.3", 'CASE DATA'!E107="711.4", 'CASE DATA'!E107="712.2", 'CASE DATA'!E107="712.3", 'CASE DATA'!E107="712.6(1)", 'CASE DATA'!E107="712.7", 'CASE DATA'!E107="712.8", 'CASE DATA'!E107="", 'CASE DATA'!E107="713.3", 'CASE DATA'!E107="713.4", 'CASE DATA'!E107="713.5", 'CASE DATA'!E107="713.6", 'CASE DATA'!E107="713.6A(1)", 'CASE DATA'!E107="714.2(1)", 'CASE DATA'!E107="714.2(2)", 'CASE DATA'!E107="714.3A(2)(b)", 'CASE DATA'!E107="714.9", 'CASE DATA'!E107="714.10", 'CASE DATA'!E107="714.26(2)(a)", 'CASE DATA'!E107="714.26(2)(b)", 'CASE DATA'!E107="715A.2(2)(a)", 'CASE DATA'!E107="715A.6(2)(a)", 'CASE DATA'!E107="715A.6(2)(b)", 'CASE DATA'!E107="715A.8(3)(a)", 'CASE DATA'!E107="715A.8(3)(b)", 'CASE DATA'!E107="715A.10(1)", 'CASE DATA'!E107="715A.10(2)", 'CASE DATA'!E107="716.3", 'CASE DATA'!E107="716.4", 'CASE DATA'!E107="716.8(6)", 'CASE DATA'!E107="716.10(2)(a)", 'CASE DATA'!E107="716.10(2)(b)", 'CASE DATA'!E107="716.10(2)(c)", 'CASE DATA'!E107="716.10(2)(d)", 'CASE DATA'!E107="716.12", 'CASE DATA'!E107="719.1(1)(f)", 'CASE DATA'!E107="719.1(2)(e)", 'CASE DATA'!E107="719.1(2)(f)", 'CASE DATA'!E107="719.1(2)(g)", 'CASE DATA'!E107="719.4(1)", 'CASE DATA'!E107="719.4(4)", 'CASE DATA'!E107="719.5(1)", 'CASE DATA'!E107="719.5(2)", 'CASE DATA'!E107="719.6(1)", 'CASE DATA'!E107="719.6(2)", 'CASE DATA'!E107="719.7(4)(a)", 'CASE DATA'!E107="719.7(4)(b)", 'CASE DATA'!E107="719.7A(3)", 'CASE DATA'!E107="719.9", 'CASE DATA'!E107="719.8", 'CASE DATA'!E107="720.2", 'CASE DATA'!E107="720.3", 'CASE DATA'!E107="721.1", 'CASE DATA'!E107="722.1", 'CASE DATA'!E107="", 'CASE DATA'!E107="722.2", 'CASE DATA'!E107="722.10", 'CASE DATA'!E107="723(5)(3)(c)", 'CASE DATA'!E107="723A.2", 'CASE DATA'!E107="723A.3(1)", 'CASE DATA'!E107="723A.3(2)", 'CASE DATA'!E107="724.1B", 'CASE DATA'!E107="724.1C", 'CASE DATA'!E107="724.3", 'CASE DATA'!E107="724.4B", 'CASE DATA'!E107="724.10", 'CASE DATA'!E107="724.16(2)", 'CASE DATA'!E107="724.16A(1)(a)", 'CASE DATA'!E107="724.16A(1)(b)", 'CASE DATA'!E107="724.17", 'CASE DATA'!E107="724.21", 'CASE DATA'!E107="724.26(1)", 'CASE DATA'!E107="922(g)(8)", 'CASE DATA'!E107="724.29A(2)", 'CASE DATA'!E107="724.29A(3)", 'CASE DATA'!E107="724.30(1)", 'CASE DATA'!E107="724.30(2)", 'CASE DATA'!E107="725.1(2)(b)", 'CASE DATA'!E107="725.2(1)", 'CASE DATA'!E107="725.2(2)", 'CASE DATA'!E107="725.3(2)", 'CASE DATA'!E107="725.3(1)", 'CASE DATA'!E107="725.7(2)(a)(3)", 'CASE DATA'!E107="725.7(2)(a)(4)", 'CASE DATA'!E107="725.7(2)(b)(2)", 'CASE DATA'!E107="725.7(2)(b(3)", 'CASE DATA'!E107="726.7(2)(c)(1)", 'CASE DATA'!E107="726.7(2)(c)(2)", 'CASE DATA'!E107="725.7(2)(d)", 'CASE DATA'!E107="726.2", 'CASE DATA'!E107="726.3", 'CASE DATA'!E107="726.5", 'CASE DATA'!E107="726.6(4)", 'CASE DATA'!E107="726.6(5)", 'CASE DATA'!E107="726.6(6)", 'CASE DATA'!E107="726.6A", 'CASE DATA'!E107="726.7(2)", 'CASE DATA'!E107="726.8(2)", 'CASE DATA'!E107="728.12(1)", 'CASE DATA'!E107="728.12(2)"),"felony","eligible"),"N/A")</f>
        <v>N/A</v>
      </c>
      <c r="M106" s="185" t="str">
        <f>IF(L106="eligible",IF(OR('CASE DATA'!E107="123.46",'CASE DATA'!E107="123.47",'CASE DATA'!E107="235B.20",'CASE DATA'!E107="321.218",'CASE DATA'!E107="321A.32",'CASE DATA'!E107="321J.21",'CASE DATA'!E107="321J.2",'CASE DATA'!E107="707.5",'CASE DATA'!E107="708.2(3)",'CASE DATA'!E107="708.2A",'CASE DATA'!E107="708.7",'CASE DATA'!E107="708.11",'CASE DATA'!E107="708.12",'CASE DATA'!E107="716.8(3)",'CASE DATA'!E107="716.8(4)", LEFT('CASE DATA'!E107,4)="717C", LEFT('CASE DATA'!E107, 3)="719", LEFT('CASE DATA'!E107,3)="720", 'CASE DATA'!E107="721.2", 'CASE DATA'!E107="721.10", 'CASE DATA'!E107="723.1", LEFT('CASE DATA'!E107,3)="724", LEFT('CASE DATA'!E107,3)="726", LEFT('CASE DATA'!E107,3)="728", LEFT('CASE DATA'!E107,4)="901A"),"ineligible misd", "eligible"),"N/A")</f>
        <v>N/A</v>
      </c>
      <c r="N106" s="185" t="str">
        <f>IF(L106="eligible",IF(COUNTIF('CASE DATA'!$C$4:$C$200, "")-COUNTIF('CASE DATA'!$A$4:$A$200, "")&gt;0, "YES","NO"),"N/A")</f>
        <v>N/A</v>
      </c>
      <c r="O106" s="185" t="str">
        <f xml:space="preserve"> IF(M106="eligible",'CASE DATA'!K107,"N/A")</f>
        <v>N/A</v>
      </c>
      <c r="P106" s="185" t="str">
        <f xml:space="preserve"> IF(M106="eligible",'CASE DATA'!I107+'CASE DATA'!J107+'CASE DATA'!L107+'CASE DATA'!M107+'CASE DATA'!N107+'CASE DATA'!O107+'CASE DATA'!M107+'CASE DATA'!Q107+'CASE DATA'!R107,"N/A")</f>
        <v>N/A</v>
      </c>
      <c r="Q106" s="11" t="str">
        <f>IF(M106="eligible",IF(C106+730.5&lt;'BASIC INFO'!$B$3, "YES", "NO"),"N/A")</f>
        <v>N/A</v>
      </c>
      <c r="R106" s="186" t="str">
        <f xml:space="preserve"> IF(OR('CASE DATA'!F107="DEF"), "YES", "NO")</f>
        <v>NO</v>
      </c>
      <c r="S106" s="162" t="str">
        <f>IF(R106="YES",'CASE DATA'!H107,"N/A")</f>
        <v>N/A</v>
      </c>
      <c r="T106" s="185" t="str">
        <f xml:space="preserve"> IF(R106="YES",'CASE DATA'!K107,"N/A")</f>
        <v>N/A</v>
      </c>
      <c r="U106" s="185" t="str">
        <f>IF(R106="YES",'CASE DATA'!I107+'CASE DATA'!J107+'CASE DATA'!L107+'CASE DATA'!M107+'CASE DATA'!N107+'CASE DATA'!O107+'CASE DATA'!P107+'CASE DATA'!Q107+'CASE DATA'!R107,"N/A")</f>
        <v>N/A</v>
      </c>
      <c r="V106" s="189" t="str">
        <f>IF(OR('CASE DATA'!E107="123.46",'CASE DATA'!E107="123.47"),"YES","NO")</f>
        <v>NO</v>
      </c>
      <c r="W106" s="189"/>
      <c r="X106" s="185" t="str">
        <f>IF(V106="YES",IF(C106+730.5&lt;'BASIC INFO'!$B$3, "YES","NO"), "N/A")</f>
        <v>N/A</v>
      </c>
      <c r="Y106" s="189" t="str">
        <f t="shared" si="2"/>
        <v>NO</v>
      </c>
      <c r="Z106" s="187" t="str">
        <f xml:space="preserve"> IF('BASIC INFO'!$B$6+6574.5&gt;C106, "YES", "NO")</f>
        <v>YES</v>
      </c>
    </row>
    <row r="107" spans="1:26" x14ac:dyDescent="0.25">
      <c r="A107" s="162">
        <f xml:space="preserve"> 'CASE DATA'!A108</f>
        <v>0</v>
      </c>
      <c r="B107" s="162">
        <f xml:space="preserve"> 'CASE DATA'!E108</f>
        <v>0</v>
      </c>
      <c r="C107" s="163">
        <f xml:space="preserve"> 'CASE DATA'!C108</f>
        <v>0</v>
      </c>
      <c r="D107" s="11" t="str">
        <f xml:space="preserve"> IF(OR('CASE DATA'!F108="JUV", 'CASE DATA'!F108="JWV"), "YES", "NO")</f>
        <v>NO</v>
      </c>
      <c r="E107" s="11"/>
      <c r="F107" s="11" t="str">
        <f>IF(D107="YES",IF(COUNTIF('CASE DATA'!$C$4:$C$200, "")-COUNTIF('CASE DATA'!$A$4:$A$200, "")&gt;0, "YES","NO"),"N/A")</f>
        <v>N/A</v>
      </c>
      <c r="G107" s="164" t="str">
        <f xml:space="preserve"> _xlfn.IFS(D107="NO", "N/A", AND('BASIC INFO'!$B$3&gt;'BASIC INFO'!$B$6+6574.5, C107+730.5&lt;'BASIC INFO'!$B$3), "YES", 'BASIC INFO'!$B$3&lt;('BASIC INFO'!$B$6+6574.5), "NOT YET 18", C107+730.5&gt;'BASIC INFO'!$B$3, "NOT YET 2 YEARS")</f>
        <v>N/A</v>
      </c>
      <c r="H107" s="186" t="str">
        <f xml:space="preserve"> IF(LEFT('CASE DATA'!E108,4)&lt;&gt;"321.",IF(OR('CASE DATA'!F108="DISM", 'CASE DATA'!F108="ACQ", 'CASE DATA'!F108="NOTF", 'CASE DATA'!F108="WTHD", 'CASE DATA'!F108="TNSF"), "YES", "NO"), "TRAFFIC")</f>
        <v>NO</v>
      </c>
      <c r="I107" s="185" t="str">
        <f xml:space="preserve"> IF(H107="YES",'CASE DATA'!K108,"N/A")</f>
        <v>N/A</v>
      </c>
      <c r="J107" s="185" t="str">
        <f>IF(H107="YES",'CASE DATA'!I108+'CASE DATA'!J108+'CASE DATA'!L108+'CASE DATA'!M108+'CASE DATA'!N108+'CASE DATA'!O108+'CASE DATA'!P108+'CASE DATA'!Q108+'CASE DATA'!R108,"N/A")</f>
        <v>N/A</v>
      </c>
      <c r="K107" s="162" t="str">
        <f xml:space="preserve"> IF(H107="YES",IF(C107+180&lt;'BASIC INFO'!$B$3, "YES", "NO"),"N/A")</f>
        <v>N/A</v>
      </c>
      <c r="L107" s="185" t="str">
        <f>IF(OR('CASE DATA'!F108="GTR", 'CASE DATA'!F108="GPL"),IF(OR('CASE DATA'!E108="81.6(2)", 'CASE DATA'!E108="99F.15(6)(b)(1)", 'CASE DATA'!E108= "124.401(1)(a)", 'CASE DATA'!E108= "124.401(1)(b)", 'CASE DATA'!E108= "124.401(1)(c)", 'CASE DATA'!E108= "124.401(1)(d)", 'CASE DATA'!E108="124.401(4)", 'CASE DATA'!E108="124.401(1)(b)", 'CASE DATA'!E108="124.401(1)(c)", 'CASE DATA'!E108="124.401D(2)(b)", 'CASE DATA'!E108="124.401D(2)(c)", 'CASE DATA'!E108="124.406(1)(a)", 'CASE DATA'!E108="124.406(1)(b) ", 'CASE DATA'!E108="124.406(2)(a)", 'CASE DATA'!E108="124.406(2)(b) ", 'CASE DATA'!E108="124.406(3)", 'CASE DATA'!E108="124.406A ", 'CASE DATA'!E108="124.407(2)(a)", 'CASE DATA'!E108="124B.9(1)", 'CASE DATA'!E108="124B.9(2)", 'CASE DATA'!E108="321J.2(2)(c)", 'CASE DATA'!E108="453B.12(2)", 'CASE DATA'!E108="453B.12(3)", 'CASE DATA'!E108="453B.12(4)", 'CASE DATA'!E108="462A.14(2)(c)", 'CASE DATA'!E108="462A.14(2)(d)", 'CASE DATA'!E108="462A.14(2)(e)", 'CASE DATA'!E108="705.1(2)", 'CASE DATA'!E108="706.3(1)", 'CASE DATA'!E108="706.3(2)", 'CASE DATA'!E108="706A.2(1)", 'CASE DATA'!E108="706A.2(2)", 'CASE DATA'!E108="706A.2(4)", 'CASE DATA'!E108="706B.2(1)(a)", 'CASE DATA'!E108="706B.2(1)(b)", 'CASE DATA'!E108="706B.2(1)(c)", 'CASE DATA'!E108="706B.2(1)(d)", 'CASE DATA'!E108="707.2", 'CASE DATA'!E108="707.3", 'CASE DATA'!E108="707.3A", 'CASE DATA'!E108="707.4", 'CASE DATA'!E108="707.5(1)(a)", 'CASE DATA'!E108="707.6A(1)", 'CASE DATA'!E108="707.6A(2)", 'CASE DATA'!E108="707.6A(3)", 'CASE DATA'!E108="707.6A(4)", 'CASE DATA'!E108="707.7(1)", 'CASE DATA'!E108="707.7(3)", 'CASE DATA'!E108="707.7(2)", 'CASE DATA'!E108="707.8(1)", 'CASE DATA'!E108="707.8(2)", 'CASE DATA'!E108="707.8(3)", 'CASE DATA'!E108="707.8(4)", 'CASE DATA'!E108="707.8(5)", 'CASE DATA'!E108="707.8(6)", 'CASE DATA'!E108="707.9", 'CASE DATA'!E108="707.11", 'CASE DATA'!E108="707A.2", 'CASE DATA'!E108="708.2(4)", 'CASE DATA'!E108="708.2(5)", 'CASE DATA'!E108="708.2A(4)", 'CASE DATA'!E108="708.2A(5)", 'CASE DATA'!E108="708.2C(2)", 'CASE DATA'!E108="708.2C(4)", 'CASE DATA'!E108="708.3(1)", 'CASE DATA'!E108="708.3(2)", 'CASE DATA'!E108="708.3A(1)", 'CASE DATA'!E108="708.3A(2)", 'CASE DATA'!E108="708.3B", 'CASE DATA'!E108="708.4(1)", 'CASE DATA'!E108="708.4(2)", 'CASE DATA'!E108="708.5", 'CASE DATA'!E108="708.8", 'CASE DATA'!E108="708.11(3)(a)", 'CASE DATA'!E108="708.11(3)(b)", 'CASE DATA'!E108="708.12(3)(f)", 'CASE DATA'!E108="708.13(3)", 'CASE DATA'!E108="708.14", 'CASE DATA'!E108="708A.2", 'CASE DATA'!E108="708A.4(1)", 'CASE DATA'!E108="708A.4(2)", 'CASE DATA'!E108="708A.5", 'CASE DATA'!E108="708A.6(1)", 'CASE DATA'!E108="708.A.6(2)", 'CASE DATA'!E108="709.2", 'CASE DATA'!E108="709.3", 'CASE DATA'!E108="709.4", 'CASE DATA'!E108="709.8(1)(a)", 'CASE DATA'!E108="709.8(1)(b)", 'CASE DATA'!E108="709.8(1)(c)", 'CASE DATA'!E108="709.8(1)(d)", 'CASE DATA'!E108="709.8(1)(e)", 'CASE DATA'!E108="709.11(1)", 'CASE DATA'!E108="709.11(2)", 'CASE DATA'!E108="709.15(2)(a)(1)", 'CASE DATA'!E108="709.15(3)(a)(1)", 'CASE DATA'!E108="709.18", 'CASE DATA'!E108="709A.6(2)", 'CASE DATA'!E108="709D.3(1)", 'CASE DATA'!E108="709D.3(2)", 'CASE DATA'!E108="709.D.3(3)", 'CASE DATA'!E108="710.2", 'CASE DATA'!E108="710.3", 'CASE DATA'!E108="710.4", 'CASE DATA'!E108="710.5", 'CASE DATA'!E108="710.10(1)", 'CASE DATA'!E108="710.10(2)", 'CASE DATA'!E108="710.10(3)", 'CASE DATA'!E108="710.11", 'CASE DATA'!E108="710A.2(1)", 'CASE DATA'!E108="710A.2(2)", 'CASE DATA'!E108="710A.2(3)", 'CASE DATA'!E108="710A.2(4)", 'CASE DATA'!E108="710A.2(5)", 'CASE DATA'!E108="710A.2(6)", 'CASE DATA'!E108="710A.2(7)", 'CASE DATA'!E108="710A.2A", 'CASE DATA'!E108="711.2", 'CASE DATA'!E108="711.3", 'CASE DATA'!E108="711.4", 'CASE DATA'!E108="712.2", 'CASE DATA'!E108="712.3", 'CASE DATA'!E108="712.6(1)", 'CASE DATA'!E108="712.7", 'CASE DATA'!E108="712.8", 'CASE DATA'!E108="", 'CASE DATA'!E108="713.3", 'CASE DATA'!E108="713.4", 'CASE DATA'!E108="713.5", 'CASE DATA'!E108="713.6", 'CASE DATA'!E108="713.6A(1)", 'CASE DATA'!E108="714.2(1)", 'CASE DATA'!E108="714.2(2)", 'CASE DATA'!E108="714.3A(2)(b)", 'CASE DATA'!E108="714.9", 'CASE DATA'!E108="714.10", 'CASE DATA'!E108="714.26(2)(a)", 'CASE DATA'!E108="714.26(2)(b)", 'CASE DATA'!E108="715A.2(2)(a)", 'CASE DATA'!E108="715A.6(2)(a)", 'CASE DATA'!E108="715A.6(2)(b)", 'CASE DATA'!E108="715A.8(3)(a)", 'CASE DATA'!E108="715A.8(3)(b)", 'CASE DATA'!E108="715A.10(1)", 'CASE DATA'!E108="715A.10(2)", 'CASE DATA'!E108="716.3", 'CASE DATA'!E108="716.4", 'CASE DATA'!E108="716.8(6)", 'CASE DATA'!E108="716.10(2)(a)", 'CASE DATA'!E108="716.10(2)(b)", 'CASE DATA'!E108="716.10(2)(c)", 'CASE DATA'!E108="716.10(2)(d)", 'CASE DATA'!E108="716.12", 'CASE DATA'!E108="719.1(1)(f)", 'CASE DATA'!E108="719.1(2)(e)", 'CASE DATA'!E108="719.1(2)(f)", 'CASE DATA'!E108="719.1(2)(g)", 'CASE DATA'!E108="719.4(1)", 'CASE DATA'!E108="719.4(4)", 'CASE DATA'!E108="719.5(1)", 'CASE DATA'!E108="719.5(2)", 'CASE DATA'!E108="719.6(1)", 'CASE DATA'!E108="719.6(2)", 'CASE DATA'!E108="719.7(4)(a)", 'CASE DATA'!E108="719.7(4)(b)", 'CASE DATA'!E108="719.7A(3)", 'CASE DATA'!E108="719.9", 'CASE DATA'!E108="719.8", 'CASE DATA'!E108="720.2", 'CASE DATA'!E108="720.3", 'CASE DATA'!E108="721.1", 'CASE DATA'!E108="722.1", 'CASE DATA'!E108="", 'CASE DATA'!E108="722.2", 'CASE DATA'!E108="722.10", 'CASE DATA'!E108="723(5)(3)(c)", 'CASE DATA'!E108="723A.2", 'CASE DATA'!E108="723A.3(1)", 'CASE DATA'!E108="723A.3(2)", 'CASE DATA'!E108="724.1B", 'CASE DATA'!E108="724.1C", 'CASE DATA'!E108="724.3", 'CASE DATA'!E108="724.4B", 'CASE DATA'!E108="724.10", 'CASE DATA'!E108="724.16(2)", 'CASE DATA'!E108="724.16A(1)(a)", 'CASE DATA'!E108="724.16A(1)(b)", 'CASE DATA'!E108="724.17", 'CASE DATA'!E108="724.21", 'CASE DATA'!E108="724.26(1)", 'CASE DATA'!E108="922(g)(8)", 'CASE DATA'!E108="724.29A(2)", 'CASE DATA'!E108="724.29A(3)", 'CASE DATA'!E108="724.30(1)", 'CASE DATA'!E108="724.30(2)", 'CASE DATA'!E108="725.1(2)(b)", 'CASE DATA'!E108="725.2(1)", 'CASE DATA'!E108="725.2(2)", 'CASE DATA'!E108="725.3(2)", 'CASE DATA'!E108="725.3(1)", 'CASE DATA'!E108="725.7(2)(a)(3)", 'CASE DATA'!E108="725.7(2)(a)(4)", 'CASE DATA'!E108="725.7(2)(b)(2)", 'CASE DATA'!E108="725.7(2)(b(3)", 'CASE DATA'!E108="726.7(2)(c)(1)", 'CASE DATA'!E108="726.7(2)(c)(2)", 'CASE DATA'!E108="725.7(2)(d)", 'CASE DATA'!E108="726.2", 'CASE DATA'!E108="726.3", 'CASE DATA'!E108="726.5", 'CASE DATA'!E108="726.6(4)", 'CASE DATA'!E108="726.6(5)", 'CASE DATA'!E108="726.6(6)", 'CASE DATA'!E108="726.6A", 'CASE DATA'!E108="726.7(2)", 'CASE DATA'!E108="726.8(2)", 'CASE DATA'!E108="728.12(1)", 'CASE DATA'!E108="728.12(2)"),"felony","eligible"),"N/A")</f>
        <v>N/A</v>
      </c>
      <c r="M107" s="185" t="str">
        <f>IF(L107="eligible",IF(OR('CASE DATA'!E108="123.46",'CASE DATA'!E108="123.47",'CASE DATA'!E108="235B.20",'CASE DATA'!E108="321.218",'CASE DATA'!E108="321A.32",'CASE DATA'!E108="321J.21",'CASE DATA'!E108="321J.2",'CASE DATA'!E108="707.5",'CASE DATA'!E108="708.2(3)",'CASE DATA'!E108="708.2A",'CASE DATA'!E108="708.7",'CASE DATA'!E108="708.11",'CASE DATA'!E108="708.12",'CASE DATA'!E108="716.8(3)",'CASE DATA'!E108="716.8(4)", LEFT('CASE DATA'!E108,4)="717C", LEFT('CASE DATA'!E108, 3)="719", LEFT('CASE DATA'!E108,3)="720", 'CASE DATA'!E108="721.2", 'CASE DATA'!E108="721.10", 'CASE DATA'!E108="723.1", LEFT('CASE DATA'!E108,3)="724", LEFT('CASE DATA'!E108,3)="726", LEFT('CASE DATA'!E108,3)="728", LEFT('CASE DATA'!E108,4)="901A"),"ineligible misd", "eligible"),"N/A")</f>
        <v>N/A</v>
      </c>
      <c r="N107" s="185" t="str">
        <f>IF(L107="eligible",IF(COUNTIF('CASE DATA'!$C$4:$C$200, "")-COUNTIF('CASE DATA'!$A$4:$A$200, "")&gt;0, "YES","NO"),"N/A")</f>
        <v>N/A</v>
      </c>
      <c r="O107" s="185" t="str">
        <f xml:space="preserve"> IF(M107="eligible",'CASE DATA'!K108,"N/A")</f>
        <v>N/A</v>
      </c>
      <c r="P107" s="185" t="str">
        <f xml:space="preserve"> IF(M107="eligible",'CASE DATA'!I108+'CASE DATA'!J108+'CASE DATA'!L108+'CASE DATA'!M108+'CASE DATA'!N108+'CASE DATA'!O108+'CASE DATA'!M108+'CASE DATA'!Q108+'CASE DATA'!R108,"N/A")</f>
        <v>N/A</v>
      </c>
      <c r="Q107" s="11" t="str">
        <f>IF(M107="eligible",IF(C107+730.5&lt;'BASIC INFO'!$B$3, "YES", "NO"),"N/A")</f>
        <v>N/A</v>
      </c>
      <c r="R107" s="186" t="str">
        <f xml:space="preserve"> IF(OR('CASE DATA'!F108="DEF"), "YES", "NO")</f>
        <v>NO</v>
      </c>
      <c r="S107" s="162" t="str">
        <f>IF(R107="YES",'CASE DATA'!H108,"N/A")</f>
        <v>N/A</v>
      </c>
      <c r="T107" s="185" t="str">
        <f xml:space="preserve"> IF(R107="YES",'CASE DATA'!K108,"N/A")</f>
        <v>N/A</v>
      </c>
      <c r="U107" s="185" t="str">
        <f>IF(R107="YES",'CASE DATA'!I108+'CASE DATA'!J108+'CASE DATA'!L108+'CASE DATA'!M108+'CASE DATA'!N108+'CASE DATA'!O108+'CASE DATA'!P108+'CASE DATA'!Q108+'CASE DATA'!R108,"N/A")</f>
        <v>N/A</v>
      </c>
      <c r="V107" s="189" t="str">
        <f>IF(OR('CASE DATA'!E108="123.46",'CASE DATA'!E108="123.47"),"YES","NO")</f>
        <v>NO</v>
      </c>
      <c r="W107" s="189"/>
      <c r="X107" s="185" t="str">
        <f>IF(V107="YES",IF(C107+730.5&lt;'BASIC INFO'!$B$3, "YES","NO"), "N/A")</f>
        <v>N/A</v>
      </c>
      <c r="Y107" s="189" t="str">
        <f t="shared" si="2"/>
        <v>NO</v>
      </c>
      <c r="Z107" s="187" t="str">
        <f xml:space="preserve"> IF('BASIC INFO'!$B$6+6574.5&gt;C107, "YES", "NO")</f>
        <v>YES</v>
      </c>
    </row>
    <row r="108" spans="1:26" x14ac:dyDescent="0.25">
      <c r="A108" s="162">
        <f xml:space="preserve"> 'CASE DATA'!A109</f>
        <v>0</v>
      </c>
      <c r="B108" s="162">
        <f xml:space="preserve"> 'CASE DATA'!E109</f>
        <v>0</v>
      </c>
      <c r="C108" s="163">
        <f xml:space="preserve"> 'CASE DATA'!C109</f>
        <v>0</v>
      </c>
      <c r="D108" s="11" t="str">
        <f xml:space="preserve"> IF(OR('CASE DATA'!F109="JUV", 'CASE DATA'!F109="JWV"), "YES", "NO")</f>
        <v>NO</v>
      </c>
      <c r="E108" s="11"/>
      <c r="F108" s="11" t="str">
        <f>IF(D108="YES",IF(COUNTIF('CASE DATA'!$C$4:$C$200, "")-COUNTIF('CASE DATA'!$A$4:$A$200, "")&gt;0, "YES","NO"),"N/A")</f>
        <v>N/A</v>
      </c>
      <c r="G108" s="164" t="str">
        <f xml:space="preserve"> _xlfn.IFS(D108="NO", "N/A", AND('BASIC INFO'!$B$3&gt;'BASIC INFO'!$B$6+6574.5, C108+730.5&lt;'BASIC INFO'!$B$3), "YES", 'BASIC INFO'!$B$3&lt;('BASIC INFO'!$B$6+6574.5), "NOT YET 18", C108+730.5&gt;'BASIC INFO'!$B$3, "NOT YET 2 YEARS")</f>
        <v>N/A</v>
      </c>
      <c r="H108" s="186" t="str">
        <f xml:space="preserve"> IF(LEFT('CASE DATA'!E109,4)&lt;&gt;"321.",IF(OR('CASE DATA'!F109="DISM", 'CASE DATA'!F109="ACQ", 'CASE DATA'!F109="NOTF", 'CASE DATA'!F109="WTHD", 'CASE DATA'!F109="TNSF"), "YES", "NO"), "TRAFFIC")</f>
        <v>NO</v>
      </c>
      <c r="I108" s="185" t="str">
        <f xml:space="preserve"> IF(H108="YES",'CASE DATA'!K109,"N/A")</f>
        <v>N/A</v>
      </c>
      <c r="J108" s="185" t="str">
        <f>IF(H108="YES",'CASE DATA'!I109+'CASE DATA'!J109+'CASE DATA'!L109+'CASE DATA'!M109+'CASE DATA'!N109+'CASE DATA'!O109+'CASE DATA'!P109+'CASE DATA'!Q109+'CASE DATA'!R109,"N/A")</f>
        <v>N/A</v>
      </c>
      <c r="K108" s="162" t="str">
        <f xml:space="preserve"> IF(H108="YES",IF(C108+180&lt;'BASIC INFO'!$B$3, "YES", "NO"),"N/A")</f>
        <v>N/A</v>
      </c>
      <c r="L108" s="185" t="str">
        <f>IF(OR('CASE DATA'!F109="GTR", 'CASE DATA'!F109="GPL"),IF(OR('CASE DATA'!E109="81.6(2)", 'CASE DATA'!E109="99F.15(6)(b)(1)", 'CASE DATA'!E109= "124.401(1)(a)", 'CASE DATA'!E109= "124.401(1)(b)", 'CASE DATA'!E109= "124.401(1)(c)", 'CASE DATA'!E109= "124.401(1)(d)", 'CASE DATA'!E109="124.401(4)", 'CASE DATA'!E109="124.401(1)(b)", 'CASE DATA'!E109="124.401(1)(c)", 'CASE DATA'!E109="124.401D(2)(b)", 'CASE DATA'!E109="124.401D(2)(c)", 'CASE DATA'!E109="124.406(1)(a)", 'CASE DATA'!E109="124.406(1)(b) ", 'CASE DATA'!E109="124.406(2)(a)", 'CASE DATA'!E109="124.406(2)(b) ", 'CASE DATA'!E109="124.406(3)", 'CASE DATA'!E109="124.406A ", 'CASE DATA'!E109="124.407(2)(a)", 'CASE DATA'!E109="124B.9(1)", 'CASE DATA'!E109="124B.9(2)", 'CASE DATA'!E109="321J.2(2)(c)", 'CASE DATA'!E109="453B.12(2)", 'CASE DATA'!E109="453B.12(3)", 'CASE DATA'!E109="453B.12(4)", 'CASE DATA'!E109="462A.14(2)(c)", 'CASE DATA'!E109="462A.14(2)(d)", 'CASE DATA'!E109="462A.14(2)(e)", 'CASE DATA'!E109="705.1(2)", 'CASE DATA'!E109="706.3(1)", 'CASE DATA'!E109="706.3(2)", 'CASE DATA'!E109="706A.2(1)", 'CASE DATA'!E109="706A.2(2)", 'CASE DATA'!E109="706A.2(4)", 'CASE DATA'!E109="706B.2(1)(a)", 'CASE DATA'!E109="706B.2(1)(b)", 'CASE DATA'!E109="706B.2(1)(c)", 'CASE DATA'!E109="706B.2(1)(d)", 'CASE DATA'!E109="707.2", 'CASE DATA'!E109="707.3", 'CASE DATA'!E109="707.3A", 'CASE DATA'!E109="707.4", 'CASE DATA'!E109="707.5(1)(a)", 'CASE DATA'!E109="707.6A(1)", 'CASE DATA'!E109="707.6A(2)", 'CASE DATA'!E109="707.6A(3)", 'CASE DATA'!E109="707.6A(4)", 'CASE DATA'!E109="707.7(1)", 'CASE DATA'!E109="707.7(3)", 'CASE DATA'!E109="707.7(2)", 'CASE DATA'!E109="707.8(1)", 'CASE DATA'!E109="707.8(2)", 'CASE DATA'!E109="707.8(3)", 'CASE DATA'!E109="707.8(4)", 'CASE DATA'!E109="707.8(5)", 'CASE DATA'!E109="707.8(6)", 'CASE DATA'!E109="707.9", 'CASE DATA'!E109="707.11", 'CASE DATA'!E109="707A.2", 'CASE DATA'!E109="708.2(4)", 'CASE DATA'!E109="708.2(5)", 'CASE DATA'!E109="708.2A(4)", 'CASE DATA'!E109="708.2A(5)", 'CASE DATA'!E109="708.2C(2)", 'CASE DATA'!E109="708.2C(4)", 'CASE DATA'!E109="708.3(1)", 'CASE DATA'!E109="708.3(2)", 'CASE DATA'!E109="708.3A(1)", 'CASE DATA'!E109="708.3A(2)", 'CASE DATA'!E109="708.3B", 'CASE DATA'!E109="708.4(1)", 'CASE DATA'!E109="708.4(2)", 'CASE DATA'!E109="708.5", 'CASE DATA'!E109="708.8", 'CASE DATA'!E109="708.11(3)(a)", 'CASE DATA'!E109="708.11(3)(b)", 'CASE DATA'!E109="708.12(3)(f)", 'CASE DATA'!E109="708.13(3)", 'CASE DATA'!E109="708.14", 'CASE DATA'!E109="708A.2", 'CASE DATA'!E109="708A.4(1)", 'CASE DATA'!E109="708A.4(2)", 'CASE DATA'!E109="708A.5", 'CASE DATA'!E109="708A.6(1)", 'CASE DATA'!E109="708.A.6(2)", 'CASE DATA'!E109="709.2", 'CASE DATA'!E109="709.3", 'CASE DATA'!E109="709.4", 'CASE DATA'!E109="709.8(1)(a)", 'CASE DATA'!E109="709.8(1)(b)", 'CASE DATA'!E109="709.8(1)(c)", 'CASE DATA'!E109="709.8(1)(d)", 'CASE DATA'!E109="709.8(1)(e)", 'CASE DATA'!E109="709.11(1)", 'CASE DATA'!E109="709.11(2)", 'CASE DATA'!E109="709.15(2)(a)(1)", 'CASE DATA'!E109="709.15(3)(a)(1)", 'CASE DATA'!E109="709.18", 'CASE DATA'!E109="709A.6(2)", 'CASE DATA'!E109="709D.3(1)", 'CASE DATA'!E109="709D.3(2)", 'CASE DATA'!E109="709.D.3(3)", 'CASE DATA'!E109="710.2", 'CASE DATA'!E109="710.3", 'CASE DATA'!E109="710.4", 'CASE DATA'!E109="710.5", 'CASE DATA'!E109="710.10(1)", 'CASE DATA'!E109="710.10(2)", 'CASE DATA'!E109="710.10(3)", 'CASE DATA'!E109="710.11", 'CASE DATA'!E109="710A.2(1)", 'CASE DATA'!E109="710A.2(2)", 'CASE DATA'!E109="710A.2(3)", 'CASE DATA'!E109="710A.2(4)", 'CASE DATA'!E109="710A.2(5)", 'CASE DATA'!E109="710A.2(6)", 'CASE DATA'!E109="710A.2(7)", 'CASE DATA'!E109="710A.2A", 'CASE DATA'!E109="711.2", 'CASE DATA'!E109="711.3", 'CASE DATA'!E109="711.4", 'CASE DATA'!E109="712.2", 'CASE DATA'!E109="712.3", 'CASE DATA'!E109="712.6(1)", 'CASE DATA'!E109="712.7", 'CASE DATA'!E109="712.8", 'CASE DATA'!E109="", 'CASE DATA'!E109="713.3", 'CASE DATA'!E109="713.4", 'CASE DATA'!E109="713.5", 'CASE DATA'!E109="713.6", 'CASE DATA'!E109="713.6A(1)", 'CASE DATA'!E109="714.2(1)", 'CASE DATA'!E109="714.2(2)", 'CASE DATA'!E109="714.3A(2)(b)", 'CASE DATA'!E109="714.9", 'CASE DATA'!E109="714.10", 'CASE DATA'!E109="714.26(2)(a)", 'CASE DATA'!E109="714.26(2)(b)", 'CASE DATA'!E109="715A.2(2)(a)", 'CASE DATA'!E109="715A.6(2)(a)", 'CASE DATA'!E109="715A.6(2)(b)", 'CASE DATA'!E109="715A.8(3)(a)", 'CASE DATA'!E109="715A.8(3)(b)", 'CASE DATA'!E109="715A.10(1)", 'CASE DATA'!E109="715A.10(2)", 'CASE DATA'!E109="716.3", 'CASE DATA'!E109="716.4", 'CASE DATA'!E109="716.8(6)", 'CASE DATA'!E109="716.10(2)(a)", 'CASE DATA'!E109="716.10(2)(b)", 'CASE DATA'!E109="716.10(2)(c)", 'CASE DATA'!E109="716.10(2)(d)", 'CASE DATA'!E109="716.12", 'CASE DATA'!E109="719.1(1)(f)", 'CASE DATA'!E109="719.1(2)(e)", 'CASE DATA'!E109="719.1(2)(f)", 'CASE DATA'!E109="719.1(2)(g)", 'CASE DATA'!E109="719.4(1)", 'CASE DATA'!E109="719.4(4)", 'CASE DATA'!E109="719.5(1)", 'CASE DATA'!E109="719.5(2)", 'CASE DATA'!E109="719.6(1)", 'CASE DATA'!E109="719.6(2)", 'CASE DATA'!E109="719.7(4)(a)", 'CASE DATA'!E109="719.7(4)(b)", 'CASE DATA'!E109="719.7A(3)", 'CASE DATA'!E109="719.9", 'CASE DATA'!E109="719.8", 'CASE DATA'!E109="720.2", 'CASE DATA'!E109="720.3", 'CASE DATA'!E109="721.1", 'CASE DATA'!E109="722.1", 'CASE DATA'!E109="", 'CASE DATA'!E109="722.2", 'CASE DATA'!E109="722.10", 'CASE DATA'!E109="723(5)(3)(c)", 'CASE DATA'!E109="723A.2", 'CASE DATA'!E109="723A.3(1)", 'CASE DATA'!E109="723A.3(2)", 'CASE DATA'!E109="724.1B", 'CASE DATA'!E109="724.1C", 'CASE DATA'!E109="724.3", 'CASE DATA'!E109="724.4B", 'CASE DATA'!E109="724.10", 'CASE DATA'!E109="724.16(2)", 'CASE DATA'!E109="724.16A(1)(a)", 'CASE DATA'!E109="724.16A(1)(b)", 'CASE DATA'!E109="724.17", 'CASE DATA'!E109="724.21", 'CASE DATA'!E109="724.26(1)", 'CASE DATA'!E109="922(g)(8)", 'CASE DATA'!E109="724.29A(2)", 'CASE DATA'!E109="724.29A(3)", 'CASE DATA'!E109="724.30(1)", 'CASE DATA'!E109="724.30(2)", 'CASE DATA'!E109="725.1(2)(b)", 'CASE DATA'!E109="725.2(1)", 'CASE DATA'!E109="725.2(2)", 'CASE DATA'!E109="725.3(2)", 'CASE DATA'!E109="725.3(1)", 'CASE DATA'!E109="725.7(2)(a)(3)", 'CASE DATA'!E109="725.7(2)(a)(4)", 'CASE DATA'!E109="725.7(2)(b)(2)", 'CASE DATA'!E109="725.7(2)(b(3)", 'CASE DATA'!E109="726.7(2)(c)(1)", 'CASE DATA'!E109="726.7(2)(c)(2)", 'CASE DATA'!E109="725.7(2)(d)", 'CASE DATA'!E109="726.2", 'CASE DATA'!E109="726.3", 'CASE DATA'!E109="726.5", 'CASE DATA'!E109="726.6(4)", 'CASE DATA'!E109="726.6(5)", 'CASE DATA'!E109="726.6(6)", 'CASE DATA'!E109="726.6A", 'CASE DATA'!E109="726.7(2)", 'CASE DATA'!E109="726.8(2)", 'CASE DATA'!E109="728.12(1)", 'CASE DATA'!E109="728.12(2)"),"felony","eligible"),"N/A")</f>
        <v>N/A</v>
      </c>
      <c r="M108" s="185" t="str">
        <f>IF(L108="eligible",IF(OR('CASE DATA'!E109="123.46",'CASE DATA'!E109="123.47",'CASE DATA'!E109="235B.20",'CASE DATA'!E109="321.218",'CASE DATA'!E109="321A.32",'CASE DATA'!E109="321J.21",'CASE DATA'!E109="321J.2",'CASE DATA'!E109="707.5",'CASE DATA'!E109="708.2(3)",'CASE DATA'!E109="708.2A",'CASE DATA'!E109="708.7",'CASE DATA'!E109="708.11",'CASE DATA'!E109="708.12",'CASE DATA'!E109="716.8(3)",'CASE DATA'!E109="716.8(4)", LEFT('CASE DATA'!E109,4)="717C", LEFT('CASE DATA'!E109, 3)="719", LEFT('CASE DATA'!E109,3)="720", 'CASE DATA'!E109="721.2", 'CASE DATA'!E109="721.10", 'CASE DATA'!E109="723.1", LEFT('CASE DATA'!E109,3)="724", LEFT('CASE DATA'!E109,3)="726", LEFT('CASE DATA'!E109,3)="728", LEFT('CASE DATA'!E109,4)="901A"),"ineligible misd", "eligible"),"N/A")</f>
        <v>N/A</v>
      </c>
      <c r="N108" s="185" t="str">
        <f>IF(L108="eligible",IF(COUNTIF('CASE DATA'!$C$4:$C$200, "")-COUNTIF('CASE DATA'!$A$4:$A$200, "")&gt;0, "YES","NO"),"N/A")</f>
        <v>N/A</v>
      </c>
      <c r="O108" s="185" t="str">
        <f xml:space="preserve"> IF(M108="eligible",'CASE DATA'!K109,"N/A")</f>
        <v>N/A</v>
      </c>
      <c r="P108" s="185" t="str">
        <f xml:space="preserve"> IF(M108="eligible",'CASE DATA'!I109+'CASE DATA'!J109+'CASE DATA'!L109+'CASE DATA'!M109+'CASE DATA'!N109+'CASE DATA'!O109+'CASE DATA'!M109+'CASE DATA'!Q109+'CASE DATA'!R109,"N/A")</f>
        <v>N/A</v>
      </c>
      <c r="Q108" s="11" t="str">
        <f>IF(M108="eligible",IF(C108+730.5&lt;'BASIC INFO'!$B$3, "YES", "NO"),"N/A")</f>
        <v>N/A</v>
      </c>
      <c r="R108" s="186" t="str">
        <f xml:space="preserve"> IF(OR('CASE DATA'!F109="DEF"), "YES", "NO")</f>
        <v>NO</v>
      </c>
      <c r="S108" s="162" t="str">
        <f>IF(R108="YES",'CASE DATA'!H109,"N/A")</f>
        <v>N/A</v>
      </c>
      <c r="T108" s="185" t="str">
        <f xml:space="preserve"> IF(R108="YES",'CASE DATA'!K109,"N/A")</f>
        <v>N/A</v>
      </c>
      <c r="U108" s="185" t="str">
        <f>IF(R108="YES",'CASE DATA'!I109+'CASE DATA'!J109+'CASE DATA'!L109+'CASE DATA'!M109+'CASE DATA'!N109+'CASE DATA'!O109+'CASE DATA'!P109+'CASE DATA'!Q109+'CASE DATA'!R109,"N/A")</f>
        <v>N/A</v>
      </c>
      <c r="V108" s="189" t="str">
        <f>IF(OR('CASE DATA'!E109="123.46",'CASE DATA'!E109="123.47"),"YES","NO")</f>
        <v>NO</v>
      </c>
      <c r="W108" s="189"/>
      <c r="X108" s="185" t="str">
        <f>IF(V108="YES",IF(C108+730.5&lt;'BASIC INFO'!$B$3, "YES","NO"), "N/A")</f>
        <v>N/A</v>
      </c>
      <c r="Y108" s="189" t="str">
        <f t="shared" si="2"/>
        <v>NO</v>
      </c>
      <c r="Z108" s="187" t="str">
        <f xml:space="preserve"> IF('BASIC INFO'!$B$6+6574.5&gt;C108, "YES", "NO")</f>
        <v>YES</v>
      </c>
    </row>
    <row r="109" spans="1:26" x14ac:dyDescent="0.25">
      <c r="A109" s="162">
        <f xml:space="preserve"> 'CASE DATA'!A110</f>
        <v>0</v>
      </c>
      <c r="B109" s="162">
        <f xml:space="preserve"> 'CASE DATA'!E110</f>
        <v>0</v>
      </c>
      <c r="C109" s="163">
        <f xml:space="preserve"> 'CASE DATA'!C110</f>
        <v>0</v>
      </c>
      <c r="D109" s="11" t="str">
        <f xml:space="preserve"> IF(OR('CASE DATA'!F110="JUV", 'CASE DATA'!F110="JWV"), "YES", "NO")</f>
        <v>NO</v>
      </c>
      <c r="E109" s="11"/>
      <c r="F109" s="11" t="str">
        <f>IF(D109="YES",IF(COUNTIF('CASE DATA'!$C$4:$C$200, "")-COUNTIF('CASE DATA'!$A$4:$A$200, "")&gt;0, "YES","NO"),"N/A")</f>
        <v>N/A</v>
      </c>
      <c r="G109" s="164" t="str">
        <f xml:space="preserve"> _xlfn.IFS(D109="NO", "N/A", AND('BASIC INFO'!$B$3&gt;'BASIC INFO'!$B$6+6574.5, C109+730.5&lt;'BASIC INFO'!$B$3), "YES", 'BASIC INFO'!$B$3&lt;('BASIC INFO'!$B$6+6574.5), "NOT YET 18", C109+730.5&gt;'BASIC INFO'!$B$3, "NOT YET 2 YEARS")</f>
        <v>N/A</v>
      </c>
      <c r="H109" s="186" t="str">
        <f xml:space="preserve"> IF(LEFT('CASE DATA'!E110,4)&lt;&gt;"321.",IF(OR('CASE DATA'!F110="DISM", 'CASE DATA'!F110="ACQ", 'CASE DATA'!F110="NOTF", 'CASE DATA'!F110="WTHD", 'CASE DATA'!F110="TNSF"), "YES", "NO"), "TRAFFIC")</f>
        <v>NO</v>
      </c>
      <c r="I109" s="185" t="str">
        <f xml:space="preserve"> IF(H109="YES",'CASE DATA'!K110,"N/A")</f>
        <v>N/A</v>
      </c>
      <c r="J109" s="185" t="str">
        <f>IF(H109="YES",'CASE DATA'!I110+'CASE DATA'!J110+'CASE DATA'!L110+'CASE DATA'!M110+'CASE DATA'!N110+'CASE DATA'!O110+'CASE DATA'!P110+'CASE DATA'!Q110+'CASE DATA'!R110,"N/A")</f>
        <v>N/A</v>
      </c>
      <c r="K109" s="162" t="str">
        <f xml:space="preserve"> IF(H109="YES",IF(C109+180&lt;'BASIC INFO'!$B$3, "YES", "NO"),"N/A")</f>
        <v>N/A</v>
      </c>
      <c r="L109" s="185" t="str">
        <f>IF(OR('CASE DATA'!F110="GTR", 'CASE DATA'!F110="GPL"),IF(OR('CASE DATA'!E110="81.6(2)", 'CASE DATA'!E110="99F.15(6)(b)(1)", 'CASE DATA'!E110= "124.401(1)(a)", 'CASE DATA'!E110= "124.401(1)(b)", 'CASE DATA'!E110= "124.401(1)(c)", 'CASE DATA'!E110= "124.401(1)(d)", 'CASE DATA'!E110="124.401(4)", 'CASE DATA'!E110="124.401(1)(b)", 'CASE DATA'!E110="124.401(1)(c)", 'CASE DATA'!E110="124.401D(2)(b)", 'CASE DATA'!E110="124.401D(2)(c)", 'CASE DATA'!E110="124.406(1)(a)", 'CASE DATA'!E110="124.406(1)(b) ", 'CASE DATA'!E110="124.406(2)(a)", 'CASE DATA'!E110="124.406(2)(b) ", 'CASE DATA'!E110="124.406(3)", 'CASE DATA'!E110="124.406A ", 'CASE DATA'!E110="124.407(2)(a)", 'CASE DATA'!E110="124B.9(1)", 'CASE DATA'!E110="124B.9(2)", 'CASE DATA'!E110="321J.2(2)(c)", 'CASE DATA'!E110="453B.12(2)", 'CASE DATA'!E110="453B.12(3)", 'CASE DATA'!E110="453B.12(4)", 'CASE DATA'!E110="462A.14(2)(c)", 'CASE DATA'!E110="462A.14(2)(d)", 'CASE DATA'!E110="462A.14(2)(e)", 'CASE DATA'!E110="705.1(2)", 'CASE DATA'!E110="706.3(1)", 'CASE DATA'!E110="706.3(2)", 'CASE DATA'!E110="706A.2(1)", 'CASE DATA'!E110="706A.2(2)", 'CASE DATA'!E110="706A.2(4)", 'CASE DATA'!E110="706B.2(1)(a)", 'CASE DATA'!E110="706B.2(1)(b)", 'CASE DATA'!E110="706B.2(1)(c)", 'CASE DATA'!E110="706B.2(1)(d)", 'CASE DATA'!E110="707.2", 'CASE DATA'!E110="707.3", 'CASE DATA'!E110="707.3A", 'CASE DATA'!E110="707.4", 'CASE DATA'!E110="707.5(1)(a)", 'CASE DATA'!E110="707.6A(1)", 'CASE DATA'!E110="707.6A(2)", 'CASE DATA'!E110="707.6A(3)", 'CASE DATA'!E110="707.6A(4)", 'CASE DATA'!E110="707.7(1)", 'CASE DATA'!E110="707.7(3)", 'CASE DATA'!E110="707.7(2)", 'CASE DATA'!E110="707.8(1)", 'CASE DATA'!E110="707.8(2)", 'CASE DATA'!E110="707.8(3)", 'CASE DATA'!E110="707.8(4)", 'CASE DATA'!E110="707.8(5)", 'CASE DATA'!E110="707.8(6)", 'CASE DATA'!E110="707.9", 'CASE DATA'!E110="707.11", 'CASE DATA'!E110="707A.2", 'CASE DATA'!E110="708.2(4)", 'CASE DATA'!E110="708.2(5)", 'CASE DATA'!E110="708.2A(4)", 'CASE DATA'!E110="708.2A(5)", 'CASE DATA'!E110="708.2C(2)", 'CASE DATA'!E110="708.2C(4)", 'CASE DATA'!E110="708.3(1)", 'CASE DATA'!E110="708.3(2)", 'CASE DATA'!E110="708.3A(1)", 'CASE DATA'!E110="708.3A(2)", 'CASE DATA'!E110="708.3B", 'CASE DATA'!E110="708.4(1)", 'CASE DATA'!E110="708.4(2)", 'CASE DATA'!E110="708.5", 'CASE DATA'!E110="708.8", 'CASE DATA'!E110="708.11(3)(a)", 'CASE DATA'!E110="708.11(3)(b)", 'CASE DATA'!E110="708.12(3)(f)", 'CASE DATA'!E110="708.13(3)", 'CASE DATA'!E110="708.14", 'CASE DATA'!E110="708A.2", 'CASE DATA'!E110="708A.4(1)", 'CASE DATA'!E110="708A.4(2)", 'CASE DATA'!E110="708A.5", 'CASE DATA'!E110="708A.6(1)", 'CASE DATA'!E110="708.A.6(2)", 'CASE DATA'!E110="709.2", 'CASE DATA'!E110="709.3", 'CASE DATA'!E110="709.4", 'CASE DATA'!E110="709.8(1)(a)", 'CASE DATA'!E110="709.8(1)(b)", 'CASE DATA'!E110="709.8(1)(c)", 'CASE DATA'!E110="709.8(1)(d)", 'CASE DATA'!E110="709.8(1)(e)", 'CASE DATA'!E110="709.11(1)", 'CASE DATA'!E110="709.11(2)", 'CASE DATA'!E110="709.15(2)(a)(1)", 'CASE DATA'!E110="709.15(3)(a)(1)", 'CASE DATA'!E110="709.18", 'CASE DATA'!E110="709A.6(2)", 'CASE DATA'!E110="709D.3(1)", 'CASE DATA'!E110="709D.3(2)", 'CASE DATA'!E110="709.D.3(3)", 'CASE DATA'!E110="710.2", 'CASE DATA'!E110="710.3", 'CASE DATA'!E110="710.4", 'CASE DATA'!E110="710.5", 'CASE DATA'!E110="710.10(1)", 'CASE DATA'!E110="710.10(2)", 'CASE DATA'!E110="710.10(3)", 'CASE DATA'!E110="710.11", 'CASE DATA'!E110="710A.2(1)", 'CASE DATA'!E110="710A.2(2)", 'CASE DATA'!E110="710A.2(3)", 'CASE DATA'!E110="710A.2(4)", 'CASE DATA'!E110="710A.2(5)", 'CASE DATA'!E110="710A.2(6)", 'CASE DATA'!E110="710A.2(7)", 'CASE DATA'!E110="710A.2A", 'CASE DATA'!E110="711.2", 'CASE DATA'!E110="711.3", 'CASE DATA'!E110="711.4", 'CASE DATA'!E110="712.2", 'CASE DATA'!E110="712.3", 'CASE DATA'!E110="712.6(1)", 'CASE DATA'!E110="712.7", 'CASE DATA'!E110="712.8", 'CASE DATA'!E110="", 'CASE DATA'!E110="713.3", 'CASE DATA'!E110="713.4", 'CASE DATA'!E110="713.5", 'CASE DATA'!E110="713.6", 'CASE DATA'!E110="713.6A(1)", 'CASE DATA'!E110="714.2(1)", 'CASE DATA'!E110="714.2(2)", 'CASE DATA'!E110="714.3A(2)(b)", 'CASE DATA'!E110="714.9", 'CASE DATA'!E110="714.10", 'CASE DATA'!E110="714.26(2)(a)", 'CASE DATA'!E110="714.26(2)(b)", 'CASE DATA'!E110="715A.2(2)(a)", 'CASE DATA'!E110="715A.6(2)(a)", 'CASE DATA'!E110="715A.6(2)(b)", 'CASE DATA'!E110="715A.8(3)(a)", 'CASE DATA'!E110="715A.8(3)(b)", 'CASE DATA'!E110="715A.10(1)", 'CASE DATA'!E110="715A.10(2)", 'CASE DATA'!E110="716.3", 'CASE DATA'!E110="716.4", 'CASE DATA'!E110="716.8(6)", 'CASE DATA'!E110="716.10(2)(a)", 'CASE DATA'!E110="716.10(2)(b)", 'CASE DATA'!E110="716.10(2)(c)", 'CASE DATA'!E110="716.10(2)(d)", 'CASE DATA'!E110="716.12", 'CASE DATA'!E110="719.1(1)(f)", 'CASE DATA'!E110="719.1(2)(e)", 'CASE DATA'!E110="719.1(2)(f)", 'CASE DATA'!E110="719.1(2)(g)", 'CASE DATA'!E110="719.4(1)", 'CASE DATA'!E110="719.4(4)", 'CASE DATA'!E110="719.5(1)", 'CASE DATA'!E110="719.5(2)", 'CASE DATA'!E110="719.6(1)", 'CASE DATA'!E110="719.6(2)", 'CASE DATA'!E110="719.7(4)(a)", 'CASE DATA'!E110="719.7(4)(b)", 'CASE DATA'!E110="719.7A(3)", 'CASE DATA'!E110="719.9", 'CASE DATA'!E110="719.8", 'CASE DATA'!E110="720.2", 'CASE DATA'!E110="720.3", 'CASE DATA'!E110="721.1", 'CASE DATA'!E110="722.1", 'CASE DATA'!E110="", 'CASE DATA'!E110="722.2", 'CASE DATA'!E110="722.10", 'CASE DATA'!E110="723(5)(3)(c)", 'CASE DATA'!E110="723A.2", 'CASE DATA'!E110="723A.3(1)", 'CASE DATA'!E110="723A.3(2)", 'CASE DATA'!E110="724.1B", 'CASE DATA'!E110="724.1C", 'CASE DATA'!E110="724.3", 'CASE DATA'!E110="724.4B", 'CASE DATA'!E110="724.10", 'CASE DATA'!E110="724.16(2)", 'CASE DATA'!E110="724.16A(1)(a)", 'CASE DATA'!E110="724.16A(1)(b)", 'CASE DATA'!E110="724.17", 'CASE DATA'!E110="724.21", 'CASE DATA'!E110="724.26(1)", 'CASE DATA'!E110="922(g)(8)", 'CASE DATA'!E110="724.29A(2)", 'CASE DATA'!E110="724.29A(3)", 'CASE DATA'!E110="724.30(1)", 'CASE DATA'!E110="724.30(2)", 'CASE DATA'!E110="725.1(2)(b)", 'CASE DATA'!E110="725.2(1)", 'CASE DATA'!E110="725.2(2)", 'CASE DATA'!E110="725.3(2)", 'CASE DATA'!E110="725.3(1)", 'CASE DATA'!E110="725.7(2)(a)(3)", 'CASE DATA'!E110="725.7(2)(a)(4)", 'CASE DATA'!E110="725.7(2)(b)(2)", 'CASE DATA'!E110="725.7(2)(b(3)", 'CASE DATA'!E110="726.7(2)(c)(1)", 'CASE DATA'!E110="726.7(2)(c)(2)", 'CASE DATA'!E110="725.7(2)(d)", 'CASE DATA'!E110="726.2", 'CASE DATA'!E110="726.3", 'CASE DATA'!E110="726.5", 'CASE DATA'!E110="726.6(4)", 'CASE DATA'!E110="726.6(5)", 'CASE DATA'!E110="726.6(6)", 'CASE DATA'!E110="726.6A", 'CASE DATA'!E110="726.7(2)", 'CASE DATA'!E110="726.8(2)", 'CASE DATA'!E110="728.12(1)", 'CASE DATA'!E110="728.12(2)"),"felony","eligible"),"N/A")</f>
        <v>N/A</v>
      </c>
      <c r="M109" s="185" t="str">
        <f>IF(L109="eligible",IF(OR('CASE DATA'!E110="123.46",'CASE DATA'!E110="123.47",'CASE DATA'!E110="235B.20",'CASE DATA'!E110="321.218",'CASE DATA'!E110="321A.32",'CASE DATA'!E110="321J.21",'CASE DATA'!E110="321J.2",'CASE DATA'!E110="707.5",'CASE DATA'!E110="708.2(3)",'CASE DATA'!E110="708.2A",'CASE DATA'!E110="708.7",'CASE DATA'!E110="708.11",'CASE DATA'!E110="708.12",'CASE DATA'!E110="716.8(3)",'CASE DATA'!E110="716.8(4)", LEFT('CASE DATA'!E110,4)="717C", LEFT('CASE DATA'!E110, 3)="719", LEFT('CASE DATA'!E110,3)="720", 'CASE DATA'!E110="721.2", 'CASE DATA'!E110="721.10", 'CASE DATA'!E110="723.1", LEFT('CASE DATA'!E110,3)="724", LEFT('CASE DATA'!E110,3)="726", LEFT('CASE DATA'!E110,3)="728", LEFT('CASE DATA'!E110,4)="901A"),"ineligible misd", "eligible"),"N/A")</f>
        <v>N/A</v>
      </c>
      <c r="N109" s="185" t="str">
        <f>IF(L109="eligible",IF(COUNTIF('CASE DATA'!$C$4:$C$200, "")-COUNTIF('CASE DATA'!$A$4:$A$200, "")&gt;0, "YES","NO"),"N/A")</f>
        <v>N/A</v>
      </c>
      <c r="O109" s="185" t="str">
        <f xml:space="preserve"> IF(M109="eligible",'CASE DATA'!K110,"N/A")</f>
        <v>N/A</v>
      </c>
      <c r="P109" s="185" t="str">
        <f xml:space="preserve"> IF(M109="eligible",'CASE DATA'!I110+'CASE DATA'!J110+'CASE DATA'!L110+'CASE DATA'!M110+'CASE DATA'!N110+'CASE DATA'!O110+'CASE DATA'!M110+'CASE DATA'!Q110+'CASE DATA'!R110,"N/A")</f>
        <v>N/A</v>
      </c>
      <c r="Q109" s="11" t="str">
        <f>IF(M109="eligible",IF(C109+730.5&lt;'BASIC INFO'!$B$3, "YES", "NO"),"N/A")</f>
        <v>N/A</v>
      </c>
      <c r="R109" s="186" t="str">
        <f xml:space="preserve"> IF(OR('CASE DATA'!F110="DEF"), "YES", "NO")</f>
        <v>NO</v>
      </c>
      <c r="S109" s="162" t="str">
        <f>IF(R109="YES",'CASE DATA'!H110,"N/A")</f>
        <v>N/A</v>
      </c>
      <c r="T109" s="185" t="str">
        <f xml:space="preserve"> IF(R109="YES",'CASE DATA'!K110,"N/A")</f>
        <v>N/A</v>
      </c>
      <c r="U109" s="185" t="str">
        <f>IF(R109="YES",'CASE DATA'!I110+'CASE DATA'!J110+'CASE DATA'!L110+'CASE DATA'!M110+'CASE DATA'!N110+'CASE DATA'!O110+'CASE DATA'!P110+'CASE DATA'!Q110+'CASE DATA'!R110,"N/A")</f>
        <v>N/A</v>
      </c>
      <c r="V109" s="189" t="str">
        <f>IF(OR('CASE DATA'!E110="123.46",'CASE DATA'!E110="123.47"),"YES","NO")</f>
        <v>NO</v>
      </c>
      <c r="W109" s="189"/>
      <c r="X109" s="185" t="str">
        <f>IF(V109="YES",IF(C109+730.5&lt;'BASIC INFO'!$B$3, "YES","NO"), "N/A")</f>
        <v>N/A</v>
      </c>
      <c r="Y109" s="189" t="str">
        <f t="shared" si="2"/>
        <v>NO</v>
      </c>
      <c r="Z109" s="187" t="str">
        <f xml:space="preserve"> IF('BASIC INFO'!$B$6+6574.5&gt;C109, "YES", "NO")</f>
        <v>YES</v>
      </c>
    </row>
    <row r="110" spans="1:26" x14ac:dyDescent="0.25">
      <c r="A110" s="162">
        <f xml:space="preserve"> 'CASE DATA'!A111</f>
        <v>0</v>
      </c>
      <c r="B110" s="162">
        <f xml:space="preserve"> 'CASE DATA'!E111</f>
        <v>0</v>
      </c>
      <c r="C110" s="163">
        <f xml:space="preserve"> 'CASE DATA'!C111</f>
        <v>0</v>
      </c>
      <c r="D110" s="11" t="str">
        <f xml:space="preserve"> IF(OR('CASE DATA'!F111="JUV", 'CASE DATA'!F111="JWV"), "YES", "NO")</f>
        <v>NO</v>
      </c>
      <c r="E110" s="11"/>
      <c r="F110" s="11" t="str">
        <f>IF(D110="YES",IF(COUNTIF('CASE DATA'!$C$4:$C$200, "")-COUNTIF('CASE DATA'!$A$4:$A$200, "")&gt;0, "YES","NO"),"N/A")</f>
        <v>N/A</v>
      </c>
      <c r="G110" s="164" t="str">
        <f xml:space="preserve"> _xlfn.IFS(D110="NO", "N/A", AND('BASIC INFO'!$B$3&gt;'BASIC INFO'!$B$6+6574.5, C110+730.5&lt;'BASIC INFO'!$B$3), "YES", 'BASIC INFO'!$B$3&lt;('BASIC INFO'!$B$6+6574.5), "NOT YET 18", C110+730.5&gt;'BASIC INFO'!$B$3, "NOT YET 2 YEARS")</f>
        <v>N/A</v>
      </c>
      <c r="H110" s="186" t="str">
        <f xml:space="preserve"> IF(LEFT('CASE DATA'!E111,4)&lt;&gt;"321.",IF(OR('CASE DATA'!F111="DISM", 'CASE DATA'!F111="ACQ", 'CASE DATA'!F111="NOTF", 'CASE DATA'!F111="WTHD", 'CASE DATA'!F111="TNSF"), "YES", "NO"), "TRAFFIC")</f>
        <v>NO</v>
      </c>
      <c r="I110" s="185" t="str">
        <f xml:space="preserve"> IF(H110="YES",'CASE DATA'!K111,"N/A")</f>
        <v>N/A</v>
      </c>
      <c r="J110" s="185" t="str">
        <f>IF(H110="YES",'CASE DATA'!I111+'CASE DATA'!J111+'CASE DATA'!L111+'CASE DATA'!M111+'CASE DATA'!N111+'CASE DATA'!O111+'CASE DATA'!P111+'CASE DATA'!Q111+'CASE DATA'!R111,"N/A")</f>
        <v>N/A</v>
      </c>
      <c r="K110" s="162" t="str">
        <f xml:space="preserve"> IF(H110="YES",IF(C110+180&lt;'BASIC INFO'!$B$3, "YES", "NO"),"N/A")</f>
        <v>N/A</v>
      </c>
      <c r="L110" s="185" t="str">
        <f>IF(OR('CASE DATA'!F111="GTR", 'CASE DATA'!F111="GPL"),IF(OR('CASE DATA'!E111="81.6(2)", 'CASE DATA'!E111="99F.15(6)(b)(1)", 'CASE DATA'!E111= "124.401(1)(a)", 'CASE DATA'!E111= "124.401(1)(b)", 'CASE DATA'!E111= "124.401(1)(c)", 'CASE DATA'!E111= "124.401(1)(d)", 'CASE DATA'!E111="124.401(4)", 'CASE DATA'!E111="124.401(1)(b)", 'CASE DATA'!E111="124.401(1)(c)", 'CASE DATA'!E111="124.401D(2)(b)", 'CASE DATA'!E111="124.401D(2)(c)", 'CASE DATA'!E111="124.406(1)(a)", 'CASE DATA'!E111="124.406(1)(b) ", 'CASE DATA'!E111="124.406(2)(a)", 'CASE DATA'!E111="124.406(2)(b) ", 'CASE DATA'!E111="124.406(3)", 'CASE DATA'!E111="124.406A ", 'CASE DATA'!E111="124.407(2)(a)", 'CASE DATA'!E111="124B.9(1)", 'CASE DATA'!E111="124B.9(2)", 'CASE DATA'!E111="321J.2(2)(c)", 'CASE DATA'!E111="453B.12(2)", 'CASE DATA'!E111="453B.12(3)", 'CASE DATA'!E111="453B.12(4)", 'CASE DATA'!E111="462A.14(2)(c)", 'CASE DATA'!E111="462A.14(2)(d)", 'CASE DATA'!E111="462A.14(2)(e)", 'CASE DATA'!E111="705.1(2)", 'CASE DATA'!E111="706.3(1)", 'CASE DATA'!E111="706.3(2)", 'CASE DATA'!E111="706A.2(1)", 'CASE DATA'!E111="706A.2(2)", 'CASE DATA'!E111="706A.2(4)", 'CASE DATA'!E111="706B.2(1)(a)", 'CASE DATA'!E111="706B.2(1)(b)", 'CASE DATA'!E111="706B.2(1)(c)", 'CASE DATA'!E111="706B.2(1)(d)", 'CASE DATA'!E111="707.2", 'CASE DATA'!E111="707.3", 'CASE DATA'!E111="707.3A", 'CASE DATA'!E111="707.4", 'CASE DATA'!E111="707.5(1)(a)", 'CASE DATA'!E111="707.6A(1)", 'CASE DATA'!E111="707.6A(2)", 'CASE DATA'!E111="707.6A(3)", 'CASE DATA'!E111="707.6A(4)", 'CASE DATA'!E111="707.7(1)", 'CASE DATA'!E111="707.7(3)", 'CASE DATA'!E111="707.7(2)", 'CASE DATA'!E111="707.8(1)", 'CASE DATA'!E111="707.8(2)", 'CASE DATA'!E111="707.8(3)", 'CASE DATA'!E111="707.8(4)", 'CASE DATA'!E111="707.8(5)", 'CASE DATA'!E111="707.8(6)", 'CASE DATA'!E111="707.9", 'CASE DATA'!E111="707.11", 'CASE DATA'!E111="707A.2", 'CASE DATA'!E111="708.2(4)", 'CASE DATA'!E111="708.2(5)", 'CASE DATA'!E111="708.2A(4)", 'CASE DATA'!E111="708.2A(5)", 'CASE DATA'!E111="708.2C(2)", 'CASE DATA'!E111="708.2C(4)", 'CASE DATA'!E111="708.3(1)", 'CASE DATA'!E111="708.3(2)", 'CASE DATA'!E111="708.3A(1)", 'CASE DATA'!E111="708.3A(2)", 'CASE DATA'!E111="708.3B", 'CASE DATA'!E111="708.4(1)", 'CASE DATA'!E111="708.4(2)", 'CASE DATA'!E111="708.5", 'CASE DATA'!E111="708.8", 'CASE DATA'!E111="708.11(3)(a)", 'CASE DATA'!E111="708.11(3)(b)", 'CASE DATA'!E111="708.12(3)(f)", 'CASE DATA'!E111="708.13(3)", 'CASE DATA'!E111="708.14", 'CASE DATA'!E111="708A.2", 'CASE DATA'!E111="708A.4(1)", 'CASE DATA'!E111="708A.4(2)", 'CASE DATA'!E111="708A.5", 'CASE DATA'!E111="708A.6(1)", 'CASE DATA'!E111="708.A.6(2)", 'CASE DATA'!E111="709.2", 'CASE DATA'!E111="709.3", 'CASE DATA'!E111="709.4", 'CASE DATA'!E111="709.8(1)(a)", 'CASE DATA'!E111="709.8(1)(b)", 'CASE DATA'!E111="709.8(1)(c)", 'CASE DATA'!E111="709.8(1)(d)", 'CASE DATA'!E111="709.8(1)(e)", 'CASE DATA'!E111="709.11(1)", 'CASE DATA'!E111="709.11(2)", 'CASE DATA'!E111="709.15(2)(a)(1)", 'CASE DATA'!E111="709.15(3)(a)(1)", 'CASE DATA'!E111="709.18", 'CASE DATA'!E111="709A.6(2)", 'CASE DATA'!E111="709D.3(1)", 'CASE DATA'!E111="709D.3(2)", 'CASE DATA'!E111="709.D.3(3)", 'CASE DATA'!E111="710.2", 'CASE DATA'!E111="710.3", 'CASE DATA'!E111="710.4", 'CASE DATA'!E111="710.5", 'CASE DATA'!E111="710.10(1)", 'CASE DATA'!E111="710.10(2)", 'CASE DATA'!E111="710.10(3)", 'CASE DATA'!E111="710.11", 'CASE DATA'!E111="710A.2(1)", 'CASE DATA'!E111="710A.2(2)", 'CASE DATA'!E111="710A.2(3)", 'CASE DATA'!E111="710A.2(4)", 'CASE DATA'!E111="710A.2(5)", 'CASE DATA'!E111="710A.2(6)", 'CASE DATA'!E111="710A.2(7)", 'CASE DATA'!E111="710A.2A", 'CASE DATA'!E111="711.2", 'CASE DATA'!E111="711.3", 'CASE DATA'!E111="711.4", 'CASE DATA'!E111="712.2", 'CASE DATA'!E111="712.3", 'CASE DATA'!E111="712.6(1)", 'CASE DATA'!E111="712.7", 'CASE DATA'!E111="712.8", 'CASE DATA'!E111="", 'CASE DATA'!E111="713.3", 'CASE DATA'!E111="713.4", 'CASE DATA'!E111="713.5", 'CASE DATA'!E111="713.6", 'CASE DATA'!E111="713.6A(1)", 'CASE DATA'!E111="714.2(1)", 'CASE DATA'!E111="714.2(2)", 'CASE DATA'!E111="714.3A(2)(b)", 'CASE DATA'!E111="714.9", 'CASE DATA'!E111="714.10", 'CASE DATA'!E111="714.26(2)(a)", 'CASE DATA'!E111="714.26(2)(b)", 'CASE DATA'!E111="715A.2(2)(a)", 'CASE DATA'!E111="715A.6(2)(a)", 'CASE DATA'!E111="715A.6(2)(b)", 'CASE DATA'!E111="715A.8(3)(a)", 'CASE DATA'!E111="715A.8(3)(b)", 'CASE DATA'!E111="715A.10(1)", 'CASE DATA'!E111="715A.10(2)", 'CASE DATA'!E111="716.3", 'CASE DATA'!E111="716.4", 'CASE DATA'!E111="716.8(6)", 'CASE DATA'!E111="716.10(2)(a)", 'CASE DATA'!E111="716.10(2)(b)", 'CASE DATA'!E111="716.10(2)(c)", 'CASE DATA'!E111="716.10(2)(d)", 'CASE DATA'!E111="716.12", 'CASE DATA'!E111="719.1(1)(f)", 'CASE DATA'!E111="719.1(2)(e)", 'CASE DATA'!E111="719.1(2)(f)", 'CASE DATA'!E111="719.1(2)(g)", 'CASE DATA'!E111="719.4(1)", 'CASE DATA'!E111="719.4(4)", 'CASE DATA'!E111="719.5(1)", 'CASE DATA'!E111="719.5(2)", 'CASE DATA'!E111="719.6(1)", 'CASE DATA'!E111="719.6(2)", 'CASE DATA'!E111="719.7(4)(a)", 'CASE DATA'!E111="719.7(4)(b)", 'CASE DATA'!E111="719.7A(3)", 'CASE DATA'!E111="719.9", 'CASE DATA'!E111="719.8", 'CASE DATA'!E111="720.2", 'CASE DATA'!E111="720.3", 'CASE DATA'!E111="721.1", 'CASE DATA'!E111="722.1", 'CASE DATA'!E111="", 'CASE DATA'!E111="722.2", 'CASE DATA'!E111="722.10", 'CASE DATA'!E111="723(5)(3)(c)", 'CASE DATA'!E111="723A.2", 'CASE DATA'!E111="723A.3(1)", 'CASE DATA'!E111="723A.3(2)", 'CASE DATA'!E111="724.1B", 'CASE DATA'!E111="724.1C", 'CASE DATA'!E111="724.3", 'CASE DATA'!E111="724.4B", 'CASE DATA'!E111="724.10", 'CASE DATA'!E111="724.16(2)", 'CASE DATA'!E111="724.16A(1)(a)", 'CASE DATA'!E111="724.16A(1)(b)", 'CASE DATA'!E111="724.17", 'CASE DATA'!E111="724.21", 'CASE DATA'!E111="724.26(1)", 'CASE DATA'!E111="922(g)(8)", 'CASE DATA'!E111="724.29A(2)", 'CASE DATA'!E111="724.29A(3)", 'CASE DATA'!E111="724.30(1)", 'CASE DATA'!E111="724.30(2)", 'CASE DATA'!E111="725.1(2)(b)", 'CASE DATA'!E111="725.2(1)", 'CASE DATA'!E111="725.2(2)", 'CASE DATA'!E111="725.3(2)", 'CASE DATA'!E111="725.3(1)", 'CASE DATA'!E111="725.7(2)(a)(3)", 'CASE DATA'!E111="725.7(2)(a)(4)", 'CASE DATA'!E111="725.7(2)(b)(2)", 'CASE DATA'!E111="725.7(2)(b(3)", 'CASE DATA'!E111="726.7(2)(c)(1)", 'CASE DATA'!E111="726.7(2)(c)(2)", 'CASE DATA'!E111="725.7(2)(d)", 'CASE DATA'!E111="726.2", 'CASE DATA'!E111="726.3", 'CASE DATA'!E111="726.5", 'CASE DATA'!E111="726.6(4)", 'CASE DATA'!E111="726.6(5)", 'CASE DATA'!E111="726.6(6)", 'CASE DATA'!E111="726.6A", 'CASE DATA'!E111="726.7(2)", 'CASE DATA'!E111="726.8(2)", 'CASE DATA'!E111="728.12(1)", 'CASE DATA'!E111="728.12(2)"),"felony","eligible"),"N/A")</f>
        <v>N/A</v>
      </c>
      <c r="M110" s="185" t="str">
        <f>IF(L110="eligible",IF(OR('CASE DATA'!E111="123.46",'CASE DATA'!E111="123.47",'CASE DATA'!E111="235B.20",'CASE DATA'!E111="321.218",'CASE DATA'!E111="321A.32",'CASE DATA'!E111="321J.21",'CASE DATA'!E111="321J.2",'CASE DATA'!E111="707.5",'CASE DATA'!E111="708.2(3)",'CASE DATA'!E111="708.2A",'CASE DATA'!E111="708.7",'CASE DATA'!E111="708.11",'CASE DATA'!E111="708.12",'CASE DATA'!E111="716.8(3)",'CASE DATA'!E111="716.8(4)", LEFT('CASE DATA'!E111,4)="717C", LEFT('CASE DATA'!E111, 3)="719", LEFT('CASE DATA'!E111,3)="720", 'CASE DATA'!E111="721.2", 'CASE DATA'!E111="721.10", 'CASE DATA'!E111="723.1", LEFT('CASE DATA'!E111,3)="724", LEFT('CASE DATA'!E111,3)="726", LEFT('CASE DATA'!E111,3)="728", LEFT('CASE DATA'!E111,4)="901A"),"ineligible misd", "eligible"),"N/A")</f>
        <v>N/A</v>
      </c>
      <c r="N110" s="185" t="str">
        <f>IF(L110="eligible",IF(COUNTIF('CASE DATA'!$C$4:$C$200, "")-COUNTIF('CASE DATA'!$A$4:$A$200, "")&gt;0, "YES","NO"),"N/A")</f>
        <v>N/A</v>
      </c>
      <c r="O110" s="185" t="str">
        <f xml:space="preserve"> IF(M110="eligible",'CASE DATA'!K111,"N/A")</f>
        <v>N/A</v>
      </c>
      <c r="P110" s="185" t="str">
        <f xml:space="preserve"> IF(M110="eligible",'CASE DATA'!I111+'CASE DATA'!J111+'CASE DATA'!L111+'CASE DATA'!M111+'CASE DATA'!N111+'CASE DATA'!O111+'CASE DATA'!M111+'CASE DATA'!Q111+'CASE DATA'!R111,"N/A")</f>
        <v>N/A</v>
      </c>
      <c r="Q110" s="11" t="str">
        <f>IF(M110="eligible",IF(C110+730.5&lt;'BASIC INFO'!$B$3, "YES", "NO"),"N/A")</f>
        <v>N/A</v>
      </c>
      <c r="R110" s="186" t="str">
        <f xml:space="preserve"> IF(OR('CASE DATA'!F111="DEF"), "YES", "NO")</f>
        <v>NO</v>
      </c>
      <c r="S110" s="162" t="str">
        <f>IF(R110="YES",'CASE DATA'!H111,"N/A")</f>
        <v>N/A</v>
      </c>
      <c r="T110" s="185" t="str">
        <f xml:space="preserve"> IF(R110="YES",'CASE DATA'!K111,"N/A")</f>
        <v>N/A</v>
      </c>
      <c r="U110" s="185" t="str">
        <f>IF(R110="YES",'CASE DATA'!I111+'CASE DATA'!J111+'CASE DATA'!L111+'CASE DATA'!M111+'CASE DATA'!N111+'CASE DATA'!O111+'CASE DATA'!P111+'CASE DATA'!Q111+'CASE DATA'!R111,"N/A")</f>
        <v>N/A</v>
      </c>
      <c r="V110" s="189" t="str">
        <f>IF(OR('CASE DATA'!E111="123.46",'CASE DATA'!E111="123.47"),"YES","NO")</f>
        <v>NO</v>
      </c>
      <c r="W110" s="189"/>
      <c r="X110" s="185" t="str">
        <f>IF(V110="YES",IF(C110+730.5&lt;'BASIC INFO'!$B$3, "YES","NO"), "N/A")</f>
        <v>N/A</v>
      </c>
      <c r="Y110" s="189" t="str">
        <f t="shared" si="2"/>
        <v>NO</v>
      </c>
      <c r="Z110" s="187" t="str">
        <f xml:space="preserve"> IF('BASIC INFO'!$B$6+6574.5&gt;C110, "YES", "NO")</f>
        <v>YES</v>
      </c>
    </row>
    <row r="111" spans="1:26" x14ac:dyDescent="0.25">
      <c r="A111" s="162">
        <f xml:space="preserve"> 'CASE DATA'!A112</f>
        <v>0</v>
      </c>
      <c r="B111" s="162">
        <f xml:space="preserve"> 'CASE DATA'!E112</f>
        <v>0</v>
      </c>
      <c r="C111" s="163">
        <f xml:space="preserve"> 'CASE DATA'!C112</f>
        <v>0</v>
      </c>
      <c r="D111" s="11" t="str">
        <f xml:space="preserve"> IF(OR('CASE DATA'!F112="JUV", 'CASE DATA'!F112="JWV"), "YES", "NO")</f>
        <v>NO</v>
      </c>
      <c r="E111" s="11"/>
      <c r="F111" s="11" t="str">
        <f>IF(D111="YES",IF(COUNTIF('CASE DATA'!$C$4:$C$200, "")-COUNTIF('CASE DATA'!$A$4:$A$200, "")&gt;0, "YES","NO"),"N/A")</f>
        <v>N/A</v>
      </c>
      <c r="G111" s="164" t="str">
        <f xml:space="preserve"> _xlfn.IFS(D111="NO", "N/A", AND('BASIC INFO'!$B$3&gt;'BASIC INFO'!$B$6+6574.5, C111+730.5&lt;'BASIC INFO'!$B$3), "YES", 'BASIC INFO'!$B$3&lt;('BASIC INFO'!$B$6+6574.5), "NOT YET 18", C111+730.5&gt;'BASIC INFO'!$B$3, "NOT YET 2 YEARS")</f>
        <v>N/A</v>
      </c>
      <c r="H111" s="186" t="str">
        <f xml:space="preserve"> IF(LEFT('CASE DATA'!E112,4)&lt;&gt;"321.",IF(OR('CASE DATA'!F112="DISM", 'CASE DATA'!F112="ACQ", 'CASE DATA'!F112="NOTF", 'CASE DATA'!F112="WTHD", 'CASE DATA'!F112="TNSF"), "YES", "NO"), "TRAFFIC")</f>
        <v>NO</v>
      </c>
      <c r="I111" s="185" t="str">
        <f xml:space="preserve"> IF(H111="YES",'CASE DATA'!K112,"N/A")</f>
        <v>N/A</v>
      </c>
      <c r="J111" s="185" t="str">
        <f>IF(H111="YES",'CASE DATA'!I112+'CASE DATA'!J112+'CASE DATA'!L112+'CASE DATA'!M112+'CASE DATA'!N112+'CASE DATA'!O112+'CASE DATA'!P112+'CASE DATA'!Q112+'CASE DATA'!R112,"N/A")</f>
        <v>N/A</v>
      </c>
      <c r="K111" s="162" t="str">
        <f xml:space="preserve"> IF(H111="YES",IF(C111+180&lt;'BASIC INFO'!$B$3, "YES", "NO"),"N/A")</f>
        <v>N/A</v>
      </c>
      <c r="L111" s="185" t="str">
        <f>IF(OR('CASE DATA'!F112="GTR", 'CASE DATA'!F112="GPL"),IF(OR('CASE DATA'!E112="81.6(2)", 'CASE DATA'!E112="99F.15(6)(b)(1)", 'CASE DATA'!E112= "124.401(1)(a)", 'CASE DATA'!E112= "124.401(1)(b)", 'CASE DATA'!E112= "124.401(1)(c)", 'CASE DATA'!E112= "124.401(1)(d)", 'CASE DATA'!E112="124.401(4)", 'CASE DATA'!E112="124.401(1)(b)", 'CASE DATA'!E112="124.401(1)(c)", 'CASE DATA'!E112="124.401D(2)(b)", 'CASE DATA'!E112="124.401D(2)(c)", 'CASE DATA'!E112="124.406(1)(a)", 'CASE DATA'!E112="124.406(1)(b) ", 'CASE DATA'!E112="124.406(2)(a)", 'CASE DATA'!E112="124.406(2)(b) ", 'CASE DATA'!E112="124.406(3)", 'CASE DATA'!E112="124.406A ", 'CASE DATA'!E112="124.407(2)(a)", 'CASE DATA'!E112="124B.9(1)", 'CASE DATA'!E112="124B.9(2)", 'CASE DATA'!E112="321J.2(2)(c)", 'CASE DATA'!E112="453B.12(2)", 'CASE DATA'!E112="453B.12(3)", 'CASE DATA'!E112="453B.12(4)", 'CASE DATA'!E112="462A.14(2)(c)", 'CASE DATA'!E112="462A.14(2)(d)", 'CASE DATA'!E112="462A.14(2)(e)", 'CASE DATA'!E112="705.1(2)", 'CASE DATA'!E112="706.3(1)", 'CASE DATA'!E112="706.3(2)", 'CASE DATA'!E112="706A.2(1)", 'CASE DATA'!E112="706A.2(2)", 'CASE DATA'!E112="706A.2(4)", 'CASE DATA'!E112="706B.2(1)(a)", 'CASE DATA'!E112="706B.2(1)(b)", 'CASE DATA'!E112="706B.2(1)(c)", 'CASE DATA'!E112="706B.2(1)(d)", 'CASE DATA'!E112="707.2", 'CASE DATA'!E112="707.3", 'CASE DATA'!E112="707.3A", 'CASE DATA'!E112="707.4", 'CASE DATA'!E112="707.5(1)(a)", 'CASE DATA'!E112="707.6A(1)", 'CASE DATA'!E112="707.6A(2)", 'CASE DATA'!E112="707.6A(3)", 'CASE DATA'!E112="707.6A(4)", 'CASE DATA'!E112="707.7(1)", 'CASE DATA'!E112="707.7(3)", 'CASE DATA'!E112="707.7(2)", 'CASE DATA'!E112="707.8(1)", 'CASE DATA'!E112="707.8(2)", 'CASE DATA'!E112="707.8(3)", 'CASE DATA'!E112="707.8(4)", 'CASE DATA'!E112="707.8(5)", 'CASE DATA'!E112="707.8(6)", 'CASE DATA'!E112="707.9", 'CASE DATA'!E112="707.11", 'CASE DATA'!E112="707A.2", 'CASE DATA'!E112="708.2(4)", 'CASE DATA'!E112="708.2(5)", 'CASE DATA'!E112="708.2A(4)", 'CASE DATA'!E112="708.2A(5)", 'CASE DATA'!E112="708.2C(2)", 'CASE DATA'!E112="708.2C(4)", 'CASE DATA'!E112="708.3(1)", 'CASE DATA'!E112="708.3(2)", 'CASE DATA'!E112="708.3A(1)", 'CASE DATA'!E112="708.3A(2)", 'CASE DATA'!E112="708.3B", 'CASE DATA'!E112="708.4(1)", 'CASE DATA'!E112="708.4(2)", 'CASE DATA'!E112="708.5", 'CASE DATA'!E112="708.8", 'CASE DATA'!E112="708.11(3)(a)", 'CASE DATA'!E112="708.11(3)(b)", 'CASE DATA'!E112="708.12(3)(f)", 'CASE DATA'!E112="708.13(3)", 'CASE DATA'!E112="708.14", 'CASE DATA'!E112="708A.2", 'CASE DATA'!E112="708A.4(1)", 'CASE DATA'!E112="708A.4(2)", 'CASE DATA'!E112="708A.5", 'CASE DATA'!E112="708A.6(1)", 'CASE DATA'!E112="708.A.6(2)", 'CASE DATA'!E112="709.2", 'CASE DATA'!E112="709.3", 'CASE DATA'!E112="709.4", 'CASE DATA'!E112="709.8(1)(a)", 'CASE DATA'!E112="709.8(1)(b)", 'CASE DATA'!E112="709.8(1)(c)", 'CASE DATA'!E112="709.8(1)(d)", 'CASE DATA'!E112="709.8(1)(e)", 'CASE DATA'!E112="709.11(1)", 'CASE DATA'!E112="709.11(2)", 'CASE DATA'!E112="709.15(2)(a)(1)", 'CASE DATA'!E112="709.15(3)(a)(1)", 'CASE DATA'!E112="709.18", 'CASE DATA'!E112="709A.6(2)", 'CASE DATA'!E112="709D.3(1)", 'CASE DATA'!E112="709D.3(2)", 'CASE DATA'!E112="709.D.3(3)", 'CASE DATA'!E112="710.2", 'CASE DATA'!E112="710.3", 'CASE DATA'!E112="710.4", 'CASE DATA'!E112="710.5", 'CASE DATA'!E112="710.10(1)", 'CASE DATA'!E112="710.10(2)", 'CASE DATA'!E112="710.10(3)", 'CASE DATA'!E112="710.11", 'CASE DATA'!E112="710A.2(1)", 'CASE DATA'!E112="710A.2(2)", 'CASE DATA'!E112="710A.2(3)", 'CASE DATA'!E112="710A.2(4)", 'CASE DATA'!E112="710A.2(5)", 'CASE DATA'!E112="710A.2(6)", 'CASE DATA'!E112="710A.2(7)", 'CASE DATA'!E112="710A.2A", 'CASE DATA'!E112="711.2", 'CASE DATA'!E112="711.3", 'CASE DATA'!E112="711.4", 'CASE DATA'!E112="712.2", 'CASE DATA'!E112="712.3", 'CASE DATA'!E112="712.6(1)", 'CASE DATA'!E112="712.7", 'CASE DATA'!E112="712.8", 'CASE DATA'!E112="", 'CASE DATA'!E112="713.3", 'CASE DATA'!E112="713.4", 'CASE DATA'!E112="713.5", 'CASE DATA'!E112="713.6", 'CASE DATA'!E112="713.6A(1)", 'CASE DATA'!E112="714.2(1)", 'CASE DATA'!E112="714.2(2)", 'CASE DATA'!E112="714.3A(2)(b)", 'CASE DATA'!E112="714.9", 'CASE DATA'!E112="714.10", 'CASE DATA'!E112="714.26(2)(a)", 'CASE DATA'!E112="714.26(2)(b)", 'CASE DATA'!E112="715A.2(2)(a)", 'CASE DATA'!E112="715A.6(2)(a)", 'CASE DATA'!E112="715A.6(2)(b)", 'CASE DATA'!E112="715A.8(3)(a)", 'CASE DATA'!E112="715A.8(3)(b)", 'CASE DATA'!E112="715A.10(1)", 'CASE DATA'!E112="715A.10(2)", 'CASE DATA'!E112="716.3", 'CASE DATA'!E112="716.4", 'CASE DATA'!E112="716.8(6)", 'CASE DATA'!E112="716.10(2)(a)", 'CASE DATA'!E112="716.10(2)(b)", 'CASE DATA'!E112="716.10(2)(c)", 'CASE DATA'!E112="716.10(2)(d)", 'CASE DATA'!E112="716.12", 'CASE DATA'!E112="719.1(1)(f)", 'CASE DATA'!E112="719.1(2)(e)", 'CASE DATA'!E112="719.1(2)(f)", 'CASE DATA'!E112="719.1(2)(g)", 'CASE DATA'!E112="719.4(1)", 'CASE DATA'!E112="719.4(4)", 'CASE DATA'!E112="719.5(1)", 'CASE DATA'!E112="719.5(2)", 'CASE DATA'!E112="719.6(1)", 'CASE DATA'!E112="719.6(2)", 'CASE DATA'!E112="719.7(4)(a)", 'CASE DATA'!E112="719.7(4)(b)", 'CASE DATA'!E112="719.7A(3)", 'CASE DATA'!E112="719.9", 'CASE DATA'!E112="719.8", 'CASE DATA'!E112="720.2", 'CASE DATA'!E112="720.3", 'CASE DATA'!E112="721.1", 'CASE DATA'!E112="722.1", 'CASE DATA'!E112="", 'CASE DATA'!E112="722.2", 'CASE DATA'!E112="722.10", 'CASE DATA'!E112="723(5)(3)(c)", 'CASE DATA'!E112="723A.2", 'CASE DATA'!E112="723A.3(1)", 'CASE DATA'!E112="723A.3(2)", 'CASE DATA'!E112="724.1B", 'CASE DATA'!E112="724.1C", 'CASE DATA'!E112="724.3", 'CASE DATA'!E112="724.4B", 'CASE DATA'!E112="724.10", 'CASE DATA'!E112="724.16(2)", 'CASE DATA'!E112="724.16A(1)(a)", 'CASE DATA'!E112="724.16A(1)(b)", 'CASE DATA'!E112="724.17", 'CASE DATA'!E112="724.21", 'CASE DATA'!E112="724.26(1)", 'CASE DATA'!E112="922(g)(8)", 'CASE DATA'!E112="724.29A(2)", 'CASE DATA'!E112="724.29A(3)", 'CASE DATA'!E112="724.30(1)", 'CASE DATA'!E112="724.30(2)", 'CASE DATA'!E112="725.1(2)(b)", 'CASE DATA'!E112="725.2(1)", 'CASE DATA'!E112="725.2(2)", 'CASE DATA'!E112="725.3(2)", 'CASE DATA'!E112="725.3(1)", 'CASE DATA'!E112="725.7(2)(a)(3)", 'CASE DATA'!E112="725.7(2)(a)(4)", 'CASE DATA'!E112="725.7(2)(b)(2)", 'CASE DATA'!E112="725.7(2)(b(3)", 'CASE DATA'!E112="726.7(2)(c)(1)", 'CASE DATA'!E112="726.7(2)(c)(2)", 'CASE DATA'!E112="725.7(2)(d)", 'CASE DATA'!E112="726.2", 'CASE DATA'!E112="726.3", 'CASE DATA'!E112="726.5", 'CASE DATA'!E112="726.6(4)", 'CASE DATA'!E112="726.6(5)", 'CASE DATA'!E112="726.6(6)", 'CASE DATA'!E112="726.6A", 'CASE DATA'!E112="726.7(2)", 'CASE DATA'!E112="726.8(2)", 'CASE DATA'!E112="728.12(1)", 'CASE DATA'!E112="728.12(2)"),"felony","eligible"),"N/A")</f>
        <v>N/A</v>
      </c>
      <c r="M111" s="185" t="str">
        <f>IF(L111="eligible",IF(OR('CASE DATA'!E112="123.46",'CASE DATA'!E112="123.47",'CASE DATA'!E112="235B.20",'CASE DATA'!E112="321.218",'CASE DATA'!E112="321A.32",'CASE DATA'!E112="321J.21",'CASE DATA'!E112="321J.2",'CASE DATA'!E112="707.5",'CASE DATA'!E112="708.2(3)",'CASE DATA'!E112="708.2A",'CASE DATA'!E112="708.7",'CASE DATA'!E112="708.11",'CASE DATA'!E112="708.12",'CASE DATA'!E112="716.8(3)",'CASE DATA'!E112="716.8(4)", LEFT('CASE DATA'!E112,4)="717C", LEFT('CASE DATA'!E112, 3)="719", LEFT('CASE DATA'!E112,3)="720", 'CASE DATA'!E112="721.2", 'CASE DATA'!E112="721.10", 'CASE DATA'!E112="723.1", LEFT('CASE DATA'!E112,3)="724", LEFT('CASE DATA'!E112,3)="726", LEFT('CASE DATA'!E112,3)="728", LEFT('CASE DATA'!E112,4)="901A"),"ineligible misd", "eligible"),"N/A")</f>
        <v>N/A</v>
      </c>
      <c r="N111" s="185" t="str">
        <f>IF(L111="eligible",IF(COUNTIF('CASE DATA'!$C$4:$C$200, "")-COUNTIF('CASE DATA'!$A$4:$A$200, "")&gt;0, "YES","NO"),"N/A")</f>
        <v>N/A</v>
      </c>
      <c r="O111" s="185" t="str">
        <f xml:space="preserve"> IF(M111="eligible",'CASE DATA'!K112,"N/A")</f>
        <v>N/A</v>
      </c>
      <c r="P111" s="185" t="str">
        <f xml:space="preserve"> IF(M111="eligible",'CASE DATA'!I112+'CASE DATA'!J112+'CASE DATA'!L112+'CASE DATA'!M112+'CASE DATA'!N112+'CASE DATA'!O112+'CASE DATA'!M112+'CASE DATA'!Q112+'CASE DATA'!R112,"N/A")</f>
        <v>N/A</v>
      </c>
      <c r="Q111" s="11" t="str">
        <f>IF(M111="eligible",IF(C111+730.5&lt;'BASIC INFO'!$B$3, "YES", "NO"),"N/A")</f>
        <v>N/A</v>
      </c>
      <c r="R111" s="186" t="str">
        <f xml:space="preserve"> IF(OR('CASE DATA'!F112="DEF"), "YES", "NO")</f>
        <v>NO</v>
      </c>
      <c r="S111" s="162" t="str">
        <f>IF(R111="YES",'CASE DATA'!H112,"N/A")</f>
        <v>N/A</v>
      </c>
      <c r="T111" s="185" t="str">
        <f xml:space="preserve"> IF(R111="YES",'CASE DATA'!K112,"N/A")</f>
        <v>N/A</v>
      </c>
      <c r="U111" s="185" t="str">
        <f>IF(R111="YES",'CASE DATA'!I112+'CASE DATA'!J112+'CASE DATA'!L112+'CASE DATA'!M112+'CASE DATA'!N112+'CASE DATA'!O112+'CASE DATA'!P112+'CASE DATA'!Q112+'CASE DATA'!R112,"N/A")</f>
        <v>N/A</v>
      </c>
      <c r="V111" s="189" t="str">
        <f>IF(OR('CASE DATA'!E112="123.46",'CASE DATA'!E112="123.47"),"YES","NO")</f>
        <v>NO</v>
      </c>
      <c r="W111" s="189"/>
      <c r="X111" s="185" t="str">
        <f>IF(V111="YES",IF(C111+730.5&lt;'BASIC INFO'!$B$3, "YES","NO"), "N/A")</f>
        <v>N/A</v>
      </c>
      <c r="Y111" s="189" t="str">
        <f t="shared" si="2"/>
        <v>NO</v>
      </c>
      <c r="Z111" s="187" t="str">
        <f xml:space="preserve"> IF('BASIC INFO'!$B$6+6574.5&gt;C111, "YES", "NO")</f>
        <v>YES</v>
      </c>
    </row>
    <row r="112" spans="1:26" x14ac:dyDescent="0.25">
      <c r="A112" s="162">
        <f xml:space="preserve"> 'CASE DATA'!A113</f>
        <v>0</v>
      </c>
      <c r="B112" s="162">
        <f xml:space="preserve"> 'CASE DATA'!E113</f>
        <v>0</v>
      </c>
      <c r="C112" s="163">
        <f xml:space="preserve"> 'CASE DATA'!C113</f>
        <v>0</v>
      </c>
      <c r="D112" s="11" t="str">
        <f xml:space="preserve"> IF(OR('CASE DATA'!F113="JUV", 'CASE DATA'!F113="JWV"), "YES", "NO")</f>
        <v>NO</v>
      </c>
      <c r="E112" s="11"/>
      <c r="F112" s="11" t="str">
        <f>IF(D112="YES",IF(COUNTIF('CASE DATA'!$C$4:$C$200, "")-COUNTIF('CASE DATA'!$A$4:$A$200, "")&gt;0, "YES","NO"),"N/A")</f>
        <v>N/A</v>
      </c>
      <c r="G112" s="164" t="str">
        <f xml:space="preserve"> _xlfn.IFS(D112="NO", "N/A", AND('BASIC INFO'!$B$3&gt;'BASIC INFO'!$B$6+6574.5, C112+730.5&lt;'BASIC INFO'!$B$3), "YES", 'BASIC INFO'!$B$3&lt;('BASIC INFO'!$B$6+6574.5), "NOT YET 18", C112+730.5&gt;'BASIC INFO'!$B$3, "NOT YET 2 YEARS")</f>
        <v>N/A</v>
      </c>
      <c r="H112" s="186" t="str">
        <f xml:space="preserve"> IF(LEFT('CASE DATA'!E113,4)&lt;&gt;"321.",IF(OR('CASE DATA'!F113="DISM", 'CASE DATA'!F113="ACQ", 'CASE DATA'!F113="NOTF", 'CASE DATA'!F113="WTHD", 'CASE DATA'!F113="TNSF"), "YES", "NO"), "TRAFFIC")</f>
        <v>NO</v>
      </c>
      <c r="I112" s="185" t="str">
        <f xml:space="preserve"> IF(H112="YES",'CASE DATA'!K113,"N/A")</f>
        <v>N/A</v>
      </c>
      <c r="J112" s="185" t="str">
        <f>IF(H112="YES",'CASE DATA'!I113+'CASE DATA'!J113+'CASE DATA'!L113+'CASE DATA'!M113+'CASE DATA'!N113+'CASE DATA'!O113+'CASE DATA'!P113+'CASE DATA'!Q113+'CASE DATA'!R113,"N/A")</f>
        <v>N/A</v>
      </c>
      <c r="K112" s="162" t="str">
        <f xml:space="preserve"> IF(H112="YES",IF(C112+180&lt;'BASIC INFO'!$B$3, "YES", "NO"),"N/A")</f>
        <v>N/A</v>
      </c>
      <c r="L112" s="185" t="str">
        <f>IF(OR('CASE DATA'!F113="GTR", 'CASE DATA'!F113="GPL"),IF(OR('CASE DATA'!E113="81.6(2)", 'CASE DATA'!E113="99F.15(6)(b)(1)", 'CASE DATA'!E113= "124.401(1)(a)", 'CASE DATA'!E113= "124.401(1)(b)", 'CASE DATA'!E113= "124.401(1)(c)", 'CASE DATA'!E113= "124.401(1)(d)", 'CASE DATA'!E113="124.401(4)", 'CASE DATA'!E113="124.401(1)(b)", 'CASE DATA'!E113="124.401(1)(c)", 'CASE DATA'!E113="124.401D(2)(b)", 'CASE DATA'!E113="124.401D(2)(c)", 'CASE DATA'!E113="124.406(1)(a)", 'CASE DATA'!E113="124.406(1)(b) ", 'CASE DATA'!E113="124.406(2)(a)", 'CASE DATA'!E113="124.406(2)(b) ", 'CASE DATA'!E113="124.406(3)", 'CASE DATA'!E113="124.406A ", 'CASE DATA'!E113="124.407(2)(a)", 'CASE DATA'!E113="124B.9(1)", 'CASE DATA'!E113="124B.9(2)", 'CASE DATA'!E113="321J.2(2)(c)", 'CASE DATA'!E113="453B.12(2)", 'CASE DATA'!E113="453B.12(3)", 'CASE DATA'!E113="453B.12(4)", 'CASE DATA'!E113="462A.14(2)(c)", 'CASE DATA'!E113="462A.14(2)(d)", 'CASE DATA'!E113="462A.14(2)(e)", 'CASE DATA'!E113="705.1(2)", 'CASE DATA'!E113="706.3(1)", 'CASE DATA'!E113="706.3(2)", 'CASE DATA'!E113="706A.2(1)", 'CASE DATA'!E113="706A.2(2)", 'CASE DATA'!E113="706A.2(4)", 'CASE DATA'!E113="706B.2(1)(a)", 'CASE DATA'!E113="706B.2(1)(b)", 'CASE DATA'!E113="706B.2(1)(c)", 'CASE DATA'!E113="706B.2(1)(d)", 'CASE DATA'!E113="707.2", 'CASE DATA'!E113="707.3", 'CASE DATA'!E113="707.3A", 'CASE DATA'!E113="707.4", 'CASE DATA'!E113="707.5(1)(a)", 'CASE DATA'!E113="707.6A(1)", 'CASE DATA'!E113="707.6A(2)", 'CASE DATA'!E113="707.6A(3)", 'CASE DATA'!E113="707.6A(4)", 'CASE DATA'!E113="707.7(1)", 'CASE DATA'!E113="707.7(3)", 'CASE DATA'!E113="707.7(2)", 'CASE DATA'!E113="707.8(1)", 'CASE DATA'!E113="707.8(2)", 'CASE DATA'!E113="707.8(3)", 'CASE DATA'!E113="707.8(4)", 'CASE DATA'!E113="707.8(5)", 'CASE DATA'!E113="707.8(6)", 'CASE DATA'!E113="707.9", 'CASE DATA'!E113="707.11", 'CASE DATA'!E113="707A.2", 'CASE DATA'!E113="708.2(4)", 'CASE DATA'!E113="708.2(5)", 'CASE DATA'!E113="708.2A(4)", 'CASE DATA'!E113="708.2A(5)", 'CASE DATA'!E113="708.2C(2)", 'CASE DATA'!E113="708.2C(4)", 'CASE DATA'!E113="708.3(1)", 'CASE DATA'!E113="708.3(2)", 'CASE DATA'!E113="708.3A(1)", 'CASE DATA'!E113="708.3A(2)", 'CASE DATA'!E113="708.3B", 'CASE DATA'!E113="708.4(1)", 'CASE DATA'!E113="708.4(2)", 'CASE DATA'!E113="708.5", 'CASE DATA'!E113="708.8", 'CASE DATA'!E113="708.11(3)(a)", 'CASE DATA'!E113="708.11(3)(b)", 'CASE DATA'!E113="708.12(3)(f)", 'CASE DATA'!E113="708.13(3)", 'CASE DATA'!E113="708.14", 'CASE DATA'!E113="708A.2", 'CASE DATA'!E113="708A.4(1)", 'CASE DATA'!E113="708A.4(2)", 'CASE DATA'!E113="708A.5", 'CASE DATA'!E113="708A.6(1)", 'CASE DATA'!E113="708.A.6(2)", 'CASE DATA'!E113="709.2", 'CASE DATA'!E113="709.3", 'CASE DATA'!E113="709.4", 'CASE DATA'!E113="709.8(1)(a)", 'CASE DATA'!E113="709.8(1)(b)", 'CASE DATA'!E113="709.8(1)(c)", 'CASE DATA'!E113="709.8(1)(d)", 'CASE DATA'!E113="709.8(1)(e)", 'CASE DATA'!E113="709.11(1)", 'CASE DATA'!E113="709.11(2)", 'CASE DATA'!E113="709.15(2)(a)(1)", 'CASE DATA'!E113="709.15(3)(a)(1)", 'CASE DATA'!E113="709.18", 'CASE DATA'!E113="709A.6(2)", 'CASE DATA'!E113="709D.3(1)", 'CASE DATA'!E113="709D.3(2)", 'CASE DATA'!E113="709.D.3(3)", 'CASE DATA'!E113="710.2", 'CASE DATA'!E113="710.3", 'CASE DATA'!E113="710.4", 'CASE DATA'!E113="710.5", 'CASE DATA'!E113="710.10(1)", 'CASE DATA'!E113="710.10(2)", 'CASE DATA'!E113="710.10(3)", 'CASE DATA'!E113="710.11", 'CASE DATA'!E113="710A.2(1)", 'CASE DATA'!E113="710A.2(2)", 'CASE DATA'!E113="710A.2(3)", 'CASE DATA'!E113="710A.2(4)", 'CASE DATA'!E113="710A.2(5)", 'CASE DATA'!E113="710A.2(6)", 'CASE DATA'!E113="710A.2(7)", 'CASE DATA'!E113="710A.2A", 'CASE DATA'!E113="711.2", 'CASE DATA'!E113="711.3", 'CASE DATA'!E113="711.4", 'CASE DATA'!E113="712.2", 'CASE DATA'!E113="712.3", 'CASE DATA'!E113="712.6(1)", 'CASE DATA'!E113="712.7", 'CASE DATA'!E113="712.8", 'CASE DATA'!E113="", 'CASE DATA'!E113="713.3", 'CASE DATA'!E113="713.4", 'CASE DATA'!E113="713.5", 'CASE DATA'!E113="713.6", 'CASE DATA'!E113="713.6A(1)", 'CASE DATA'!E113="714.2(1)", 'CASE DATA'!E113="714.2(2)", 'CASE DATA'!E113="714.3A(2)(b)", 'CASE DATA'!E113="714.9", 'CASE DATA'!E113="714.10", 'CASE DATA'!E113="714.26(2)(a)", 'CASE DATA'!E113="714.26(2)(b)", 'CASE DATA'!E113="715A.2(2)(a)", 'CASE DATA'!E113="715A.6(2)(a)", 'CASE DATA'!E113="715A.6(2)(b)", 'CASE DATA'!E113="715A.8(3)(a)", 'CASE DATA'!E113="715A.8(3)(b)", 'CASE DATA'!E113="715A.10(1)", 'CASE DATA'!E113="715A.10(2)", 'CASE DATA'!E113="716.3", 'CASE DATA'!E113="716.4", 'CASE DATA'!E113="716.8(6)", 'CASE DATA'!E113="716.10(2)(a)", 'CASE DATA'!E113="716.10(2)(b)", 'CASE DATA'!E113="716.10(2)(c)", 'CASE DATA'!E113="716.10(2)(d)", 'CASE DATA'!E113="716.12", 'CASE DATA'!E113="719.1(1)(f)", 'CASE DATA'!E113="719.1(2)(e)", 'CASE DATA'!E113="719.1(2)(f)", 'CASE DATA'!E113="719.1(2)(g)", 'CASE DATA'!E113="719.4(1)", 'CASE DATA'!E113="719.4(4)", 'CASE DATA'!E113="719.5(1)", 'CASE DATA'!E113="719.5(2)", 'CASE DATA'!E113="719.6(1)", 'CASE DATA'!E113="719.6(2)", 'CASE DATA'!E113="719.7(4)(a)", 'CASE DATA'!E113="719.7(4)(b)", 'CASE DATA'!E113="719.7A(3)", 'CASE DATA'!E113="719.9", 'CASE DATA'!E113="719.8", 'CASE DATA'!E113="720.2", 'CASE DATA'!E113="720.3", 'CASE DATA'!E113="721.1", 'CASE DATA'!E113="722.1", 'CASE DATA'!E113="", 'CASE DATA'!E113="722.2", 'CASE DATA'!E113="722.10", 'CASE DATA'!E113="723(5)(3)(c)", 'CASE DATA'!E113="723A.2", 'CASE DATA'!E113="723A.3(1)", 'CASE DATA'!E113="723A.3(2)", 'CASE DATA'!E113="724.1B", 'CASE DATA'!E113="724.1C", 'CASE DATA'!E113="724.3", 'CASE DATA'!E113="724.4B", 'CASE DATA'!E113="724.10", 'CASE DATA'!E113="724.16(2)", 'CASE DATA'!E113="724.16A(1)(a)", 'CASE DATA'!E113="724.16A(1)(b)", 'CASE DATA'!E113="724.17", 'CASE DATA'!E113="724.21", 'CASE DATA'!E113="724.26(1)", 'CASE DATA'!E113="922(g)(8)", 'CASE DATA'!E113="724.29A(2)", 'CASE DATA'!E113="724.29A(3)", 'CASE DATA'!E113="724.30(1)", 'CASE DATA'!E113="724.30(2)", 'CASE DATA'!E113="725.1(2)(b)", 'CASE DATA'!E113="725.2(1)", 'CASE DATA'!E113="725.2(2)", 'CASE DATA'!E113="725.3(2)", 'CASE DATA'!E113="725.3(1)", 'CASE DATA'!E113="725.7(2)(a)(3)", 'CASE DATA'!E113="725.7(2)(a)(4)", 'CASE DATA'!E113="725.7(2)(b)(2)", 'CASE DATA'!E113="725.7(2)(b(3)", 'CASE DATA'!E113="726.7(2)(c)(1)", 'CASE DATA'!E113="726.7(2)(c)(2)", 'CASE DATA'!E113="725.7(2)(d)", 'CASE DATA'!E113="726.2", 'CASE DATA'!E113="726.3", 'CASE DATA'!E113="726.5", 'CASE DATA'!E113="726.6(4)", 'CASE DATA'!E113="726.6(5)", 'CASE DATA'!E113="726.6(6)", 'CASE DATA'!E113="726.6A", 'CASE DATA'!E113="726.7(2)", 'CASE DATA'!E113="726.8(2)", 'CASE DATA'!E113="728.12(1)", 'CASE DATA'!E113="728.12(2)"),"felony","eligible"),"N/A")</f>
        <v>N/A</v>
      </c>
      <c r="M112" s="185" t="str">
        <f>IF(L112="eligible",IF(OR('CASE DATA'!E113="123.46",'CASE DATA'!E113="123.47",'CASE DATA'!E113="235B.20",'CASE DATA'!E113="321.218",'CASE DATA'!E113="321A.32",'CASE DATA'!E113="321J.21",'CASE DATA'!E113="321J.2",'CASE DATA'!E113="707.5",'CASE DATA'!E113="708.2(3)",'CASE DATA'!E113="708.2A",'CASE DATA'!E113="708.7",'CASE DATA'!E113="708.11",'CASE DATA'!E113="708.12",'CASE DATA'!E113="716.8(3)",'CASE DATA'!E113="716.8(4)", LEFT('CASE DATA'!E113,4)="717C", LEFT('CASE DATA'!E113, 3)="719", LEFT('CASE DATA'!E113,3)="720", 'CASE DATA'!E113="721.2", 'CASE DATA'!E113="721.10", 'CASE DATA'!E113="723.1", LEFT('CASE DATA'!E113,3)="724", LEFT('CASE DATA'!E113,3)="726", LEFT('CASE DATA'!E113,3)="728", LEFT('CASE DATA'!E113,4)="901A"),"ineligible misd", "eligible"),"N/A")</f>
        <v>N/A</v>
      </c>
      <c r="N112" s="185" t="str">
        <f>IF(L112="eligible",IF(COUNTIF('CASE DATA'!$C$4:$C$200, "")-COUNTIF('CASE DATA'!$A$4:$A$200, "")&gt;0, "YES","NO"),"N/A")</f>
        <v>N/A</v>
      </c>
      <c r="O112" s="185" t="str">
        <f xml:space="preserve"> IF(M112="eligible",'CASE DATA'!K113,"N/A")</f>
        <v>N/A</v>
      </c>
      <c r="P112" s="185" t="str">
        <f xml:space="preserve"> IF(M112="eligible",'CASE DATA'!I113+'CASE DATA'!J113+'CASE DATA'!L113+'CASE DATA'!M113+'CASE DATA'!N113+'CASE DATA'!O113+'CASE DATA'!M113+'CASE DATA'!Q113+'CASE DATA'!R113,"N/A")</f>
        <v>N/A</v>
      </c>
      <c r="Q112" s="11" t="str">
        <f>IF(M112="eligible",IF(C112+730.5&lt;'BASIC INFO'!$B$3, "YES", "NO"),"N/A")</f>
        <v>N/A</v>
      </c>
      <c r="R112" s="186" t="str">
        <f xml:space="preserve"> IF(OR('CASE DATA'!F113="DEF"), "YES", "NO")</f>
        <v>NO</v>
      </c>
      <c r="S112" s="162" t="str">
        <f>IF(R112="YES",'CASE DATA'!H113,"N/A")</f>
        <v>N/A</v>
      </c>
      <c r="T112" s="185" t="str">
        <f xml:space="preserve"> IF(R112="YES",'CASE DATA'!K113,"N/A")</f>
        <v>N/A</v>
      </c>
      <c r="U112" s="185" t="str">
        <f>IF(R112="YES",'CASE DATA'!I113+'CASE DATA'!J113+'CASE DATA'!L113+'CASE DATA'!M113+'CASE DATA'!N113+'CASE DATA'!O113+'CASE DATA'!P113+'CASE DATA'!Q113+'CASE DATA'!R113,"N/A")</f>
        <v>N/A</v>
      </c>
      <c r="V112" s="189" t="str">
        <f>IF(OR('CASE DATA'!E113="123.46",'CASE DATA'!E113="123.47"),"YES","NO")</f>
        <v>NO</v>
      </c>
      <c r="W112" s="189"/>
      <c r="X112" s="185" t="str">
        <f>IF(V112="YES",IF(C112+730.5&lt;'BASIC INFO'!$B$3, "YES","NO"), "N/A")</f>
        <v>N/A</v>
      </c>
      <c r="Y112" s="189" t="str">
        <f t="shared" si="2"/>
        <v>NO</v>
      </c>
      <c r="Z112" s="187" t="str">
        <f xml:space="preserve"> IF('BASIC INFO'!$B$6+6574.5&gt;C112, "YES", "NO")</f>
        <v>YES</v>
      </c>
    </row>
    <row r="113" spans="1:26" x14ac:dyDescent="0.25">
      <c r="A113" s="162">
        <f xml:space="preserve"> 'CASE DATA'!A114</f>
        <v>0</v>
      </c>
      <c r="B113" s="162">
        <f xml:space="preserve"> 'CASE DATA'!E114</f>
        <v>0</v>
      </c>
      <c r="C113" s="163">
        <f xml:space="preserve"> 'CASE DATA'!C114</f>
        <v>0</v>
      </c>
      <c r="D113" s="11" t="str">
        <f xml:space="preserve"> IF(OR('CASE DATA'!F114="JUV", 'CASE DATA'!F114="JWV"), "YES", "NO")</f>
        <v>NO</v>
      </c>
      <c r="E113" s="11"/>
      <c r="F113" s="11" t="str">
        <f>IF(D113="YES",IF(COUNTIF('CASE DATA'!$C$4:$C$200, "")-COUNTIF('CASE DATA'!$A$4:$A$200, "")&gt;0, "YES","NO"),"N/A")</f>
        <v>N/A</v>
      </c>
      <c r="G113" s="164" t="str">
        <f xml:space="preserve"> _xlfn.IFS(D113="NO", "N/A", AND('BASIC INFO'!$B$3&gt;'BASIC INFO'!$B$6+6574.5, C113+730.5&lt;'BASIC INFO'!$B$3), "YES", 'BASIC INFO'!$B$3&lt;('BASIC INFO'!$B$6+6574.5), "NOT YET 18", C113+730.5&gt;'BASIC INFO'!$B$3, "NOT YET 2 YEARS")</f>
        <v>N/A</v>
      </c>
      <c r="H113" s="186" t="str">
        <f xml:space="preserve"> IF(LEFT('CASE DATA'!E114,4)&lt;&gt;"321.",IF(OR('CASE DATA'!F114="DISM", 'CASE DATA'!F114="ACQ", 'CASE DATA'!F114="NOTF", 'CASE DATA'!F114="WTHD", 'CASE DATA'!F114="TNSF"), "YES", "NO"), "TRAFFIC")</f>
        <v>NO</v>
      </c>
      <c r="I113" s="185" t="str">
        <f xml:space="preserve"> IF(H113="YES",'CASE DATA'!K114,"N/A")</f>
        <v>N/A</v>
      </c>
      <c r="J113" s="185" t="str">
        <f>IF(H113="YES",'CASE DATA'!I114+'CASE DATA'!J114+'CASE DATA'!L114+'CASE DATA'!M114+'CASE DATA'!N114+'CASE DATA'!O114+'CASE DATA'!P114+'CASE DATA'!Q114+'CASE DATA'!R114,"N/A")</f>
        <v>N/A</v>
      </c>
      <c r="K113" s="162" t="str">
        <f xml:space="preserve"> IF(H113="YES",IF(C113+180&lt;'BASIC INFO'!$B$3, "YES", "NO"),"N/A")</f>
        <v>N/A</v>
      </c>
      <c r="L113" s="185" t="str">
        <f>IF(OR('CASE DATA'!F114="GTR", 'CASE DATA'!F114="GPL"),IF(OR('CASE DATA'!E114="81.6(2)", 'CASE DATA'!E114="99F.15(6)(b)(1)", 'CASE DATA'!E114= "124.401(1)(a)", 'CASE DATA'!E114= "124.401(1)(b)", 'CASE DATA'!E114= "124.401(1)(c)", 'CASE DATA'!E114= "124.401(1)(d)", 'CASE DATA'!E114="124.401(4)", 'CASE DATA'!E114="124.401(1)(b)", 'CASE DATA'!E114="124.401(1)(c)", 'CASE DATA'!E114="124.401D(2)(b)", 'CASE DATA'!E114="124.401D(2)(c)", 'CASE DATA'!E114="124.406(1)(a)", 'CASE DATA'!E114="124.406(1)(b) ", 'CASE DATA'!E114="124.406(2)(a)", 'CASE DATA'!E114="124.406(2)(b) ", 'CASE DATA'!E114="124.406(3)", 'CASE DATA'!E114="124.406A ", 'CASE DATA'!E114="124.407(2)(a)", 'CASE DATA'!E114="124B.9(1)", 'CASE DATA'!E114="124B.9(2)", 'CASE DATA'!E114="321J.2(2)(c)", 'CASE DATA'!E114="453B.12(2)", 'CASE DATA'!E114="453B.12(3)", 'CASE DATA'!E114="453B.12(4)", 'CASE DATA'!E114="462A.14(2)(c)", 'CASE DATA'!E114="462A.14(2)(d)", 'CASE DATA'!E114="462A.14(2)(e)", 'CASE DATA'!E114="705.1(2)", 'CASE DATA'!E114="706.3(1)", 'CASE DATA'!E114="706.3(2)", 'CASE DATA'!E114="706A.2(1)", 'CASE DATA'!E114="706A.2(2)", 'CASE DATA'!E114="706A.2(4)", 'CASE DATA'!E114="706B.2(1)(a)", 'CASE DATA'!E114="706B.2(1)(b)", 'CASE DATA'!E114="706B.2(1)(c)", 'CASE DATA'!E114="706B.2(1)(d)", 'CASE DATA'!E114="707.2", 'CASE DATA'!E114="707.3", 'CASE DATA'!E114="707.3A", 'CASE DATA'!E114="707.4", 'CASE DATA'!E114="707.5(1)(a)", 'CASE DATA'!E114="707.6A(1)", 'CASE DATA'!E114="707.6A(2)", 'CASE DATA'!E114="707.6A(3)", 'CASE DATA'!E114="707.6A(4)", 'CASE DATA'!E114="707.7(1)", 'CASE DATA'!E114="707.7(3)", 'CASE DATA'!E114="707.7(2)", 'CASE DATA'!E114="707.8(1)", 'CASE DATA'!E114="707.8(2)", 'CASE DATA'!E114="707.8(3)", 'CASE DATA'!E114="707.8(4)", 'CASE DATA'!E114="707.8(5)", 'CASE DATA'!E114="707.8(6)", 'CASE DATA'!E114="707.9", 'CASE DATA'!E114="707.11", 'CASE DATA'!E114="707A.2", 'CASE DATA'!E114="708.2(4)", 'CASE DATA'!E114="708.2(5)", 'CASE DATA'!E114="708.2A(4)", 'CASE DATA'!E114="708.2A(5)", 'CASE DATA'!E114="708.2C(2)", 'CASE DATA'!E114="708.2C(4)", 'CASE DATA'!E114="708.3(1)", 'CASE DATA'!E114="708.3(2)", 'CASE DATA'!E114="708.3A(1)", 'CASE DATA'!E114="708.3A(2)", 'CASE DATA'!E114="708.3B", 'CASE DATA'!E114="708.4(1)", 'CASE DATA'!E114="708.4(2)", 'CASE DATA'!E114="708.5", 'CASE DATA'!E114="708.8", 'CASE DATA'!E114="708.11(3)(a)", 'CASE DATA'!E114="708.11(3)(b)", 'CASE DATA'!E114="708.12(3)(f)", 'CASE DATA'!E114="708.13(3)", 'CASE DATA'!E114="708.14", 'CASE DATA'!E114="708A.2", 'CASE DATA'!E114="708A.4(1)", 'CASE DATA'!E114="708A.4(2)", 'CASE DATA'!E114="708A.5", 'CASE DATA'!E114="708A.6(1)", 'CASE DATA'!E114="708.A.6(2)", 'CASE DATA'!E114="709.2", 'CASE DATA'!E114="709.3", 'CASE DATA'!E114="709.4", 'CASE DATA'!E114="709.8(1)(a)", 'CASE DATA'!E114="709.8(1)(b)", 'CASE DATA'!E114="709.8(1)(c)", 'CASE DATA'!E114="709.8(1)(d)", 'CASE DATA'!E114="709.8(1)(e)", 'CASE DATA'!E114="709.11(1)", 'CASE DATA'!E114="709.11(2)", 'CASE DATA'!E114="709.15(2)(a)(1)", 'CASE DATA'!E114="709.15(3)(a)(1)", 'CASE DATA'!E114="709.18", 'CASE DATA'!E114="709A.6(2)", 'CASE DATA'!E114="709D.3(1)", 'CASE DATA'!E114="709D.3(2)", 'CASE DATA'!E114="709.D.3(3)", 'CASE DATA'!E114="710.2", 'CASE DATA'!E114="710.3", 'CASE DATA'!E114="710.4", 'CASE DATA'!E114="710.5", 'CASE DATA'!E114="710.10(1)", 'CASE DATA'!E114="710.10(2)", 'CASE DATA'!E114="710.10(3)", 'CASE DATA'!E114="710.11", 'CASE DATA'!E114="710A.2(1)", 'CASE DATA'!E114="710A.2(2)", 'CASE DATA'!E114="710A.2(3)", 'CASE DATA'!E114="710A.2(4)", 'CASE DATA'!E114="710A.2(5)", 'CASE DATA'!E114="710A.2(6)", 'CASE DATA'!E114="710A.2(7)", 'CASE DATA'!E114="710A.2A", 'CASE DATA'!E114="711.2", 'CASE DATA'!E114="711.3", 'CASE DATA'!E114="711.4", 'CASE DATA'!E114="712.2", 'CASE DATA'!E114="712.3", 'CASE DATA'!E114="712.6(1)", 'CASE DATA'!E114="712.7", 'CASE DATA'!E114="712.8", 'CASE DATA'!E114="", 'CASE DATA'!E114="713.3", 'CASE DATA'!E114="713.4", 'CASE DATA'!E114="713.5", 'CASE DATA'!E114="713.6", 'CASE DATA'!E114="713.6A(1)", 'CASE DATA'!E114="714.2(1)", 'CASE DATA'!E114="714.2(2)", 'CASE DATA'!E114="714.3A(2)(b)", 'CASE DATA'!E114="714.9", 'CASE DATA'!E114="714.10", 'CASE DATA'!E114="714.26(2)(a)", 'CASE DATA'!E114="714.26(2)(b)", 'CASE DATA'!E114="715A.2(2)(a)", 'CASE DATA'!E114="715A.6(2)(a)", 'CASE DATA'!E114="715A.6(2)(b)", 'CASE DATA'!E114="715A.8(3)(a)", 'CASE DATA'!E114="715A.8(3)(b)", 'CASE DATA'!E114="715A.10(1)", 'CASE DATA'!E114="715A.10(2)", 'CASE DATA'!E114="716.3", 'CASE DATA'!E114="716.4", 'CASE DATA'!E114="716.8(6)", 'CASE DATA'!E114="716.10(2)(a)", 'CASE DATA'!E114="716.10(2)(b)", 'CASE DATA'!E114="716.10(2)(c)", 'CASE DATA'!E114="716.10(2)(d)", 'CASE DATA'!E114="716.12", 'CASE DATA'!E114="719.1(1)(f)", 'CASE DATA'!E114="719.1(2)(e)", 'CASE DATA'!E114="719.1(2)(f)", 'CASE DATA'!E114="719.1(2)(g)", 'CASE DATA'!E114="719.4(1)", 'CASE DATA'!E114="719.4(4)", 'CASE DATA'!E114="719.5(1)", 'CASE DATA'!E114="719.5(2)", 'CASE DATA'!E114="719.6(1)", 'CASE DATA'!E114="719.6(2)", 'CASE DATA'!E114="719.7(4)(a)", 'CASE DATA'!E114="719.7(4)(b)", 'CASE DATA'!E114="719.7A(3)", 'CASE DATA'!E114="719.9", 'CASE DATA'!E114="719.8", 'CASE DATA'!E114="720.2", 'CASE DATA'!E114="720.3", 'CASE DATA'!E114="721.1", 'CASE DATA'!E114="722.1", 'CASE DATA'!E114="", 'CASE DATA'!E114="722.2", 'CASE DATA'!E114="722.10", 'CASE DATA'!E114="723(5)(3)(c)", 'CASE DATA'!E114="723A.2", 'CASE DATA'!E114="723A.3(1)", 'CASE DATA'!E114="723A.3(2)", 'CASE DATA'!E114="724.1B", 'CASE DATA'!E114="724.1C", 'CASE DATA'!E114="724.3", 'CASE DATA'!E114="724.4B", 'CASE DATA'!E114="724.10", 'CASE DATA'!E114="724.16(2)", 'CASE DATA'!E114="724.16A(1)(a)", 'CASE DATA'!E114="724.16A(1)(b)", 'CASE DATA'!E114="724.17", 'CASE DATA'!E114="724.21", 'CASE DATA'!E114="724.26(1)", 'CASE DATA'!E114="922(g)(8)", 'CASE DATA'!E114="724.29A(2)", 'CASE DATA'!E114="724.29A(3)", 'CASE DATA'!E114="724.30(1)", 'CASE DATA'!E114="724.30(2)", 'CASE DATA'!E114="725.1(2)(b)", 'CASE DATA'!E114="725.2(1)", 'CASE DATA'!E114="725.2(2)", 'CASE DATA'!E114="725.3(2)", 'CASE DATA'!E114="725.3(1)", 'CASE DATA'!E114="725.7(2)(a)(3)", 'CASE DATA'!E114="725.7(2)(a)(4)", 'CASE DATA'!E114="725.7(2)(b)(2)", 'CASE DATA'!E114="725.7(2)(b(3)", 'CASE DATA'!E114="726.7(2)(c)(1)", 'CASE DATA'!E114="726.7(2)(c)(2)", 'CASE DATA'!E114="725.7(2)(d)", 'CASE DATA'!E114="726.2", 'CASE DATA'!E114="726.3", 'CASE DATA'!E114="726.5", 'CASE DATA'!E114="726.6(4)", 'CASE DATA'!E114="726.6(5)", 'CASE DATA'!E114="726.6(6)", 'CASE DATA'!E114="726.6A", 'CASE DATA'!E114="726.7(2)", 'CASE DATA'!E114="726.8(2)", 'CASE DATA'!E114="728.12(1)", 'CASE DATA'!E114="728.12(2)"),"felony","eligible"),"N/A")</f>
        <v>N/A</v>
      </c>
      <c r="M113" s="185" t="str">
        <f>IF(L113="eligible",IF(OR('CASE DATA'!E114="123.46",'CASE DATA'!E114="123.47",'CASE DATA'!E114="235B.20",'CASE DATA'!E114="321.218",'CASE DATA'!E114="321A.32",'CASE DATA'!E114="321J.21",'CASE DATA'!E114="321J.2",'CASE DATA'!E114="707.5",'CASE DATA'!E114="708.2(3)",'CASE DATA'!E114="708.2A",'CASE DATA'!E114="708.7",'CASE DATA'!E114="708.11",'CASE DATA'!E114="708.12",'CASE DATA'!E114="716.8(3)",'CASE DATA'!E114="716.8(4)", LEFT('CASE DATA'!E114,4)="717C", LEFT('CASE DATA'!E114, 3)="719", LEFT('CASE DATA'!E114,3)="720", 'CASE DATA'!E114="721.2", 'CASE DATA'!E114="721.10", 'CASE DATA'!E114="723.1", LEFT('CASE DATA'!E114,3)="724", LEFT('CASE DATA'!E114,3)="726", LEFT('CASE DATA'!E114,3)="728", LEFT('CASE DATA'!E114,4)="901A"),"ineligible misd", "eligible"),"N/A")</f>
        <v>N/A</v>
      </c>
      <c r="N113" s="185" t="str">
        <f>IF(L113="eligible",IF(COUNTIF('CASE DATA'!$C$4:$C$200, "")-COUNTIF('CASE DATA'!$A$4:$A$200, "")&gt;0, "YES","NO"),"N/A")</f>
        <v>N/A</v>
      </c>
      <c r="O113" s="185" t="str">
        <f xml:space="preserve"> IF(M113="eligible",'CASE DATA'!K114,"N/A")</f>
        <v>N/A</v>
      </c>
      <c r="P113" s="185" t="str">
        <f xml:space="preserve"> IF(M113="eligible",'CASE DATA'!I114+'CASE DATA'!J114+'CASE DATA'!L114+'CASE DATA'!M114+'CASE DATA'!N114+'CASE DATA'!O114+'CASE DATA'!M114+'CASE DATA'!Q114+'CASE DATA'!R114,"N/A")</f>
        <v>N/A</v>
      </c>
      <c r="Q113" s="11" t="str">
        <f>IF(M113="eligible",IF(C113+730.5&lt;'BASIC INFO'!$B$3, "YES", "NO"),"N/A")</f>
        <v>N/A</v>
      </c>
      <c r="R113" s="186" t="str">
        <f xml:space="preserve"> IF(OR('CASE DATA'!F114="DEF"), "YES", "NO")</f>
        <v>NO</v>
      </c>
      <c r="S113" s="162" t="str">
        <f>IF(R113="YES",'CASE DATA'!H114,"N/A")</f>
        <v>N/A</v>
      </c>
      <c r="T113" s="185" t="str">
        <f xml:space="preserve"> IF(R113="YES",'CASE DATA'!K114,"N/A")</f>
        <v>N/A</v>
      </c>
      <c r="U113" s="185" t="str">
        <f>IF(R113="YES",'CASE DATA'!I114+'CASE DATA'!J114+'CASE DATA'!L114+'CASE DATA'!M114+'CASE DATA'!N114+'CASE DATA'!O114+'CASE DATA'!P114+'CASE DATA'!Q114+'CASE DATA'!R114,"N/A")</f>
        <v>N/A</v>
      </c>
      <c r="V113" s="189" t="str">
        <f>IF(OR('CASE DATA'!E114="123.46",'CASE DATA'!E114="123.47"),"YES","NO")</f>
        <v>NO</v>
      </c>
      <c r="W113" s="189"/>
      <c r="X113" s="185" t="str">
        <f>IF(V113="YES",IF(C113+730.5&lt;'BASIC INFO'!$B$3, "YES","NO"), "N/A")</f>
        <v>N/A</v>
      </c>
      <c r="Y113" s="189" t="str">
        <f t="shared" si="2"/>
        <v>NO</v>
      </c>
      <c r="Z113" s="187" t="str">
        <f xml:space="preserve"> IF('BASIC INFO'!$B$6+6574.5&gt;C113, "YES", "NO")</f>
        <v>YES</v>
      </c>
    </row>
    <row r="114" spans="1:26" x14ac:dyDescent="0.25">
      <c r="A114" s="162">
        <f xml:space="preserve"> 'CASE DATA'!A115</f>
        <v>0</v>
      </c>
      <c r="B114" s="162">
        <f xml:space="preserve"> 'CASE DATA'!E115</f>
        <v>0</v>
      </c>
      <c r="C114" s="163">
        <f xml:space="preserve"> 'CASE DATA'!C115</f>
        <v>0</v>
      </c>
      <c r="D114" s="11" t="str">
        <f xml:space="preserve"> IF(OR('CASE DATA'!F115="JUV", 'CASE DATA'!F115="JWV"), "YES", "NO")</f>
        <v>NO</v>
      </c>
      <c r="E114" s="11"/>
      <c r="F114" s="11" t="str">
        <f>IF(D114="YES",IF(COUNTIF('CASE DATA'!$C$4:$C$200, "")-COUNTIF('CASE DATA'!$A$4:$A$200, "")&gt;0, "YES","NO"),"N/A")</f>
        <v>N/A</v>
      </c>
      <c r="G114" s="164" t="str">
        <f xml:space="preserve"> _xlfn.IFS(D114="NO", "N/A", AND('BASIC INFO'!$B$3&gt;'BASIC INFO'!$B$6+6574.5, C114+730.5&lt;'BASIC INFO'!$B$3), "YES", 'BASIC INFO'!$B$3&lt;('BASIC INFO'!$B$6+6574.5), "NOT YET 18", C114+730.5&gt;'BASIC INFO'!$B$3, "NOT YET 2 YEARS")</f>
        <v>N/A</v>
      </c>
      <c r="H114" s="186" t="str">
        <f xml:space="preserve"> IF(LEFT('CASE DATA'!E115,4)&lt;&gt;"321.",IF(OR('CASE DATA'!F115="DISM", 'CASE DATA'!F115="ACQ", 'CASE DATA'!F115="NOTF", 'CASE DATA'!F115="WTHD", 'CASE DATA'!F115="TNSF"), "YES", "NO"), "TRAFFIC")</f>
        <v>NO</v>
      </c>
      <c r="I114" s="185" t="str">
        <f xml:space="preserve"> IF(H114="YES",'CASE DATA'!K115,"N/A")</f>
        <v>N/A</v>
      </c>
      <c r="J114" s="185" t="str">
        <f>IF(H114="YES",'CASE DATA'!I115+'CASE DATA'!J115+'CASE DATA'!L115+'CASE DATA'!M115+'CASE DATA'!N115+'CASE DATA'!O115+'CASE DATA'!P115+'CASE DATA'!Q115+'CASE DATA'!R115,"N/A")</f>
        <v>N/A</v>
      </c>
      <c r="K114" s="162" t="str">
        <f xml:space="preserve"> IF(H114="YES",IF(C114+180&lt;'BASIC INFO'!$B$3, "YES", "NO"),"N/A")</f>
        <v>N/A</v>
      </c>
      <c r="L114" s="185" t="str">
        <f>IF(OR('CASE DATA'!F115="GTR", 'CASE DATA'!F115="GPL"),IF(OR('CASE DATA'!E115="81.6(2)", 'CASE DATA'!E115="99F.15(6)(b)(1)", 'CASE DATA'!E115= "124.401(1)(a)", 'CASE DATA'!E115= "124.401(1)(b)", 'CASE DATA'!E115= "124.401(1)(c)", 'CASE DATA'!E115= "124.401(1)(d)", 'CASE DATA'!E115="124.401(4)", 'CASE DATA'!E115="124.401(1)(b)", 'CASE DATA'!E115="124.401(1)(c)", 'CASE DATA'!E115="124.401D(2)(b)", 'CASE DATA'!E115="124.401D(2)(c)", 'CASE DATA'!E115="124.406(1)(a)", 'CASE DATA'!E115="124.406(1)(b) ", 'CASE DATA'!E115="124.406(2)(a)", 'CASE DATA'!E115="124.406(2)(b) ", 'CASE DATA'!E115="124.406(3)", 'CASE DATA'!E115="124.406A ", 'CASE DATA'!E115="124.407(2)(a)", 'CASE DATA'!E115="124B.9(1)", 'CASE DATA'!E115="124B.9(2)", 'CASE DATA'!E115="321J.2(2)(c)", 'CASE DATA'!E115="453B.12(2)", 'CASE DATA'!E115="453B.12(3)", 'CASE DATA'!E115="453B.12(4)", 'CASE DATA'!E115="462A.14(2)(c)", 'CASE DATA'!E115="462A.14(2)(d)", 'CASE DATA'!E115="462A.14(2)(e)", 'CASE DATA'!E115="705.1(2)", 'CASE DATA'!E115="706.3(1)", 'CASE DATA'!E115="706.3(2)", 'CASE DATA'!E115="706A.2(1)", 'CASE DATA'!E115="706A.2(2)", 'CASE DATA'!E115="706A.2(4)", 'CASE DATA'!E115="706B.2(1)(a)", 'CASE DATA'!E115="706B.2(1)(b)", 'CASE DATA'!E115="706B.2(1)(c)", 'CASE DATA'!E115="706B.2(1)(d)", 'CASE DATA'!E115="707.2", 'CASE DATA'!E115="707.3", 'CASE DATA'!E115="707.3A", 'CASE DATA'!E115="707.4", 'CASE DATA'!E115="707.5(1)(a)", 'CASE DATA'!E115="707.6A(1)", 'CASE DATA'!E115="707.6A(2)", 'CASE DATA'!E115="707.6A(3)", 'CASE DATA'!E115="707.6A(4)", 'CASE DATA'!E115="707.7(1)", 'CASE DATA'!E115="707.7(3)", 'CASE DATA'!E115="707.7(2)", 'CASE DATA'!E115="707.8(1)", 'CASE DATA'!E115="707.8(2)", 'CASE DATA'!E115="707.8(3)", 'CASE DATA'!E115="707.8(4)", 'CASE DATA'!E115="707.8(5)", 'CASE DATA'!E115="707.8(6)", 'CASE DATA'!E115="707.9", 'CASE DATA'!E115="707.11", 'CASE DATA'!E115="707A.2", 'CASE DATA'!E115="708.2(4)", 'CASE DATA'!E115="708.2(5)", 'CASE DATA'!E115="708.2A(4)", 'CASE DATA'!E115="708.2A(5)", 'CASE DATA'!E115="708.2C(2)", 'CASE DATA'!E115="708.2C(4)", 'CASE DATA'!E115="708.3(1)", 'CASE DATA'!E115="708.3(2)", 'CASE DATA'!E115="708.3A(1)", 'CASE DATA'!E115="708.3A(2)", 'CASE DATA'!E115="708.3B", 'CASE DATA'!E115="708.4(1)", 'CASE DATA'!E115="708.4(2)", 'CASE DATA'!E115="708.5", 'CASE DATA'!E115="708.8", 'CASE DATA'!E115="708.11(3)(a)", 'CASE DATA'!E115="708.11(3)(b)", 'CASE DATA'!E115="708.12(3)(f)", 'CASE DATA'!E115="708.13(3)", 'CASE DATA'!E115="708.14", 'CASE DATA'!E115="708A.2", 'CASE DATA'!E115="708A.4(1)", 'CASE DATA'!E115="708A.4(2)", 'CASE DATA'!E115="708A.5", 'CASE DATA'!E115="708A.6(1)", 'CASE DATA'!E115="708.A.6(2)", 'CASE DATA'!E115="709.2", 'CASE DATA'!E115="709.3", 'CASE DATA'!E115="709.4", 'CASE DATA'!E115="709.8(1)(a)", 'CASE DATA'!E115="709.8(1)(b)", 'CASE DATA'!E115="709.8(1)(c)", 'CASE DATA'!E115="709.8(1)(d)", 'CASE DATA'!E115="709.8(1)(e)", 'CASE DATA'!E115="709.11(1)", 'CASE DATA'!E115="709.11(2)", 'CASE DATA'!E115="709.15(2)(a)(1)", 'CASE DATA'!E115="709.15(3)(a)(1)", 'CASE DATA'!E115="709.18", 'CASE DATA'!E115="709A.6(2)", 'CASE DATA'!E115="709D.3(1)", 'CASE DATA'!E115="709D.3(2)", 'CASE DATA'!E115="709.D.3(3)", 'CASE DATA'!E115="710.2", 'CASE DATA'!E115="710.3", 'CASE DATA'!E115="710.4", 'CASE DATA'!E115="710.5", 'CASE DATA'!E115="710.10(1)", 'CASE DATA'!E115="710.10(2)", 'CASE DATA'!E115="710.10(3)", 'CASE DATA'!E115="710.11", 'CASE DATA'!E115="710A.2(1)", 'CASE DATA'!E115="710A.2(2)", 'CASE DATA'!E115="710A.2(3)", 'CASE DATA'!E115="710A.2(4)", 'CASE DATA'!E115="710A.2(5)", 'CASE DATA'!E115="710A.2(6)", 'CASE DATA'!E115="710A.2(7)", 'CASE DATA'!E115="710A.2A", 'CASE DATA'!E115="711.2", 'CASE DATA'!E115="711.3", 'CASE DATA'!E115="711.4", 'CASE DATA'!E115="712.2", 'CASE DATA'!E115="712.3", 'CASE DATA'!E115="712.6(1)", 'CASE DATA'!E115="712.7", 'CASE DATA'!E115="712.8", 'CASE DATA'!E115="", 'CASE DATA'!E115="713.3", 'CASE DATA'!E115="713.4", 'CASE DATA'!E115="713.5", 'CASE DATA'!E115="713.6", 'CASE DATA'!E115="713.6A(1)", 'CASE DATA'!E115="714.2(1)", 'CASE DATA'!E115="714.2(2)", 'CASE DATA'!E115="714.3A(2)(b)", 'CASE DATA'!E115="714.9", 'CASE DATA'!E115="714.10", 'CASE DATA'!E115="714.26(2)(a)", 'CASE DATA'!E115="714.26(2)(b)", 'CASE DATA'!E115="715A.2(2)(a)", 'CASE DATA'!E115="715A.6(2)(a)", 'CASE DATA'!E115="715A.6(2)(b)", 'CASE DATA'!E115="715A.8(3)(a)", 'CASE DATA'!E115="715A.8(3)(b)", 'CASE DATA'!E115="715A.10(1)", 'CASE DATA'!E115="715A.10(2)", 'CASE DATA'!E115="716.3", 'CASE DATA'!E115="716.4", 'CASE DATA'!E115="716.8(6)", 'CASE DATA'!E115="716.10(2)(a)", 'CASE DATA'!E115="716.10(2)(b)", 'CASE DATA'!E115="716.10(2)(c)", 'CASE DATA'!E115="716.10(2)(d)", 'CASE DATA'!E115="716.12", 'CASE DATA'!E115="719.1(1)(f)", 'CASE DATA'!E115="719.1(2)(e)", 'CASE DATA'!E115="719.1(2)(f)", 'CASE DATA'!E115="719.1(2)(g)", 'CASE DATA'!E115="719.4(1)", 'CASE DATA'!E115="719.4(4)", 'CASE DATA'!E115="719.5(1)", 'CASE DATA'!E115="719.5(2)", 'CASE DATA'!E115="719.6(1)", 'CASE DATA'!E115="719.6(2)", 'CASE DATA'!E115="719.7(4)(a)", 'CASE DATA'!E115="719.7(4)(b)", 'CASE DATA'!E115="719.7A(3)", 'CASE DATA'!E115="719.9", 'CASE DATA'!E115="719.8", 'CASE DATA'!E115="720.2", 'CASE DATA'!E115="720.3", 'CASE DATA'!E115="721.1", 'CASE DATA'!E115="722.1", 'CASE DATA'!E115="", 'CASE DATA'!E115="722.2", 'CASE DATA'!E115="722.10", 'CASE DATA'!E115="723(5)(3)(c)", 'CASE DATA'!E115="723A.2", 'CASE DATA'!E115="723A.3(1)", 'CASE DATA'!E115="723A.3(2)", 'CASE DATA'!E115="724.1B", 'CASE DATA'!E115="724.1C", 'CASE DATA'!E115="724.3", 'CASE DATA'!E115="724.4B", 'CASE DATA'!E115="724.10", 'CASE DATA'!E115="724.16(2)", 'CASE DATA'!E115="724.16A(1)(a)", 'CASE DATA'!E115="724.16A(1)(b)", 'CASE DATA'!E115="724.17", 'CASE DATA'!E115="724.21", 'CASE DATA'!E115="724.26(1)", 'CASE DATA'!E115="922(g)(8)", 'CASE DATA'!E115="724.29A(2)", 'CASE DATA'!E115="724.29A(3)", 'CASE DATA'!E115="724.30(1)", 'CASE DATA'!E115="724.30(2)", 'CASE DATA'!E115="725.1(2)(b)", 'CASE DATA'!E115="725.2(1)", 'CASE DATA'!E115="725.2(2)", 'CASE DATA'!E115="725.3(2)", 'CASE DATA'!E115="725.3(1)", 'CASE DATA'!E115="725.7(2)(a)(3)", 'CASE DATA'!E115="725.7(2)(a)(4)", 'CASE DATA'!E115="725.7(2)(b)(2)", 'CASE DATA'!E115="725.7(2)(b(3)", 'CASE DATA'!E115="726.7(2)(c)(1)", 'CASE DATA'!E115="726.7(2)(c)(2)", 'CASE DATA'!E115="725.7(2)(d)", 'CASE DATA'!E115="726.2", 'CASE DATA'!E115="726.3", 'CASE DATA'!E115="726.5", 'CASE DATA'!E115="726.6(4)", 'CASE DATA'!E115="726.6(5)", 'CASE DATA'!E115="726.6(6)", 'CASE DATA'!E115="726.6A", 'CASE DATA'!E115="726.7(2)", 'CASE DATA'!E115="726.8(2)", 'CASE DATA'!E115="728.12(1)", 'CASE DATA'!E115="728.12(2)"),"felony","eligible"),"N/A")</f>
        <v>N/A</v>
      </c>
      <c r="M114" s="185" t="str">
        <f>IF(L114="eligible",IF(OR('CASE DATA'!E115="123.46",'CASE DATA'!E115="123.47",'CASE DATA'!E115="235B.20",'CASE DATA'!E115="321.218",'CASE DATA'!E115="321A.32",'CASE DATA'!E115="321J.21",'CASE DATA'!E115="321J.2",'CASE DATA'!E115="707.5",'CASE DATA'!E115="708.2(3)",'CASE DATA'!E115="708.2A",'CASE DATA'!E115="708.7",'CASE DATA'!E115="708.11",'CASE DATA'!E115="708.12",'CASE DATA'!E115="716.8(3)",'CASE DATA'!E115="716.8(4)", LEFT('CASE DATA'!E115,4)="717C", LEFT('CASE DATA'!E115, 3)="719", LEFT('CASE DATA'!E115,3)="720", 'CASE DATA'!E115="721.2", 'CASE DATA'!E115="721.10", 'CASE DATA'!E115="723.1", LEFT('CASE DATA'!E115,3)="724", LEFT('CASE DATA'!E115,3)="726", LEFT('CASE DATA'!E115,3)="728", LEFT('CASE DATA'!E115,4)="901A"),"ineligible misd", "eligible"),"N/A")</f>
        <v>N/A</v>
      </c>
      <c r="N114" s="185" t="str">
        <f>IF(L114="eligible",IF(COUNTIF('CASE DATA'!$C$4:$C$200, "")-COUNTIF('CASE DATA'!$A$4:$A$200, "")&gt;0, "YES","NO"),"N/A")</f>
        <v>N/A</v>
      </c>
      <c r="O114" s="185" t="str">
        <f xml:space="preserve"> IF(M114="eligible",'CASE DATA'!K115,"N/A")</f>
        <v>N/A</v>
      </c>
      <c r="P114" s="185" t="str">
        <f xml:space="preserve"> IF(M114="eligible",'CASE DATA'!I115+'CASE DATA'!J115+'CASE DATA'!L115+'CASE DATA'!M115+'CASE DATA'!N115+'CASE DATA'!O115+'CASE DATA'!M115+'CASE DATA'!Q115+'CASE DATA'!R115,"N/A")</f>
        <v>N/A</v>
      </c>
      <c r="Q114" s="11" t="str">
        <f>IF(M114="eligible",IF(C114+730.5&lt;'BASIC INFO'!$B$3, "YES", "NO"),"N/A")</f>
        <v>N/A</v>
      </c>
      <c r="R114" s="186" t="str">
        <f xml:space="preserve"> IF(OR('CASE DATA'!F115="DEF"), "YES", "NO")</f>
        <v>NO</v>
      </c>
      <c r="S114" s="162" t="str">
        <f>IF(R114="YES",'CASE DATA'!H115,"N/A")</f>
        <v>N/A</v>
      </c>
      <c r="T114" s="185" t="str">
        <f xml:space="preserve"> IF(R114="YES",'CASE DATA'!K115,"N/A")</f>
        <v>N/A</v>
      </c>
      <c r="U114" s="185" t="str">
        <f>IF(R114="YES",'CASE DATA'!I115+'CASE DATA'!J115+'CASE DATA'!L115+'CASE DATA'!M115+'CASE DATA'!N115+'CASE DATA'!O115+'CASE DATA'!P115+'CASE DATA'!Q115+'CASE DATA'!R115,"N/A")</f>
        <v>N/A</v>
      </c>
      <c r="V114" s="189" t="str">
        <f>IF(OR('CASE DATA'!E115="123.46",'CASE DATA'!E115="123.47"),"YES","NO")</f>
        <v>NO</v>
      </c>
      <c r="W114" s="189"/>
      <c r="X114" s="185" t="str">
        <f>IF(V114="YES",IF(C114+730.5&lt;'BASIC INFO'!$B$3, "YES","NO"), "N/A")</f>
        <v>N/A</v>
      </c>
      <c r="Y114" s="189" t="str">
        <f t="shared" si="2"/>
        <v>NO</v>
      </c>
      <c r="Z114" s="187" t="str">
        <f xml:space="preserve"> IF('BASIC INFO'!$B$6+6574.5&gt;C114, "YES", "NO")</f>
        <v>YES</v>
      </c>
    </row>
    <row r="115" spans="1:26" x14ac:dyDescent="0.25">
      <c r="A115" s="162">
        <f xml:space="preserve"> 'CASE DATA'!A116</f>
        <v>0</v>
      </c>
      <c r="B115" s="162">
        <f xml:space="preserve"> 'CASE DATA'!E116</f>
        <v>0</v>
      </c>
      <c r="C115" s="163">
        <f xml:space="preserve"> 'CASE DATA'!C116</f>
        <v>0</v>
      </c>
      <c r="D115" s="11" t="str">
        <f xml:space="preserve"> IF(OR('CASE DATA'!F116="JUV", 'CASE DATA'!F116="JWV"), "YES", "NO")</f>
        <v>NO</v>
      </c>
      <c r="E115" s="11"/>
      <c r="F115" s="11" t="str">
        <f>IF(D115="YES",IF(COUNTIF('CASE DATA'!$C$4:$C$200, "")-COUNTIF('CASE DATA'!$A$4:$A$200, "")&gt;0, "YES","NO"),"N/A")</f>
        <v>N/A</v>
      </c>
      <c r="G115" s="164" t="str">
        <f xml:space="preserve"> _xlfn.IFS(D115="NO", "N/A", AND('BASIC INFO'!$B$3&gt;'BASIC INFO'!$B$6+6574.5, C115+730.5&lt;'BASIC INFO'!$B$3), "YES", 'BASIC INFO'!$B$3&lt;('BASIC INFO'!$B$6+6574.5), "NOT YET 18", C115+730.5&gt;'BASIC INFO'!$B$3, "NOT YET 2 YEARS")</f>
        <v>N/A</v>
      </c>
      <c r="H115" s="186" t="str">
        <f xml:space="preserve"> IF(LEFT('CASE DATA'!E116,4)&lt;&gt;"321.",IF(OR('CASE DATA'!F116="DISM", 'CASE DATA'!F116="ACQ", 'CASE DATA'!F116="NOTF", 'CASE DATA'!F116="WTHD", 'CASE DATA'!F116="TNSF"), "YES", "NO"), "TRAFFIC")</f>
        <v>NO</v>
      </c>
      <c r="I115" s="185" t="str">
        <f xml:space="preserve"> IF(H115="YES",'CASE DATA'!K116,"N/A")</f>
        <v>N/A</v>
      </c>
      <c r="J115" s="185" t="str">
        <f>IF(H115="YES",'CASE DATA'!I116+'CASE DATA'!J116+'CASE DATA'!L116+'CASE DATA'!M116+'CASE DATA'!N116+'CASE DATA'!O116+'CASE DATA'!P116+'CASE DATA'!Q116+'CASE DATA'!R116,"N/A")</f>
        <v>N/A</v>
      </c>
      <c r="K115" s="162" t="str">
        <f xml:space="preserve"> IF(H115="YES",IF(C115+180&lt;'BASIC INFO'!$B$3, "YES", "NO"),"N/A")</f>
        <v>N/A</v>
      </c>
      <c r="L115" s="185" t="str">
        <f>IF(OR('CASE DATA'!F116="GTR", 'CASE DATA'!F116="GPL"),IF(OR('CASE DATA'!E116="81.6(2)", 'CASE DATA'!E116="99F.15(6)(b)(1)", 'CASE DATA'!E116= "124.401(1)(a)", 'CASE DATA'!E116= "124.401(1)(b)", 'CASE DATA'!E116= "124.401(1)(c)", 'CASE DATA'!E116= "124.401(1)(d)", 'CASE DATA'!E116="124.401(4)", 'CASE DATA'!E116="124.401(1)(b)", 'CASE DATA'!E116="124.401(1)(c)", 'CASE DATA'!E116="124.401D(2)(b)", 'CASE DATA'!E116="124.401D(2)(c)", 'CASE DATA'!E116="124.406(1)(a)", 'CASE DATA'!E116="124.406(1)(b) ", 'CASE DATA'!E116="124.406(2)(a)", 'CASE DATA'!E116="124.406(2)(b) ", 'CASE DATA'!E116="124.406(3)", 'CASE DATA'!E116="124.406A ", 'CASE DATA'!E116="124.407(2)(a)", 'CASE DATA'!E116="124B.9(1)", 'CASE DATA'!E116="124B.9(2)", 'CASE DATA'!E116="321J.2(2)(c)", 'CASE DATA'!E116="453B.12(2)", 'CASE DATA'!E116="453B.12(3)", 'CASE DATA'!E116="453B.12(4)", 'CASE DATA'!E116="462A.14(2)(c)", 'CASE DATA'!E116="462A.14(2)(d)", 'CASE DATA'!E116="462A.14(2)(e)", 'CASE DATA'!E116="705.1(2)", 'CASE DATA'!E116="706.3(1)", 'CASE DATA'!E116="706.3(2)", 'CASE DATA'!E116="706A.2(1)", 'CASE DATA'!E116="706A.2(2)", 'CASE DATA'!E116="706A.2(4)", 'CASE DATA'!E116="706B.2(1)(a)", 'CASE DATA'!E116="706B.2(1)(b)", 'CASE DATA'!E116="706B.2(1)(c)", 'CASE DATA'!E116="706B.2(1)(d)", 'CASE DATA'!E116="707.2", 'CASE DATA'!E116="707.3", 'CASE DATA'!E116="707.3A", 'CASE DATA'!E116="707.4", 'CASE DATA'!E116="707.5(1)(a)", 'CASE DATA'!E116="707.6A(1)", 'CASE DATA'!E116="707.6A(2)", 'CASE DATA'!E116="707.6A(3)", 'CASE DATA'!E116="707.6A(4)", 'CASE DATA'!E116="707.7(1)", 'CASE DATA'!E116="707.7(3)", 'CASE DATA'!E116="707.7(2)", 'CASE DATA'!E116="707.8(1)", 'CASE DATA'!E116="707.8(2)", 'CASE DATA'!E116="707.8(3)", 'CASE DATA'!E116="707.8(4)", 'CASE DATA'!E116="707.8(5)", 'CASE DATA'!E116="707.8(6)", 'CASE DATA'!E116="707.9", 'CASE DATA'!E116="707.11", 'CASE DATA'!E116="707A.2", 'CASE DATA'!E116="708.2(4)", 'CASE DATA'!E116="708.2(5)", 'CASE DATA'!E116="708.2A(4)", 'CASE DATA'!E116="708.2A(5)", 'CASE DATA'!E116="708.2C(2)", 'CASE DATA'!E116="708.2C(4)", 'CASE DATA'!E116="708.3(1)", 'CASE DATA'!E116="708.3(2)", 'CASE DATA'!E116="708.3A(1)", 'CASE DATA'!E116="708.3A(2)", 'CASE DATA'!E116="708.3B", 'CASE DATA'!E116="708.4(1)", 'CASE DATA'!E116="708.4(2)", 'CASE DATA'!E116="708.5", 'CASE DATA'!E116="708.8", 'CASE DATA'!E116="708.11(3)(a)", 'CASE DATA'!E116="708.11(3)(b)", 'CASE DATA'!E116="708.12(3)(f)", 'CASE DATA'!E116="708.13(3)", 'CASE DATA'!E116="708.14", 'CASE DATA'!E116="708A.2", 'CASE DATA'!E116="708A.4(1)", 'CASE DATA'!E116="708A.4(2)", 'CASE DATA'!E116="708A.5", 'CASE DATA'!E116="708A.6(1)", 'CASE DATA'!E116="708.A.6(2)", 'CASE DATA'!E116="709.2", 'CASE DATA'!E116="709.3", 'CASE DATA'!E116="709.4", 'CASE DATA'!E116="709.8(1)(a)", 'CASE DATA'!E116="709.8(1)(b)", 'CASE DATA'!E116="709.8(1)(c)", 'CASE DATA'!E116="709.8(1)(d)", 'CASE DATA'!E116="709.8(1)(e)", 'CASE DATA'!E116="709.11(1)", 'CASE DATA'!E116="709.11(2)", 'CASE DATA'!E116="709.15(2)(a)(1)", 'CASE DATA'!E116="709.15(3)(a)(1)", 'CASE DATA'!E116="709.18", 'CASE DATA'!E116="709A.6(2)", 'CASE DATA'!E116="709D.3(1)", 'CASE DATA'!E116="709D.3(2)", 'CASE DATA'!E116="709.D.3(3)", 'CASE DATA'!E116="710.2", 'CASE DATA'!E116="710.3", 'CASE DATA'!E116="710.4", 'CASE DATA'!E116="710.5", 'CASE DATA'!E116="710.10(1)", 'CASE DATA'!E116="710.10(2)", 'CASE DATA'!E116="710.10(3)", 'CASE DATA'!E116="710.11", 'CASE DATA'!E116="710A.2(1)", 'CASE DATA'!E116="710A.2(2)", 'CASE DATA'!E116="710A.2(3)", 'CASE DATA'!E116="710A.2(4)", 'CASE DATA'!E116="710A.2(5)", 'CASE DATA'!E116="710A.2(6)", 'CASE DATA'!E116="710A.2(7)", 'CASE DATA'!E116="710A.2A", 'CASE DATA'!E116="711.2", 'CASE DATA'!E116="711.3", 'CASE DATA'!E116="711.4", 'CASE DATA'!E116="712.2", 'CASE DATA'!E116="712.3", 'CASE DATA'!E116="712.6(1)", 'CASE DATA'!E116="712.7", 'CASE DATA'!E116="712.8", 'CASE DATA'!E116="", 'CASE DATA'!E116="713.3", 'CASE DATA'!E116="713.4", 'CASE DATA'!E116="713.5", 'CASE DATA'!E116="713.6", 'CASE DATA'!E116="713.6A(1)", 'CASE DATA'!E116="714.2(1)", 'CASE DATA'!E116="714.2(2)", 'CASE DATA'!E116="714.3A(2)(b)", 'CASE DATA'!E116="714.9", 'CASE DATA'!E116="714.10", 'CASE DATA'!E116="714.26(2)(a)", 'CASE DATA'!E116="714.26(2)(b)", 'CASE DATA'!E116="715A.2(2)(a)", 'CASE DATA'!E116="715A.6(2)(a)", 'CASE DATA'!E116="715A.6(2)(b)", 'CASE DATA'!E116="715A.8(3)(a)", 'CASE DATA'!E116="715A.8(3)(b)", 'CASE DATA'!E116="715A.10(1)", 'CASE DATA'!E116="715A.10(2)", 'CASE DATA'!E116="716.3", 'CASE DATA'!E116="716.4", 'CASE DATA'!E116="716.8(6)", 'CASE DATA'!E116="716.10(2)(a)", 'CASE DATA'!E116="716.10(2)(b)", 'CASE DATA'!E116="716.10(2)(c)", 'CASE DATA'!E116="716.10(2)(d)", 'CASE DATA'!E116="716.12", 'CASE DATA'!E116="719.1(1)(f)", 'CASE DATA'!E116="719.1(2)(e)", 'CASE DATA'!E116="719.1(2)(f)", 'CASE DATA'!E116="719.1(2)(g)", 'CASE DATA'!E116="719.4(1)", 'CASE DATA'!E116="719.4(4)", 'CASE DATA'!E116="719.5(1)", 'CASE DATA'!E116="719.5(2)", 'CASE DATA'!E116="719.6(1)", 'CASE DATA'!E116="719.6(2)", 'CASE DATA'!E116="719.7(4)(a)", 'CASE DATA'!E116="719.7(4)(b)", 'CASE DATA'!E116="719.7A(3)", 'CASE DATA'!E116="719.9", 'CASE DATA'!E116="719.8", 'CASE DATA'!E116="720.2", 'CASE DATA'!E116="720.3", 'CASE DATA'!E116="721.1", 'CASE DATA'!E116="722.1", 'CASE DATA'!E116="", 'CASE DATA'!E116="722.2", 'CASE DATA'!E116="722.10", 'CASE DATA'!E116="723(5)(3)(c)", 'CASE DATA'!E116="723A.2", 'CASE DATA'!E116="723A.3(1)", 'CASE DATA'!E116="723A.3(2)", 'CASE DATA'!E116="724.1B", 'CASE DATA'!E116="724.1C", 'CASE DATA'!E116="724.3", 'CASE DATA'!E116="724.4B", 'CASE DATA'!E116="724.10", 'CASE DATA'!E116="724.16(2)", 'CASE DATA'!E116="724.16A(1)(a)", 'CASE DATA'!E116="724.16A(1)(b)", 'CASE DATA'!E116="724.17", 'CASE DATA'!E116="724.21", 'CASE DATA'!E116="724.26(1)", 'CASE DATA'!E116="922(g)(8)", 'CASE DATA'!E116="724.29A(2)", 'CASE DATA'!E116="724.29A(3)", 'CASE DATA'!E116="724.30(1)", 'CASE DATA'!E116="724.30(2)", 'CASE DATA'!E116="725.1(2)(b)", 'CASE DATA'!E116="725.2(1)", 'CASE DATA'!E116="725.2(2)", 'CASE DATA'!E116="725.3(2)", 'CASE DATA'!E116="725.3(1)", 'CASE DATA'!E116="725.7(2)(a)(3)", 'CASE DATA'!E116="725.7(2)(a)(4)", 'CASE DATA'!E116="725.7(2)(b)(2)", 'CASE DATA'!E116="725.7(2)(b(3)", 'CASE DATA'!E116="726.7(2)(c)(1)", 'CASE DATA'!E116="726.7(2)(c)(2)", 'CASE DATA'!E116="725.7(2)(d)", 'CASE DATA'!E116="726.2", 'CASE DATA'!E116="726.3", 'CASE DATA'!E116="726.5", 'CASE DATA'!E116="726.6(4)", 'CASE DATA'!E116="726.6(5)", 'CASE DATA'!E116="726.6(6)", 'CASE DATA'!E116="726.6A", 'CASE DATA'!E116="726.7(2)", 'CASE DATA'!E116="726.8(2)", 'CASE DATA'!E116="728.12(1)", 'CASE DATA'!E116="728.12(2)"),"felony","eligible"),"N/A")</f>
        <v>N/A</v>
      </c>
      <c r="M115" s="185" t="str">
        <f>IF(L115="eligible",IF(OR('CASE DATA'!E116="123.46",'CASE DATA'!E116="123.47",'CASE DATA'!E116="235B.20",'CASE DATA'!E116="321.218",'CASE DATA'!E116="321A.32",'CASE DATA'!E116="321J.21",'CASE DATA'!E116="321J.2",'CASE DATA'!E116="707.5",'CASE DATA'!E116="708.2(3)",'CASE DATA'!E116="708.2A",'CASE DATA'!E116="708.7",'CASE DATA'!E116="708.11",'CASE DATA'!E116="708.12",'CASE DATA'!E116="716.8(3)",'CASE DATA'!E116="716.8(4)", LEFT('CASE DATA'!E116,4)="717C", LEFT('CASE DATA'!E116, 3)="719", LEFT('CASE DATA'!E116,3)="720", 'CASE DATA'!E116="721.2", 'CASE DATA'!E116="721.10", 'CASE DATA'!E116="723.1", LEFT('CASE DATA'!E116,3)="724", LEFT('CASE DATA'!E116,3)="726", LEFT('CASE DATA'!E116,3)="728", LEFT('CASE DATA'!E116,4)="901A"),"ineligible misd", "eligible"),"N/A")</f>
        <v>N/A</v>
      </c>
      <c r="N115" s="185" t="str">
        <f>IF(L115="eligible",IF(COUNTIF('CASE DATA'!$C$4:$C$200, "")-COUNTIF('CASE DATA'!$A$4:$A$200, "")&gt;0, "YES","NO"),"N/A")</f>
        <v>N/A</v>
      </c>
      <c r="O115" s="185" t="str">
        <f xml:space="preserve"> IF(M115="eligible",'CASE DATA'!K116,"N/A")</f>
        <v>N/A</v>
      </c>
      <c r="P115" s="185" t="str">
        <f xml:space="preserve"> IF(M115="eligible",'CASE DATA'!I116+'CASE DATA'!J116+'CASE DATA'!L116+'CASE DATA'!M116+'CASE DATA'!N116+'CASE DATA'!O116+'CASE DATA'!M116+'CASE DATA'!Q116+'CASE DATA'!R116,"N/A")</f>
        <v>N/A</v>
      </c>
      <c r="Q115" s="11" t="str">
        <f>IF(M115="eligible",IF(C115+730.5&lt;'BASIC INFO'!$B$3, "YES", "NO"),"N/A")</f>
        <v>N/A</v>
      </c>
      <c r="R115" s="186" t="str">
        <f xml:space="preserve"> IF(OR('CASE DATA'!F116="DEF"), "YES", "NO")</f>
        <v>NO</v>
      </c>
      <c r="S115" s="162" t="str">
        <f>IF(R115="YES",'CASE DATA'!H116,"N/A")</f>
        <v>N/A</v>
      </c>
      <c r="T115" s="185" t="str">
        <f xml:space="preserve"> IF(R115="YES",'CASE DATA'!K116,"N/A")</f>
        <v>N/A</v>
      </c>
      <c r="U115" s="185" t="str">
        <f>IF(R115="YES",'CASE DATA'!I116+'CASE DATA'!J116+'CASE DATA'!L116+'CASE DATA'!M116+'CASE DATA'!N116+'CASE DATA'!O116+'CASE DATA'!P116+'CASE DATA'!Q116+'CASE DATA'!R116,"N/A")</f>
        <v>N/A</v>
      </c>
      <c r="V115" s="189" t="str">
        <f>IF(OR('CASE DATA'!E116="123.46",'CASE DATA'!E116="123.47"),"YES","NO")</f>
        <v>NO</v>
      </c>
      <c r="W115" s="189"/>
      <c r="X115" s="185" t="str">
        <f>IF(V115="YES",IF(C115+730.5&lt;'BASIC INFO'!$B$3, "YES","NO"), "N/A")</f>
        <v>N/A</v>
      </c>
      <c r="Y115" s="189" t="str">
        <f t="shared" si="2"/>
        <v>NO</v>
      </c>
      <c r="Z115" s="187" t="str">
        <f xml:space="preserve"> IF('BASIC INFO'!$B$6+6574.5&gt;C115, "YES", "NO")</f>
        <v>YES</v>
      </c>
    </row>
    <row r="116" spans="1:26" x14ac:dyDescent="0.25">
      <c r="A116" s="162">
        <f xml:space="preserve"> 'CASE DATA'!A117</f>
        <v>0</v>
      </c>
      <c r="B116" s="162">
        <f xml:space="preserve"> 'CASE DATA'!E117</f>
        <v>0</v>
      </c>
      <c r="C116" s="163">
        <f xml:space="preserve"> 'CASE DATA'!C117</f>
        <v>0</v>
      </c>
      <c r="D116" s="11" t="str">
        <f xml:space="preserve"> IF(OR('CASE DATA'!F117="JUV", 'CASE DATA'!F117="JWV"), "YES", "NO")</f>
        <v>NO</v>
      </c>
      <c r="E116" s="11"/>
      <c r="F116" s="11" t="str">
        <f>IF(D116="YES",IF(COUNTIF('CASE DATA'!$C$4:$C$200, "")-COUNTIF('CASE DATA'!$A$4:$A$200, "")&gt;0, "YES","NO"),"N/A")</f>
        <v>N/A</v>
      </c>
      <c r="G116" s="164" t="str">
        <f xml:space="preserve"> _xlfn.IFS(D116="NO", "N/A", AND('BASIC INFO'!$B$3&gt;'BASIC INFO'!$B$6+6574.5, C116+730.5&lt;'BASIC INFO'!$B$3), "YES", 'BASIC INFO'!$B$3&lt;('BASIC INFO'!$B$6+6574.5), "NOT YET 18", C116+730.5&gt;'BASIC INFO'!$B$3, "NOT YET 2 YEARS")</f>
        <v>N/A</v>
      </c>
      <c r="H116" s="186" t="str">
        <f xml:space="preserve"> IF(LEFT('CASE DATA'!E117,4)&lt;&gt;"321.",IF(OR('CASE DATA'!F117="DISM", 'CASE DATA'!F117="ACQ", 'CASE DATA'!F117="NOTF", 'CASE DATA'!F117="WTHD", 'CASE DATA'!F117="TNSF"), "YES", "NO"), "TRAFFIC")</f>
        <v>NO</v>
      </c>
      <c r="I116" s="185" t="str">
        <f xml:space="preserve"> IF(H116="YES",'CASE DATA'!K117,"N/A")</f>
        <v>N/A</v>
      </c>
      <c r="J116" s="185" t="str">
        <f>IF(H116="YES",'CASE DATA'!I117+'CASE DATA'!J117+'CASE DATA'!L117+'CASE DATA'!M117+'CASE DATA'!N117+'CASE DATA'!O117+'CASE DATA'!P117+'CASE DATA'!Q117+'CASE DATA'!R117,"N/A")</f>
        <v>N/A</v>
      </c>
      <c r="K116" s="162" t="str">
        <f xml:space="preserve"> IF(H116="YES",IF(C116+180&lt;'BASIC INFO'!$B$3, "YES", "NO"),"N/A")</f>
        <v>N/A</v>
      </c>
      <c r="L116" s="185" t="str">
        <f>IF(OR('CASE DATA'!F117="GTR", 'CASE DATA'!F117="GPL"),IF(OR('CASE DATA'!E117="81.6(2)", 'CASE DATA'!E117="99F.15(6)(b)(1)", 'CASE DATA'!E117= "124.401(1)(a)", 'CASE DATA'!E117= "124.401(1)(b)", 'CASE DATA'!E117= "124.401(1)(c)", 'CASE DATA'!E117= "124.401(1)(d)", 'CASE DATA'!E117="124.401(4)", 'CASE DATA'!E117="124.401(1)(b)", 'CASE DATA'!E117="124.401(1)(c)", 'CASE DATA'!E117="124.401D(2)(b)", 'CASE DATA'!E117="124.401D(2)(c)", 'CASE DATA'!E117="124.406(1)(a)", 'CASE DATA'!E117="124.406(1)(b) ", 'CASE DATA'!E117="124.406(2)(a)", 'CASE DATA'!E117="124.406(2)(b) ", 'CASE DATA'!E117="124.406(3)", 'CASE DATA'!E117="124.406A ", 'CASE DATA'!E117="124.407(2)(a)", 'CASE DATA'!E117="124B.9(1)", 'CASE DATA'!E117="124B.9(2)", 'CASE DATA'!E117="321J.2(2)(c)", 'CASE DATA'!E117="453B.12(2)", 'CASE DATA'!E117="453B.12(3)", 'CASE DATA'!E117="453B.12(4)", 'CASE DATA'!E117="462A.14(2)(c)", 'CASE DATA'!E117="462A.14(2)(d)", 'CASE DATA'!E117="462A.14(2)(e)", 'CASE DATA'!E117="705.1(2)", 'CASE DATA'!E117="706.3(1)", 'CASE DATA'!E117="706.3(2)", 'CASE DATA'!E117="706A.2(1)", 'CASE DATA'!E117="706A.2(2)", 'CASE DATA'!E117="706A.2(4)", 'CASE DATA'!E117="706B.2(1)(a)", 'CASE DATA'!E117="706B.2(1)(b)", 'CASE DATA'!E117="706B.2(1)(c)", 'CASE DATA'!E117="706B.2(1)(d)", 'CASE DATA'!E117="707.2", 'CASE DATA'!E117="707.3", 'CASE DATA'!E117="707.3A", 'CASE DATA'!E117="707.4", 'CASE DATA'!E117="707.5(1)(a)", 'CASE DATA'!E117="707.6A(1)", 'CASE DATA'!E117="707.6A(2)", 'CASE DATA'!E117="707.6A(3)", 'CASE DATA'!E117="707.6A(4)", 'CASE DATA'!E117="707.7(1)", 'CASE DATA'!E117="707.7(3)", 'CASE DATA'!E117="707.7(2)", 'CASE DATA'!E117="707.8(1)", 'CASE DATA'!E117="707.8(2)", 'CASE DATA'!E117="707.8(3)", 'CASE DATA'!E117="707.8(4)", 'CASE DATA'!E117="707.8(5)", 'CASE DATA'!E117="707.8(6)", 'CASE DATA'!E117="707.9", 'CASE DATA'!E117="707.11", 'CASE DATA'!E117="707A.2", 'CASE DATA'!E117="708.2(4)", 'CASE DATA'!E117="708.2(5)", 'CASE DATA'!E117="708.2A(4)", 'CASE DATA'!E117="708.2A(5)", 'CASE DATA'!E117="708.2C(2)", 'CASE DATA'!E117="708.2C(4)", 'CASE DATA'!E117="708.3(1)", 'CASE DATA'!E117="708.3(2)", 'CASE DATA'!E117="708.3A(1)", 'CASE DATA'!E117="708.3A(2)", 'CASE DATA'!E117="708.3B", 'CASE DATA'!E117="708.4(1)", 'CASE DATA'!E117="708.4(2)", 'CASE DATA'!E117="708.5", 'CASE DATA'!E117="708.8", 'CASE DATA'!E117="708.11(3)(a)", 'CASE DATA'!E117="708.11(3)(b)", 'CASE DATA'!E117="708.12(3)(f)", 'CASE DATA'!E117="708.13(3)", 'CASE DATA'!E117="708.14", 'CASE DATA'!E117="708A.2", 'CASE DATA'!E117="708A.4(1)", 'CASE DATA'!E117="708A.4(2)", 'CASE DATA'!E117="708A.5", 'CASE DATA'!E117="708A.6(1)", 'CASE DATA'!E117="708.A.6(2)", 'CASE DATA'!E117="709.2", 'CASE DATA'!E117="709.3", 'CASE DATA'!E117="709.4", 'CASE DATA'!E117="709.8(1)(a)", 'CASE DATA'!E117="709.8(1)(b)", 'CASE DATA'!E117="709.8(1)(c)", 'CASE DATA'!E117="709.8(1)(d)", 'CASE DATA'!E117="709.8(1)(e)", 'CASE DATA'!E117="709.11(1)", 'CASE DATA'!E117="709.11(2)", 'CASE DATA'!E117="709.15(2)(a)(1)", 'CASE DATA'!E117="709.15(3)(a)(1)", 'CASE DATA'!E117="709.18", 'CASE DATA'!E117="709A.6(2)", 'CASE DATA'!E117="709D.3(1)", 'CASE DATA'!E117="709D.3(2)", 'CASE DATA'!E117="709.D.3(3)", 'CASE DATA'!E117="710.2", 'CASE DATA'!E117="710.3", 'CASE DATA'!E117="710.4", 'CASE DATA'!E117="710.5", 'CASE DATA'!E117="710.10(1)", 'CASE DATA'!E117="710.10(2)", 'CASE DATA'!E117="710.10(3)", 'CASE DATA'!E117="710.11", 'CASE DATA'!E117="710A.2(1)", 'CASE DATA'!E117="710A.2(2)", 'CASE DATA'!E117="710A.2(3)", 'CASE DATA'!E117="710A.2(4)", 'CASE DATA'!E117="710A.2(5)", 'CASE DATA'!E117="710A.2(6)", 'CASE DATA'!E117="710A.2(7)", 'CASE DATA'!E117="710A.2A", 'CASE DATA'!E117="711.2", 'CASE DATA'!E117="711.3", 'CASE DATA'!E117="711.4", 'CASE DATA'!E117="712.2", 'CASE DATA'!E117="712.3", 'CASE DATA'!E117="712.6(1)", 'CASE DATA'!E117="712.7", 'CASE DATA'!E117="712.8", 'CASE DATA'!E117="", 'CASE DATA'!E117="713.3", 'CASE DATA'!E117="713.4", 'CASE DATA'!E117="713.5", 'CASE DATA'!E117="713.6", 'CASE DATA'!E117="713.6A(1)", 'CASE DATA'!E117="714.2(1)", 'CASE DATA'!E117="714.2(2)", 'CASE DATA'!E117="714.3A(2)(b)", 'CASE DATA'!E117="714.9", 'CASE DATA'!E117="714.10", 'CASE DATA'!E117="714.26(2)(a)", 'CASE DATA'!E117="714.26(2)(b)", 'CASE DATA'!E117="715A.2(2)(a)", 'CASE DATA'!E117="715A.6(2)(a)", 'CASE DATA'!E117="715A.6(2)(b)", 'CASE DATA'!E117="715A.8(3)(a)", 'CASE DATA'!E117="715A.8(3)(b)", 'CASE DATA'!E117="715A.10(1)", 'CASE DATA'!E117="715A.10(2)", 'CASE DATA'!E117="716.3", 'CASE DATA'!E117="716.4", 'CASE DATA'!E117="716.8(6)", 'CASE DATA'!E117="716.10(2)(a)", 'CASE DATA'!E117="716.10(2)(b)", 'CASE DATA'!E117="716.10(2)(c)", 'CASE DATA'!E117="716.10(2)(d)", 'CASE DATA'!E117="716.12", 'CASE DATA'!E117="719.1(1)(f)", 'CASE DATA'!E117="719.1(2)(e)", 'CASE DATA'!E117="719.1(2)(f)", 'CASE DATA'!E117="719.1(2)(g)", 'CASE DATA'!E117="719.4(1)", 'CASE DATA'!E117="719.4(4)", 'CASE DATA'!E117="719.5(1)", 'CASE DATA'!E117="719.5(2)", 'CASE DATA'!E117="719.6(1)", 'CASE DATA'!E117="719.6(2)", 'CASE DATA'!E117="719.7(4)(a)", 'CASE DATA'!E117="719.7(4)(b)", 'CASE DATA'!E117="719.7A(3)", 'CASE DATA'!E117="719.9", 'CASE DATA'!E117="719.8", 'CASE DATA'!E117="720.2", 'CASE DATA'!E117="720.3", 'CASE DATA'!E117="721.1", 'CASE DATA'!E117="722.1", 'CASE DATA'!E117="", 'CASE DATA'!E117="722.2", 'CASE DATA'!E117="722.10", 'CASE DATA'!E117="723(5)(3)(c)", 'CASE DATA'!E117="723A.2", 'CASE DATA'!E117="723A.3(1)", 'CASE DATA'!E117="723A.3(2)", 'CASE DATA'!E117="724.1B", 'CASE DATA'!E117="724.1C", 'CASE DATA'!E117="724.3", 'CASE DATA'!E117="724.4B", 'CASE DATA'!E117="724.10", 'CASE DATA'!E117="724.16(2)", 'CASE DATA'!E117="724.16A(1)(a)", 'CASE DATA'!E117="724.16A(1)(b)", 'CASE DATA'!E117="724.17", 'CASE DATA'!E117="724.21", 'CASE DATA'!E117="724.26(1)", 'CASE DATA'!E117="922(g)(8)", 'CASE DATA'!E117="724.29A(2)", 'CASE DATA'!E117="724.29A(3)", 'CASE DATA'!E117="724.30(1)", 'CASE DATA'!E117="724.30(2)", 'CASE DATA'!E117="725.1(2)(b)", 'CASE DATA'!E117="725.2(1)", 'CASE DATA'!E117="725.2(2)", 'CASE DATA'!E117="725.3(2)", 'CASE DATA'!E117="725.3(1)", 'CASE DATA'!E117="725.7(2)(a)(3)", 'CASE DATA'!E117="725.7(2)(a)(4)", 'CASE DATA'!E117="725.7(2)(b)(2)", 'CASE DATA'!E117="725.7(2)(b(3)", 'CASE DATA'!E117="726.7(2)(c)(1)", 'CASE DATA'!E117="726.7(2)(c)(2)", 'CASE DATA'!E117="725.7(2)(d)", 'CASE DATA'!E117="726.2", 'CASE DATA'!E117="726.3", 'CASE DATA'!E117="726.5", 'CASE DATA'!E117="726.6(4)", 'CASE DATA'!E117="726.6(5)", 'CASE DATA'!E117="726.6(6)", 'CASE DATA'!E117="726.6A", 'CASE DATA'!E117="726.7(2)", 'CASE DATA'!E117="726.8(2)", 'CASE DATA'!E117="728.12(1)", 'CASE DATA'!E117="728.12(2)"),"felony","eligible"),"N/A")</f>
        <v>N/A</v>
      </c>
      <c r="M116" s="185" t="str">
        <f>IF(L116="eligible",IF(OR('CASE DATA'!E117="123.46",'CASE DATA'!E117="123.47",'CASE DATA'!E117="235B.20",'CASE DATA'!E117="321.218",'CASE DATA'!E117="321A.32",'CASE DATA'!E117="321J.21",'CASE DATA'!E117="321J.2",'CASE DATA'!E117="707.5",'CASE DATA'!E117="708.2(3)",'CASE DATA'!E117="708.2A",'CASE DATA'!E117="708.7",'CASE DATA'!E117="708.11",'CASE DATA'!E117="708.12",'CASE DATA'!E117="716.8(3)",'CASE DATA'!E117="716.8(4)", LEFT('CASE DATA'!E117,4)="717C", LEFT('CASE DATA'!E117, 3)="719", LEFT('CASE DATA'!E117,3)="720", 'CASE DATA'!E117="721.2", 'CASE DATA'!E117="721.10", 'CASE DATA'!E117="723.1", LEFT('CASE DATA'!E117,3)="724", LEFT('CASE DATA'!E117,3)="726", LEFT('CASE DATA'!E117,3)="728", LEFT('CASE DATA'!E117,4)="901A"),"ineligible misd", "eligible"),"N/A")</f>
        <v>N/A</v>
      </c>
      <c r="N116" s="185" t="str">
        <f>IF(L116="eligible",IF(COUNTIF('CASE DATA'!$C$4:$C$200, "")-COUNTIF('CASE DATA'!$A$4:$A$200, "")&gt;0, "YES","NO"),"N/A")</f>
        <v>N/A</v>
      </c>
      <c r="O116" s="185" t="str">
        <f xml:space="preserve"> IF(M116="eligible",'CASE DATA'!K117,"N/A")</f>
        <v>N/A</v>
      </c>
      <c r="P116" s="185" t="str">
        <f xml:space="preserve"> IF(M116="eligible",'CASE DATA'!I117+'CASE DATA'!J117+'CASE DATA'!L117+'CASE DATA'!M117+'CASE DATA'!N117+'CASE DATA'!O117+'CASE DATA'!M117+'CASE DATA'!Q117+'CASE DATA'!R117,"N/A")</f>
        <v>N/A</v>
      </c>
      <c r="Q116" s="11" t="str">
        <f>IF(M116="eligible",IF(C116+730.5&lt;'BASIC INFO'!$B$3, "YES", "NO"),"N/A")</f>
        <v>N/A</v>
      </c>
      <c r="R116" s="186" t="str">
        <f xml:space="preserve"> IF(OR('CASE DATA'!F117="DEF"), "YES", "NO")</f>
        <v>NO</v>
      </c>
      <c r="S116" s="162" t="str">
        <f>IF(R116="YES",'CASE DATA'!H117,"N/A")</f>
        <v>N/A</v>
      </c>
      <c r="T116" s="185" t="str">
        <f xml:space="preserve"> IF(R116="YES",'CASE DATA'!K117,"N/A")</f>
        <v>N/A</v>
      </c>
      <c r="U116" s="185" t="str">
        <f>IF(R116="YES",'CASE DATA'!I117+'CASE DATA'!J117+'CASE DATA'!L117+'CASE DATA'!M117+'CASE DATA'!N117+'CASE DATA'!O117+'CASE DATA'!P117+'CASE DATA'!Q117+'CASE DATA'!R117,"N/A")</f>
        <v>N/A</v>
      </c>
      <c r="V116" s="189" t="str">
        <f>IF(OR('CASE DATA'!E117="123.46",'CASE DATA'!E117="123.47"),"YES","NO")</f>
        <v>NO</v>
      </c>
      <c r="W116" s="189"/>
      <c r="X116" s="185" t="str">
        <f>IF(V116="YES",IF(C116+730.5&lt;'BASIC INFO'!$B$3, "YES","NO"), "N/A")</f>
        <v>N/A</v>
      </c>
      <c r="Y116" s="189" t="str">
        <f t="shared" si="2"/>
        <v>NO</v>
      </c>
      <c r="Z116" s="187" t="str">
        <f xml:space="preserve"> IF('BASIC INFO'!$B$6+6574.5&gt;C116, "YES", "NO")</f>
        <v>YES</v>
      </c>
    </row>
    <row r="117" spans="1:26" x14ac:dyDescent="0.25">
      <c r="A117" s="162">
        <f xml:space="preserve"> 'CASE DATA'!A118</f>
        <v>0</v>
      </c>
      <c r="B117" s="162">
        <f xml:space="preserve"> 'CASE DATA'!E118</f>
        <v>0</v>
      </c>
      <c r="C117" s="163">
        <f xml:space="preserve"> 'CASE DATA'!C118</f>
        <v>0</v>
      </c>
      <c r="D117" s="11" t="str">
        <f xml:space="preserve"> IF(OR('CASE DATA'!F118="JUV", 'CASE DATA'!F118="JWV"), "YES", "NO")</f>
        <v>NO</v>
      </c>
      <c r="E117" s="11"/>
      <c r="F117" s="11" t="str">
        <f>IF(D117="YES",IF(COUNTIF('CASE DATA'!$C$4:$C$200, "")-COUNTIF('CASE DATA'!$A$4:$A$200, "")&gt;0, "YES","NO"),"N/A")</f>
        <v>N/A</v>
      </c>
      <c r="G117" s="164" t="str">
        <f xml:space="preserve"> _xlfn.IFS(D117="NO", "N/A", AND('BASIC INFO'!$B$3&gt;'BASIC INFO'!$B$6+6574.5, C117+730.5&lt;'BASIC INFO'!$B$3), "YES", 'BASIC INFO'!$B$3&lt;('BASIC INFO'!$B$6+6574.5), "NOT YET 18", C117+730.5&gt;'BASIC INFO'!$B$3, "NOT YET 2 YEARS")</f>
        <v>N/A</v>
      </c>
      <c r="H117" s="186" t="str">
        <f xml:space="preserve"> IF(LEFT('CASE DATA'!E118,4)&lt;&gt;"321.",IF(OR('CASE DATA'!F118="DISM", 'CASE DATA'!F118="ACQ", 'CASE DATA'!F118="NOTF", 'CASE DATA'!F118="WTHD", 'CASE DATA'!F118="TNSF"), "YES", "NO"), "TRAFFIC")</f>
        <v>NO</v>
      </c>
      <c r="I117" s="185" t="str">
        <f xml:space="preserve"> IF(H117="YES",'CASE DATA'!K118,"N/A")</f>
        <v>N/A</v>
      </c>
      <c r="J117" s="185" t="str">
        <f>IF(H117="YES",'CASE DATA'!I118+'CASE DATA'!J118+'CASE DATA'!L118+'CASE DATA'!M118+'CASE DATA'!N118+'CASE DATA'!O118+'CASE DATA'!P118+'CASE DATA'!Q118+'CASE DATA'!R118,"N/A")</f>
        <v>N/A</v>
      </c>
      <c r="K117" s="162" t="str">
        <f xml:space="preserve"> IF(H117="YES",IF(C117+180&lt;'BASIC INFO'!$B$3, "YES", "NO"),"N/A")</f>
        <v>N/A</v>
      </c>
      <c r="L117" s="185" t="str">
        <f>IF(OR('CASE DATA'!F118="GTR", 'CASE DATA'!F118="GPL"),IF(OR('CASE DATA'!E118="81.6(2)", 'CASE DATA'!E118="99F.15(6)(b)(1)", 'CASE DATA'!E118= "124.401(1)(a)", 'CASE DATA'!E118= "124.401(1)(b)", 'CASE DATA'!E118= "124.401(1)(c)", 'CASE DATA'!E118= "124.401(1)(d)", 'CASE DATA'!E118="124.401(4)", 'CASE DATA'!E118="124.401(1)(b)", 'CASE DATA'!E118="124.401(1)(c)", 'CASE DATA'!E118="124.401D(2)(b)", 'CASE DATA'!E118="124.401D(2)(c)", 'CASE DATA'!E118="124.406(1)(a)", 'CASE DATA'!E118="124.406(1)(b) ", 'CASE DATA'!E118="124.406(2)(a)", 'CASE DATA'!E118="124.406(2)(b) ", 'CASE DATA'!E118="124.406(3)", 'CASE DATA'!E118="124.406A ", 'CASE DATA'!E118="124.407(2)(a)", 'CASE DATA'!E118="124B.9(1)", 'CASE DATA'!E118="124B.9(2)", 'CASE DATA'!E118="321J.2(2)(c)", 'CASE DATA'!E118="453B.12(2)", 'CASE DATA'!E118="453B.12(3)", 'CASE DATA'!E118="453B.12(4)", 'CASE DATA'!E118="462A.14(2)(c)", 'CASE DATA'!E118="462A.14(2)(d)", 'CASE DATA'!E118="462A.14(2)(e)", 'CASE DATA'!E118="705.1(2)", 'CASE DATA'!E118="706.3(1)", 'CASE DATA'!E118="706.3(2)", 'CASE DATA'!E118="706A.2(1)", 'CASE DATA'!E118="706A.2(2)", 'CASE DATA'!E118="706A.2(4)", 'CASE DATA'!E118="706B.2(1)(a)", 'CASE DATA'!E118="706B.2(1)(b)", 'CASE DATA'!E118="706B.2(1)(c)", 'CASE DATA'!E118="706B.2(1)(d)", 'CASE DATA'!E118="707.2", 'CASE DATA'!E118="707.3", 'CASE DATA'!E118="707.3A", 'CASE DATA'!E118="707.4", 'CASE DATA'!E118="707.5(1)(a)", 'CASE DATA'!E118="707.6A(1)", 'CASE DATA'!E118="707.6A(2)", 'CASE DATA'!E118="707.6A(3)", 'CASE DATA'!E118="707.6A(4)", 'CASE DATA'!E118="707.7(1)", 'CASE DATA'!E118="707.7(3)", 'CASE DATA'!E118="707.7(2)", 'CASE DATA'!E118="707.8(1)", 'CASE DATA'!E118="707.8(2)", 'CASE DATA'!E118="707.8(3)", 'CASE DATA'!E118="707.8(4)", 'CASE DATA'!E118="707.8(5)", 'CASE DATA'!E118="707.8(6)", 'CASE DATA'!E118="707.9", 'CASE DATA'!E118="707.11", 'CASE DATA'!E118="707A.2", 'CASE DATA'!E118="708.2(4)", 'CASE DATA'!E118="708.2(5)", 'CASE DATA'!E118="708.2A(4)", 'CASE DATA'!E118="708.2A(5)", 'CASE DATA'!E118="708.2C(2)", 'CASE DATA'!E118="708.2C(4)", 'CASE DATA'!E118="708.3(1)", 'CASE DATA'!E118="708.3(2)", 'CASE DATA'!E118="708.3A(1)", 'CASE DATA'!E118="708.3A(2)", 'CASE DATA'!E118="708.3B", 'CASE DATA'!E118="708.4(1)", 'CASE DATA'!E118="708.4(2)", 'CASE DATA'!E118="708.5", 'CASE DATA'!E118="708.8", 'CASE DATA'!E118="708.11(3)(a)", 'CASE DATA'!E118="708.11(3)(b)", 'CASE DATA'!E118="708.12(3)(f)", 'CASE DATA'!E118="708.13(3)", 'CASE DATA'!E118="708.14", 'CASE DATA'!E118="708A.2", 'CASE DATA'!E118="708A.4(1)", 'CASE DATA'!E118="708A.4(2)", 'CASE DATA'!E118="708A.5", 'CASE DATA'!E118="708A.6(1)", 'CASE DATA'!E118="708.A.6(2)", 'CASE DATA'!E118="709.2", 'CASE DATA'!E118="709.3", 'CASE DATA'!E118="709.4", 'CASE DATA'!E118="709.8(1)(a)", 'CASE DATA'!E118="709.8(1)(b)", 'CASE DATA'!E118="709.8(1)(c)", 'CASE DATA'!E118="709.8(1)(d)", 'CASE DATA'!E118="709.8(1)(e)", 'CASE DATA'!E118="709.11(1)", 'CASE DATA'!E118="709.11(2)", 'CASE DATA'!E118="709.15(2)(a)(1)", 'CASE DATA'!E118="709.15(3)(a)(1)", 'CASE DATA'!E118="709.18", 'CASE DATA'!E118="709A.6(2)", 'CASE DATA'!E118="709D.3(1)", 'CASE DATA'!E118="709D.3(2)", 'CASE DATA'!E118="709.D.3(3)", 'CASE DATA'!E118="710.2", 'CASE DATA'!E118="710.3", 'CASE DATA'!E118="710.4", 'CASE DATA'!E118="710.5", 'CASE DATA'!E118="710.10(1)", 'CASE DATA'!E118="710.10(2)", 'CASE DATA'!E118="710.10(3)", 'CASE DATA'!E118="710.11", 'CASE DATA'!E118="710A.2(1)", 'CASE DATA'!E118="710A.2(2)", 'CASE DATA'!E118="710A.2(3)", 'CASE DATA'!E118="710A.2(4)", 'CASE DATA'!E118="710A.2(5)", 'CASE DATA'!E118="710A.2(6)", 'CASE DATA'!E118="710A.2(7)", 'CASE DATA'!E118="710A.2A", 'CASE DATA'!E118="711.2", 'CASE DATA'!E118="711.3", 'CASE DATA'!E118="711.4", 'CASE DATA'!E118="712.2", 'CASE DATA'!E118="712.3", 'CASE DATA'!E118="712.6(1)", 'CASE DATA'!E118="712.7", 'CASE DATA'!E118="712.8", 'CASE DATA'!E118="", 'CASE DATA'!E118="713.3", 'CASE DATA'!E118="713.4", 'CASE DATA'!E118="713.5", 'CASE DATA'!E118="713.6", 'CASE DATA'!E118="713.6A(1)", 'CASE DATA'!E118="714.2(1)", 'CASE DATA'!E118="714.2(2)", 'CASE DATA'!E118="714.3A(2)(b)", 'CASE DATA'!E118="714.9", 'CASE DATA'!E118="714.10", 'CASE DATA'!E118="714.26(2)(a)", 'CASE DATA'!E118="714.26(2)(b)", 'CASE DATA'!E118="715A.2(2)(a)", 'CASE DATA'!E118="715A.6(2)(a)", 'CASE DATA'!E118="715A.6(2)(b)", 'CASE DATA'!E118="715A.8(3)(a)", 'CASE DATA'!E118="715A.8(3)(b)", 'CASE DATA'!E118="715A.10(1)", 'CASE DATA'!E118="715A.10(2)", 'CASE DATA'!E118="716.3", 'CASE DATA'!E118="716.4", 'CASE DATA'!E118="716.8(6)", 'CASE DATA'!E118="716.10(2)(a)", 'CASE DATA'!E118="716.10(2)(b)", 'CASE DATA'!E118="716.10(2)(c)", 'CASE DATA'!E118="716.10(2)(d)", 'CASE DATA'!E118="716.12", 'CASE DATA'!E118="719.1(1)(f)", 'CASE DATA'!E118="719.1(2)(e)", 'CASE DATA'!E118="719.1(2)(f)", 'CASE DATA'!E118="719.1(2)(g)", 'CASE DATA'!E118="719.4(1)", 'CASE DATA'!E118="719.4(4)", 'CASE DATA'!E118="719.5(1)", 'CASE DATA'!E118="719.5(2)", 'CASE DATA'!E118="719.6(1)", 'CASE DATA'!E118="719.6(2)", 'CASE DATA'!E118="719.7(4)(a)", 'CASE DATA'!E118="719.7(4)(b)", 'CASE DATA'!E118="719.7A(3)", 'CASE DATA'!E118="719.9", 'CASE DATA'!E118="719.8", 'CASE DATA'!E118="720.2", 'CASE DATA'!E118="720.3", 'CASE DATA'!E118="721.1", 'CASE DATA'!E118="722.1", 'CASE DATA'!E118="", 'CASE DATA'!E118="722.2", 'CASE DATA'!E118="722.10", 'CASE DATA'!E118="723(5)(3)(c)", 'CASE DATA'!E118="723A.2", 'CASE DATA'!E118="723A.3(1)", 'CASE DATA'!E118="723A.3(2)", 'CASE DATA'!E118="724.1B", 'CASE DATA'!E118="724.1C", 'CASE DATA'!E118="724.3", 'CASE DATA'!E118="724.4B", 'CASE DATA'!E118="724.10", 'CASE DATA'!E118="724.16(2)", 'CASE DATA'!E118="724.16A(1)(a)", 'CASE DATA'!E118="724.16A(1)(b)", 'CASE DATA'!E118="724.17", 'CASE DATA'!E118="724.21", 'CASE DATA'!E118="724.26(1)", 'CASE DATA'!E118="922(g)(8)", 'CASE DATA'!E118="724.29A(2)", 'CASE DATA'!E118="724.29A(3)", 'CASE DATA'!E118="724.30(1)", 'CASE DATA'!E118="724.30(2)", 'CASE DATA'!E118="725.1(2)(b)", 'CASE DATA'!E118="725.2(1)", 'CASE DATA'!E118="725.2(2)", 'CASE DATA'!E118="725.3(2)", 'CASE DATA'!E118="725.3(1)", 'CASE DATA'!E118="725.7(2)(a)(3)", 'CASE DATA'!E118="725.7(2)(a)(4)", 'CASE DATA'!E118="725.7(2)(b)(2)", 'CASE DATA'!E118="725.7(2)(b(3)", 'CASE DATA'!E118="726.7(2)(c)(1)", 'CASE DATA'!E118="726.7(2)(c)(2)", 'CASE DATA'!E118="725.7(2)(d)", 'CASE DATA'!E118="726.2", 'CASE DATA'!E118="726.3", 'CASE DATA'!E118="726.5", 'CASE DATA'!E118="726.6(4)", 'CASE DATA'!E118="726.6(5)", 'CASE DATA'!E118="726.6(6)", 'CASE DATA'!E118="726.6A", 'CASE DATA'!E118="726.7(2)", 'CASE DATA'!E118="726.8(2)", 'CASE DATA'!E118="728.12(1)", 'CASE DATA'!E118="728.12(2)"),"felony","eligible"),"N/A")</f>
        <v>N/A</v>
      </c>
      <c r="M117" s="185" t="str">
        <f>IF(L117="eligible",IF(OR('CASE DATA'!E118="123.46",'CASE DATA'!E118="123.47",'CASE DATA'!E118="235B.20",'CASE DATA'!E118="321.218",'CASE DATA'!E118="321A.32",'CASE DATA'!E118="321J.21",'CASE DATA'!E118="321J.2",'CASE DATA'!E118="707.5",'CASE DATA'!E118="708.2(3)",'CASE DATA'!E118="708.2A",'CASE DATA'!E118="708.7",'CASE DATA'!E118="708.11",'CASE DATA'!E118="708.12",'CASE DATA'!E118="716.8(3)",'CASE DATA'!E118="716.8(4)", LEFT('CASE DATA'!E118,4)="717C", LEFT('CASE DATA'!E118, 3)="719", LEFT('CASE DATA'!E118,3)="720", 'CASE DATA'!E118="721.2", 'CASE DATA'!E118="721.10", 'CASE DATA'!E118="723.1", LEFT('CASE DATA'!E118,3)="724", LEFT('CASE DATA'!E118,3)="726", LEFT('CASE DATA'!E118,3)="728", LEFT('CASE DATA'!E118,4)="901A"),"ineligible misd", "eligible"),"N/A")</f>
        <v>N/A</v>
      </c>
      <c r="N117" s="185" t="str">
        <f>IF(L117="eligible",IF(COUNTIF('CASE DATA'!$C$4:$C$200, "")-COUNTIF('CASE DATA'!$A$4:$A$200, "")&gt;0, "YES","NO"),"N/A")</f>
        <v>N/A</v>
      </c>
      <c r="O117" s="185" t="str">
        <f xml:space="preserve"> IF(M117="eligible",'CASE DATA'!K118,"N/A")</f>
        <v>N/A</v>
      </c>
      <c r="P117" s="185" t="str">
        <f xml:space="preserve"> IF(M117="eligible",'CASE DATA'!I118+'CASE DATA'!J118+'CASE DATA'!L118+'CASE DATA'!M118+'CASE DATA'!N118+'CASE DATA'!O118+'CASE DATA'!M118+'CASE DATA'!Q118+'CASE DATA'!R118,"N/A")</f>
        <v>N/A</v>
      </c>
      <c r="Q117" s="11" t="str">
        <f>IF(M117="eligible",IF(C117+730.5&lt;'BASIC INFO'!$B$3, "YES", "NO"),"N/A")</f>
        <v>N/A</v>
      </c>
      <c r="R117" s="186" t="str">
        <f xml:space="preserve"> IF(OR('CASE DATA'!F118="DEF"), "YES", "NO")</f>
        <v>NO</v>
      </c>
      <c r="S117" s="162" t="str">
        <f>IF(R117="YES",'CASE DATA'!H118,"N/A")</f>
        <v>N/A</v>
      </c>
      <c r="T117" s="185" t="str">
        <f xml:space="preserve"> IF(R117="YES",'CASE DATA'!K118,"N/A")</f>
        <v>N/A</v>
      </c>
      <c r="U117" s="185" t="str">
        <f>IF(R117="YES",'CASE DATA'!I118+'CASE DATA'!J118+'CASE DATA'!L118+'CASE DATA'!M118+'CASE DATA'!N118+'CASE DATA'!O118+'CASE DATA'!P118+'CASE DATA'!Q118+'CASE DATA'!R118,"N/A")</f>
        <v>N/A</v>
      </c>
      <c r="V117" s="189" t="str">
        <f>IF(OR('CASE DATA'!E118="123.46",'CASE DATA'!E118="123.47"),"YES","NO")</f>
        <v>NO</v>
      </c>
      <c r="W117" s="189"/>
      <c r="X117" s="185" t="str">
        <f>IF(V117="YES",IF(C117+730.5&lt;'BASIC INFO'!$B$3, "YES","NO"), "N/A")</f>
        <v>N/A</v>
      </c>
      <c r="Y117" s="189" t="str">
        <f t="shared" si="2"/>
        <v>NO</v>
      </c>
      <c r="Z117" s="187" t="str">
        <f xml:space="preserve"> IF('BASIC INFO'!$B$6+6574.5&gt;C117, "YES", "NO")</f>
        <v>YES</v>
      </c>
    </row>
    <row r="118" spans="1:26" x14ac:dyDescent="0.25">
      <c r="A118" s="162">
        <f xml:space="preserve"> 'CASE DATA'!A119</f>
        <v>0</v>
      </c>
      <c r="B118" s="162">
        <f xml:space="preserve"> 'CASE DATA'!E119</f>
        <v>0</v>
      </c>
      <c r="C118" s="163">
        <f xml:space="preserve"> 'CASE DATA'!C119</f>
        <v>0</v>
      </c>
      <c r="D118" s="11" t="str">
        <f xml:space="preserve"> IF(OR('CASE DATA'!F119="JUV", 'CASE DATA'!F119="JWV"), "YES", "NO")</f>
        <v>NO</v>
      </c>
      <c r="E118" s="11"/>
      <c r="F118" s="11" t="str">
        <f>IF(D118="YES",IF(COUNTIF('CASE DATA'!$C$4:$C$200, "")-COUNTIF('CASE DATA'!$A$4:$A$200, "")&gt;0, "YES","NO"),"N/A")</f>
        <v>N/A</v>
      </c>
      <c r="G118" s="164" t="str">
        <f xml:space="preserve"> _xlfn.IFS(D118="NO", "N/A", AND('BASIC INFO'!$B$3&gt;'BASIC INFO'!$B$6+6574.5, C118+730.5&lt;'BASIC INFO'!$B$3), "YES", 'BASIC INFO'!$B$3&lt;('BASIC INFO'!$B$6+6574.5), "NOT YET 18", C118+730.5&gt;'BASIC INFO'!$B$3, "NOT YET 2 YEARS")</f>
        <v>N/A</v>
      </c>
      <c r="H118" s="186" t="str">
        <f xml:space="preserve"> IF(LEFT('CASE DATA'!E119,4)&lt;&gt;"321.",IF(OR('CASE DATA'!F119="DISM", 'CASE DATA'!F119="ACQ", 'CASE DATA'!F119="NOTF", 'CASE DATA'!F119="WTHD", 'CASE DATA'!F119="TNSF"), "YES", "NO"), "TRAFFIC")</f>
        <v>NO</v>
      </c>
      <c r="I118" s="185" t="str">
        <f xml:space="preserve"> IF(H118="YES",'CASE DATA'!K119,"N/A")</f>
        <v>N/A</v>
      </c>
      <c r="J118" s="185" t="str">
        <f>IF(H118="YES",'CASE DATA'!I119+'CASE DATA'!J119+'CASE DATA'!L119+'CASE DATA'!M119+'CASE DATA'!N119+'CASE DATA'!O119+'CASE DATA'!P119+'CASE DATA'!Q119+'CASE DATA'!R119,"N/A")</f>
        <v>N/A</v>
      </c>
      <c r="K118" s="162" t="str">
        <f xml:space="preserve"> IF(H118="YES",IF(C118+180&lt;'BASIC INFO'!$B$3, "YES", "NO"),"N/A")</f>
        <v>N/A</v>
      </c>
      <c r="L118" s="185" t="str">
        <f>IF(OR('CASE DATA'!F119="GTR", 'CASE DATA'!F119="GPL"),IF(OR('CASE DATA'!E119="81.6(2)", 'CASE DATA'!E119="99F.15(6)(b)(1)", 'CASE DATA'!E119= "124.401(1)(a)", 'CASE DATA'!E119= "124.401(1)(b)", 'CASE DATA'!E119= "124.401(1)(c)", 'CASE DATA'!E119= "124.401(1)(d)", 'CASE DATA'!E119="124.401(4)", 'CASE DATA'!E119="124.401(1)(b)", 'CASE DATA'!E119="124.401(1)(c)", 'CASE DATA'!E119="124.401D(2)(b)", 'CASE DATA'!E119="124.401D(2)(c)", 'CASE DATA'!E119="124.406(1)(a)", 'CASE DATA'!E119="124.406(1)(b) ", 'CASE DATA'!E119="124.406(2)(a)", 'CASE DATA'!E119="124.406(2)(b) ", 'CASE DATA'!E119="124.406(3)", 'CASE DATA'!E119="124.406A ", 'CASE DATA'!E119="124.407(2)(a)", 'CASE DATA'!E119="124B.9(1)", 'CASE DATA'!E119="124B.9(2)", 'CASE DATA'!E119="321J.2(2)(c)", 'CASE DATA'!E119="453B.12(2)", 'CASE DATA'!E119="453B.12(3)", 'CASE DATA'!E119="453B.12(4)", 'CASE DATA'!E119="462A.14(2)(c)", 'CASE DATA'!E119="462A.14(2)(d)", 'CASE DATA'!E119="462A.14(2)(e)", 'CASE DATA'!E119="705.1(2)", 'CASE DATA'!E119="706.3(1)", 'CASE DATA'!E119="706.3(2)", 'CASE DATA'!E119="706A.2(1)", 'CASE DATA'!E119="706A.2(2)", 'CASE DATA'!E119="706A.2(4)", 'CASE DATA'!E119="706B.2(1)(a)", 'CASE DATA'!E119="706B.2(1)(b)", 'CASE DATA'!E119="706B.2(1)(c)", 'CASE DATA'!E119="706B.2(1)(d)", 'CASE DATA'!E119="707.2", 'CASE DATA'!E119="707.3", 'CASE DATA'!E119="707.3A", 'CASE DATA'!E119="707.4", 'CASE DATA'!E119="707.5(1)(a)", 'CASE DATA'!E119="707.6A(1)", 'CASE DATA'!E119="707.6A(2)", 'CASE DATA'!E119="707.6A(3)", 'CASE DATA'!E119="707.6A(4)", 'CASE DATA'!E119="707.7(1)", 'CASE DATA'!E119="707.7(3)", 'CASE DATA'!E119="707.7(2)", 'CASE DATA'!E119="707.8(1)", 'CASE DATA'!E119="707.8(2)", 'CASE DATA'!E119="707.8(3)", 'CASE DATA'!E119="707.8(4)", 'CASE DATA'!E119="707.8(5)", 'CASE DATA'!E119="707.8(6)", 'CASE DATA'!E119="707.9", 'CASE DATA'!E119="707.11", 'CASE DATA'!E119="707A.2", 'CASE DATA'!E119="708.2(4)", 'CASE DATA'!E119="708.2(5)", 'CASE DATA'!E119="708.2A(4)", 'CASE DATA'!E119="708.2A(5)", 'CASE DATA'!E119="708.2C(2)", 'CASE DATA'!E119="708.2C(4)", 'CASE DATA'!E119="708.3(1)", 'CASE DATA'!E119="708.3(2)", 'CASE DATA'!E119="708.3A(1)", 'CASE DATA'!E119="708.3A(2)", 'CASE DATA'!E119="708.3B", 'CASE DATA'!E119="708.4(1)", 'CASE DATA'!E119="708.4(2)", 'CASE DATA'!E119="708.5", 'CASE DATA'!E119="708.8", 'CASE DATA'!E119="708.11(3)(a)", 'CASE DATA'!E119="708.11(3)(b)", 'CASE DATA'!E119="708.12(3)(f)", 'CASE DATA'!E119="708.13(3)", 'CASE DATA'!E119="708.14", 'CASE DATA'!E119="708A.2", 'CASE DATA'!E119="708A.4(1)", 'CASE DATA'!E119="708A.4(2)", 'CASE DATA'!E119="708A.5", 'CASE DATA'!E119="708A.6(1)", 'CASE DATA'!E119="708.A.6(2)", 'CASE DATA'!E119="709.2", 'CASE DATA'!E119="709.3", 'CASE DATA'!E119="709.4", 'CASE DATA'!E119="709.8(1)(a)", 'CASE DATA'!E119="709.8(1)(b)", 'CASE DATA'!E119="709.8(1)(c)", 'CASE DATA'!E119="709.8(1)(d)", 'CASE DATA'!E119="709.8(1)(e)", 'CASE DATA'!E119="709.11(1)", 'CASE DATA'!E119="709.11(2)", 'CASE DATA'!E119="709.15(2)(a)(1)", 'CASE DATA'!E119="709.15(3)(a)(1)", 'CASE DATA'!E119="709.18", 'CASE DATA'!E119="709A.6(2)", 'CASE DATA'!E119="709D.3(1)", 'CASE DATA'!E119="709D.3(2)", 'CASE DATA'!E119="709.D.3(3)", 'CASE DATA'!E119="710.2", 'CASE DATA'!E119="710.3", 'CASE DATA'!E119="710.4", 'CASE DATA'!E119="710.5", 'CASE DATA'!E119="710.10(1)", 'CASE DATA'!E119="710.10(2)", 'CASE DATA'!E119="710.10(3)", 'CASE DATA'!E119="710.11", 'CASE DATA'!E119="710A.2(1)", 'CASE DATA'!E119="710A.2(2)", 'CASE DATA'!E119="710A.2(3)", 'CASE DATA'!E119="710A.2(4)", 'CASE DATA'!E119="710A.2(5)", 'CASE DATA'!E119="710A.2(6)", 'CASE DATA'!E119="710A.2(7)", 'CASE DATA'!E119="710A.2A", 'CASE DATA'!E119="711.2", 'CASE DATA'!E119="711.3", 'CASE DATA'!E119="711.4", 'CASE DATA'!E119="712.2", 'CASE DATA'!E119="712.3", 'CASE DATA'!E119="712.6(1)", 'CASE DATA'!E119="712.7", 'CASE DATA'!E119="712.8", 'CASE DATA'!E119="", 'CASE DATA'!E119="713.3", 'CASE DATA'!E119="713.4", 'CASE DATA'!E119="713.5", 'CASE DATA'!E119="713.6", 'CASE DATA'!E119="713.6A(1)", 'CASE DATA'!E119="714.2(1)", 'CASE DATA'!E119="714.2(2)", 'CASE DATA'!E119="714.3A(2)(b)", 'CASE DATA'!E119="714.9", 'CASE DATA'!E119="714.10", 'CASE DATA'!E119="714.26(2)(a)", 'CASE DATA'!E119="714.26(2)(b)", 'CASE DATA'!E119="715A.2(2)(a)", 'CASE DATA'!E119="715A.6(2)(a)", 'CASE DATA'!E119="715A.6(2)(b)", 'CASE DATA'!E119="715A.8(3)(a)", 'CASE DATA'!E119="715A.8(3)(b)", 'CASE DATA'!E119="715A.10(1)", 'CASE DATA'!E119="715A.10(2)", 'CASE DATA'!E119="716.3", 'CASE DATA'!E119="716.4", 'CASE DATA'!E119="716.8(6)", 'CASE DATA'!E119="716.10(2)(a)", 'CASE DATA'!E119="716.10(2)(b)", 'CASE DATA'!E119="716.10(2)(c)", 'CASE DATA'!E119="716.10(2)(d)", 'CASE DATA'!E119="716.12", 'CASE DATA'!E119="719.1(1)(f)", 'CASE DATA'!E119="719.1(2)(e)", 'CASE DATA'!E119="719.1(2)(f)", 'CASE DATA'!E119="719.1(2)(g)", 'CASE DATA'!E119="719.4(1)", 'CASE DATA'!E119="719.4(4)", 'CASE DATA'!E119="719.5(1)", 'CASE DATA'!E119="719.5(2)", 'CASE DATA'!E119="719.6(1)", 'CASE DATA'!E119="719.6(2)", 'CASE DATA'!E119="719.7(4)(a)", 'CASE DATA'!E119="719.7(4)(b)", 'CASE DATA'!E119="719.7A(3)", 'CASE DATA'!E119="719.9", 'CASE DATA'!E119="719.8", 'CASE DATA'!E119="720.2", 'CASE DATA'!E119="720.3", 'CASE DATA'!E119="721.1", 'CASE DATA'!E119="722.1", 'CASE DATA'!E119="", 'CASE DATA'!E119="722.2", 'CASE DATA'!E119="722.10", 'CASE DATA'!E119="723(5)(3)(c)", 'CASE DATA'!E119="723A.2", 'CASE DATA'!E119="723A.3(1)", 'CASE DATA'!E119="723A.3(2)", 'CASE DATA'!E119="724.1B", 'CASE DATA'!E119="724.1C", 'CASE DATA'!E119="724.3", 'CASE DATA'!E119="724.4B", 'CASE DATA'!E119="724.10", 'CASE DATA'!E119="724.16(2)", 'CASE DATA'!E119="724.16A(1)(a)", 'CASE DATA'!E119="724.16A(1)(b)", 'CASE DATA'!E119="724.17", 'CASE DATA'!E119="724.21", 'CASE DATA'!E119="724.26(1)", 'CASE DATA'!E119="922(g)(8)", 'CASE DATA'!E119="724.29A(2)", 'CASE DATA'!E119="724.29A(3)", 'CASE DATA'!E119="724.30(1)", 'CASE DATA'!E119="724.30(2)", 'CASE DATA'!E119="725.1(2)(b)", 'CASE DATA'!E119="725.2(1)", 'CASE DATA'!E119="725.2(2)", 'CASE DATA'!E119="725.3(2)", 'CASE DATA'!E119="725.3(1)", 'CASE DATA'!E119="725.7(2)(a)(3)", 'CASE DATA'!E119="725.7(2)(a)(4)", 'CASE DATA'!E119="725.7(2)(b)(2)", 'CASE DATA'!E119="725.7(2)(b(3)", 'CASE DATA'!E119="726.7(2)(c)(1)", 'CASE DATA'!E119="726.7(2)(c)(2)", 'CASE DATA'!E119="725.7(2)(d)", 'CASE DATA'!E119="726.2", 'CASE DATA'!E119="726.3", 'CASE DATA'!E119="726.5", 'CASE DATA'!E119="726.6(4)", 'CASE DATA'!E119="726.6(5)", 'CASE DATA'!E119="726.6(6)", 'CASE DATA'!E119="726.6A", 'CASE DATA'!E119="726.7(2)", 'CASE DATA'!E119="726.8(2)", 'CASE DATA'!E119="728.12(1)", 'CASE DATA'!E119="728.12(2)"),"felony","eligible"),"N/A")</f>
        <v>N/A</v>
      </c>
      <c r="M118" s="185" t="str">
        <f>IF(L118="eligible",IF(OR('CASE DATA'!E119="123.46",'CASE DATA'!E119="123.47",'CASE DATA'!E119="235B.20",'CASE DATA'!E119="321.218",'CASE DATA'!E119="321A.32",'CASE DATA'!E119="321J.21",'CASE DATA'!E119="321J.2",'CASE DATA'!E119="707.5",'CASE DATA'!E119="708.2(3)",'CASE DATA'!E119="708.2A",'CASE DATA'!E119="708.7",'CASE DATA'!E119="708.11",'CASE DATA'!E119="708.12",'CASE DATA'!E119="716.8(3)",'CASE DATA'!E119="716.8(4)", LEFT('CASE DATA'!E119,4)="717C", LEFT('CASE DATA'!E119, 3)="719", LEFT('CASE DATA'!E119,3)="720", 'CASE DATA'!E119="721.2", 'CASE DATA'!E119="721.10", 'CASE DATA'!E119="723.1", LEFT('CASE DATA'!E119,3)="724", LEFT('CASE DATA'!E119,3)="726", LEFT('CASE DATA'!E119,3)="728", LEFT('CASE DATA'!E119,4)="901A"),"ineligible misd", "eligible"),"N/A")</f>
        <v>N/A</v>
      </c>
      <c r="N118" s="185" t="str">
        <f>IF(L118="eligible",IF(COUNTIF('CASE DATA'!$C$4:$C$200, "")-COUNTIF('CASE DATA'!$A$4:$A$200, "")&gt;0, "YES","NO"),"N/A")</f>
        <v>N/A</v>
      </c>
      <c r="O118" s="185" t="str">
        <f xml:space="preserve"> IF(M118="eligible",'CASE DATA'!K119,"N/A")</f>
        <v>N/A</v>
      </c>
      <c r="P118" s="185" t="str">
        <f xml:space="preserve"> IF(M118="eligible",'CASE DATA'!I119+'CASE DATA'!J119+'CASE DATA'!L119+'CASE DATA'!M119+'CASE DATA'!N119+'CASE DATA'!O119+'CASE DATA'!M119+'CASE DATA'!Q119+'CASE DATA'!R119,"N/A")</f>
        <v>N/A</v>
      </c>
      <c r="Q118" s="11" t="str">
        <f>IF(M118="eligible",IF(C118+730.5&lt;'BASIC INFO'!$B$3, "YES", "NO"),"N/A")</f>
        <v>N/A</v>
      </c>
      <c r="R118" s="186" t="str">
        <f xml:space="preserve"> IF(OR('CASE DATA'!F119="DEF"), "YES", "NO")</f>
        <v>NO</v>
      </c>
      <c r="S118" s="162" t="str">
        <f>IF(R118="YES",'CASE DATA'!H119,"N/A")</f>
        <v>N/A</v>
      </c>
      <c r="T118" s="185" t="str">
        <f xml:space="preserve"> IF(R118="YES",'CASE DATA'!K119,"N/A")</f>
        <v>N/A</v>
      </c>
      <c r="U118" s="185" t="str">
        <f>IF(R118="YES",'CASE DATA'!I119+'CASE DATA'!J119+'CASE DATA'!L119+'CASE DATA'!M119+'CASE DATA'!N119+'CASE DATA'!O119+'CASE DATA'!P119+'CASE DATA'!Q119+'CASE DATA'!R119,"N/A")</f>
        <v>N/A</v>
      </c>
      <c r="V118" s="189" t="str">
        <f>IF(OR('CASE DATA'!E119="123.46",'CASE DATA'!E119="123.47"),"YES","NO")</f>
        <v>NO</v>
      </c>
      <c r="W118" s="189"/>
      <c r="X118" s="185" t="str">
        <f>IF(V118="YES",IF(C118+730.5&lt;'BASIC INFO'!$B$3, "YES","NO"), "N/A")</f>
        <v>N/A</v>
      </c>
      <c r="Y118" s="189" t="str">
        <f t="shared" si="2"/>
        <v>NO</v>
      </c>
      <c r="Z118" s="187" t="str">
        <f xml:space="preserve"> IF('BASIC INFO'!$B$6+6574.5&gt;C118, "YES", "NO")</f>
        <v>YES</v>
      </c>
    </row>
    <row r="119" spans="1:26" x14ac:dyDescent="0.25">
      <c r="A119" s="162">
        <f xml:space="preserve"> 'CASE DATA'!A120</f>
        <v>0</v>
      </c>
      <c r="B119" s="162">
        <f xml:space="preserve"> 'CASE DATA'!E120</f>
        <v>0</v>
      </c>
      <c r="C119" s="163">
        <f xml:space="preserve"> 'CASE DATA'!C120</f>
        <v>0</v>
      </c>
      <c r="D119" s="11" t="str">
        <f xml:space="preserve"> IF(OR('CASE DATA'!F120="JUV", 'CASE DATA'!F120="JWV"), "YES", "NO")</f>
        <v>NO</v>
      </c>
      <c r="E119" s="11"/>
      <c r="F119" s="11" t="str">
        <f>IF(D119="YES",IF(COUNTIF('CASE DATA'!$C$4:$C$200, "")-COUNTIF('CASE DATA'!$A$4:$A$200, "")&gt;0, "YES","NO"),"N/A")</f>
        <v>N/A</v>
      </c>
      <c r="G119" s="164" t="str">
        <f xml:space="preserve"> _xlfn.IFS(D119="NO", "N/A", AND('BASIC INFO'!$B$3&gt;'BASIC INFO'!$B$6+6574.5, C119+730.5&lt;'BASIC INFO'!$B$3), "YES", 'BASIC INFO'!$B$3&lt;('BASIC INFO'!$B$6+6574.5), "NOT YET 18", C119+730.5&gt;'BASIC INFO'!$B$3, "NOT YET 2 YEARS")</f>
        <v>N/A</v>
      </c>
      <c r="H119" s="186" t="str">
        <f xml:space="preserve"> IF(LEFT('CASE DATA'!E120,4)&lt;&gt;"321.",IF(OR('CASE DATA'!F120="DISM", 'CASE DATA'!F120="ACQ", 'CASE DATA'!F120="NOTF", 'CASE DATA'!F120="WTHD", 'CASE DATA'!F120="TNSF"), "YES", "NO"), "TRAFFIC")</f>
        <v>NO</v>
      </c>
      <c r="I119" s="185" t="str">
        <f xml:space="preserve"> IF(H119="YES",'CASE DATA'!K120,"N/A")</f>
        <v>N/A</v>
      </c>
      <c r="J119" s="185" t="str">
        <f>IF(H119="YES",'CASE DATA'!I120+'CASE DATA'!J120+'CASE DATA'!L120+'CASE DATA'!M120+'CASE DATA'!N120+'CASE DATA'!O120+'CASE DATA'!P120+'CASE DATA'!Q120+'CASE DATA'!R120,"N/A")</f>
        <v>N/A</v>
      </c>
      <c r="K119" s="162" t="str">
        <f xml:space="preserve"> IF(H119="YES",IF(C119+180&lt;'BASIC INFO'!$B$3, "YES", "NO"),"N/A")</f>
        <v>N/A</v>
      </c>
      <c r="L119" s="185" t="str">
        <f>IF(OR('CASE DATA'!F120="GTR", 'CASE DATA'!F120="GPL"),IF(OR('CASE DATA'!E120="81.6(2)", 'CASE DATA'!E120="99F.15(6)(b)(1)", 'CASE DATA'!E120= "124.401(1)(a)", 'CASE DATA'!E120= "124.401(1)(b)", 'CASE DATA'!E120= "124.401(1)(c)", 'CASE DATA'!E120= "124.401(1)(d)", 'CASE DATA'!E120="124.401(4)", 'CASE DATA'!E120="124.401(1)(b)", 'CASE DATA'!E120="124.401(1)(c)", 'CASE DATA'!E120="124.401D(2)(b)", 'CASE DATA'!E120="124.401D(2)(c)", 'CASE DATA'!E120="124.406(1)(a)", 'CASE DATA'!E120="124.406(1)(b) ", 'CASE DATA'!E120="124.406(2)(a)", 'CASE DATA'!E120="124.406(2)(b) ", 'CASE DATA'!E120="124.406(3)", 'CASE DATA'!E120="124.406A ", 'CASE DATA'!E120="124.407(2)(a)", 'CASE DATA'!E120="124B.9(1)", 'CASE DATA'!E120="124B.9(2)", 'CASE DATA'!E120="321J.2(2)(c)", 'CASE DATA'!E120="453B.12(2)", 'CASE DATA'!E120="453B.12(3)", 'CASE DATA'!E120="453B.12(4)", 'CASE DATA'!E120="462A.14(2)(c)", 'CASE DATA'!E120="462A.14(2)(d)", 'CASE DATA'!E120="462A.14(2)(e)", 'CASE DATA'!E120="705.1(2)", 'CASE DATA'!E120="706.3(1)", 'CASE DATA'!E120="706.3(2)", 'CASE DATA'!E120="706A.2(1)", 'CASE DATA'!E120="706A.2(2)", 'CASE DATA'!E120="706A.2(4)", 'CASE DATA'!E120="706B.2(1)(a)", 'CASE DATA'!E120="706B.2(1)(b)", 'CASE DATA'!E120="706B.2(1)(c)", 'CASE DATA'!E120="706B.2(1)(d)", 'CASE DATA'!E120="707.2", 'CASE DATA'!E120="707.3", 'CASE DATA'!E120="707.3A", 'CASE DATA'!E120="707.4", 'CASE DATA'!E120="707.5(1)(a)", 'CASE DATA'!E120="707.6A(1)", 'CASE DATA'!E120="707.6A(2)", 'CASE DATA'!E120="707.6A(3)", 'CASE DATA'!E120="707.6A(4)", 'CASE DATA'!E120="707.7(1)", 'CASE DATA'!E120="707.7(3)", 'CASE DATA'!E120="707.7(2)", 'CASE DATA'!E120="707.8(1)", 'CASE DATA'!E120="707.8(2)", 'CASE DATA'!E120="707.8(3)", 'CASE DATA'!E120="707.8(4)", 'CASE DATA'!E120="707.8(5)", 'CASE DATA'!E120="707.8(6)", 'CASE DATA'!E120="707.9", 'CASE DATA'!E120="707.11", 'CASE DATA'!E120="707A.2", 'CASE DATA'!E120="708.2(4)", 'CASE DATA'!E120="708.2(5)", 'CASE DATA'!E120="708.2A(4)", 'CASE DATA'!E120="708.2A(5)", 'CASE DATA'!E120="708.2C(2)", 'CASE DATA'!E120="708.2C(4)", 'CASE DATA'!E120="708.3(1)", 'CASE DATA'!E120="708.3(2)", 'CASE DATA'!E120="708.3A(1)", 'CASE DATA'!E120="708.3A(2)", 'CASE DATA'!E120="708.3B", 'CASE DATA'!E120="708.4(1)", 'CASE DATA'!E120="708.4(2)", 'CASE DATA'!E120="708.5", 'CASE DATA'!E120="708.8", 'CASE DATA'!E120="708.11(3)(a)", 'CASE DATA'!E120="708.11(3)(b)", 'CASE DATA'!E120="708.12(3)(f)", 'CASE DATA'!E120="708.13(3)", 'CASE DATA'!E120="708.14", 'CASE DATA'!E120="708A.2", 'CASE DATA'!E120="708A.4(1)", 'CASE DATA'!E120="708A.4(2)", 'CASE DATA'!E120="708A.5", 'CASE DATA'!E120="708A.6(1)", 'CASE DATA'!E120="708.A.6(2)", 'CASE DATA'!E120="709.2", 'CASE DATA'!E120="709.3", 'CASE DATA'!E120="709.4", 'CASE DATA'!E120="709.8(1)(a)", 'CASE DATA'!E120="709.8(1)(b)", 'CASE DATA'!E120="709.8(1)(c)", 'CASE DATA'!E120="709.8(1)(d)", 'CASE DATA'!E120="709.8(1)(e)", 'CASE DATA'!E120="709.11(1)", 'CASE DATA'!E120="709.11(2)", 'CASE DATA'!E120="709.15(2)(a)(1)", 'CASE DATA'!E120="709.15(3)(a)(1)", 'CASE DATA'!E120="709.18", 'CASE DATA'!E120="709A.6(2)", 'CASE DATA'!E120="709D.3(1)", 'CASE DATA'!E120="709D.3(2)", 'CASE DATA'!E120="709.D.3(3)", 'CASE DATA'!E120="710.2", 'CASE DATA'!E120="710.3", 'CASE DATA'!E120="710.4", 'CASE DATA'!E120="710.5", 'CASE DATA'!E120="710.10(1)", 'CASE DATA'!E120="710.10(2)", 'CASE DATA'!E120="710.10(3)", 'CASE DATA'!E120="710.11", 'CASE DATA'!E120="710A.2(1)", 'CASE DATA'!E120="710A.2(2)", 'CASE DATA'!E120="710A.2(3)", 'CASE DATA'!E120="710A.2(4)", 'CASE DATA'!E120="710A.2(5)", 'CASE DATA'!E120="710A.2(6)", 'CASE DATA'!E120="710A.2(7)", 'CASE DATA'!E120="710A.2A", 'CASE DATA'!E120="711.2", 'CASE DATA'!E120="711.3", 'CASE DATA'!E120="711.4", 'CASE DATA'!E120="712.2", 'CASE DATA'!E120="712.3", 'CASE DATA'!E120="712.6(1)", 'CASE DATA'!E120="712.7", 'CASE DATA'!E120="712.8", 'CASE DATA'!E120="", 'CASE DATA'!E120="713.3", 'CASE DATA'!E120="713.4", 'CASE DATA'!E120="713.5", 'CASE DATA'!E120="713.6", 'CASE DATA'!E120="713.6A(1)", 'CASE DATA'!E120="714.2(1)", 'CASE DATA'!E120="714.2(2)", 'CASE DATA'!E120="714.3A(2)(b)", 'CASE DATA'!E120="714.9", 'CASE DATA'!E120="714.10", 'CASE DATA'!E120="714.26(2)(a)", 'CASE DATA'!E120="714.26(2)(b)", 'CASE DATA'!E120="715A.2(2)(a)", 'CASE DATA'!E120="715A.6(2)(a)", 'CASE DATA'!E120="715A.6(2)(b)", 'CASE DATA'!E120="715A.8(3)(a)", 'CASE DATA'!E120="715A.8(3)(b)", 'CASE DATA'!E120="715A.10(1)", 'CASE DATA'!E120="715A.10(2)", 'CASE DATA'!E120="716.3", 'CASE DATA'!E120="716.4", 'CASE DATA'!E120="716.8(6)", 'CASE DATA'!E120="716.10(2)(a)", 'CASE DATA'!E120="716.10(2)(b)", 'CASE DATA'!E120="716.10(2)(c)", 'CASE DATA'!E120="716.10(2)(d)", 'CASE DATA'!E120="716.12", 'CASE DATA'!E120="719.1(1)(f)", 'CASE DATA'!E120="719.1(2)(e)", 'CASE DATA'!E120="719.1(2)(f)", 'CASE DATA'!E120="719.1(2)(g)", 'CASE DATA'!E120="719.4(1)", 'CASE DATA'!E120="719.4(4)", 'CASE DATA'!E120="719.5(1)", 'CASE DATA'!E120="719.5(2)", 'CASE DATA'!E120="719.6(1)", 'CASE DATA'!E120="719.6(2)", 'CASE DATA'!E120="719.7(4)(a)", 'CASE DATA'!E120="719.7(4)(b)", 'CASE DATA'!E120="719.7A(3)", 'CASE DATA'!E120="719.9", 'CASE DATA'!E120="719.8", 'CASE DATA'!E120="720.2", 'CASE DATA'!E120="720.3", 'CASE DATA'!E120="721.1", 'CASE DATA'!E120="722.1", 'CASE DATA'!E120="", 'CASE DATA'!E120="722.2", 'CASE DATA'!E120="722.10", 'CASE DATA'!E120="723(5)(3)(c)", 'CASE DATA'!E120="723A.2", 'CASE DATA'!E120="723A.3(1)", 'CASE DATA'!E120="723A.3(2)", 'CASE DATA'!E120="724.1B", 'CASE DATA'!E120="724.1C", 'CASE DATA'!E120="724.3", 'CASE DATA'!E120="724.4B", 'CASE DATA'!E120="724.10", 'CASE DATA'!E120="724.16(2)", 'CASE DATA'!E120="724.16A(1)(a)", 'CASE DATA'!E120="724.16A(1)(b)", 'CASE DATA'!E120="724.17", 'CASE DATA'!E120="724.21", 'CASE DATA'!E120="724.26(1)", 'CASE DATA'!E120="922(g)(8)", 'CASE DATA'!E120="724.29A(2)", 'CASE DATA'!E120="724.29A(3)", 'CASE DATA'!E120="724.30(1)", 'CASE DATA'!E120="724.30(2)", 'CASE DATA'!E120="725.1(2)(b)", 'CASE DATA'!E120="725.2(1)", 'CASE DATA'!E120="725.2(2)", 'CASE DATA'!E120="725.3(2)", 'CASE DATA'!E120="725.3(1)", 'CASE DATA'!E120="725.7(2)(a)(3)", 'CASE DATA'!E120="725.7(2)(a)(4)", 'CASE DATA'!E120="725.7(2)(b)(2)", 'CASE DATA'!E120="725.7(2)(b(3)", 'CASE DATA'!E120="726.7(2)(c)(1)", 'CASE DATA'!E120="726.7(2)(c)(2)", 'CASE DATA'!E120="725.7(2)(d)", 'CASE DATA'!E120="726.2", 'CASE DATA'!E120="726.3", 'CASE DATA'!E120="726.5", 'CASE DATA'!E120="726.6(4)", 'CASE DATA'!E120="726.6(5)", 'CASE DATA'!E120="726.6(6)", 'CASE DATA'!E120="726.6A", 'CASE DATA'!E120="726.7(2)", 'CASE DATA'!E120="726.8(2)", 'CASE DATA'!E120="728.12(1)", 'CASE DATA'!E120="728.12(2)"),"felony","eligible"),"N/A")</f>
        <v>N/A</v>
      </c>
      <c r="M119" s="185" t="str">
        <f>IF(L119="eligible",IF(OR('CASE DATA'!E120="123.46",'CASE DATA'!E120="123.47",'CASE DATA'!E120="235B.20",'CASE DATA'!E120="321.218",'CASE DATA'!E120="321A.32",'CASE DATA'!E120="321J.21",'CASE DATA'!E120="321J.2",'CASE DATA'!E120="707.5",'CASE DATA'!E120="708.2(3)",'CASE DATA'!E120="708.2A",'CASE DATA'!E120="708.7",'CASE DATA'!E120="708.11",'CASE DATA'!E120="708.12",'CASE DATA'!E120="716.8(3)",'CASE DATA'!E120="716.8(4)", LEFT('CASE DATA'!E120,4)="717C", LEFT('CASE DATA'!E120, 3)="719", LEFT('CASE DATA'!E120,3)="720", 'CASE DATA'!E120="721.2", 'CASE DATA'!E120="721.10", 'CASE DATA'!E120="723.1", LEFT('CASE DATA'!E120,3)="724", LEFT('CASE DATA'!E120,3)="726", LEFT('CASE DATA'!E120,3)="728", LEFT('CASE DATA'!E120,4)="901A"),"ineligible misd", "eligible"),"N/A")</f>
        <v>N/A</v>
      </c>
      <c r="N119" s="185" t="str">
        <f>IF(L119="eligible",IF(COUNTIF('CASE DATA'!$C$4:$C$200, "")-COUNTIF('CASE DATA'!$A$4:$A$200, "")&gt;0, "YES","NO"),"N/A")</f>
        <v>N/A</v>
      </c>
      <c r="O119" s="185" t="str">
        <f xml:space="preserve"> IF(M119="eligible",'CASE DATA'!K120,"N/A")</f>
        <v>N/A</v>
      </c>
      <c r="P119" s="185" t="str">
        <f xml:space="preserve"> IF(M119="eligible",'CASE DATA'!I120+'CASE DATA'!J120+'CASE DATA'!L120+'CASE DATA'!M120+'CASE DATA'!N120+'CASE DATA'!O120+'CASE DATA'!M120+'CASE DATA'!Q120+'CASE DATA'!R120,"N/A")</f>
        <v>N/A</v>
      </c>
      <c r="Q119" s="11" t="str">
        <f>IF(M119="eligible",IF(C119+730.5&lt;'BASIC INFO'!$B$3, "YES", "NO"),"N/A")</f>
        <v>N/A</v>
      </c>
      <c r="R119" s="186" t="str">
        <f xml:space="preserve"> IF(OR('CASE DATA'!F120="DEF"), "YES", "NO")</f>
        <v>NO</v>
      </c>
      <c r="S119" s="162" t="str">
        <f>IF(R119="YES",'CASE DATA'!H120,"N/A")</f>
        <v>N/A</v>
      </c>
      <c r="T119" s="185" t="str">
        <f xml:space="preserve"> IF(R119="YES",'CASE DATA'!K120,"N/A")</f>
        <v>N/A</v>
      </c>
      <c r="U119" s="185" t="str">
        <f>IF(R119="YES",'CASE DATA'!I120+'CASE DATA'!J120+'CASE DATA'!L120+'CASE DATA'!M120+'CASE DATA'!N120+'CASE DATA'!O120+'CASE DATA'!P120+'CASE DATA'!Q120+'CASE DATA'!R120,"N/A")</f>
        <v>N/A</v>
      </c>
      <c r="V119" s="189" t="str">
        <f>IF(OR('CASE DATA'!E120="123.46",'CASE DATA'!E120="123.47"),"YES","NO")</f>
        <v>NO</v>
      </c>
      <c r="W119" s="189"/>
      <c r="X119" s="185" t="str">
        <f>IF(V119="YES",IF(C119+730.5&lt;'BASIC INFO'!$B$3, "YES","NO"), "N/A")</f>
        <v>N/A</v>
      </c>
      <c r="Y119" s="189" t="str">
        <f t="shared" si="2"/>
        <v>NO</v>
      </c>
      <c r="Z119" s="187" t="str">
        <f xml:space="preserve"> IF('BASIC INFO'!$B$6+6574.5&gt;C119, "YES", "NO")</f>
        <v>YES</v>
      </c>
    </row>
    <row r="120" spans="1:26" x14ac:dyDescent="0.25">
      <c r="A120" s="162">
        <f xml:space="preserve"> 'CASE DATA'!A121</f>
        <v>0</v>
      </c>
      <c r="B120" s="162">
        <f xml:space="preserve"> 'CASE DATA'!E121</f>
        <v>0</v>
      </c>
      <c r="C120" s="163">
        <f xml:space="preserve"> 'CASE DATA'!C121</f>
        <v>0</v>
      </c>
      <c r="D120" s="11" t="str">
        <f xml:space="preserve"> IF(OR('CASE DATA'!F121="JUV", 'CASE DATA'!F121="JWV"), "YES", "NO")</f>
        <v>NO</v>
      </c>
      <c r="E120" s="11"/>
      <c r="F120" s="11" t="str">
        <f>IF(D120="YES",IF(COUNTIF('CASE DATA'!$C$4:$C$200, "")-COUNTIF('CASE DATA'!$A$4:$A$200, "")&gt;0, "YES","NO"),"N/A")</f>
        <v>N/A</v>
      </c>
      <c r="G120" s="164" t="str">
        <f xml:space="preserve"> _xlfn.IFS(D120="NO", "N/A", AND('BASIC INFO'!$B$3&gt;'BASIC INFO'!$B$6+6574.5, C120+730.5&lt;'BASIC INFO'!$B$3), "YES", 'BASIC INFO'!$B$3&lt;('BASIC INFO'!$B$6+6574.5), "NOT YET 18", C120+730.5&gt;'BASIC INFO'!$B$3, "NOT YET 2 YEARS")</f>
        <v>N/A</v>
      </c>
      <c r="H120" s="186" t="str">
        <f xml:space="preserve"> IF(LEFT('CASE DATA'!E121,4)&lt;&gt;"321.",IF(OR('CASE DATA'!F121="DISM", 'CASE DATA'!F121="ACQ", 'CASE DATA'!F121="NOTF", 'CASE DATA'!F121="WTHD", 'CASE DATA'!F121="TNSF"), "YES", "NO"), "TRAFFIC")</f>
        <v>NO</v>
      </c>
      <c r="I120" s="185" t="str">
        <f xml:space="preserve"> IF(H120="YES",'CASE DATA'!K121,"N/A")</f>
        <v>N/A</v>
      </c>
      <c r="J120" s="185" t="str">
        <f>IF(H120="YES",'CASE DATA'!I121+'CASE DATA'!J121+'CASE DATA'!L121+'CASE DATA'!M121+'CASE DATA'!N121+'CASE DATA'!O121+'CASE DATA'!P121+'CASE DATA'!Q121+'CASE DATA'!R121,"N/A")</f>
        <v>N/A</v>
      </c>
      <c r="K120" s="162" t="str">
        <f xml:space="preserve"> IF(H120="YES",IF(C120+180&lt;'BASIC INFO'!$B$3, "YES", "NO"),"N/A")</f>
        <v>N/A</v>
      </c>
      <c r="L120" s="185" t="str">
        <f>IF(OR('CASE DATA'!F121="GTR", 'CASE DATA'!F121="GPL"),IF(OR('CASE DATA'!E121="81.6(2)", 'CASE DATA'!E121="99F.15(6)(b)(1)", 'CASE DATA'!E121= "124.401(1)(a)", 'CASE DATA'!E121= "124.401(1)(b)", 'CASE DATA'!E121= "124.401(1)(c)", 'CASE DATA'!E121= "124.401(1)(d)", 'CASE DATA'!E121="124.401(4)", 'CASE DATA'!E121="124.401(1)(b)", 'CASE DATA'!E121="124.401(1)(c)", 'CASE DATA'!E121="124.401D(2)(b)", 'CASE DATA'!E121="124.401D(2)(c)", 'CASE DATA'!E121="124.406(1)(a)", 'CASE DATA'!E121="124.406(1)(b) ", 'CASE DATA'!E121="124.406(2)(a)", 'CASE DATA'!E121="124.406(2)(b) ", 'CASE DATA'!E121="124.406(3)", 'CASE DATA'!E121="124.406A ", 'CASE DATA'!E121="124.407(2)(a)", 'CASE DATA'!E121="124B.9(1)", 'CASE DATA'!E121="124B.9(2)", 'CASE DATA'!E121="321J.2(2)(c)", 'CASE DATA'!E121="453B.12(2)", 'CASE DATA'!E121="453B.12(3)", 'CASE DATA'!E121="453B.12(4)", 'CASE DATA'!E121="462A.14(2)(c)", 'CASE DATA'!E121="462A.14(2)(d)", 'CASE DATA'!E121="462A.14(2)(e)", 'CASE DATA'!E121="705.1(2)", 'CASE DATA'!E121="706.3(1)", 'CASE DATA'!E121="706.3(2)", 'CASE DATA'!E121="706A.2(1)", 'CASE DATA'!E121="706A.2(2)", 'CASE DATA'!E121="706A.2(4)", 'CASE DATA'!E121="706B.2(1)(a)", 'CASE DATA'!E121="706B.2(1)(b)", 'CASE DATA'!E121="706B.2(1)(c)", 'CASE DATA'!E121="706B.2(1)(d)", 'CASE DATA'!E121="707.2", 'CASE DATA'!E121="707.3", 'CASE DATA'!E121="707.3A", 'CASE DATA'!E121="707.4", 'CASE DATA'!E121="707.5(1)(a)", 'CASE DATA'!E121="707.6A(1)", 'CASE DATA'!E121="707.6A(2)", 'CASE DATA'!E121="707.6A(3)", 'CASE DATA'!E121="707.6A(4)", 'CASE DATA'!E121="707.7(1)", 'CASE DATA'!E121="707.7(3)", 'CASE DATA'!E121="707.7(2)", 'CASE DATA'!E121="707.8(1)", 'CASE DATA'!E121="707.8(2)", 'CASE DATA'!E121="707.8(3)", 'CASE DATA'!E121="707.8(4)", 'CASE DATA'!E121="707.8(5)", 'CASE DATA'!E121="707.8(6)", 'CASE DATA'!E121="707.9", 'CASE DATA'!E121="707.11", 'CASE DATA'!E121="707A.2", 'CASE DATA'!E121="708.2(4)", 'CASE DATA'!E121="708.2(5)", 'CASE DATA'!E121="708.2A(4)", 'CASE DATA'!E121="708.2A(5)", 'CASE DATA'!E121="708.2C(2)", 'CASE DATA'!E121="708.2C(4)", 'CASE DATA'!E121="708.3(1)", 'CASE DATA'!E121="708.3(2)", 'CASE DATA'!E121="708.3A(1)", 'CASE DATA'!E121="708.3A(2)", 'CASE DATA'!E121="708.3B", 'CASE DATA'!E121="708.4(1)", 'CASE DATA'!E121="708.4(2)", 'CASE DATA'!E121="708.5", 'CASE DATA'!E121="708.8", 'CASE DATA'!E121="708.11(3)(a)", 'CASE DATA'!E121="708.11(3)(b)", 'CASE DATA'!E121="708.12(3)(f)", 'CASE DATA'!E121="708.13(3)", 'CASE DATA'!E121="708.14", 'CASE DATA'!E121="708A.2", 'CASE DATA'!E121="708A.4(1)", 'CASE DATA'!E121="708A.4(2)", 'CASE DATA'!E121="708A.5", 'CASE DATA'!E121="708A.6(1)", 'CASE DATA'!E121="708.A.6(2)", 'CASE DATA'!E121="709.2", 'CASE DATA'!E121="709.3", 'CASE DATA'!E121="709.4", 'CASE DATA'!E121="709.8(1)(a)", 'CASE DATA'!E121="709.8(1)(b)", 'CASE DATA'!E121="709.8(1)(c)", 'CASE DATA'!E121="709.8(1)(d)", 'CASE DATA'!E121="709.8(1)(e)", 'CASE DATA'!E121="709.11(1)", 'CASE DATA'!E121="709.11(2)", 'CASE DATA'!E121="709.15(2)(a)(1)", 'CASE DATA'!E121="709.15(3)(a)(1)", 'CASE DATA'!E121="709.18", 'CASE DATA'!E121="709A.6(2)", 'CASE DATA'!E121="709D.3(1)", 'CASE DATA'!E121="709D.3(2)", 'CASE DATA'!E121="709.D.3(3)", 'CASE DATA'!E121="710.2", 'CASE DATA'!E121="710.3", 'CASE DATA'!E121="710.4", 'CASE DATA'!E121="710.5", 'CASE DATA'!E121="710.10(1)", 'CASE DATA'!E121="710.10(2)", 'CASE DATA'!E121="710.10(3)", 'CASE DATA'!E121="710.11", 'CASE DATA'!E121="710A.2(1)", 'CASE DATA'!E121="710A.2(2)", 'CASE DATA'!E121="710A.2(3)", 'CASE DATA'!E121="710A.2(4)", 'CASE DATA'!E121="710A.2(5)", 'CASE DATA'!E121="710A.2(6)", 'CASE DATA'!E121="710A.2(7)", 'CASE DATA'!E121="710A.2A", 'CASE DATA'!E121="711.2", 'CASE DATA'!E121="711.3", 'CASE DATA'!E121="711.4", 'CASE DATA'!E121="712.2", 'CASE DATA'!E121="712.3", 'CASE DATA'!E121="712.6(1)", 'CASE DATA'!E121="712.7", 'CASE DATA'!E121="712.8", 'CASE DATA'!E121="", 'CASE DATA'!E121="713.3", 'CASE DATA'!E121="713.4", 'CASE DATA'!E121="713.5", 'CASE DATA'!E121="713.6", 'CASE DATA'!E121="713.6A(1)", 'CASE DATA'!E121="714.2(1)", 'CASE DATA'!E121="714.2(2)", 'CASE DATA'!E121="714.3A(2)(b)", 'CASE DATA'!E121="714.9", 'CASE DATA'!E121="714.10", 'CASE DATA'!E121="714.26(2)(a)", 'CASE DATA'!E121="714.26(2)(b)", 'CASE DATA'!E121="715A.2(2)(a)", 'CASE DATA'!E121="715A.6(2)(a)", 'CASE DATA'!E121="715A.6(2)(b)", 'CASE DATA'!E121="715A.8(3)(a)", 'CASE DATA'!E121="715A.8(3)(b)", 'CASE DATA'!E121="715A.10(1)", 'CASE DATA'!E121="715A.10(2)", 'CASE DATA'!E121="716.3", 'CASE DATA'!E121="716.4", 'CASE DATA'!E121="716.8(6)", 'CASE DATA'!E121="716.10(2)(a)", 'CASE DATA'!E121="716.10(2)(b)", 'CASE DATA'!E121="716.10(2)(c)", 'CASE DATA'!E121="716.10(2)(d)", 'CASE DATA'!E121="716.12", 'CASE DATA'!E121="719.1(1)(f)", 'CASE DATA'!E121="719.1(2)(e)", 'CASE DATA'!E121="719.1(2)(f)", 'CASE DATA'!E121="719.1(2)(g)", 'CASE DATA'!E121="719.4(1)", 'CASE DATA'!E121="719.4(4)", 'CASE DATA'!E121="719.5(1)", 'CASE DATA'!E121="719.5(2)", 'CASE DATA'!E121="719.6(1)", 'CASE DATA'!E121="719.6(2)", 'CASE DATA'!E121="719.7(4)(a)", 'CASE DATA'!E121="719.7(4)(b)", 'CASE DATA'!E121="719.7A(3)", 'CASE DATA'!E121="719.9", 'CASE DATA'!E121="719.8", 'CASE DATA'!E121="720.2", 'CASE DATA'!E121="720.3", 'CASE DATA'!E121="721.1", 'CASE DATA'!E121="722.1", 'CASE DATA'!E121="", 'CASE DATA'!E121="722.2", 'CASE DATA'!E121="722.10", 'CASE DATA'!E121="723(5)(3)(c)", 'CASE DATA'!E121="723A.2", 'CASE DATA'!E121="723A.3(1)", 'CASE DATA'!E121="723A.3(2)", 'CASE DATA'!E121="724.1B", 'CASE DATA'!E121="724.1C", 'CASE DATA'!E121="724.3", 'CASE DATA'!E121="724.4B", 'CASE DATA'!E121="724.10", 'CASE DATA'!E121="724.16(2)", 'CASE DATA'!E121="724.16A(1)(a)", 'CASE DATA'!E121="724.16A(1)(b)", 'CASE DATA'!E121="724.17", 'CASE DATA'!E121="724.21", 'CASE DATA'!E121="724.26(1)", 'CASE DATA'!E121="922(g)(8)", 'CASE DATA'!E121="724.29A(2)", 'CASE DATA'!E121="724.29A(3)", 'CASE DATA'!E121="724.30(1)", 'CASE DATA'!E121="724.30(2)", 'CASE DATA'!E121="725.1(2)(b)", 'CASE DATA'!E121="725.2(1)", 'CASE DATA'!E121="725.2(2)", 'CASE DATA'!E121="725.3(2)", 'CASE DATA'!E121="725.3(1)", 'CASE DATA'!E121="725.7(2)(a)(3)", 'CASE DATA'!E121="725.7(2)(a)(4)", 'CASE DATA'!E121="725.7(2)(b)(2)", 'CASE DATA'!E121="725.7(2)(b(3)", 'CASE DATA'!E121="726.7(2)(c)(1)", 'CASE DATA'!E121="726.7(2)(c)(2)", 'CASE DATA'!E121="725.7(2)(d)", 'CASE DATA'!E121="726.2", 'CASE DATA'!E121="726.3", 'CASE DATA'!E121="726.5", 'CASE DATA'!E121="726.6(4)", 'CASE DATA'!E121="726.6(5)", 'CASE DATA'!E121="726.6(6)", 'CASE DATA'!E121="726.6A", 'CASE DATA'!E121="726.7(2)", 'CASE DATA'!E121="726.8(2)", 'CASE DATA'!E121="728.12(1)", 'CASE DATA'!E121="728.12(2)"),"felony","eligible"),"N/A")</f>
        <v>N/A</v>
      </c>
      <c r="M120" s="185" t="str">
        <f>IF(L120="eligible",IF(OR('CASE DATA'!E121="123.46",'CASE DATA'!E121="123.47",'CASE DATA'!E121="235B.20",'CASE DATA'!E121="321.218",'CASE DATA'!E121="321A.32",'CASE DATA'!E121="321J.21",'CASE DATA'!E121="321J.2",'CASE DATA'!E121="707.5",'CASE DATA'!E121="708.2(3)",'CASE DATA'!E121="708.2A",'CASE DATA'!E121="708.7",'CASE DATA'!E121="708.11",'CASE DATA'!E121="708.12",'CASE DATA'!E121="716.8(3)",'CASE DATA'!E121="716.8(4)", LEFT('CASE DATA'!E121,4)="717C", LEFT('CASE DATA'!E121, 3)="719", LEFT('CASE DATA'!E121,3)="720", 'CASE DATA'!E121="721.2", 'CASE DATA'!E121="721.10", 'CASE DATA'!E121="723.1", LEFT('CASE DATA'!E121,3)="724", LEFT('CASE DATA'!E121,3)="726", LEFT('CASE DATA'!E121,3)="728", LEFT('CASE DATA'!E121,4)="901A"),"ineligible misd", "eligible"),"N/A")</f>
        <v>N/A</v>
      </c>
      <c r="N120" s="185" t="str">
        <f>IF(L120="eligible",IF(COUNTIF('CASE DATA'!$C$4:$C$200, "")-COUNTIF('CASE DATA'!$A$4:$A$200, "")&gt;0, "YES","NO"),"N/A")</f>
        <v>N/A</v>
      </c>
      <c r="O120" s="185" t="str">
        <f xml:space="preserve"> IF(M120="eligible",'CASE DATA'!K121,"N/A")</f>
        <v>N/A</v>
      </c>
      <c r="P120" s="185" t="str">
        <f xml:space="preserve"> IF(M120="eligible",'CASE DATA'!I121+'CASE DATA'!J121+'CASE DATA'!L121+'CASE DATA'!M121+'CASE DATA'!N121+'CASE DATA'!O121+'CASE DATA'!M121+'CASE DATA'!Q121+'CASE DATA'!R121,"N/A")</f>
        <v>N/A</v>
      </c>
      <c r="Q120" s="11" t="str">
        <f>IF(M120="eligible",IF(C120+730.5&lt;'BASIC INFO'!$B$3, "YES", "NO"),"N/A")</f>
        <v>N/A</v>
      </c>
      <c r="R120" s="186" t="str">
        <f xml:space="preserve"> IF(OR('CASE DATA'!F121="DEF"), "YES", "NO")</f>
        <v>NO</v>
      </c>
      <c r="S120" s="162" t="str">
        <f>IF(R120="YES",'CASE DATA'!H121,"N/A")</f>
        <v>N/A</v>
      </c>
      <c r="T120" s="185" t="str">
        <f xml:space="preserve"> IF(R120="YES",'CASE DATA'!K121,"N/A")</f>
        <v>N/A</v>
      </c>
      <c r="U120" s="185" t="str">
        <f>IF(R120="YES",'CASE DATA'!I121+'CASE DATA'!J121+'CASE DATA'!L121+'CASE DATA'!M121+'CASE DATA'!N121+'CASE DATA'!O121+'CASE DATA'!P121+'CASE DATA'!Q121+'CASE DATA'!R121,"N/A")</f>
        <v>N/A</v>
      </c>
      <c r="V120" s="189" t="str">
        <f>IF(OR('CASE DATA'!E121="123.46",'CASE DATA'!E121="123.47"),"YES","NO")</f>
        <v>NO</v>
      </c>
      <c r="W120" s="189"/>
      <c r="X120" s="185" t="str">
        <f>IF(V120="YES",IF(C120+730.5&lt;'BASIC INFO'!$B$3, "YES","NO"), "N/A")</f>
        <v>N/A</v>
      </c>
      <c r="Y120" s="189" t="str">
        <f t="shared" si="2"/>
        <v>NO</v>
      </c>
      <c r="Z120" s="187" t="str">
        <f xml:space="preserve"> IF('BASIC INFO'!$B$6+6574.5&gt;C120, "YES", "NO")</f>
        <v>YES</v>
      </c>
    </row>
    <row r="121" spans="1:26" x14ac:dyDescent="0.25">
      <c r="A121" s="162">
        <f xml:space="preserve"> 'CASE DATA'!A122</f>
        <v>0</v>
      </c>
      <c r="B121" s="162">
        <f xml:space="preserve"> 'CASE DATA'!E122</f>
        <v>0</v>
      </c>
      <c r="C121" s="163">
        <f xml:space="preserve"> 'CASE DATA'!C122</f>
        <v>0</v>
      </c>
      <c r="D121" s="11" t="str">
        <f xml:space="preserve"> IF(OR('CASE DATA'!F122="JUV", 'CASE DATA'!F122="JWV"), "YES", "NO")</f>
        <v>NO</v>
      </c>
      <c r="E121" s="11"/>
      <c r="F121" s="11" t="str">
        <f>IF(D121="YES",IF(COUNTIF('CASE DATA'!$C$4:$C$200, "")-COUNTIF('CASE DATA'!$A$4:$A$200, "")&gt;0, "YES","NO"),"N/A")</f>
        <v>N/A</v>
      </c>
      <c r="G121" s="164" t="str">
        <f xml:space="preserve"> _xlfn.IFS(D121="NO", "N/A", AND('BASIC INFO'!$B$3&gt;'BASIC INFO'!$B$6+6574.5, C121+730.5&lt;'BASIC INFO'!$B$3), "YES", 'BASIC INFO'!$B$3&lt;('BASIC INFO'!$B$6+6574.5), "NOT YET 18", C121+730.5&gt;'BASIC INFO'!$B$3, "NOT YET 2 YEARS")</f>
        <v>N/A</v>
      </c>
      <c r="H121" s="186" t="str">
        <f xml:space="preserve"> IF(LEFT('CASE DATA'!E122,4)&lt;&gt;"321.",IF(OR('CASE DATA'!F122="DISM", 'CASE DATA'!F122="ACQ", 'CASE DATA'!F122="NOTF", 'CASE DATA'!F122="WTHD", 'CASE DATA'!F122="TNSF"), "YES", "NO"), "TRAFFIC")</f>
        <v>NO</v>
      </c>
      <c r="I121" s="185" t="str">
        <f xml:space="preserve"> IF(H121="YES",'CASE DATA'!K122,"N/A")</f>
        <v>N/A</v>
      </c>
      <c r="J121" s="185" t="str">
        <f>IF(H121="YES",'CASE DATA'!I122+'CASE DATA'!J122+'CASE DATA'!L122+'CASE DATA'!M122+'CASE DATA'!N122+'CASE DATA'!O122+'CASE DATA'!P122+'CASE DATA'!Q122+'CASE DATA'!R122,"N/A")</f>
        <v>N/A</v>
      </c>
      <c r="K121" s="162" t="str">
        <f xml:space="preserve"> IF(H121="YES",IF(C121+180&lt;'BASIC INFO'!$B$3, "YES", "NO"),"N/A")</f>
        <v>N/A</v>
      </c>
      <c r="L121" s="185" t="str">
        <f>IF(OR('CASE DATA'!F122="GTR", 'CASE DATA'!F122="GPL"),IF(OR('CASE DATA'!E122="81.6(2)", 'CASE DATA'!E122="99F.15(6)(b)(1)", 'CASE DATA'!E122= "124.401(1)(a)", 'CASE DATA'!E122= "124.401(1)(b)", 'CASE DATA'!E122= "124.401(1)(c)", 'CASE DATA'!E122= "124.401(1)(d)", 'CASE DATA'!E122="124.401(4)", 'CASE DATA'!E122="124.401(1)(b)", 'CASE DATA'!E122="124.401(1)(c)", 'CASE DATA'!E122="124.401D(2)(b)", 'CASE DATA'!E122="124.401D(2)(c)", 'CASE DATA'!E122="124.406(1)(a)", 'CASE DATA'!E122="124.406(1)(b) ", 'CASE DATA'!E122="124.406(2)(a)", 'CASE DATA'!E122="124.406(2)(b) ", 'CASE DATA'!E122="124.406(3)", 'CASE DATA'!E122="124.406A ", 'CASE DATA'!E122="124.407(2)(a)", 'CASE DATA'!E122="124B.9(1)", 'CASE DATA'!E122="124B.9(2)", 'CASE DATA'!E122="321J.2(2)(c)", 'CASE DATA'!E122="453B.12(2)", 'CASE DATA'!E122="453B.12(3)", 'CASE DATA'!E122="453B.12(4)", 'CASE DATA'!E122="462A.14(2)(c)", 'CASE DATA'!E122="462A.14(2)(d)", 'CASE DATA'!E122="462A.14(2)(e)", 'CASE DATA'!E122="705.1(2)", 'CASE DATA'!E122="706.3(1)", 'CASE DATA'!E122="706.3(2)", 'CASE DATA'!E122="706A.2(1)", 'CASE DATA'!E122="706A.2(2)", 'CASE DATA'!E122="706A.2(4)", 'CASE DATA'!E122="706B.2(1)(a)", 'CASE DATA'!E122="706B.2(1)(b)", 'CASE DATA'!E122="706B.2(1)(c)", 'CASE DATA'!E122="706B.2(1)(d)", 'CASE DATA'!E122="707.2", 'CASE DATA'!E122="707.3", 'CASE DATA'!E122="707.3A", 'CASE DATA'!E122="707.4", 'CASE DATA'!E122="707.5(1)(a)", 'CASE DATA'!E122="707.6A(1)", 'CASE DATA'!E122="707.6A(2)", 'CASE DATA'!E122="707.6A(3)", 'CASE DATA'!E122="707.6A(4)", 'CASE DATA'!E122="707.7(1)", 'CASE DATA'!E122="707.7(3)", 'CASE DATA'!E122="707.7(2)", 'CASE DATA'!E122="707.8(1)", 'CASE DATA'!E122="707.8(2)", 'CASE DATA'!E122="707.8(3)", 'CASE DATA'!E122="707.8(4)", 'CASE DATA'!E122="707.8(5)", 'CASE DATA'!E122="707.8(6)", 'CASE DATA'!E122="707.9", 'CASE DATA'!E122="707.11", 'CASE DATA'!E122="707A.2", 'CASE DATA'!E122="708.2(4)", 'CASE DATA'!E122="708.2(5)", 'CASE DATA'!E122="708.2A(4)", 'CASE DATA'!E122="708.2A(5)", 'CASE DATA'!E122="708.2C(2)", 'CASE DATA'!E122="708.2C(4)", 'CASE DATA'!E122="708.3(1)", 'CASE DATA'!E122="708.3(2)", 'CASE DATA'!E122="708.3A(1)", 'CASE DATA'!E122="708.3A(2)", 'CASE DATA'!E122="708.3B", 'CASE DATA'!E122="708.4(1)", 'CASE DATA'!E122="708.4(2)", 'CASE DATA'!E122="708.5", 'CASE DATA'!E122="708.8", 'CASE DATA'!E122="708.11(3)(a)", 'CASE DATA'!E122="708.11(3)(b)", 'CASE DATA'!E122="708.12(3)(f)", 'CASE DATA'!E122="708.13(3)", 'CASE DATA'!E122="708.14", 'CASE DATA'!E122="708A.2", 'CASE DATA'!E122="708A.4(1)", 'CASE DATA'!E122="708A.4(2)", 'CASE DATA'!E122="708A.5", 'CASE DATA'!E122="708A.6(1)", 'CASE DATA'!E122="708.A.6(2)", 'CASE DATA'!E122="709.2", 'CASE DATA'!E122="709.3", 'CASE DATA'!E122="709.4", 'CASE DATA'!E122="709.8(1)(a)", 'CASE DATA'!E122="709.8(1)(b)", 'CASE DATA'!E122="709.8(1)(c)", 'CASE DATA'!E122="709.8(1)(d)", 'CASE DATA'!E122="709.8(1)(e)", 'CASE DATA'!E122="709.11(1)", 'CASE DATA'!E122="709.11(2)", 'CASE DATA'!E122="709.15(2)(a)(1)", 'CASE DATA'!E122="709.15(3)(a)(1)", 'CASE DATA'!E122="709.18", 'CASE DATA'!E122="709A.6(2)", 'CASE DATA'!E122="709D.3(1)", 'CASE DATA'!E122="709D.3(2)", 'CASE DATA'!E122="709.D.3(3)", 'CASE DATA'!E122="710.2", 'CASE DATA'!E122="710.3", 'CASE DATA'!E122="710.4", 'CASE DATA'!E122="710.5", 'CASE DATA'!E122="710.10(1)", 'CASE DATA'!E122="710.10(2)", 'CASE DATA'!E122="710.10(3)", 'CASE DATA'!E122="710.11", 'CASE DATA'!E122="710A.2(1)", 'CASE DATA'!E122="710A.2(2)", 'CASE DATA'!E122="710A.2(3)", 'CASE DATA'!E122="710A.2(4)", 'CASE DATA'!E122="710A.2(5)", 'CASE DATA'!E122="710A.2(6)", 'CASE DATA'!E122="710A.2(7)", 'CASE DATA'!E122="710A.2A", 'CASE DATA'!E122="711.2", 'CASE DATA'!E122="711.3", 'CASE DATA'!E122="711.4", 'CASE DATA'!E122="712.2", 'CASE DATA'!E122="712.3", 'CASE DATA'!E122="712.6(1)", 'CASE DATA'!E122="712.7", 'CASE DATA'!E122="712.8", 'CASE DATA'!E122="", 'CASE DATA'!E122="713.3", 'CASE DATA'!E122="713.4", 'CASE DATA'!E122="713.5", 'CASE DATA'!E122="713.6", 'CASE DATA'!E122="713.6A(1)", 'CASE DATA'!E122="714.2(1)", 'CASE DATA'!E122="714.2(2)", 'CASE DATA'!E122="714.3A(2)(b)", 'CASE DATA'!E122="714.9", 'CASE DATA'!E122="714.10", 'CASE DATA'!E122="714.26(2)(a)", 'CASE DATA'!E122="714.26(2)(b)", 'CASE DATA'!E122="715A.2(2)(a)", 'CASE DATA'!E122="715A.6(2)(a)", 'CASE DATA'!E122="715A.6(2)(b)", 'CASE DATA'!E122="715A.8(3)(a)", 'CASE DATA'!E122="715A.8(3)(b)", 'CASE DATA'!E122="715A.10(1)", 'CASE DATA'!E122="715A.10(2)", 'CASE DATA'!E122="716.3", 'CASE DATA'!E122="716.4", 'CASE DATA'!E122="716.8(6)", 'CASE DATA'!E122="716.10(2)(a)", 'CASE DATA'!E122="716.10(2)(b)", 'CASE DATA'!E122="716.10(2)(c)", 'CASE DATA'!E122="716.10(2)(d)", 'CASE DATA'!E122="716.12", 'CASE DATA'!E122="719.1(1)(f)", 'CASE DATA'!E122="719.1(2)(e)", 'CASE DATA'!E122="719.1(2)(f)", 'CASE DATA'!E122="719.1(2)(g)", 'CASE DATA'!E122="719.4(1)", 'CASE DATA'!E122="719.4(4)", 'CASE DATA'!E122="719.5(1)", 'CASE DATA'!E122="719.5(2)", 'CASE DATA'!E122="719.6(1)", 'CASE DATA'!E122="719.6(2)", 'CASE DATA'!E122="719.7(4)(a)", 'CASE DATA'!E122="719.7(4)(b)", 'CASE DATA'!E122="719.7A(3)", 'CASE DATA'!E122="719.9", 'CASE DATA'!E122="719.8", 'CASE DATA'!E122="720.2", 'CASE DATA'!E122="720.3", 'CASE DATA'!E122="721.1", 'CASE DATA'!E122="722.1", 'CASE DATA'!E122="", 'CASE DATA'!E122="722.2", 'CASE DATA'!E122="722.10", 'CASE DATA'!E122="723(5)(3)(c)", 'CASE DATA'!E122="723A.2", 'CASE DATA'!E122="723A.3(1)", 'CASE DATA'!E122="723A.3(2)", 'CASE DATA'!E122="724.1B", 'CASE DATA'!E122="724.1C", 'CASE DATA'!E122="724.3", 'CASE DATA'!E122="724.4B", 'CASE DATA'!E122="724.10", 'CASE DATA'!E122="724.16(2)", 'CASE DATA'!E122="724.16A(1)(a)", 'CASE DATA'!E122="724.16A(1)(b)", 'CASE DATA'!E122="724.17", 'CASE DATA'!E122="724.21", 'CASE DATA'!E122="724.26(1)", 'CASE DATA'!E122="922(g)(8)", 'CASE DATA'!E122="724.29A(2)", 'CASE DATA'!E122="724.29A(3)", 'CASE DATA'!E122="724.30(1)", 'CASE DATA'!E122="724.30(2)", 'CASE DATA'!E122="725.1(2)(b)", 'CASE DATA'!E122="725.2(1)", 'CASE DATA'!E122="725.2(2)", 'CASE DATA'!E122="725.3(2)", 'CASE DATA'!E122="725.3(1)", 'CASE DATA'!E122="725.7(2)(a)(3)", 'CASE DATA'!E122="725.7(2)(a)(4)", 'CASE DATA'!E122="725.7(2)(b)(2)", 'CASE DATA'!E122="725.7(2)(b(3)", 'CASE DATA'!E122="726.7(2)(c)(1)", 'CASE DATA'!E122="726.7(2)(c)(2)", 'CASE DATA'!E122="725.7(2)(d)", 'CASE DATA'!E122="726.2", 'CASE DATA'!E122="726.3", 'CASE DATA'!E122="726.5", 'CASE DATA'!E122="726.6(4)", 'CASE DATA'!E122="726.6(5)", 'CASE DATA'!E122="726.6(6)", 'CASE DATA'!E122="726.6A", 'CASE DATA'!E122="726.7(2)", 'CASE DATA'!E122="726.8(2)", 'CASE DATA'!E122="728.12(1)", 'CASE DATA'!E122="728.12(2)"),"felony","eligible"),"N/A")</f>
        <v>N/A</v>
      </c>
      <c r="M121" s="185" t="str">
        <f>IF(L121="eligible",IF(OR('CASE DATA'!E122="123.46",'CASE DATA'!E122="123.47",'CASE DATA'!E122="235B.20",'CASE DATA'!E122="321.218",'CASE DATA'!E122="321A.32",'CASE DATA'!E122="321J.21",'CASE DATA'!E122="321J.2",'CASE DATA'!E122="707.5",'CASE DATA'!E122="708.2(3)",'CASE DATA'!E122="708.2A",'CASE DATA'!E122="708.7",'CASE DATA'!E122="708.11",'CASE DATA'!E122="708.12",'CASE DATA'!E122="716.8(3)",'CASE DATA'!E122="716.8(4)", LEFT('CASE DATA'!E122,4)="717C", LEFT('CASE DATA'!E122, 3)="719", LEFT('CASE DATA'!E122,3)="720", 'CASE DATA'!E122="721.2", 'CASE DATA'!E122="721.10", 'CASE DATA'!E122="723.1", LEFT('CASE DATA'!E122,3)="724", LEFT('CASE DATA'!E122,3)="726", LEFT('CASE DATA'!E122,3)="728", LEFT('CASE DATA'!E122,4)="901A"),"ineligible misd", "eligible"),"N/A")</f>
        <v>N/A</v>
      </c>
      <c r="N121" s="185" t="str">
        <f>IF(L121="eligible",IF(COUNTIF('CASE DATA'!$C$4:$C$200, "")-COUNTIF('CASE DATA'!$A$4:$A$200, "")&gt;0, "YES","NO"),"N/A")</f>
        <v>N/A</v>
      </c>
      <c r="O121" s="185" t="str">
        <f xml:space="preserve"> IF(M121="eligible",'CASE DATA'!K122,"N/A")</f>
        <v>N/A</v>
      </c>
      <c r="P121" s="185" t="str">
        <f xml:space="preserve"> IF(M121="eligible",'CASE DATA'!I122+'CASE DATA'!J122+'CASE DATA'!L122+'CASE DATA'!M122+'CASE DATA'!N122+'CASE DATA'!O122+'CASE DATA'!M122+'CASE DATA'!Q122+'CASE DATA'!R122,"N/A")</f>
        <v>N/A</v>
      </c>
      <c r="Q121" s="11" t="str">
        <f>IF(M121="eligible",IF(C121+730.5&lt;'BASIC INFO'!$B$3, "YES", "NO"),"N/A")</f>
        <v>N/A</v>
      </c>
      <c r="R121" s="186" t="str">
        <f xml:space="preserve"> IF(OR('CASE DATA'!F122="DEF"), "YES", "NO")</f>
        <v>NO</v>
      </c>
      <c r="S121" s="162" t="str">
        <f>IF(R121="YES",'CASE DATA'!H122,"N/A")</f>
        <v>N/A</v>
      </c>
      <c r="T121" s="185" t="str">
        <f xml:space="preserve"> IF(R121="YES",'CASE DATA'!K122,"N/A")</f>
        <v>N/A</v>
      </c>
      <c r="U121" s="185" t="str">
        <f>IF(R121="YES",'CASE DATA'!I122+'CASE DATA'!J122+'CASE DATA'!L122+'CASE DATA'!M122+'CASE DATA'!N122+'CASE DATA'!O122+'CASE DATA'!P122+'CASE DATA'!Q122+'CASE DATA'!R122,"N/A")</f>
        <v>N/A</v>
      </c>
      <c r="V121" s="189" t="str">
        <f>IF(OR('CASE DATA'!E122="123.46",'CASE DATA'!E122="123.47"),"YES","NO")</f>
        <v>NO</v>
      </c>
      <c r="W121" s="189"/>
      <c r="X121" s="185" t="str">
        <f>IF(V121="YES",IF(C121+730.5&lt;'BASIC INFO'!$B$3, "YES","NO"), "N/A")</f>
        <v>N/A</v>
      </c>
      <c r="Y121" s="189" t="str">
        <f t="shared" si="2"/>
        <v>NO</v>
      </c>
      <c r="Z121" s="187" t="str">
        <f xml:space="preserve"> IF('BASIC INFO'!$B$6+6574.5&gt;C121, "YES", "NO")</f>
        <v>YES</v>
      </c>
    </row>
    <row r="122" spans="1:26" x14ac:dyDescent="0.25">
      <c r="A122" s="162">
        <f xml:space="preserve"> 'CASE DATA'!A123</f>
        <v>0</v>
      </c>
      <c r="B122" s="162">
        <f xml:space="preserve"> 'CASE DATA'!E123</f>
        <v>0</v>
      </c>
      <c r="C122" s="163">
        <f xml:space="preserve"> 'CASE DATA'!C123</f>
        <v>0</v>
      </c>
      <c r="D122" s="11" t="str">
        <f xml:space="preserve"> IF(OR('CASE DATA'!F123="JUV", 'CASE DATA'!F123="JWV"), "YES", "NO")</f>
        <v>NO</v>
      </c>
      <c r="E122" s="11"/>
      <c r="F122" s="11" t="str">
        <f>IF(D122="YES",IF(COUNTIF('CASE DATA'!$C$4:$C$200, "")-COUNTIF('CASE DATA'!$A$4:$A$200, "")&gt;0, "YES","NO"),"N/A")</f>
        <v>N/A</v>
      </c>
      <c r="G122" s="164" t="str">
        <f xml:space="preserve"> _xlfn.IFS(D122="NO", "N/A", AND('BASIC INFO'!$B$3&gt;'BASIC INFO'!$B$6+6574.5, C122+730.5&lt;'BASIC INFO'!$B$3), "YES", 'BASIC INFO'!$B$3&lt;('BASIC INFO'!$B$6+6574.5), "NOT YET 18", C122+730.5&gt;'BASIC INFO'!$B$3, "NOT YET 2 YEARS")</f>
        <v>N/A</v>
      </c>
      <c r="H122" s="186" t="str">
        <f xml:space="preserve"> IF(LEFT('CASE DATA'!E123,4)&lt;&gt;"321.",IF(OR('CASE DATA'!F123="DISM", 'CASE DATA'!F123="ACQ", 'CASE DATA'!F123="NOTF", 'CASE DATA'!F123="WTHD", 'CASE DATA'!F123="TNSF"), "YES", "NO"), "TRAFFIC")</f>
        <v>NO</v>
      </c>
      <c r="I122" s="185" t="str">
        <f xml:space="preserve"> IF(H122="YES",'CASE DATA'!K123,"N/A")</f>
        <v>N/A</v>
      </c>
      <c r="J122" s="185" t="str">
        <f>IF(H122="YES",'CASE DATA'!I123+'CASE DATA'!J123+'CASE DATA'!L123+'CASE DATA'!M123+'CASE DATA'!N123+'CASE DATA'!O123+'CASE DATA'!P123+'CASE DATA'!Q123+'CASE DATA'!R123,"N/A")</f>
        <v>N/A</v>
      </c>
      <c r="K122" s="162" t="str">
        <f xml:space="preserve"> IF(H122="YES",IF(C122+180&lt;'BASIC INFO'!$B$3, "YES", "NO"),"N/A")</f>
        <v>N/A</v>
      </c>
      <c r="L122" s="185" t="str">
        <f>IF(OR('CASE DATA'!F123="GTR", 'CASE DATA'!F123="GPL"),IF(OR('CASE DATA'!E123="81.6(2)", 'CASE DATA'!E123="99F.15(6)(b)(1)", 'CASE DATA'!E123= "124.401(1)(a)", 'CASE DATA'!E123= "124.401(1)(b)", 'CASE DATA'!E123= "124.401(1)(c)", 'CASE DATA'!E123= "124.401(1)(d)", 'CASE DATA'!E123="124.401(4)", 'CASE DATA'!E123="124.401(1)(b)", 'CASE DATA'!E123="124.401(1)(c)", 'CASE DATA'!E123="124.401D(2)(b)", 'CASE DATA'!E123="124.401D(2)(c)", 'CASE DATA'!E123="124.406(1)(a)", 'CASE DATA'!E123="124.406(1)(b) ", 'CASE DATA'!E123="124.406(2)(a)", 'CASE DATA'!E123="124.406(2)(b) ", 'CASE DATA'!E123="124.406(3)", 'CASE DATA'!E123="124.406A ", 'CASE DATA'!E123="124.407(2)(a)", 'CASE DATA'!E123="124B.9(1)", 'CASE DATA'!E123="124B.9(2)", 'CASE DATA'!E123="321J.2(2)(c)", 'CASE DATA'!E123="453B.12(2)", 'CASE DATA'!E123="453B.12(3)", 'CASE DATA'!E123="453B.12(4)", 'CASE DATA'!E123="462A.14(2)(c)", 'CASE DATA'!E123="462A.14(2)(d)", 'CASE DATA'!E123="462A.14(2)(e)", 'CASE DATA'!E123="705.1(2)", 'CASE DATA'!E123="706.3(1)", 'CASE DATA'!E123="706.3(2)", 'CASE DATA'!E123="706A.2(1)", 'CASE DATA'!E123="706A.2(2)", 'CASE DATA'!E123="706A.2(4)", 'CASE DATA'!E123="706B.2(1)(a)", 'CASE DATA'!E123="706B.2(1)(b)", 'CASE DATA'!E123="706B.2(1)(c)", 'CASE DATA'!E123="706B.2(1)(d)", 'CASE DATA'!E123="707.2", 'CASE DATA'!E123="707.3", 'CASE DATA'!E123="707.3A", 'CASE DATA'!E123="707.4", 'CASE DATA'!E123="707.5(1)(a)", 'CASE DATA'!E123="707.6A(1)", 'CASE DATA'!E123="707.6A(2)", 'CASE DATA'!E123="707.6A(3)", 'CASE DATA'!E123="707.6A(4)", 'CASE DATA'!E123="707.7(1)", 'CASE DATA'!E123="707.7(3)", 'CASE DATA'!E123="707.7(2)", 'CASE DATA'!E123="707.8(1)", 'CASE DATA'!E123="707.8(2)", 'CASE DATA'!E123="707.8(3)", 'CASE DATA'!E123="707.8(4)", 'CASE DATA'!E123="707.8(5)", 'CASE DATA'!E123="707.8(6)", 'CASE DATA'!E123="707.9", 'CASE DATA'!E123="707.11", 'CASE DATA'!E123="707A.2", 'CASE DATA'!E123="708.2(4)", 'CASE DATA'!E123="708.2(5)", 'CASE DATA'!E123="708.2A(4)", 'CASE DATA'!E123="708.2A(5)", 'CASE DATA'!E123="708.2C(2)", 'CASE DATA'!E123="708.2C(4)", 'CASE DATA'!E123="708.3(1)", 'CASE DATA'!E123="708.3(2)", 'CASE DATA'!E123="708.3A(1)", 'CASE DATA'!E123="708.3A(2)", 'CASE DATA'!E123="708.3B", 'CASE DATA'!E123="708.4(1)", 'CASE DATA'!E123="708.4(2)", 'CASE DATA'!E123="708.5", 'CASE DATA'!E123="708.8", 'CASE DATA'!E123="708.11(3)(a)", 'CASE DATA'!E123="708.11(3)(b)", 'CASE DATA'!E123="708.12(3)(f)", 'CASE DATA'!E123="708.13(3)", 'CASE DATA'!E123="708.14", 'CASE DATA'!E123="708A.2", 'CASE DATA'!E123="708A.4(1)", 'CASE DATA'!E123="708A.4(2)", 'CASE DATA'!E123="708A.5", 'CASE DATA'!E123="708A.6(1)", 'CASE DATA'!E123="708.A.6(2)", 'CASE DATA'!E123="709.2", 'CASE DATA'!E123="709.3", 'CASE DATA'!E123="709.4", 'CASE DATA'!E123="709.8(1)(a)", 'CASE DATA'!E123="709.8(1)(b)", 'CASE DATA'!E123="709.8(1)(c)", 'CASE DATA'!E123="709.8(1)(d)", 'CASE DATA'!E123="709.8(1)(e)", 'CASE DATA'!E123="709.11(1)", 'CASE DATA'!E123="709.11(2)", 'CASE DATA'!E123="709.15(2)(a)(1)", 'CASE DATA'!E123="709.15(3)(a)(1)", 'CASE DATA'!E123="709.18", 'CASE DATA'!E123="709A.6(2)", 'CASE DATA'!E123="709D.3(1)", 'CASE DATA'!E123="709D.3(2)", 'CASE DATA'!E123="709.D.3(3)", 'CASE DATA'!E123="710.2", 'CASE DATA'!E123="710.3", 'CASE DATA'!E123="710.4", 'CASE DATA'!E123="710.5", 'CASE DATA'!E123="710.10(1)", 'CASE DATA'!E123="710.10(2)", 'CASE DATA'!E123="710.10(3)", 'CASE DATA'!E123="710.11", 'CASE DATA'!E123="710A.2(1)", 'CASE DATA'!E123="710A.2(2)", 'CASE DATA'!E123="710A.2(3)", 'CASE DATA'!E123="710A.2(4)", 'CASE DATA'!E123="710A.2(5)", 'CASE DATA'!E123="710A.2(6)", 'CASE DATA'!E123="710A.2(7)", 'CASE DATA'!E123="710A.2A", 'CASE DATA'!E123="711.2", 'CASE DATA'!E123="711.3", 'CASE DATA'!E123="711.4", 'CASE DATA'!E123="712.2", 'CASE DATA'!E123="712.3", 'CASE DATA'!E123="712.6(1)", 'CASE DATA'!E123="712.7", 'CASE DATA'!E123="712.8", 'CASE DATA'!E123="", 'CASE DATA'!E123="713.3", 'CASE DATA'!E123="713.4", 'CASE DATA'!E123="713.5", 'CASE DATA'!E123="713.6", 'CASE DATA'!E123="713.6A(1)", 'CASE DATA'!E123="714.2(1)", 'CASE DATA'!E123="714.2(2)", 'CASE DATA'!E123="714.3A(2)(b)", 'CASE DATA'!E123="714.9", 'CASE DATA'!E123="714.10", 'CASE DATA'!E123="714.26(2)(a)", 'CASE DATA'!E123="714.26(2)(b)", 'CASE DATA'!E123="715A.2(2)(a)", 'CASE DATA'!E123="715A.6(2)(a)", 'CASE DATA'!E123="715A.6(2)(b)", 'CASE DATA'!E123="715A.8(3)(a)", 'CASE DATA'!E123="715A.8(3)(b)", 'CASE DATA'!E123="715A.10(1)", 'CASE DATA'!E123="715A.10(2)", 'CASE DATA'!E123="716.3", 'CASE DATA'!E123="716.4", 'CASE DATA'!E123="716.8(6)", 'CASE DATA'!E123="716.10(2)(a)", 'CASE DATA'!E123="716.10(2)(b)", 'CASE DATA'!E123="716.10(2)(c)", 'CASE DATA'!E123="716.10(2)(d)", 'CASE DATA'!E123="716.12", 'CASE DATA'!E123="719.1(1)(f)", 'CASE DATA'!E123="719.1(2)(e)", 'CASE DATA'!E123="719.1(2)(f)", 'CASE DATA'!E123="719.1(2)(g)", 'CASE DATA'!E123="719.4(1)", 'CASE DATA'!E123="719.4(4)", 'CASE DATA'!E123="719.5(1)", 'CASE DATA'!E123="719.5(2)", 'CASE DATA'!E123="719.6(1)", 'CASE DATA'!E123="719.6(2)", 'CASE DATA'!E123="719.7(4)(a)", 'CASE DATA'!E123="719.7(4)(b)", 'CASE DATA'!E123="719.7A(3)", 'CASE DATA'!E123="719.9", 'CASE DATA'!E123="719.8", 'CASE DATA'!E123="720.2", 'CASE DATA'!E123="720.3", 'CASE DATA'!E123="721.1", 'CASE DATA'!E123="722.1", 'CASE DATA'!E123="", 'CASE DATA'!E123="722.2", 'CASE DATA'!E123="722.10", 'CASE DATA'!E123="723(5)(3)(c)", 'CASE DATA'!E123="723A.2", 'CASE DATA'!E123="723A.3(1)", 'CASE DATA'!E123="723A.3(2)", 'CASE DATA'!E123="724.1B", 'CASE DATA'!E123="724.1C", 'CASE DATA'!E123="724.3", 'CASE DATA'!E123="724.4B", 'CASE DATA'!E123="724.10", 'CASE DATA'!E123="724.16(2)", 'CASE DATA'!E123="724.16A(1)(a)", 'CASE DATA'!E123="724.16A(1)(b)", 'CASE DATA'!E123="724.17", 'CASE DATA'!E123="724.21", 'CASE DATA'!E123="724.26(1)", 'CASE DATA'!E123="922(g)(8)", 'CASE DATA'!E123="724.29A(2)", 'CASE DATA'!E123="724.29A(3)", 'CASE DATA'!E123="724.30(1)", 'CASE DATA'!E123="724.30(2)", 'CASE DATA'!E123="725.1(2)(b)", 'CASE DATA'!E123="725.2(1)", 'CASE DATA'!E123="725.2(2)", 'CASE DATA'!E123="725.3(2)", 'CASE DATA'!E123="725.3(1)", 'CASE DATA'!E123="725.7(2)(a)(3)", 'CASE DATA'!E123="725.7(2)(a)(4)", 'CASE DATA'!E123="725.7(2)(b)(2)", 'CASE DATA'!E123="725.7(2)(b(3)", 'CASE DATA'!E123="726.7(2)(c)(1)", 'CASE DATA'!E123="726.7(2)(c)(2)", 'CASE DATA'!E123="725.7(2)(d)", 'CASE DATA'!E123="726.2", 'CASE DATA'!E123="726.3", 'CASE DATA'!E123="726.5", 'CASE DATA'!E123="726.6(4)", 'CASE DATA'!E123="726.6(5)", 'CASE DATA'!E123="726.6(6)", 'CASE DATA'!E123="726.6A", 'CASE DATA'!E123="726.7(2)", 'CASE DATA'!E123="726.8(2)", 'CASE DATA'!E123="728.12(1)", 'CASE DATA'!E123="728.12(2)"),"felony","eligible"),"N/A")</f>
        <v>N/A</v>
      </c>
      <c r="M122" s="185" t="str">
        <f>IF(L122="eligible",IF(OR('CASE DATA'!E123="123.46",'CASE DATA'!E123="123.47",'CASE DATA'!E123="235B.20",'CASE DATA'!E123="321.218",'CASE DATA'!E123="321A.32",'CASE DATA'!E123="321J.21",'CASE DATA'!E123="321J.2",'CASE DATA'!E123="707.5",'CASE DATA'!E123="708.2(3)",'CASE DATA'!E123="708.2A",'CASE DATA'!E123="708.7",'CASE DATA'!E123="708.11",'CASE DATA'!E123="708.12",'CASE DATA'!E123="716.8(3)",'CASE DATA'!E123="716.8(4)", LEFT('CASE DATA'!E123,4)="717C", LEFT('CASE DATA'!E123, 3)="719", LEFT('CASE DATA'!E123,3)="720", 'CASE DATA'!E123="721.2", 'CASE DATA'!E123="721.10", 'CASE DATA'!E123="723.1", LEFT('CASE DATA'!E123,3)="724", LEFT('CASE DATA'!E123,3)="726", LEFT('CASE DATA'!E123,3)="728", LEFT('CASE DATA'!E123,4)="901A"),"ineligible misd", "eligible"),"N/A")</f>
        <v>N/A</v>
      </c>
      <c r="N122" s="185" t="str">
        <f>IF(L122="eligible",IF(COUNTIF('CASE DATA'!$C$4:$C$200, "")-COUNTIF('CASE DATA'!$A$4:$A$200, "")&gt;0, "YES","NO"),"N/A")</f>
        <v>N/A</v>
      </c>
      <c r="O122" s="185" t="str">
        <f xml:space="preserve"> IF(M122="eligible",'CASE DATA'!K123,"N/A")</f>
        <v>N/A</v>
      </c>
      <c r="P122" s="185" t="str">
        <f xml:space="preserve"> IF(M122="eligible",'CASE DATA'!I123+'CASE DATA'!J123+'CASE DATA'!L123+'CASE DATA'!M123+'CASE DATA'!N123+'CASE DATA'!O123+'CASE DATA'!M123+'CASE DATA'!Q123+'CASE DATA'!R123,"N/A")</f>
        <v>N/A</v>
      </c>
      <c r="Q122" s="11" t="str">
        <f>IF(M122="eligible",IF(C122+730.5&lt;'BASIC INFO'!$B$3, "YES", "NO"),"N/A")</f>
        <v>N/A</v>
      </c>
      <c r="R122" s="186" t="str">
        <f xml:space="preserve"> IF(OR('CASE DATA'!F123="DEF"), "YES", "NO")</f>
        <v>NO</v>
      </c>
      <c r="S122" s="162" t="str">
        <f>IF(R122="YES",'CASE DATA'!H123,"N/A")</f>
        <v>N/A</v>
      </c>
      <c r="T122" s="185" t="str">
        <f xml:space="preserve"> IF(R122="YES",'CASE DATA'!K123,"N/A")</f>
        <v>N/A</v>
      </c>
      <c r="U122" s="185" t="str">
        <f>IF(R122="YES",'CASE DATA'!I123+'CASE DATA'!J123+'CASE DATA'!L123+'CASE DATA'!M123+'CASE DATA'!N123+'CASE DATA'!O123+'CASE DATA'!P123+'CASE DATA'!Q123+'CASE DATA'!R123,"N/A")</f>
        <v>N/A</v>
      </c>
      <c r="V122" s="189" t="str">
        <f>IF(OR('CASE DATA'!E123="123.46",'CASE DATA'!E123="123.47"),"YES","NO")</f>
        <v>NO</v>
      </c>
      <c r="W122" s="189"/>
      <c r="X122" s="185" t="str">
        <f>IF(V122="YES",IF(C122+730.5&lt;'BASIC INFO'!$B$3, "YES","NO"), "N/A")</f>
        <v>N/A</v>
      </c>
      <c r="Y122" s="189" t="str">
        <f t="shared" si="2"/>
        <v>NO</v>
      </c>
      <c r="Z122" s="187" t="str">
        <f xml:space="preserve"> IF('BASIC INFO'!$B$6+6574.5&gt;C122, "YES", "NO")</f>
        <v>YES</v>
      </c>
    </row>
    <row r="123" spans="1:26" x14ac:dyDescent="0.25">
      <c r="A123" s="162">
        <f xml:space="preserve"> 'CASE DATA'!A124</f>
        <v>0</v>
      </c>
      <c r="B123" s="162">
        <f xml:space="preserve"> 'CASE DATA'!E124</f>
        <v>0</v>
      </c>
      <c r="C123" s="163">
        <f xml:space="preserve"> 'CASE DATA'!C124</f>
        <v>0</v>
      </c>
      <c r="D123" s="11" t="str">
        <f xml:space="preserve"> IF(OR('CASE DATA'!F124="JUV", 'CASE DATA'!F124="JWV"), "YES", "NO")</f>
        <v>NO</v>
      </c>
      <c r="E123" s="11"/>
      <c r="F123" s="11" t="str">
        <f>IF(D123="YES",IF(COUNTIF('CASE DATA'!$C$4:$C$200, "")-COUNTIF('CASE DATA'!$A$4:$A$200, "")&gt;0, "YES","NO"),"N/A")</f>
        <v>N/A</v>
      </c>
      <c r="G123" s="164" t="str">
        <f xml:space="preserve"> _xlfn.IFS(D123="NO", "N/A", AND('BASIC INFO'!$B$3&gt;'BASIC INFO'!$B$6+6574.5, C123+730.5&lt;'BASIC INFO'!$B$3), "YES", 'BASIC INFO'!$B$3&lt;('BASIC INFO'!$B$6+6574.5), "NOT YET 18", C123+730.5&gt;'BASIC INFO'!$B$3, "NOT YET 2 YEARS")</f>
        <v>N/A</v>
      </c>
      <c r="H123" s="186" t="str">
        <f xml:space="preserve"> IF(LEFT('CASE DATA'!E124,4)&lt;&gt;"321.",IF(OR('CASE DATA'!F124="DISM", 'CASE DATA'!F124="ACQ", 'CASE DATA'!F124="NOTF", 'CASE DATA'!F124="WTHD", 'CASE DATA'!F124="TNSF"), "YES", "NO"), "TRAFFIC")</f>
        <v>NO</v>
      </c>
      <c r="I123" s="185" t="str">
        <f xml:space="preserve"> IF(H123="YES",'CASE DATA'!K124,"N/A")</f>
        <v>N/A</v>
      </c>
      <c r="J123" s="185" t="str">
        <f>IF(H123="YES",'CASE DATA'!I124+'CASE DATA'!J124+'CASE DATA'!L124+'CASE DATA'!M124+'CASE DATA'!N124+'CASE DATA'!O124+'CASE DATA'!P124+'CASE DATA'!Q124+'CASE DATA'!R124,"N/A")</f>
        <v>N/A</v>
      </c>
      <c r="K123" s="162" t="str">
        <f xml:space="preserve"> IF(H123="YES",IF(C123+180&lt;'BASIC INFO'!$B$3, "YES", "NO"),"N/A")</f>
        <v>N/A</v>
      </c>
      <c r="L123" s="185" t="str">
        <f>IF(OR('CASE DATA'!F124="GTR", 'CASE DATA'!F124="GPL"),IF(OR('CASE DATA'!E124="81.6(2)", 'CASE DATA'!E124="99F.15(6)(b)(1)", 'CASE DATA'!E124= "124.401(1)(a)", 'CASE DATA'!E124= "124.401(1)(b)", 'CASE DATA'!E124= "124.401(1)(c)", 'CASE DATA'!E124= "124.401(1)(d)", 'CASE DATA'!E124="124.401(4)", 'CASE DATA'!E124="124.401(1)(b)", 'CASE DATA'!E124="124.401(1)(c)", 'CASE DATA'!E124="124.401D(2)(b)", 'CASE DATA'!E124="124.401D(2)(c)", 'CASE DATA'!E124="124.406(1)(a)", 'CASE DATA'!E124="124.406(1)(b) ", 'CASE DATA'!E124="124.406(2)(a)", 'CASE DATA'!E124="124.406(2)(b) ", 'CASE DATA'!E124="124.406(3)", 'CASE DATA'!E124="124.406A ", 'CASE DATA'!E124="124.407(2)(a)", 'CASE DATA'!E124="124B.9(1)", 'CASE DATA'!E124="124B.9(2)", 'CASE DATA'!E124="321J.2(2)(c)", 'CASE DATA'!E124="453B.12(2)", 'CASE DATA'!E124="453B.12(3)", 'CASE DATA'!E124="453B.12(4)", 'CASE DATA'!E124="462A.14(2)(c)", 'CASE DATA'!E124="462A.14(2)(d)", 'CASE DATA'!E124="462A.14(2)(e)", 'CASE DATA'!E124="705.1(2)", 'CASE DATA'!E124="706.3(1)", 'CASE DATA'!E124="706.3(2)", 'CASE DATA'!E124="706A.2(1)", 'CASE DATA'!E124="706A.2(2)", 'CASE DATA'!E124="706A.2(4)", 'CASE DATA'!E124="706B.2(1)(a)", 'CASE DATA'!E124="706B.2(1)(b)", 'CASE DATA'!E124="706B.2(1)(c)", 'CASE DATA'!E124="706B.2(1)(d)", 'CASE DATA'!E124="707.2", 'CASE DATA'!E124="707.3", 'CASE DATA'!E124="707.3A", 'CASE DATA'!E124="707.4", 'CASE DATA'!E124="707.5(1)(a)", 'CASE DATA'!E124="707.6A(1)", 'CASE DATA'!E124="707.6A(2)", 'CASE DATA'!E124="707.6A(3)", 'CASE DATA'!E124="707.6A(4)", 'CASE DATA'!E124="707.7(1)", 'CASE DATA'!E124="707.7(3)", 'CASE DATA'!E124="707.7(2)", 'CASE DATA'!E124="707.8(1)", 'CASE DATA'!E124="707.8(2)", 'CASE DATA'!E124="707.8(3)", 'CASE DATA'!E124="707.8(4)", 'CASE DATA'!E124="707.8(5)", 'CASE DATA'!E124="707.8(6)", 'CASE DATA'!E124="707.9", 'CASE DATA'!E124="707.11", 'CASE DATA'!E124="707A.2", 'CASE DATA'!E124="708.2(4)", 'CASE DATA'!E124="708.2(5)", 'CASE DATA'!E124="708.2A(4)", 'CASE DATA'!E124="708.2A(5)", 'CASE DATA'!E124="708.2C(2)", 'CASE DATA'!E124="708.2C(4)", 'CASE DATA'!E124="708.3(1)", 'CASE DATA'!E124="708.3(2)", 'CASE DATA'!E124="708.3A(1)", 'CASE DATA'!E124="708.3A(2)", 'CASE DATA'!E124="708.3B", 'CASE DATA'!E124="708.4(1)", 'CASE DATA'!E124="708.4(2)", 'CASE DATA'!E124="708.5", 'CASE DATA'!E124="708.8", 'CASE DATA'!E124="708.11(3)(a)", 'CASE DATA'!E124="708.11(3)(b)", 'CASE DATA'!E124="708.12(3)(f)", 'CASE DATA'!E124="708.13(3)", 'CASE DATA'!E124="708.14", 'CASE DATA'!E124="708A.2", 'CASE DATA'!E124="708A.4(1)", 'CASE DATA'!E124="708A.4(2)", 'CASE DATA'!E124="708A.5", 'CASE DATA'!E124="708A.6(1)", 'CASE DATA'!E124="708.A.6(2)", 'CASE DATA'!E124="709.2", 'CASE DATA'!E124="709.3", 'CASE DATA'!E124="709.4", 'CASE DATA'!E124="709.8(1)(a)", 'CASE DATA'!E124="709.8(1)(b)", 'CASE DATA'!E124="709.8(1)(c)", 'CASE DATA'!E124="709.8(1)(d)", 'CASE DATA'!E124="709.8(1)(e)", 'CASE DATA'!E124="709.11(1)", 'CASE DATA'!E124="709.11(2)", 'CASE DATA'!E124="709.15(2)(a)(1)", 'CASE DATA'!E124="709.15(3)(a)(1)", 'CASE DATA'!E124="709.18", 'CASE DATA'!E124="709A.6(2)", 'CASE DATA'!E124="709D.3(1)", 'CASE DATA'!E124="709D.3(2)", 'CASE DATA'!E124="709.D.3(3)", 'CASE DATA'!E124="710.2", 'CASE DATA'!E124="710.3", 'CASE DATA'!E124="710.4", 'CASE DATA'!E124="710.5", 'CASE DATA'!E124="710.10(1)", 'CASE DATA'!E124="710.10(2)", 'CASE DATA'!E124="710.10(3)", 'CASE DATA'!E124="710.11", 'CASE DATA'!E124="710A.2(1)", 'CASE DATA'!E124="710A.2(2)", 'CASE DATA'!E124="710A.2(3)", 'CASE DATA'!E124="710A.2(4)", 'CASE DATA'!E124="710A.2(5)", 'CASE DATA'!E124="710A.2(6)", 'CASE DATA'!E124="710A.2(7)", 'CASE DATA'!E124="710A.2A", 'CASE DATA'!E124="711.2", 'CASE DATA'!E124="711.3", 'CASE DATA'!E124="711.4", 'CASE DATA'!E124="712.2", 'CASE DATA'!E124="712.3", 'CASE DATA'!E124="712.6(1)", 'CASE DATA'!E124="712.7", 'CASE DATA'!E124="712.8", 'CASE DATA'!E124="", 'CASE DATA'!E124="713.3", 'CASE DATA'!E124="713.4", 'CASE DATA'!E124="713.5", 'CASE DATA'!E124="713.6", 'CASE DATA'!E124="713.6A(1)", 'CASE DATA'!E124="714.2(1)", 'CASE DATA'!E124="714.2(2)", 'CASE DATA'!E124="714.3A(2)(b)", 'CASE DATA'!E124="714.9", 'CASE DATA'!E124="714.10", 'CASE DATA'!E124="714.26(2)(a)", 'CASE DATA'!E124="714.26(2)(b)", 'CASE DATA'!E124="715A.2(2)(a)", 'CASE DATA'!E124="715A.6(2)(a)", 'CASE DATA'!E124="715A.6(2)(b)", 'CASE DATA'!E124="715A.8(3)(a)", 'CASE DATA'!E124="715A.8(3)(b)", 'CASE DATA'!E124="715A.10(1)", 'CASE DATA'!E124="715A.10(2)", 'CASE DATA'!E124="716.3", 'CASE DATA'!E124="716.4", 'CASE DATA'!E124="716.8(6)", 'CASE DATA'!E124="716.10(2)(a)", 'CASE DATA'!E124="716.10(2)(b)", 'CASE DATA'!E124="716.10(2)(c)", 'CASE DATA'!E124="716.10(2)(d)", 'CASE DATA'!E124="716.12", 'CASE DATA'!E124="719.1(1)(f)", 'CASE DATA'!E124="719.1(2)(e)", 'CASE DATA'!E124="719.1(2)(f)", 'CASE DATA'!E124="719.1(2)(g)", 'CASE DATA'!E124="719.4(1)", 'CASE DATA'!E124="719.4(4)", 'CASE DATA'!E124="719.5(1)", 'CASE DATA'!E124="719.5(2)", 'CASE DATA'!E124="719.6(1)", 'CASE DATA'!E124="719.6(2)", 'CASE DATA'!E124="719.7(4)(a)", 'CASE DATA'!E124="719.7(4)(b)", 'CASE DATA'!E124="719.7A(3)", 'CASE DATA'!E124="719.9", 'CASE DATA'!E124="719.8", 'CASE DATA'!E124="720.2", 'CASE DATA'!E124="720.3", 'CASE DATA'!E124="721.1", 'CASE DATA'!E124="722.1", 'CASE DATA'!E124="", 'CASE DATA'!E124="722.2", 'CASE DATA'!E124="722.10", 'CASE DATA'!E124="723(5)(3)(c)", 'CASE DATA'!E124="723A.2", 'CASE DATA'!E124="723A.3(1)", 'CASE DATA'!E124="723A.3(2)", 'CASE DATA'!E124="724.1B", 'CASE DATA'!E124="724.1C", 'CASE DATA'!E124="724.3", 'CASE DATA'!E124="724.4B", 'CASE DATA'!E124="724.10", 'CASE DATA'!E124="724.16(2)", 'CASE DATA'!E124="724.16A(1)(a)", 'CASE DATA'!E124="724.16A(1)(b)", 'CASE DATA'!E124="724.17", 'CASE DATA'!E124="724.21", 'CASE DATA'!E124="724.26(1)", 'CASE DATA'!E124="922(g)(8)", 'CASE DATA'!E124="724.29A(2)", 'CASE DATA'!E124="724.29A(3)", 'CASE DATA'!E124="724.30(1)", 'CASE DATA'!E124="724.30(2)", 'CASE DATA'!E124="725.1(2)(b)", 'CASE DATA'!E124="725.2(1)", 'CASE DATA'!E124="725.2(2)", 'CASE DATA'!E124="725.3(2)", 'CASE DATA'!E124="725.3(1)", 'CASE DATA'!E124="725.7(2)(a)(3)", 'CASE DATA'!E124="725.7(2)(a)(4)", 'CASE DATA'!E124="725.7(2)(b)(2)", 'CASE DATA'!E124="725.7(2)(b(3)", 'CASE DATA'!E124="726.7(2)(c)(1)", 'CASE DATA'!E124="726.7(2)(c)(2)", 'CASE DATA'!E124="725.7(2)(d)", 'CASE DATA'!E124="726.2", 'CASE DATA'!E124="726.3", 'CASE DATA'!E124="726.5", 'CASE DATA'!E124="726.6(4)", 'CASE DATA'!E124="726.6(5)", 'CASE DATA'!E124="726.6(6)", 'CASE DATA'!E124="726.6A", 'CASE DATA'!E124="726.7(2)", 'CASE DATA'!E124="726.8(2)", 'CASE DATA'!E124="728.12(1)", 'CASE DATA'!E124="728.12(2)"),"felony","eligible"),"N/A")</f>
        <v>N/A</v>
      </c>
      <c r="M123" s="185" t="str">
        <f>IF(L123="eligible",IF(OR('CASE DATA'!E124="123.46",'CASE DATA'!E124="123.47",'CASE DATA'!E124="235B.20",'CASE DATA'!E124="321.218",'CASE DATA'!E124="321A.32",'CASE DATA'!E124="321J.21",'CASE DATA'!E124="321J.2",'CASE DATA'!E124="707.5",'CASE DATA'!E124="708.2(3)",'CASE DATA'!E124="708.2A",'CASE DATA'!E124="708.7",'CASE DATA'!E124="708.11",'CASE DATA'!E124="708.12",'CASE DATA'!E124="716.8(3)",'CASE DATA'!E124="716.8(4)", LEFT('CASE DATA'!E124,4)="717C", LEFT('CASE DATA'!E124, 3)="719", LEFT('CASE DATA'!E124,3)="720", 'CASE DATA'!E124="721.2", 'CASE DATA'!E124="721.10", 'CASE DATA'!E124="723.1", LEFT('CASE DATA'!E124,3)="724", LEFT('CASE DATA'!E124,3)="726", LEFT('CASE DATA'!E124,3)="728", LEFT('CASE DATA'!E124,4)="901A"),"ineligible misd", "eligible"),"N/A")</f>
        <v>N/A</v>
      </c>
      <c r="N123" s="185" t="str">
        <f>IF(L123="eligible",IF(COUNTIF('CASE DATA'!$C$4:$C$200, "")-COUNTIF('CASE DATA'!$A$4:$A$200, "")&gt;0, "YES","NO"),"N/A")</f>
        <v>N/A</v>
      </c>
      <c r="O123" s="185" t="str">
        <f xml:space="preserve"> IF(M123="eligible",'CASE DATA'!K124,"N/A")</f>
        <v>N/A</v>
      </c>
      <c r="P123" s="185" t="str">
        <f xml:space="preserve"> IF(M123="eligible",'CASE DATA'!I124+'CASE DATA'!J124+'CASE DATA'!L124+'CASE DATA'!M124+'CASE DATA'!N124+'CASE DATA'!O124+'CASE DATA'!M124+'CASE DATA'!Q124+'CASE DATA'!R124,"N/A")</f>
        <v>N/A</v>
      </c>
      <c r="Q123" s="11" t="str">
        <f>IF(M123="eligible",IF(C123+730.5&lt;'BASIC INFO'!$B$3, "YES", "NO"),"N/A")</f>
        <v>N/A</v>
      </c>
      <c r="R123" s="186" t="str">
        <f xml:space="preserve"> IF(OR('CASE DATA'!F124="DEF"), "YES", "NO")</f>
        <v>NO</v>
      </c>
      <c r="S123" s="162" t="str">
        <f>IF(R123="YES",'CASE DATA'!H124,"N/A")</f>
        <v>N/A</v>
      </c>
      <c r="T123" s="185" t="str">
        <f xml:space="preserve"> IF(R123="YES",'CASE DATA'!K124,"N/A")</f>
        <v>N/A</v>
      </c>
      <c r="U123" s="185" t="str">
        <f>IF(R123="YES",'CASE DATA'!I124+'CASE DATA'!J124+'CASE DATA'!L124+'CASE DATA'!M124+'CASE DATA'!N124+'CASE DATA'!O124+'CASE DATA'!P124+'CASE DATA'!Q124+'CASE DATA'!R124,"N/A")</f>
        <v>N/A</v>
      </c>
      <c r="V123" s="189" t="str">
        <f>IF(OR('CASE DATA'!E124="123.46",'CASE DATA'!E124="123.47"),"YES","NO")</f>
        <v>NO</v>
      </c>
      <c r="W123" s="189"/>
      <c r="X123" s="185" t="str">
        <f>IF(V123="YES",IF(C123+730.5&lt;'BASIC INFO'!$B$3, "YES","NO"), "N/A")</f>
        <v>N/A</v>
      </c>
      <c r="Y123" s="189" t="str">
        <f t="shared" si="2"/>
        <v>NO</v>
      </c>
      <c r="Z123" s="187" t="str">
        <f xml:space="preserve"> IF('BASIC INFO'!$B$6+6574.5&gt;C123, "YES", "NO")</f>
        <v>YES</v>
      </c>
    </row>
    <row r="124" spans="1:26" x14ac:dyDescent="0.25">
      <c r="A124" s="162">
        <f xml:space="preserve"> 'CASE DATA'!A125</f>
        <v>0</v>
      </c>
      <c r="B124" s="162">
        <f xml:space="preserve"> 'CASE DATA'!E125</f>
        <v>0</v>
      </c>
      <c r="C124" s="163">
        <f xml:space="preserve"> 'CASE DATA'!C125</f>
        <v>0</v>
      </c>
      <c r="D124" s="11" t="str">
        <f xml:space="preserve"> IF(OR('CASE DATA'!F125="JUV", 'CASE DATA'!F125="JWV"), "YES", "NO")</f>
        <v>NO</v>
      </c>
      <c r="E124" s="11"/>
      <c r="F124" s="11" t="str">
        <f>IF(D124="YES",IF(COUNTIF('CASE DATA'!$C$4:$C$200, "")-COUNTIF('CASE DATA'!$A$4:$A$200, "")&gt;0, "YES","NO"),"N/A")</f>
        <v>N/A</v>
      </c>
      <c r="G124" s="164" t="str">
        <f xml:space="preserve"> _xlfn.IFS(D124="NO", "N/A", AND('BASIC INFO'!$B$3&gt;'BASIC INFO'!$B$6+6574.5, C124+730.5&lt;'BASIC INFO'!$B$3), "YES", 'BASIC INFO'!$B$3&lt;('BASIC INFO'!$B$6+6574.5), "NOT YET 18", C124+730.5&gt;'BASIC INFO'!$B$3, "NOT YET 2 YEARS")</f>
        <v>N/A</v>
      </c>
      <c r="H124" s="186" t="str">
        <f xml:space="preserve"> IF(LEFT('CASE DATA'!E125,4)&lt;&gt;"321.",IF(OR('CASE DATA'!F125="DISM", 'CASE DATA'!F125="ACQ", 'CASE DATA'!F125="NOTF", 'CASE DATA'!F125="WTHD", 'CASE DATA'!F125="TNSF"), "YES", "NO"), "TRAFFIC")</f>
        <v>NO</v>
      </c>
      <c r="I124" s="185" t="str">
        <f xml:space="preserve"> IF(H124="YES",'CASE DATA'!K125,"N/A")</f>
        <v>N/A</v>
      </c>
      <c r="J124" s="185" t="str">
        <f>IF(H124="YES",'CASE DATA'!I125+'CASE DATA'!J125+'CASE DATA'!L125+'CASE DATA'!M125+'CASE DATA'!N125+'CASE DATA'!O125+'CASE DATA'!P125+'CASE DATA'!Q125+'CASE DATA'!R125,"N/A")</f>
        <v>N/A</v>
      </c>
      <c r="K124" s="162" t="str">
        <f xml:space="preserve"> IF(H124="YES",IF(C124+180&lt;'BASIC INFO'!$B$3, "YES", "NO"),"N/A")</f>
        <v>N/A</v>
      </c>
      <c r="L124" s="185" t="str">
        <f>IF(OR('CASE DATA'!F125="GTR", 'CASE DATA'!F125="GPL"),IF(OR('CASE DATA'!E125="81.6(2)", 'CASE DATA'!E125="99F.15(6)(b)(1)", 'CASE DATA'!E125= "124.401(1)(a)", 'CASE DATA'!E125= "124.401(1)(b)", 'CASE DATA'!E125= "124.401(1)(c)", 'CASE DATA'!E125= "124.401(1)(d)", 'CASE DATA'!E125="124.401(4)", 'CASE DATA'!E125="124.401(1)(b)", 'CASE DATA'!E125="124.401(1)(c)", 'CASE DATA'!E125="124.401D(2)(b)", 'CASE DATA'!E125="124.401D(2)(c)", 'CASE DATA'!E125="124.406(1)(a)", 'CASE DATA'!E125="124.406(1)(b) ", 'CASE DATA'!E125="124.406(2)(a)", 'CASE DATA'!E125="124.406(2)(b) ", 'CASE DATA'!E125="124.406(3)", 'CASE DATA'!E125="124.406A ", 'CASE DATA'!E125="124.407(2)(a)", 'CASE DATA'!E125="124B.9(1)", 'CASE DATA'!E125="124B.9(2)", 'CASE DATA'!E125="321J.2(2)(c)", 'CASE DATA'!E125="453B.12(2)", 'CASE DATA'!E125="453B.12(3)", 'CASE DATA'!E125="453B.12(4)", 'CASE DATA'!E125="462A.14(2)(c)", 'CASE DATA'!E125="462A.14(2)(d)", 'CASE DATA'!E125="462A.14(2)(e)", 'CASE DATA'!E125="705.1(2)", 'CASE DATA'!E125="706.3(1)", 'CASE DATA'!E125="706.3(2)", 'CASE DATA'!E125="706A.2(1)", 'CASE DATA'!E125="706A.2(2)", 'CASE DATA'!E125="706A.2(4)", 'CASE DATA'!E125="706B.2(1)(a)", 'CASE DATA'!E125="706B.2(1)(b)", 'CASE DATA'!E125="706B.2(1)(c)", 'CASE DATA'!E125="706B.2(1)(d)", 'CASE DATA'!E125="707.2", 'CASE DATA'!E125="707.3", 'CASE DATA'!E125="707.3A", 'CASE DATA'!E125="707.4", 'CASE DATA'!E125="707.5(1)(a)", 'CASE DATA'!E125="707.6A(1)", 'CASE DATA'!E125="707.6A(2)", 'CASE DATA'!E125="707.6A(3)", 'CASE DATA'!E125="707.6A(4)", 'CASE DATA'!E125="707.7(1)", 'CASE DATA'!E125="707.7(3)", 'CASE DATA'!E125="707.7(2)", 'CASE DATA'!E125="707.8(1)", 'CASE DATA'!E125="707.8(2)", 'CASE DATA'!E125="707.8(3)", 'CASE DATA'!E125="707.8(4)", 'CASE DATA'!E125="707.8(5)", 'CASE DATA'!E125="707.8(6)", 'CASE DATA'!E125="707.9", 'CASE DATA'!E125="707.11", 'CASE DATA'!E125="707A.2", 'CASE DATA'!E125="708.2(4)", 'CASE DATA'!E125="708.2(5)", 'CASE DATA'!E125="708.2A(4)", 'CASE DATA'!E125="708.2A(5)", 'CASE DATA'!E125="708.2C(2)", 'CASE DATA'!E125="708.2C(4)", 'CASE DATA'!E125="708.3(1)", 'CASE DATA'!E125="708.3(2)", 'CASE DATA'!E125="708.3A(1)", 'CASE DATA'!E125="708.3A(2)", 'CASE DATA'!E125="708.3B", 'CASE DATA'!E125="708.4(1)", 'CASE DATA'!E125="708.4(2)", 'CASE DATA'!E125="708.5", 'CASE DATA'!E125="708.8", 'CASE DATA'!E125="708.11(3)(a)", 'CASE DATA'!E125="708.11(3)(b)", 'CASE DATA'!E125="708.12(3)(f)", 'CASE DATA'!E125="708.13(3)", 'CASE DATA'!E125="708.14", 'CASE DATA'!E125="708A.2", 'CASE DATA'!E125="708A.4(1)", 'CASE DATA'!E125="708A.4(2)", 'CASE DATA'!E125="708A.5", 'CASE DATA'!E125="708A.6(1)", 'CASE DATA'!E125="708.A.6(2)", 'CASE DATA'!E125="709.2", 'CASE DATA'!E125="709.3", 'CASE DATA'!E125="709.4", 'CASE DATA'!E125="709.8(1)(a)", 'CASE DATA'!E125="709.8(1)(b)", 'CASE DATA'!E125="709.8(1)(c)", 'CASE DATA'!E125="709.8(1)(d)", 'CASE DATA'!E125="709.8(1)(e)", 'CASE DATA'!E125="709.11(1)", 'CASE DATA'!E125="709.11(2)", 'CASE DATA'!E125="709.15(2)(a)(1)", 'CASE DATA'!E125="709.15(3)(a)(1)", 'CASE DATA'!E125="709.18", 'CASE DATA'!E125="709A.6(2)", 'CASE DATA'!E125="709D.3(1)", 'CASE DATA'!E125="709D.3(2)", 'CASE DATA'!E125="709.D.3(3)", 'CASE DATA'!E125="710.2", 'CASE DATA'!E125="710.3", 'CASE DATA'!E125="710.4", 'CASE DATA'!E125="710.5", 'CASE DATA'!E125="710.10(1)", 'CASE DATA'!E125="710.10(2)", 'CASE DATA'!E125="710.10(3)", 'CASE DATA'!E125="710.11", 'CASE DATA'!E125="710A.2(1)", 'CASE DATA'!E125="710A.2(2)", 'CASE DATA'!E125="710A.2(3)", 'CASE DATA'!E125="710A.2(4)", 'CASE DATA'!E125="710A.2(5)", 'CASE DATA'!E125="710A.2(6)", 'CASE DATA'!E125="710A.2(7)", 'CASE DATA'!E125="710A.2A", 'CASE DATA'!E125="711.2", 'CASE DATA'!E125="711.3", 'CASE DATA'!E125="711.4", 'CASE DATA'!E125="712.2", 'CASE DATA'!E125="712.3", 'CASE DATA'!E125="712.6(1)", 'CASE DATA'!E125="712.7", 'CASE DATA'!E125="712.8", 'CASE DATA'!E125="", 'CASE DATA'!E125="713.3", 'CASE DATA'!E125="713.4", 'CASE DATA'!E125="713.5", 'CASE DATA'!E125="713.6", 'CASE DATA'!E125="713.6A(1)", 'CASE DATA'!E125="714.2(1)", 'CASE DATA'!E125="714.2(2)", 'CASE DATA'!E125="714.3A(2)(b)", 'CASE DATA'!E125="714.9", 'CASE DATA'!E125="714.10", 'CASE DATA'!E125="714.26(2)(a)", 'CASE DATA'!E125="714.26(2)(b)", 'CASE DATA'!E125="715A.2(2)(a)", 'CASE DATA'!E125="715A.6(2)(a)", 'CASE DATA'!E125="715A.6(2)(b)", 'CASE DATA'!E125="715A.8(3)(a)", 'CASE DATA'!E125="715A.8(3)(b)", 'CASE DATA'!E125="715A.10(1)", 'CASE DATA'!E125="715A.10(2)", 'CASE DATA'!E125="716.3", 'CASE DATA'!E125="716.4", 'CASE DATA'!E125="716.8(6)", 'CASE DATA'!E125="716.10(2)(a)", 'CASE DATA'!E125="716.10(2)(b)", 'CASE DATA'!E125="716.10(2)(c)", 'CASE DATA'!E125="716.10(2)(d)", 'CASE DATA'!E125="716.12", 'CASE DATA'!E125="719.1(1)(f)", 'CASE DATA'!E125="719.1(2)(e)", 'CASE DATA'!E125="719.1(2)(f)", 'CASE DATA'!E125="719.1(2)(g)", 'CASE DATA'!E125="719.4(1)", 'CASE DATA'!E125="719.4(4)", 'CASE DATA'!E125="719.5(1)", 'CASE DATA'!E125="719.5(2)", 'CASE DATA'!E125="719.6(1)", 'CASE DATA'!E125="719.6(2)", 'CASE DATA'!E125="719.7(4)(a)", 'CASE DATA'!E125="719.7(4)(b)", 'CASE DATA'!E125="719.7A(3)", 'CASE DATA'!E125="719.9", 'CASE DATA'!E125="719.8", 'CASE DATA'!E125="720.2", 'CASE DATA'!E125="720.3", 'CASE DATA'!E125="721.1", 'CASE DATA'!E125="722.1", 'CASE DATA'!E125="", 'CASE DATA'!E125="722.2", 'CASE DATA'!E125="722.10", 'CASE DATA'!E125="723(5)(3)(c)", 'CASE DATA'!E125="723A.2", 'CASE DATA'!E125="723A.3(1)", 'CASE DATA'!E125="723A.3(2)", 'CASE DATA'!E125="724.1B", 'CASE DATA'!E125="724.1C", 'CASE DATA'!E125="724.3", 'CASE DATA'!E125="724.4B", 'CASE DATA'!E125="724.10", 'CASE DATA'!E125="724.16(2)", 'CASE DATA'!E125="724.16A(1)(a)", 'CASE DATA'!E125="724.16A(1)(b)", 'CASE DATA'!E125="724.17", 'CASE DATA'!E125="724.21", 'CASE DATA'!E125="724.26(1)", 'CASE DATA'!E125="922(g)(8)", 'CASE DATA'!E125="724.29A(2)", 'CASE DATA'!E125="724.29A(3)", 'CASE DATA'!E125="724.30(1)", 'CASE DATA'!E125="724.30(2)", 'CASE DATA'!E125="725.1(2)(b)", 'CASE DATA'!E125="725.2(1)", 'CASE DATA'!E125="725.2(2)", 'CASE DATA'!E125="725.3(2)", 'CASE DATA'!E125="725.3(1)", 'CASE DATA'!E125="725.7(2)(a)(3)", 'CASE DATA'!E125="725.7(2)(a)(4)", 'CASE DATA'!E125="725.7(2)(b)(2)", 'CASE DATA'!E125="725.7(2)(b(3)", 'CASE DATA'!E125="726.7(2)(c)(1)", 'CASE DATA'!E125="726.7(2)(c)(2)", 'CASE DATA'!E125="725.7(2)(d)", 'CASE DATA'!E125="726.2", 'CASE DATA'!E125="726.3", 'CASE DATA'!E125="726.5", 'CASE DATA'!E125="726.6(4)", 'CASE DATA'!E125="726.6(5)", 'CASE DATA'!E125="726.6(6)", 'CASE DATA'!E125="726.6A", 'CASE DATA'!E125="726.7(2)", 'CASE DATA'!E125="726.8(2)", 'CASE DATA'!E125="728.12(1)", 'CASE DATA'!E125="728.12(2)"),"felony","eligible"),"N/A")</f>
        <v>N/A</v>
      </c>
      <c r="M124" s="185" t="str">
        <f>IF(L124="eligible",IF(OR('CASE DATA'!E125="123.46",'CASE DATA'!E125="123.47",'CASE DATA'!E125="235B.20",'CASE DATA'!E125="321.218",'CASE DATA'!E125="321A.32",'CASE DATA'!E125="321J.21",'CASE DATA'!E125="321J.2",'CASE DATA'!E125="707.5",'CASE DATA'!E125="708.2(3)",'CASE DATA'!E125="708.2A",'CASE DATA'!E125="708.7",'CASE DATA'!E125="708.11",'CASE DATA'!E125="708.12",'CASE DATA'!E125="716.8(3)",'CASE DATA'!E125="716.8(4)", LEFT('CASE DATA'!E125,4)="717C", LEFT('CASE DATA'!E125, 3)="719", LEFT('CASE DATA'!E125,3)="720", 'CASE DATA'!E125="721.2", 'CASE DATA'!E125="721.10", 'CASE DATA'!E125="723.1", LEFT('CASE DATA'!E125,3)="724", LEFT('CASE DATA'!E125,3)="726", LEFT('CASE DATA'!E125,3)="728", LEFT('CASE DATA'!E125,4)="901A"),"ineligible misd", "eligible"),"N/A")</f>
        <v>N/A</v>
      </c>
      <c r="N124" s="185" t="str">
        <f>IF(L124="eligible",IF(COUNTIF('CASE DATA'!$C$4:$C$200, "")-COUNTIF('CASE DATA'!$A$4:$A$200, "")&gt;0, "YES","NO"),"N/A")</f>
        <v>N/A</v>
      </c>
      <c r="O124" s="185" t="str">
        <f xml:space="preserve"> IF(M124="eligible",'CASE DATA'!K125,"N/A")</f>
        <v>N/A</v>
      </c>
      <c r="P124" s="185" t="str">
        <f xml:space="preserve"> IF(M124="eligible",'CASE DATA'!I125+'CASE DATA'!J125+'CASE DATA'!L125+'CASE DATA'!M125+'CASE DATA'!N125+'CASE DATA'!O125+'CASE DATA'!M125+'CASE DATA'!Q125+'CASE DATA'!R125,"N/A")</f>
        <v>N/A</v>
      </c>
      <c r="Q124" s="11" t="str">
        <f>IF(M124="eligible",IF(C124+730.5&lt;'BASIC INFO'!$B$3, "YES", "NO"),"N/A")</f>
        <v>N/A</v>
      </c>
      <c r="R124" s="186" t="str">
        <f xml:space="preserve"> IF(OR('CASE DATA'!F125="DEF"), "YES", "NO")</f>
        <v>NO</v>
      </c>
      <c r="S124" s="162" t="str">
        <f>IF(R124="YES",'CASE DATA'!H125,"N/A")</f>
        <v>N/A</v>
      </c>
      <c r="T124" s="185" t="str">
        <f xml:space="preserve"> IF(R124="YES",'CASE DATA'!K125,"N/A")</f>
        <v>N/A</v>
      </c>
      <c r="U124" s="185" t="str">
        <f>IF(R124="YES",'CASE DATA'!I125+'CASE DATA'!J125+'CASE DATA'!L125+'CASE DATA'!M125+'CASE DATA'!N125+'CASE DATA'!O125+'CASE DATA'!P125+'CASE DATA'!Q125+'CASE DATA'!R125,"N/A")</f>
        <v>N/A</v>
      </c>
      <c r="V124" s="189" t="str">
        <f>IF(OR('CASE DATA'!E125="123.46",'CASE DATA'!E125="123.47"),"YES","NO")</f>
        <v>NO</v>
      </c>
      <c r="W124" s="189"/>
      <c r="X124" s="185" t="str">
        <f>IF(V124="YES",IF(C124+730.5&lt;'BASIC INFO'!$B$3, "YES","NO"), "N/A")</f>
        <v>N/A</v>
      </c>
      <c r="Y124" s="189" t="str">
        <f t="shared" si="2"/>
        <v>NO</v>
      </c>
      <c r="Z124" s="187" t="str">
        <f xml:space="preserve"> IF('BASIC INFO'!$B$6+6574.5&gt;C124, "YES", "NO")</f>
        <v>YES</v>
      </c>
    </row>
    <row r="125" spans="1:26" x14ac:dyDescent="0.25">
      <c r="A125" s="162">
        <f xml:space="preserve"> 'CASE DATA'!A126</f>
        <v>0</v>
      </c>
      <c r="B125" s="162">
        <f xml:space="preserve"> 'CASE DATA'!E126</f>
        <v>0</v>
      </c>
      <c r="C125" s="163">
        <f xml:space="preserve"> 'CASE DATA'!C126</f>
        <v>0</v>
      </c>
      <c r="D125" s="11" t="str">
        <f xml:space="preserve"> IF(OR('CASE DATA'!F126="JUV", 'CASE DATA'!F126="JWV"), "YES", "NO")</f>
        <v>NO</v>
      </c>
      <c r="E125" s="11"/>
      <c r="F125" s="11" t="str">
        <f>IF(D125="YES",IF(COUNTIF('CASE DATA'!$C$4:$C$200, "")-COUNTIF('CASE DATA'!$A$4:$A$200, "")&gt;0, "YES","NO"),"N/A")</f>
        <v>N/A</v>
      </c>
      <c r="G125" s="164" t="str">
        <f xml:space="preserve"> _xlfn.IFS(D125="NO", "N/A", AND('BASIC INFO'!$B$3&gt;'BASIC INFO'!$B$6+6574.5, C125+730.5&lt;'BASIC INFO'!$B$3), "YES", 'BASIC INFO'!$B$3&lt;('BASIC INFO'!$B$6+6574.5), "NOT YET 18", C125+730.5&gt;'BASIC INFO'!$B$3, "NOT YET 2 YEARS")</f>
        <v>N/A</v>
      </c>
      <c r="H125" s="186" t="str">
        <f xml:space="preserve"> IF(LEFT('CASE DATA'!E126,4)&lt;&gt;"321.",IF(OR('CASE DATA'!F126="DISM", 'CASE DATA'!F126="ACQ", 'CASE DATA'!F126="NOTF", 'CASE DATA'!F126="WTHD", 'CASE DATA'!F126="TNSF"), "YES", "NO"), "TRAFFIC")</f>
        <v>NO</v>
      </c>
      <c r="I125" s="185" t="str">
        <f xml:space="preserve"> IF(H125="YES",'CASE DATA'!K126,"N/A")</f>
        <v>N/A</v>
      </c>
      <c r="J125" s="185" t="str">
        <f>IF(H125="YES",'CASE DATA'!I126+'CASE DATA'!J126+'CASE DATA'!L126+'CASE DATA'!M126+'CASE DATA'!N126+'CASE DATA'!O126+'CASE DATA'!P126+'CASE DATA'!Q126+'CASE DATA'!R126,"N/A")</f>
        <v>N/A</v>
      </c>
      <c r="K125" s="162" t="str">
        <f xml:space="preserve"> IF(H125="YES",IF(C125+180&lt;'BASIC INFO'!$B$3, "YES", "NO"),"N/A")</f>
        <v>N/A</v>
      </c>
      <c r="L125" s="185" t="str">
        <f>IF(OR('CASE DATA'!F126="GTR", 'CASE DATA'!F126="GPL"),IF(OR('CASE DATA'!E126="81.6(2)", 'CASE DATA'!E126="99F.15(6)(b)(1)", 'CASE DATA'!E126= "124.401(1)(a)", 'CASE DATA'!E126= "124.401(1)(b)", 'CASE DATA'!E126= "124.401(1)(c)", 'CASE DATA'!E126= "124.401(1)(d)", 'CASE DATA'!E126="124.401(4)", 'CASE DATA'!E126="124.401(1)(b)", 'CASE DATA'!E126="124.401(1)(c)", 'CASE DATA'!E126="124.401D(2)(b)", 'CASE DATA'!E126="124.401D(2)(c)", 'CASE DATA'!E126="124.406(1)(a)", 'CASE DATA'!E126="124.406(1)(b) ", 'CASE DATA'!E126="124.406(2)(a)", 'CASE DATA'!E126="124.406(2)(b) ", 'CASE DATA'!E126="124.406(3)", 'CASE DATA'!E126="124.406A ", 'CASE DATA'!E126="124.407(2)(a)", 'CASE DATA'!E126="124B.9(1)", 'CASE DATA'!E126="124B.9(2)", 'CASE DATA'!E126="321J.2(2)(c)", 'CASE DATA'!E126="453B.12(2)", 'CASE DATA'!E126="453B.12(3)", 'CASE DATA'!E126="453B.12(4)", 'CASE DATA'!E126="462A.14(2)(c)", 'CASE DATA'!E126="462A.14(2)(d)", 'CASE DATA'!E126="462A.14(2)(e)", 'CASE DATA'!E126="705.1(2)", 'CASE DATA'!E126="706.3(1)", 'CASE DATA'!E126="706.3(2)", 'CASE DATA'!E126="706A.2(1)", 'CASE DATA'!E126="706A.2(2)", 'CASE DATA'!E126="706A.2(4)", 'CASE DATA'!E126="706B.2(1)(a)", 'CASE DATA'!E126="706B.2(1)(b)", 'CASE DATA'!E126="706B.2(1)(c)", 'CASE DATA'!E126="706B.2(1)(d)", 'CASE DATA'!E126="707.2", 'CASE DATA'!E126="707.3", 'CASE DATA'!E126="707.3A", 'CASE DATA'!E126="707.4", 'CASE DATA'!E126="707.5(1)(a)", 'CASE DATA'!E126="707.6A(1)", 'CASE DATA'!E126="707.6A(2)", 'CASE DATA'!E126="707.6A(3)", 'CASE DATA'!E126="707.6A(4)", 'CASE DATA'!E126="707.7(1)", 'CASE DATA'!E126="707.7(3)", 'CASE DATA'!E126="707.7(2)", 'CASE DATA'!E126="707.8(1)", 'CASE DATA'!E126="707.8(2)", 'CASE DATA'!E126="707.8(3)", 'CASE DATA'!E126="707.8(4)", 'CASE DATA'!E126="707.8(5)", 'CASE DATA'!E126="707.8(6)", 'CASE DATA'!E126="707.9", 'CASE DATA'!E126="707.11", 'CASE DATA'!E126="707A.2", 'CASE DATA'!E126="708.2(4)", 'CASE DATA'!E126="708.2(5)", 'CASE DATA'!E126="708.2A(4)", 'CASE DATA'!E126="708.2A(5)", 'CASE DATA'!E126="708.2C(2)", 'CASE DATA'!E126="708.2C(4)", 'CASE DATA'!E126="708.3(1)", 'CASE DATA'!E126="708.3(2)", 'CASE DATA'!E126="708.3A(1)", 'CASE DATA'!E126="708.3A(2)", 'CASE DATA'!E126="708.3B", 'CASE DATA'!E126="708.4(1)", 'CASE DATA'!E126="708.4(2)", 'CASE DATA'!E126="708.5", 'CASE DATA'!E126="708.8", 'CASE DATA'!E126="708.11(3)(a)", 'CASE DATA'!E126="708.11(3)(b)", 'CASE DATA'!E126="708.12(3)(f)", 'CASE DATA'!E126="708.13(3)", 'CASE DATA'!E126="708.14", 'CASE DATA'!E126="708A.2", 'CASE DATA'!E126="708A.4(1)", 'CASE DATA'!E126="708A.4(2)", 'CASE DATA'!E126="708A.5", 'CASE DATA'!E126="708A.6(1)", 'CASE DATA'!E126="708.A.6(2)", 'CASE DATA'!E126="709.2", 'CASE DATA'!E126="709.3", 'CASE DATA'!E126="709.4", 'CASE DATA'!E126="709.8(1)(a)", 'CASE DATA'!E126="709.8(1)(b)", 'CASE DATA'!E126="709.8(1)(c)", 'CASE DATA'!E126="709.8(1)(d)", 'CASE DATA'!E126="709.8(1)(e)", 'CASE DATA'!E126="709.11(1)", 'CASE DATA'!E126="709.11(2)", 'CASE DATA'!E126="709.15(2)(a)(1)", 'CASE DATA'!E126="709.15(3)(a)(1)", 'CASE DATA'!E126="709.18", 'CASE DATA'!E126="709A.6(2)", 'CASE DATA'!E126="709D.3(1)", 'CASE DATA'!E126="709D.3(2)", 'CASE DATA'!E126="709.D.3(3)", 'CASE DATA'!E126="710.2", 'CASE DATA'!E126="710.3", 'CASE DATA'!E126="710.4", 'CASE DATA'!E126="710.5", 'CASE DATA'!E126="710.10(1)", 'CASE DATA'!E126="710.10(2)", 'CASE DATA'!E126="710.10(3)", 'CASE DATA'!E126="710.11", 'CASE DATA'!E126="710A.2(1)", 'CASE DATA'!E126="710A.2(2)", 'CASE DATA'!E126="710A.2(3)", 'CASE DATA'!E126="710A.2(4)", 'CASE DATA'!E126="710A.2(5)", 'CASE DATA'!E126="710A.2(6)", 'CASE DATA'!E126="710A.2(7)", 'CASE DATA'!E126="710A.2A", 'CASE DATA'!E126="711.2", 'CASE DATA'!E126="711.3", 'CASE DATA'!E126="711.4", 'CASE DATA'!E126="712.2", 'CASE DATA'!E126="712.3", 'CASE DATA'!E126="712.6(1)", 'CASE DATA'!E126="712.7", 'CASE DATA'!E126="712.8", 'CASE DATA'!E126="", 'CASE DATA'!E126="713.3", 'CASE DATA'!E126="713.4", 'CASE DATA'!E126="713.5", 'CASE DATA'!E126="713.6", 'CASE DATA'!E126="713.6A(1)", 'CASE DATA'!E126="714.2(1)", 'CASE DATA'!E126="714.2(2)", 'CASE DATA'!E126="714.3A(2)(b)", 'CASE DATA'!E126="714.9", 'CASE DATA'!E126="714.10", 'CASE DATA'!E126="714.26(2)(a)", 'CASE DATA'!E126="714.26(2)(b)", 'CASE DATA'!E126="715A.2(2)(a)", 'CASE DATA'!E126="715A.6(2)(a)", 'CASE DATA'!E126="715A.6(2)(b)", 'CASE DATA'!E126="715A.8(3)(a)", 'CASE DATA'!E126="715A.8(3)(b)", 'CASE DATA'!E126="715A.10(1)", 'CASE DATA'!E126="715A.10(2)", 'CASE DATA'!E126="716.3", 'CASE DATA'!E126="716.4", 'CASE DATA'!E126="716.8(6)", 'CASE DATA'!E126="716.10(2)(a)", 'CASE DATA'!E126="716.10(2)(b)", 'CASE DATA'!E126="716.10(2)(c)", 'CASE DATA'!E126="716.10(2)(d)", 'CASE DATA'!E126="716.12", 'CASE DATA'!E126="719.1(1)(f)", 'CASE DATA'!E126="719.1(2)(e)", 'CASE DATA'!E126="719.1(2)(f)", 'CASE DATA'!E126="719.1(2)(g)", 'CASE DATA'!E126="719.4(1)", 'CASE DATA'!E126="719.4(4)", 'CASE DATA'!E126="719.5(1)", 'CASE DATA'!E126="719.5(2)", 'CASE DATA'!E126="719.6(1)", 'CASE DATA'!E126="719.6(2)", 'CASE DATA'!E126="719.7(4)(a)", 'CASE DATA'!E126="719.7(4)(b)", 'CASE DATA'!E126="719.7A(3)", 'CASE DATA'!E126="719.9", 'CASE DATA'!E126="719.8", 'CASE DATA'!E126="720.2", 'CASE DATA'!E126="720.3", 'CASE DATA'!E126="721.1", 'CASE DATA'!E126="722.1", 'CASE DATA'!E126="", 'CASE DATA'!E126="722.2", 'CASE DATA'!E126="722.10", 'CASE DATA'!E126="723(5)(3)(c)", 'CASE DATA'!E126="723A.2", 'CASE DATA'!E126="723A.3(1)", 'CASE DATA'!E126="723A.3(2)", 'CASE DATA'!E126="724.1B", 'CASE DATA'!E126="724.1C", 'CASE DATA'!E126="724.3", 'CASE DATA'!E126="724.4B", 'CASE DATA'!E126="724.10", 'CASE DATA'!E126="724.16(2)", 'CASE DATA'!E126="724.16A(1)(a)", 'CASE DATA'!E126="724.16A(1)(b)", 'CASE DATA'!E126="724.17", 'CASE DATA'!E126="724.21", 'CASE DATA'!E126="724.26(1)", 'CASE DATA'!E126="922(g)(8)", 'CASE DATA'!E126="724.29A(2)", 'CASE DATA'!E126="724.29A(3)", 'CASE DATA'!E126="724.30(1)", 'CASE DATA'!E126="724.30(2)", 'CASE DATA'!E126="725.1(2)(b)", 'CASE DATA'!E126="725.2(1)", 'CASE DATA'!E126="725.2(2)", 'CASE DATA'!E126="725.3(2)", 'CASE DATA'!E126="725.3(1)", 'CASE DATA'!E126="725.7(2)(a)(3)", 'CASE DATA'!E126="725.7(2)(a)(4)", 'CASE DATA'!E126="725.7(2)(b)(2)", 'CASE DATA'!E126="725.7(2)(b(3)", 'CASE DATA'!E126="726.7(2)(c)(1)", 'CASE DATA'!E126="726.7(2)(c)(2)", 'CASE DATA'!E126="725.7(2)(d)", 'CASE DATA'!E126="726.2", 'CASE DATA'!E126="726.3", 'CASE DATA'!E126="726.5", 'CASE DATA'!E126="726.6(4)", 'CASE DATA'!E126="726.6(5)", 'CASE DATA'!E126="726.6(6)", 'CASE DATA'!E126="726.6A", 'CASE DATA'!E126="726.7(2)", 'CASE DATA'!E126="726.8(2)", 'CASE DATA'!E126="728.12(1)", 'CASE DATA'!E126="728.12(2)"),"felony","eligible"),"N/A")</f>
        <v>N/A</v>
      </c>
      <c r="M125" s="185" t="str">
        <f>IF(L125="eligible",IF(OR('CASE DATA'!E126="123.46",'CASE DATA'!E126="123.47",'CASE DATA'!E126="235B.20",'CASE DATA'!E126="321.218",'CASE DATA'!E126="321A.32",'CASE DATA'!E126="321J.21",'CASE DATA'!E126="321J.2",'CASE DATA'!E126="707.5",'CASE DATA'!E126="708.2(3)",'CASE DATA'!E126="708.2A",'CASE DATA'!E126="708.7",'CASE DATA'!E126="708.11",'CASE DATA'!E126="708.12",'CASE DATA'!E126="716.8(3)",'CASE DATA'!E126="716.8(4)", LEFT('CASE DATA'!E126,4)="717C", LEFT('CASE DATA'!E126, 3)="719", LEFT('CASE DATA'!E126,3)="720", 'CASE DATA'!E126="721.2", 'CASE DATA'!E126="721.10", 'CASE DATA'!E126="723.1", LEFT('CASE DATA'!E126,3)="724", LEFT('CASE DATA'!E126,3)="726", LEFT('CASE DATA'!E126,3)="728", LEFT('CASE DATA'!E126,4)="901A"),"ineligible misd", "eligible"),"N/A")</f>
        <v>N/A</v>
      </c>
      <c r="N125" s="185" t="str">
        <f>IF(L125="eligible",IF(COUNTIF('CASE DATA'!$C$4:$C$200, "")-COUNTIF('CASE DATA'!$A$4:$A$200, "")&gt;0, "YES","NO"),"N/A")</f>
        <v>N/A</v>
      </c>
      <c r="O125" s="185" t="str">
        <f xml:space="preserve"> IF(M125="eligible",'CASE DATA'!K126,"N/A")</f>
        <v>N/A</v>
      </c>
      <c r="P125" s="185" t="str">
        <f xml:space="preserve"> IF(M125="eligible",'CASE DATA'!I126+'CASE DATA'!J126+'CASE DATA'!L126+'CASE DATA'!M126+'CASE DATA'!N126+'CASE DATA'!O126+'CASE DATA'!M126+'CASE DATA'!Q126+'CASE DATA'!R126,"N/A")</f>
        <v>N/A</v>
      </c>
      <c r="Q125" s="11" t="str">
        <f>IF(M125="eligible",IF(C125+730.5&lt;'BASIC INFO'!$B$3, "YES", "NO"),"N/A")</f>
        <v>N/A</v>
      </c>
      <c r="R125" s="186" t="str">
        <f xml:space="preserve"> IF(OR('CASE DATA'!F126="DEF"), "YES", "NO")</f>
        <v>NO</v>
      </c>
      <c r="S125" s="162" t="str">
        <f>IF(R125="YES",'CASE DATA'!H126,"N/A")</f>
        <v>N/A</v>
      </c>
      <c r="T125" s="185" t="str">
        <f xml:space="preserve"> IF(R125="YES",'CASE DATA'!K126,"N/A")</f>
        <v>N/A</v>
      </c>
      <c r="U125" s="185" t="str">
        <f>IF(R125="YES",'CASE DATA'!I126+'CASE DATA'!J126+'CASE DATA'!L126+'CASE DATA'!M126+'CASE DATA'!N126+'CASE DATA'!O126+'CASE DATA'!P126+'CASE DATA'!Q126+'CASE DATA'!R126,"N/A")</f>
        <v>N/A</v>
      </c>
      <c r="V125" s="189" t="str">
        <f>IF(OR('CASE DATA'!E126="123.46",'CASE DATA'!E126="123.47"),"YES","NO")</f>
        <v>NO</v>
      </c>
      <c r="W125" s="189"/>
      <c r="X125" s="185" t="str">
        <f>IF(V125="YES",IF(C125+730.5&lt;'BASIC INFO'!$B$3, "YES","NO"), "N/A")</f>
        <v>N/A</v>
      </c>
      <c r="Y125" s="189" t="str">
        <f t="shared" si="2"/>
        <v>NO</v>
      </c>
      <c r="Z125" s="187" t="str">
        <f xml:space="preserve"> IF('BASIC INFO'!$B$6+6574.5&gt;C125, "YES", "NO")</f>
        <v>YES</v>
      </c>
    </row>
    <row r="126" spans="1:26" x14ac:dyDescent="0.25">
      <c r="A126" s="162">
        <f xml:space="preserve"> 'CASE DATA'!A127</f>
        <v>0</v>
      </c>
      <c r="B126" s="162">
        <f xml:space="preserve"> 'CASE DATA'!E127</f>
        <v>0</v>
      </c>
      <c r="C126" s="163">
        <f xml:space="preserve"> 'CASE DATA'!C127</f>
        <v>0</v>
      </c>
      <c r="D126" s="11" t="str">
        <f xml:space="preserve"> IF(OR('CASE DATA'!F127="JUV", 'CASE DATA'!F127="JWV"), "YES", "NO")</f>
        <v>NO</v>
      </c>
      <c r="E126" s="11"/>
      <c r="F126" s="11" t="str">
        <f>IF(D126="YES",IF(COUNTIF('CASE DATA'!$C$4:$C$200, "")-COUNTIF('CASE DATA'!$A$4:$A$200, "")&gt;0, "YES","NO"),"N/A")</f>
        <v>N/A</v>
      </c>
      <c r="G126" s="164" t="str">
        <f xml:space="preserve"> _xlfn.IFS(D126="NO", "N/A", AND('BASIC INFO'!$B$3&gt;'BASIC INFO'!$B$6+6574.5, C126+730.5&lt;'BASIC INFO'!$B$3), "YES", 'BASIC INFO'!$B$3&lt;('BASIC INFO'!$B$6+6574.5), "NOT YET 18", C126+730.5&gt;'BASIC INFO'!$B$3, "NOT YET 2 YEARS")</f>
        <v>N/A</v>
      </c>
      <c r="H126" s="186" t="str">
        <f xml:space="preserve"> IF(LEFT('CASE DATA'!E127,4)&lt;&gt;"321.",IF(OR('CASE DATA'!F127="DISM", 'CASE DATA'!F127="ACQ", 'CASE DATA'!F127="NOTF", 'CASE DATA'!F127="WTHD", 'CASE DATA'!F127="TNSF"), "YES", "NO"), "TRAFFIC")</f>
        <v>NO</v>
      </c>
      <c r="I126" s="185" t="str">
        <f xml:space="preserve"> IF(H126="YES",'CASE DATA'!K127,"N/A")</f>
        <v>N/A</v>
      </c>
      <c r="J126" s="185" t="str">
        <f>IF(H126="YES",'CASE DATA'!I127+'CASE DATA'!J127+'CASE DATA'!L127+'CASE DATA'!M127+'CASE DATA'!N127+'CASE DATA'!O127+'CASE DATA'!P127+'CASE DATA'!Q127+'CASE DATA'!R127,"N/A")</f>
        <v>N/A</v>
      </c>
      <c r="K126" s="162" t="str">
        <f xml:space="preserve"> IF(H126="YES",IF(C126+180&lt;'BASIC INFO'!$B$3, "YES", "NO"),"N/A")</f>
        <v>N/A</v>
      </c>
      <c r="L126" s="185" t="str">
        <f>IF(OR('CASE DATA'!F127="GTR", 'CASE DATA'!F127="GPL"),IF(OR('CASE DATA'!E127="81.6(2)", 'CASE DATA'!E127="99F.15(6)(b)(1)", 'CASE DATA'!E127= "124.401(1)(a)", 'CASE DATA'!E127= "124.401(1)(b)", 'CASE DATA'!E127= "124.401(1)(c)", 'CASE DATA'!E127= "124.401(1)(d)", 'CASE DATA'!E127="124.401(4)", 'CASE DATA'!E127="124.401(1)(b)", 'CASE DATA'!E127="124.401(1)(c)", 'CASE DATA'!E127="124.401D(2)(b)", 'CASE DATA'!E127="124.401D(2)(c)", 'CASE DATA'!E127="124.406(1)(a)", 'CASE DATA'!E127="124.406(1)(b) ", 'CASE DATA'!E127="124.406(2)(a)", 'CASE DATA'!E127="124.406(2)(b) ", 'CASE DATA'!E127="124.406(3)", 'CASE DATA'!E127="124.406A ", 'CASE DATA'!E127="124.407(2)(a)", 'CASE DATA'!E127="124B.9(1)", 'CASE DATA'!E127="124B.9(2)", 'CASE DATA'!E127="321J.2(2)(c)", 'CASE DATA'!E127="453B.12(2)", 'CASE DATA'!E127="453B.12(3)", 'CASE DATA'!E127="453B.12(4)", 'CASE DATA'!E127="462A.14(2)(c)", 'CASE DATA'!E127="462A.14(2)(d)", 'CASE DATA'!E127="462A.14(2)(e)", 'CASE DATA'!E127="705.1(2)", 'CASE DATA'!E127="706.3(1)", 'CASE DATA'!E127="706.3(2)", 'CASE DATA'!E127="706A.2(1)", 'CASE DATA'!E127="706A.2(2)", 'CASE DATA'!E127="706A.2(4)", 'CASE DATA'!E127="706B.2(1)(a)", 'CASE DATA'!E127="706B.2(1)(b)", 'CASE DATA'!E127="706B.2(1)(c)", 'CASE DATA'!E127="706B.2(1)(d)", 'CASE DATA'!E127="707.2", 'CASE DATA'!E127="707.3", 'CASE DATA'!E127="707.3A", 'CASE DATA'!E127="707.4", 'CASE DATA'!E127="707.5(1)(a)", 'CASE DATA'!E127="707.6A(1)", 'CASE DATA'!E127="707.6A(2)", 'CASE DATA'!E127="707.6A(3)", 'CASE DATA'!E127="707.6A(4)", 'CASE DATA'!E127="707.7(1)", 'CASE DATA'!E127="707.7(3)", 'CASE DATA'!E127="707.7(2)", 'CASE DATA'!E127="707.8(1)", 'CASE DATA'!E127="707.8(2)", 'CASE DATA'!E127="707.8(3)", 'CASE DATA'!E127="707.8(4)", 'CASE DATA'!E127="707.8(5)", 'CASE DATA'!E127="707.8(6)", 'CASE DATA'!E127="707.9", 'CASE DATA'!E127="707.11", 'CASE DATA'!E127="707A.2", 'CASE DATA'!E127="708.2(4)", 'CASE DATA'!E127="708.2(5)", 'CASE DATA'!E127="708.2A(4)", 'CASE DATA'!E127="708.2A(5)", 'CASE DATA'!E127="708.2C(2)", 'CASE DATA'!E127="708.2C(4)", 'CASE DATA'!E127="708.3(1)", 'CASE DATA'!E127="708.3(2)", 'CASE DATA'!E127="708.3A(1)", 'CASE DATA'!E127="708.3A(2)", 'CASE DATA'!E127="708.3B", 'CASE DATA'!E127="708.4(1)", 'CASE DATA'!E127="708.4(2)", 'CASE DATA'!E127="708.5", 'CASE DATA'!E127="708.8", 'CASE DATA'!E127="708.11(3)(a)", 'CASE DATA'!E127="708.11(3)(b)", 'CASE DATA'!E127="708.12(3)(f)", 'CASE DATA'!E127="708.13(3)", 'CASE DATA'!E127="708.14", 'CASE DATA'!E127="708A.2", 'CASE DATA'!E127="708A.4(1)", 'CASE DATA'!E127="708A.4(2)", 'CASE DATA'!E127="708A.5", 'CASE DATA'!E127="708A.6(1)", 'CASE DATA'!E127="708.A.6(2)", 'CASE DATA'!E127="709.2", 'CASE DATA'!E127="709.3", 'CASE DATA'!E127="709.4", 'CASE DATA'!E127="709.8(1)(a)", 'CASE DATA'!E127="709.8(1)(b)", 'CASE DATA'!E127="709.8(1)(c)", 'CASE DATA'!E127="709.8(1)(d)", 'CASE DATA'!E127="709.8(1)(e)", 'CASE DATA'!E127="709.11(1)", 'CASE DATA'!E127="709.11(2)", 'CASE DATA'!E127="709.15(2)(a)(1)", 'CASE DATA'!E127="709.15(3)(a)(1)", 'CASE DATA'!E127="709.18", 'CASE DATA'!E127="709A.6(2)", 'CASE DATA'!E127="709D.3(1)", 'CASE DATA'!E127="709D.3(2)", 'CASE DATA'!E127="709.D.3(3)", 'CASE DATA'!E127="710.2", 'CASE DATA'!E127="710.3", 'CASE DATA'!E127="710.4", 'CASE DATA'!E127="710.5", 'CASE DATA'!E127="710.10(1)", 'CASE DATA'!E127="710.10(2)", 'CASE DATA'!E127="710.10(3)", 'CASE DATA'!E127="710.11", 'CASE DATA'!E127="710A.2(1)", 'CASE DATA'!E127="710A.2(2)", 'CASE DATA'!E127="710A.2(3)", 'CASE DATA'!E127="710A.2(4)", 'CASE DATA'!E127="710A.2(5)", 'CASE DATA'!E127="710A.2(6)", 'CASE DATA'!E127="710A.2(7)", 'CASE DATA'!E127="710A.2A", 'CASE DATA'!E127="711.2", 'CASE DATA'!E127="711.3", 'CASE DATA'!E127="711.4", 'CASE DATA'!E127="712.2", 'CASE DATA'!E127="712.3", 'CASE DATA'!E127="712.6(1)", 'CASE DATA'!E127="712.7", 'CASE DATA'!E127="712.8", 'CASE DATA'!E127="", 'CASE DATA'!E127="713.3", 'CASE DATA'!E127="713.4", 'CASE DATA'!E127="713.5", 'CASE DATA'!E127="713.6", 'CASE DATA'!E127="713.6A(1)", 'CASE DATA'!E127="714.2(1)", 'CASE DATA'!E127="714.2(2)", 'CASE DATA'!E127="714.3A(2)(b)", 'CASE DATA'!E127="714.9", 'CASE DATA'!E127="714.10", 'CASE DATA'!E127="714.26(2)(a)", 'CASE DATA'!E127="714.26(2)(b)", 'CASE DATA'!E127="715A.2(2)(a)", 'CASE DATA'!E127="715A.6(2)(a)", 'CASE DATA'!E127="715A.6(2)(b)", 'CASE DATA'!E127="715A.8(3)(a)", 'CASE DATA'!E127="715A.8(3)(b)", 'CASE DATA'!E127="715A.10(1)", 'CASE DATA'!E127="715A.10(2)", 'CASE DATA'!E127="716.3", 'CASE DATA'!E127="716.4", 'CASE DATA'!E127="716.8(6)", 'CASE DATA'!E127="716.10(2)(a)", 'CASE DATA'!E127="716.10(2)(b)", 'CASE DATA'!E127="716.10(2)(c)", 'CASE DATA'!E127="716.10(2)(d)", 'CASE DATA'!E127="716.12", 'CASE DATA'!E127="719.1(1)(f)", 'CASE DATA'!E127="719.1(2)(e)", 'CASE DATA'!E127="719.1(2)(f)", 'CASE DATA'!E127="719.1(2)(g)", 'CASE DATA'!E127="719.4(1)", 'CASE DATA'!E127="719.4(4)", 'CASE DATA'!E127="719.5(1)", 'CASE DATA'!E127="719.5(2)", 'CASE DATA'!E127="719.6(1)", 'CASE DATA'!E127="719.6(2)", 'CASE DATA'!E127="719.7(4)(a)", 'CASE DATA'!E127="719.7(4)(b)", 'CASE DATA'!E127="719.7A(3)", 'CASE DATA'!E127="719.9", 'CASE DATA'!E127="719.8", 'CASE DATA'!E127="720.2", 'CASE DATA'!E127="720.3", 'CASE DATA'!E127="721.1", 'CASE DATA'!E127="722.1", 'CASE DATA'!E127="", 'CASE DATA'!E127="722.2", 'CASE DATA'!E127="722.10", 'CASE DATA'!E127="723(5)(3)(c)", 'CASE DATA'!E127="723A.2", 'CASE DATA'!E127="723A.3(1)", 'CASE DATA'!E127="723A.3(2)", 'CASE DATA'!E127="724.1B", 'CASE DATA'!E127="724.1C", 'CASE DATA'!E127="724.3", 'CASE DATA'!E127="724.4B", 'CASE DATA'!E127="724.10", 'CASE DATA'!E127="724.16(2)", 'CASE DATA'!E127="724.16A(1)(a)", 'CASE DATA'!E127="724.16A(1)(b)", 'CASE DATA'!E127="724.17", 'CASE DATA'!E127="724.21", 'CASE DATA'!E127="724.26(1)", 'CASE DATA'!E127="922(g)(8)", 'CASE DATA'!E127="724.29A(2)", 'CASE DATA'!E127="724.29A(3)", 'CASE DATA'!E127="724.30(1)", 'CASE DATA'!E127="724.30(2)", 'CASE DATA'!E127="725.1(2)(b)", 'CASE DATA'!E127="725.2(1)", 'CASE DATA'!E127="725.2(2)", 'CASE DATA'!E127="725.3(2)", 'CASE DATA'!E127="725.3(1)", 'CASE DATA'!E127="725.7(2)(a)(3)", 'CASE DATA'!E127="725.7(2)(a)(4)", 'CASE DATA'!E127="725.7(2)(b)(2)", 'CASE DATA'!E127="725.7(2)(b(3)", 'CASE DATA'!E127="726.7(2)(c)(1)", 'CASE DATA'!E127="726.7(2)(c)(2)", 'CASE DATA'!E127="725.7(2)(d)", 'CASE DATA'!E127="726.2", 'CASE DATA'!E127="726.3", 'CASE DATA'!E127="726.5", 'CASE DATA'!E127="726.6(4)", 'CASE DATA'!E127="726.6(5)", 'CASE DATA'!E127="726.6(6)", 'CASE DATA'!E127="726.6A", 'CASE DATA'!E127="726.7(2)", 'CASE DATA'!E127="726.8(2)", 'CASE DATA'!E127="728.12(1)", 'CASE DATA'!E127="728.12(2)"),"felony","eligible"),"N/A")</f>
        <v>N/A</v>
      </c>
      <c r="M126" s="185" t="str">
        <f>IF(L126="eligible",IF(OR('CASE DATA'!E127="123.46",'CASE DATA'!E127="123.47",'CASE DATA'!E127="235B.20",'CASE DATA'!E127="321.218",'CASE DATA'!E127="321A.32",'CASE DATA'!E127="321J.21",'CASE DATA'!E127="321J.2",'CASE DATA'!E127="707.5",'CASE DATA'!E127="708.2(3)",'CASE DATA'!E127="708.2A",'CASE DATA'!E127="708.7",'CASE DATA'!E127="708.11",'CASE DATA'!E127="708.12",'CASE DATA'!E127="716.8(3)",'CASE DATA'!E127="716.8(4)", LEFT('CASE DATA'!E127,4)="717C", LEFT('CASE DATA'!E127, 3)="719", LEFT('CASE DATA'!E127,3)="720", 'CASE DATA'!E127="721.2", 'CASE DATA'!E127="721.10", 'CASE DATA'!E127="723.1", LEFT('CASE DATA'!E127,3)="724", LEFT('CASE DATA'!E127,3)="726", LEFT('CASE DATA'!E127,3)="728", LEFT('CASE DATA'!E127,4)="901A"),"ineligible misd", "eligible"),"N/A")</f>
        <v>N/A</v>
      </c>
      <c r="N126" s="185" t="str">
        <f>IF(L126="eligible",IF(COUNTIF('CASE DATA'!$C$4:$C$200, "")-COUNTIF('CASE DATA'!$A$4:$A$200, "")&gt;0, "YES","NO"),"N/A")</f>
        <v>N/A</v>
      </c>
      <c r="O126" s="185" t="str">
        <f xml:space="preserve"> IF(M126="eligible",'CASE DATA'!K127,"N/A")</f>
        <v>N/A</v>
      </c>
      <c r="P126" s="185" t="str">
        <f xml:space="preserve"> IF(M126="eligible",'CASE DATA'!I127+'CASE DATA'!J127+'CASE DATA'!L127+'CASE DATA'!M127+'CASE DATA'!N127+'CASE DATA'!O127+'CASE DATA'!M127+'CASE DATA'!Q127+'CASE DATA'!R127,"N/A")</f>
        <v>N/A</v>
      </c>
      <c r="Q126" s="11" t="str">
        <f>IF(M126="eligible",IF(C126+730.5&lt;'BASIC INFO'!$B$3, "YES", "NO"),"N/A")</f>
        <v>N/A</v>
      </c>
      <c r="R126" s="186" t="str">
        <f xml:space="preserve"> IF(OR('CASE DATA'!F127="DEF"), "YES", "NO")</f>
        <v>NO</v>
      </c>
      <c r="S126" s="162" t="str">
        <f>IF(R126="YES",'CASE DATA'!H127,"N/A")</f>
        <v>N/A</v>
      </c>
      <c r="T126" s="185" t="str">
        <f xml:space="preserve"> IF(R126="YES",'CASE DATA'!K127,"N/A")</f>
        <v>N/A</v>
      </c>
      <c r="U126" s="185" t="str">
        <f>IF(R126="YES",'CASE DATA'!I127+'CASE DATA'!J127+'CASE DATA'!L127+'CASE DATA'!M127+'CASE DATA'!N127+'CASE DATA'!O127+'CASE DATA'!P127+'CASE DATA'!Q127+'CASE DATA'!R127,"N/A")</f>
        <v>N/A</v>
      </c>
      <c r="V126" s="189" t="str">
        <f>IF(OR('CASE DATA'!E127="123.46",'CASE DATA'!E127="123.47"),"YES","NO")</f>
        <v>NO</v>
      </c>
      <c r="W126" s="189"/>
      <c r="X126" s="185" t="str">
        <f>IF(V126="YES",IF(C126+730.5&lt;'BASIC INFO'!$B$3, "YES","NO"), "N/A")</f>
        <v>N/A</v>
      </c>
      <c r="Y126" s="189" t="str">
        <f t="shared" si="2"/>
        <v>NO</v>
      </c>
      <c r="Z126" s="187" t="str">
        <f xml:space="preserve"> IF('BASIC INFO'!$B$6+6574.5&gt;C126, "YES", "NO")</f>
        <v>YES</v>
      </c>
    </row>
    <row r="127" spans="1:26" x14ac:dyDescent="0.25">
      <c r="A127" s="162">
        <f xml:space="preserve"> 'CASE DATA'!A128</f>
        <v>0</v>
      </c>
      <c r="B127" s="162">
        <f xml:space="preserve"> 'CASE DATA'!E128</f>
        <v>0</v>
      </c>
      <c r="C127" s="163">
        <f xml:space="preserve"> 'CASE DATA'!C128</f>
        <v>0</v>
      </c>
      <c r="D127" s="11" t="str">
        <f xml:space="preserve"> IF(OR('CASE DATA'!F128="JUV", 'CASE DATA'!F128="JWV"), "YES", "NO")</f>
        <v>NO</v>
      </c>
      <c r="E127" s="11"/>
      <c r="F127" s="11" t="str">
        <f>IF(D127="YES",IF(COUNTIF('CASE DATA'!$C$4:$C$200, "")-COUNTIF('CASE DATA'!$A$4:$A$200, "")&gt;0, "YES","NO"),"N/A")</f>
        <v>N/A</v>
      </c>
      <c r="G127" s="164" t="str">
        <f xml:space="preserve"> _xlfn.IFS(D127="NO", "N/A", AND('BASIC INFO'!$B$3&gt;'BASIC INFO'!$B$6+6574.5, C127+730.5&lt;'BASIC INFO'!$B$3), "YES", 'BASIC INFO'!$B$3&lt;('BASIC INFO'!$B$6+6574.5), "NOT YET 18", C127+730.5&gt;'BASIC INFO'!$B$3, "NOT YET 2 YEARS")</f>
        <v>N/A</v>
      </c>
      <c r="H127" s="186" t="str">
        <f xml:space="preserve"> IF(LEFT('CASE DATA'!E128,4)&lt;&gt;"321.",IF(OR('CASE DATA'!F128="DISM", 'CASE DATA'!F128="ACQ", 'CASE DATA'!F128="NOTF", 'CASE DATA'!F128="WTHD", 'CASE DATA'!F128="TNSF"), "YES", "NO"), "TRAFFIC")</f>
        <v>NO</v>
      </c>
      <c r="I127" s="185" t="str">
        <f xml:space="preserve"> IF(H127="YES",'CASE DATA'!K128,"N/A")</f>
        <v>N/A</v>
      </c>
      <c r="J127" s="185" t="str">
        <f>IF(H127="YES",'CASE DATA'!I128+'CASE DATA'!J128+'CASE DATA'!L128+'CASE DATA'!M128+'CASE DATA'!N128+'CASE DATA'!O128+'CASE DATA'!P128+'CASE DATA'!Q128+'CASE DATA'!R128,"N/A")</f>
        <v>N/A</v>
      </c>
      <c r="K127" s="162" t="str">
        <f xml:space="preserve"> IF(H127="YES",IF(C127+180&lt;'BASIC INFO'!$B$3, "YES", "NO"),"N/A")</f>
        <v>N/A</v>
      </c>
      <c r="L127" s="185" t="str">
        <f>IF(OR('CASE DATA'!F128="GTR", 'CASE DATA'!F128="GPL"),IF(OR('CASE DATA'!E128="81.6(2)", 'CASE DATA'!E128="99F.15(6)(b)(1)", 'CASE DATA'!E128= "124.401(1)(a)", 'CASE DATA'!E128= "124.401(1)(b)", 'CASE DATA'!E128= "124.401(1)(c)", 'CASE DATA'!E128= "124.401(1)(d)", 'CASE DATA'!E128="124.401(4)", 'CASE DATA'!E128="124.401(1)(b)", 'CASE DATA'!E128="124.401(1)(c)", 'CASE DATA'!E128="124.401D(2)(b)", 'CASE DATA'!E128="124.401D(2)(c)", 'CASE DATA'!E128="124.406(1)(a)", 'CASE DATA'!E128="124.406(1)(b) ", 'CASE DATA'!E128="124.406(2)(a)", 'CASE DATA'!E128="124.406(2)(b) ", 'CASE DATA'!E128="124.406(3)", 'CASE DATA'!E128="124.406A ", 'CASE DATA'!E128="124.407(2)(a)", 'CASE DATA'!E128="124B.9(1)", 'CASE DATA'!E128="124B.9(2)", 'CASE DATA'!E128="321J.2(2)(c)", 'CASE DATA'!E128="453B.12(2)", 'CASE DATA'!E128="453B.12(3)", 'CASE DATA'!E128="453B.12(4)", 'CASE DATA'!E128="462A.14(2)(c)", 'CASE DATA'!E128="462A.14(2)(d)", 'CASE DATA'!E128="462A.14(2)(e)", 'CASE DATA'!E128="705.1(2)", 'CASE DATA'!E128="706.3(1)", 'CASE DATA'!E128="706.3(2)", 'CASE DATA'!E128="706A.2(1)", 'CASE DATA'!E128="706A.2(2)", 'CASE DATA'!E128="706A.2(4)", 'CASE DATA'!E128="706B.2(1)(a)", 'CASE DATA'!E128="706B.2(1)(b)", 'CASE DATA'!E128="706B.2(1)(c)", 'CASE DATA'!E128="706B.2(1)(d)", 'CASE DATA'!E128="707.2", 'CASE DATA'!E128="707.3", 'CASE DATA'!E128="707.3A", 'CASE DATA'!E128="707.4", 'CASE DATA'!E128="707.5(1)(a)", 'CASE DATA'!E128="707.6A(1)", 'CASE DATA'!E128="707.6A(2)", 'CASE DATA'!E128="707.6A(3)", 'CASE DATA'!E128="707.6A(4)", 'CASE DATA'!E128="707.7(1)", 'CASE DATA'!E128="707.7(3)", 'CASE DATA'!E128="707.7(2)", 'CASE DATA'!E128="707.8(1)", 'CASE DATA'!E128="707.8(2)", 'CASE DATA'!E128="707.8(3)", 'CASE DATA'!E128="707.8(4)", 'CASE DATA'!E128="707.8(5)", 'CASE DATA'!E128="707.8(6)", 'CASE DATA'!E128="707.9", 'CASE DATA'!E128="707.11", 'CASE DATA'!E128="707A.2", 'CASE DATA'!E128="708.2(4)", 'CASE DATA'!E128="708.2(5)", 'CASE DATA'!E128="708.2A(4)", 'CASE DATA'!E128="708.2A(5)", 'CASE DATA'!E128="708.2C(2)", 'CASE DATA'!E128="708.2C(4)", 'CASE DATA'!E128="708.3(1)", 'CASE DATA'!E128="708.3(2)", 'CASE DATA'!E128="708.3A(1)", 'CASE DATA'!E128="708.3A(2)", 'CASE DATA'!E128="708.3B", 'CASE DATA'!E128="708.4(1)", 'CASE DATA'!E128="708.4(2)", 'CASE DATA'!E128="708.5", 'CASE DATA'!E128="708.8", 'CASE DATA'!E128="708.11(3)(a)", 'CASE DATA'!E128="708.11(3)(b)", 'CASE DATA'!E128="708.12(3)(f)", 'CASE DATA'!E128="708.13(3)", 'CASE DATA'!E128="708.14", 'CASE DATA'!E128="708A.2", 'CASE DATA'!E128="708A.4(1)", 'CASE DATA'!E128="708A.4(2)", 'CASE DATA'!E128="708A.5", 'CASE DATA'!E128="708A.6(1)", 'CASE DATA'!E128="708.A.6(2)", 'CASE DATA'!E128="709.2", 'CASE DATA'!E128="709.3", 'CASE DATA'!E128="709.4", 'CASE DATA'!E128="709.8(1)(a)", 'CASE DATA'!E128="709.8(1)(b)", 'CASE DATA'!E128="709.8(1)(c)", 'CASE DATA'!E128="709.8(1)(d)", 'CASE DATA'!E128="709.8(1)(e)", 'CASE DATA'!E128="709.11(1)", 'CASE DATA'!E128="709.11(2)", 'CASE DATA'!E128="709.15(2)(a)(1)", 'CASE DATA'!E128="709.15(3)(a)(1)", 'CASE DATA'!E128="709.18", 'CASE DATA'!E128="709A.6(2)", 'CASE DATA'!E128="709D.3(1)", 'CASE DATA'!E128="709D.3(2)", 'CASE DATA'!E128="709.D.3(3)", 'CASE DATA'!E128="710.2", 'CASE DATA'!E128="710.3", 'CASE DATA'!E128="710.4", 'CASE DATA'!E128="710.5", 'CASE DATA'!E128="710.10(1)", 'CASE DATA'!E128="710.10(2)", 'CASE DATA'!E128="710.10(3)", 'CASE DATA'!E128="710.11", 'CASE DATA'!E128="710A.2(1)", 'CASE DATA'!E128="710A.2(2)", 'CASE DATA'!E128="710A.2(3)", 'CASE DATA'!E128="710A.2(4)", 'CASE DATA'!E128="710A.2(5)", 'CASE DATA'!E128="710A.2(6)", 'CASE DATA'!E128="710A.2(7)", 'CASE DATA'!E128="710A.2A", 'CASE DATA'!E128="711.2", 'CASE DATA'!E128="711.3", 'CASE DATA'!E128="711.4", 'CASE DATA'!E128="712.2", 'CASE DATA'!E128="712.3", 'CASE DATA'!E128="712.6(1)", 'CASE DATA'!E128="712.7", 'CASE DATA'!E128="712.8", 'CASE DATA'!E128="", 'CASE DATA'!E128="713.3", 'CASE DATA'!E128="713.4", 'CASE DATA'!E128="713.5", 'CASE DATA'!E128="713.6", 'CASE DATA'!E128="713.6A(1)", 'CASE DATA'!E128="714.2(1)", 'CASE DATA'!E128="714.2(2)", 'CASE DATA'!E128="714.3A(2)(b)", 'CASE DATA'!E128="714.9", 'CASE DATA'!E128="714.10", 'CASE DATA'!E128="714.26(2)(a)", 'CASE DATA'!E128="714.26(2)(b)", 'CASE DATA'!E128="715A.2(2)(a)", 'CASE DATA'!E128="715A.6(2)(a)", 'CASE DATA'!E128="715A.6(2)(b)", 'CASE DATA'!E128="715A.8(3)(a)", 'CASE DATA'!E128="715A.8(3)(b)", 'CASE DATA'!E128="715A.10(1)", 'CASE DATA'!E128="715A.10(2)", 'CASE DATA'!E128="716.3", 'CASE DATA'!E128="716.4", 'CASE DATA'!E128="716.8(6)", 'CASE DATA'!E128="716.10(2)(a)", 'CASE DATA'!E128="716.10(2)(b)", 'CASE DATA'!E128="716.10(2)(c)", 'CASE DATA'!E128="716.10(2)(d)", 'CASE DATA'!E128="716.12", 'CASE DATA'!E128="719.1(1)(f)", 'CASE DATA'!E128="719.1(2)(e)", 'CASE DATA'!E128="719.1(2)(f)", 'CASE DATA'!E128="719.1(2)(g)", 'CASE DATA'!E128="719.4(1)", 'CASE DATA'!E128="719.4(4)", 'CASE DATA'!E128="719.5(1)", 'CASE DATA'!E128="719.5(2)", 'CASE DATA'!E128="719.6(1)", 'CASE DATA'!E128="719.6(2)", 'CASE DATA'!E128="719.7(4)(a)", 'CASE DATA'!E128="719.7(4)(b)", 'CASE DATA'!E128="719.7A(3)", 'CASE DATA'!E128="719.9", 'CASE DATA'!E128="719.8", 'CASE DATA'!E128="720.2", 'CASE DATA'!E128="720.3", 'CASE DATA'!E128="721.1", 'CASE DATA'!E128="722.1", 'CASE DATA'!E128="", 'CASE DATA'!E128="722.2", 'CASE DATA'!E128="722.10", 'CASE DATA'!E128="723(5)(3)(c)", 'CASE DATA'!E128="723A.2", 'CASE DATA'!E128="723A.3(1)", 'CASE DATA'!E128="723A.3(2)", 'CASE DATA'!E128="724.1B", 'CASE DATA'!E128="724.1C", 'CASE DATA'!E128="724.3", 'CASE DATA'!E128="724.4B", 'CASE DATA'!E128="724.10", 'CASE DATA'!E128="724.16(2)", 'CASE DATA'!E128="724.16A(1)(a)", 'CASE DATA'!E128="724.16A(1)(b)", 'CASE DATA'!E128="724.17", 'CASE DATA'!E128="724.21", 'CASE DATA'!E128="724.26(1)", 'CASE DATA'!E128="922(g)(8)", 'CASE DATA'!E128="724.29A(2)", 'CASE DATA'!E128="724.29A(3)", 'CASE DATA'!E128="724.30(1)", 'CASE DATA'!E128="724.30(2)", 'CASE DATA'!E128="725.1(2)(b)", 'CASE DATA'!E128="725.2(1)", 'CASE DATA'!E128="725.2(2)", 'CASE DATA'!E128="725.3(2)", 'CASE DATA'!E128="725.3(1)", 'CASE DATA'!E128="725.7(2)(a)(3)", 'CASE DATA'!E128="725.7(2)(a)(4)", 'CASE DATA'!E128="725.7(2)(b)(2)", 'CASE DATA'!E128="725.7(2)(b(3)", 'CASE DATA'!E128="726.7(2)(c)(1)", 'CASE DATA'!E128="726.7(2)(c)(2)", 'CASE DATA'!E128="725.7(2)(d)", 'CASE DATA'!E128="726.2", 'CASE DATA'!E128="726.3", 'CASE DATA'!E128="726.5", 'CASE DATA'!E128="726.6(4)", 'CASE DATA'!E128="726.6(5)", 'CASE DATA'!E128="726.6(6)", 'CASE DATA'!E128="726.6A", 'CASE DATA'!E128="726.7(2)", 'CASE DATA'!E128="726.8(2)", 'CASE DATA'!E128="728.12(1)", 'CASE DATA'!E128="728.12(2)"),"felony","eligible"),"N/A")</f>
        <v>N/A</v>
      </c>
      <c r="M127" s="185" t="str">
        <f>IF(L127="eligible",IF(OR('CASE DATA'!E128="123.46",'CASE DATA'!E128="123.47",'CASE DATA'!E128="235B.20",'CASE DATA'!E128="321.218",'CASE DATA'!E128="321A.32",'CASE DATA'!E128="321J.21",'CASE DATA'!E128="321J.2",'CASE DATA'!E128="707.5",'CASE DATA'!E128="708.2(3)",'CASE DATA'!E128="708.2A",'CASE DATA'!E128="708.7",'CASE DATA'!E128="708.11",'CASE DATA'!E128="708.12",'CASE DATA'!E128="716.8(3)",'CASE DATA'!E128="716.8(4)", LEFT('CASE DATA'!E128,4)="717C", LEFT('CASE DATA'!E128, 3)="719", LEFT('CASE DATA'!E128,3)="720", 'CASE DATA'!E128="721.2", 'CASE DATA'!E128="721.10", 'CASE DATA'!E128="723.1", LEFT('CASE DATA'!E128,3)="724", LEFT('CASE DATA'!E128,3)="726", LEFT('CASE DATA'!E128,3)="728", LEFT('CASE DATA'!E128,4)="901A"),"ineligible misd", "eligible"),"N/A")</f>
        <v>N/A</v>
      </c>
      <c r="N127" s="185" t="str">
        <f>IF(L127="eligible",IF(COUNTIF('CASE DATA'!$C$4:$C$200, "")-COUNTIF('CASE DATA'!$A$4:$A$200, "")&gt;0, "YES","NO"),"N/A")</f>
        <v>N/A</v>
      </c>
      <c r="O127" s="185" t="str">
        <f xml:space="preserve"> IF(M127="eligible",'CASE DATA'!K128,"N/A")</f>
        <v>N/A</v>
      </c>
      <c r="P127" s="185" t="str">
        <f xml:space="preserve"> IF(M127="eligible",'CASE DATA'!I128+'CASE DATA'!J128+'CASE DATA'!L128+'CASE DATA'!M128+'CASE DATA'!N128+'CASE DATA'!O128+'CASE DATA'!M128+'CASE DATA'!Q128+'CASE DATA'!R128,"N/A")</f>
        <v>N/A</v>
      </c>
      <c r="Q127" s="11" t="str">
        <f>IF(M127="eligible",IF(C127+730.5&lt;'BASIC INFO'!$B$3, "YES", "NO"),"N/A")</f>
        <v>N/A</v>
      </c>
      <c r="R127" s="186" t="str">
        <f xml:space="preserve"> IF(OR('CASE DATA'!F128="DEF"), "YES", "NO")</f>
        <v>NO</v>
      </c>
      <c r="S127" s="162" t="str">
        <f>IF(R127="YES",'CASE DATA'!H128,"N/A")</f>
        <v>N/A</v>
      </c>
      <c r="T127" s="185" t="str">
        <f xml:space="preserve"> IF(R127="YES",'CASE DATA'!K128,"N/A")</f>
        <v>N/A</v>
      </c>
      <c r="U127" s="185" t="str">
        <f>IF(R127="YES",'CASE DATA'!I128+'CASE DATA'!J128+'CASE DATA'!L128+'CASE DATA'!M128+'CASE DATA'!N128+'CASE DATA'!O128+'CASE DATA'!P128+'CASE DATA'!Q128+'CASE DATA'!R128,"N/A")</f>
        <v>N/A</v>
      </c>
      <c r="V127" s="189" t="str">
        <f>IF(OR('CASE DATA'!E128="123.46",'CASE DATA'!E128="123.47"),"YES","NO")</f>
        <v>NO</v>
      </c>
      <c r="W127" s="189"/>
      <c r="X127" s="185" t="str">
        <f>IF(V127="YES",IF(C127+730.5&lt;'BASIC INFO'!$B$3, "YES","NO"), "N/A")</f>
        <v>N/A</v>
      </c>
      <c r="Y127" s="189" t="str">
        <f t="shared" si="2"/>
        <v>NO</v>
      </c>
      <c r="Z127" s="187" t="str">
        <f xml:space="preserve"> IF('BASIC INFO'!$B$6+6574.5&gt;C127, "YES", "NO")</f>
        <v>YES</v>
      </c>
    </row>
    <row r="128" spans="1:26" x14ac:dyDescent="0.25">
      <c r="A128" s="162">
        <f xml:space="preserve"> 'CASE DATA'!A129</f>
        <v>0</v>
      </c>
      <c r="B128" s="162">
        <f xml:space="preserve"> 'CASE DATA'!E129</f>
        <v>0</v>
      </c>
      <c r="C128" s="163">
        <f xml:space="preserve"> 'CASE DATA'!C129</f>
        <v>0</v>
      </c>
      <c r="D128" s="11" t="str">
        <f xml:space="preserve"> IF(OR('CASE DATA'!F129="JUV", 'CASE DATA'!F129="JWV"), "YES", "NO")</f>
        <v>NO</v>
      </c>
      <c r="E128" s="11"/>
      <c r="F128" s="11" t="str">
        <f>IF(D128="YES",IF(COUNTIF('CASE DATA'!$C$4:$C$200, "")-COUNTIF('CASE DATA'!$A$4:$A$200, "")&gt;0, "YES","NO"),"N/A")</f>
        <v>N/A</v>
      </c>
      <c r="G128" s="164" t="str">
        <f xml:space="preserve"> _xlfn.IFS(D128="NO", "N/A", AND('BASIC INFO'!$B$3&gt;'BASIC INFO'!$B$6+6574.5, C128+730.5&lt;'BASIC INFO'!$B$3), "YES", 'BASIC INFO'!$B$3&lt;('BASIC INFO'!$B$6+6574.5), "NOT YET 18", C128+730.5&gt;'BASIC INFO'!$B$3, "NOT YET 2 YEARS")</f>
        <v>N/A</v>
      </c>
      <c r="H128" s="186" t="str">
        <f xml:space="preserve"> IF(LEFT('CASE DATA'!E129,4)&lt;&gt;"321.",IF(OR('CASE DATA'!F129="DISM", 'CASE DATA'!F129="ACQ", 'CASE DATA'!F129="NOTF", 'CASE DATA'!F129="WTHD", 'CASE DATA'!F129="TNSF"), "YES", "NO"), "TRAFFIC")</f>
        <v>NO</v>
      </c>
      <c r="I128" s="185" t="str">
        <f xml:space="preserve"> IF(H128="YES",'CASE DATA'!K129,"N/A")</f>
        <v>N/A</v>
      </c>
      <c r="J128" s="185" t="str">
        <f>IF(H128="YES",'CASE DATA'!I129+'CASE DATA'!J129+'CASE DATA'!L129+'CASE DATA'!M129+'CASE DATA'!N129+'CASE DATA'!O129+'CASE DATA'!P129+'CASE DATA'!Q129+'CASE DATA'!R129,"N/A")</f>
        <v>N/A</v>
      </c>
      <c r="K128" s="162" t="str">
        <f xml:space="preserve"> IF(H128="YES",IF(C128+180&lt;'BASIC INFO'!$B$3, "YES", "NO"),"N/A")</f>
        <v>N/A</v>
      </c>
      <c r="L128" s="185" t="str">
        <f>IF(OR('CASE DATA'!F129="GTR", 'CASE DATA'!F129="GPL"),IF(OR('CASE DATA'!E129="81.6(2)", 'CASE DATA'!E129="99F.15(6)(b)(1)", 'CASE DATA'!E129= "124.401(1)(a)", 'CASE DATA'!E129= "124.401(1)(b)", 'CASE DATA'!E129= "124.401(1)(c)", 'CASE DATA'!E129= "124.401(1)(d)", 'CASE DATA'!E129="124.401(4)", 'CASE DATA'!E129="124.401(1)(b)", 'CASE DATA'!E129="124.401(1)(c)", 'CASE DATA'!E129="124.401D(2)(b)", 'CASE DATA'!E129="124.401D(2)(c)", 'CASE DATA'!E129="124.406(1)(a)", 'CASE DATA'!E129="124.406(1)(b) ", 'CASE DATA'!E129="124.406(2)(a)", 'CASE DATA'!E129="124.406(2)(b) ", 'CASE DATA'!E129="124.406(3)", 'CASE DATA'!E129="124.406A ", 'CASE DATA'!E129="124.407(2)(a)", 'CASE DATA'!E129="124B.9(1)", 'CASE DATA'!E129="124B.9(2)", 'CASE DATA'!E129="321J.2(2)(c)", 'CASE DATA'!E129="453B.12(2)", 'CASE DATA'!E129="453B.12(3)", 'CASE DATA'!E129="453B.12(4)", 'CASE DATA'!E129="462A.14(2)(c)", 'CASE DATA'!E129="462A.14(2)(d)", 'CASE DATA'!E129="462A.14(2)(e)", 'CASE DATA'!E129="705.1(2)", 'CASE DATA'!E129="706.3(1)", 'CASE DATA'!E129="706.3(2)", 'CASE DATA'!E129="706A.2(1)", 'CASE DATA'!E129="706A.2(2)", 'CASE DATA'!E129="706A.2(4)", 'CASE DATA'!E129="706B.2(1)(a)", 'CASE DATA'!E129="706B.2(1)(b)", 'CASE DATA'!E129="706B.2(1)(c)", 'CASE DATA'!E129="706B.2(1)(d)", 'CASE DATA'!E129="707.2", 'CASE DATA'!E129="707.3", 'CASE DATA'!E129="707.3A", 'CASE DATA'!E129="707.4", 'CASE DATA'!E129="707.5(1)(a)", 'CASE DATA'!E129="707.6A(1)", 'CASE DATA'!E129="707.6A(2)", 'CASE DATA'!E129="707.6A(3)", 'CASE DATA'!E129="707.6A(4)", 'CASE DATA'!E129="707.7(1)", 'CASE DATA'!E129="707.7(3)", 'CASE DATA'!E129="707.7(2)", 'CASE DATA'!E129="707.8(1)", 'CASE DATA'!E129="707.8(2)", 'CASE DATA'!E129="707.8(3)", 'CASE DATA'!E129="707.8(4)", 'CASE DATA'!E129="707.8(5)", 'CASE DATA'!E129="707.8(6)", 'CASE DATA'!E129="707.9", 'CASE DATA'!E129="707.11", 'CASE DATA'!E129="707A.2", 'CASE DATA'!E129="708.2(4)", 'CASE DATA'!E129="708.2(5)", 'CASE DATA'!E129="708.2A(4)", 'CASE DATA'!E129="708.2A(5)", 'CASE DATA'!E129="708.2C(2)", 'CASE DATA'!E129="708.2C(4)", 'CASE DATA'!E129="708.3(1)", 'CASE DATA'!E129="708.3(2)", 'CASE DATA'!E129="708.3A(1)", 'CASE DATA'!E129="708.3A(2)", 'CASE DATA'!E129="708.3B", 'CASE DATA'!E129="708.4(1)", 'CASE DATA'!E129="708.4(2)", 'CASE DATA'!E129="708.5", 'CASE DATA'!E129="708.8", 'CASE DATA'!E129="708.11(3)(a)", 'CASE DATA'!E129="708.11(3)(b)", 'CASE DATA'!E129="708.12(3)(f)", 'CASE DATA'!E129="708.13(3)", 'CASE DATA'!E129="708.14", 'CASE DATA'!E129="708A.2", 'CASE DATA'!E129="708A.4(1)", 'CASE DATA'!E129="708A.4(2)", 'CASE DATA'!E129="708A.5", 'CASE DATA'!E129="708A.6(1)", 'CASE DATA'!E129="708.A.6(2)", 'CASE DATA'!E129="709.2", 'CASE DATA'!E129="709.3", 'CASE DATA'!E129="709.4", 'CASE DATA'!E129="709.8(1)(a)", 'CASE DATA'!E129="709.8(1)(b)", 'CASE DATA'!E129="709.8(1)(c)", 'CASE DATA'!E129="709.8(1)(d)", 'CASE DATA'!E129="709.8(1)(e)", 'CASE DATA'!E129="709.11(1)", 'CASE DATA'!E129="709.11(2)", 'CASE DATA'!E129="709.15(2)(a)(1)", 'CASE DATA'!E129="709.15(3)(a)(1)", 'CASE DATA'!E129="709.18", 'CASE DATA'!E129="709A.6(2)", 'CASE DATA'!E129="709D.3(1)", 'CASE DATA'!E129="709D.3(2)", 'CASE DATA'!E129="709.D.3(3)", 'CASE DATA'!E129="710.2", 'CASE DATA'!E129="710.3", 'CASE DATA'!E129="710.4", 'CASE DATA'!E129="710.5", 'CASE DATA'!E129="710.10(1)", 'CASE DATA'!E129="710.10(2)", 'CASE DATA'!E129="710.10(3)", 'CASE DATA'!E129="710.11", 'CASE DATA'!E129="710A.2(1)", 'CASE DATA'!E129="710A.2(2)", 'CASE DATA'!E129="710A.2(3)", 'CASE DATA'!E129="710A.2(4)", 'CASE DATA'!E129="710A.2(5)", 'CASE DATA'!E129="710A.2(6)", 'CASE DATA'!E129="710A.2(7)", 'CASE DATA'!E129="710A.2A", 'CASE DATA'!E129="711.2", 'CASE DATA'!E129="711.3", 'CASE DATA'!E129="711.4", 'CASE DATA'!E129="712.2", 'CASE DATA'!E129="712.3", 'CASE DATA'!E129="712.6(1)", 'CASE DATA'!E129="712.7", 'CASE DATA'!E129="712.8", 'CASE DATA'!E129="", 'CASE DATA'!E129="713.3", 'CASE DATA'!E129="713.4", 'CASE DATA'!E129="713.5", 'CASE DATA'!E129="713.6", 'CASE DATA'!E129="713.6A(1)", 'CASE DATA'!E129="714.2(1)", 'CASE DATA'!E129="714.2(2)", 'CASE DATA'!E129="714.3A(2)(b)", 'CASE DATA'!E129="714.9", 'CASE DATA'!E129="714.10", 'CASE DATA'!E129="714.26(2)(a)", 'CASE DATA'!E129="714.26(2)(b)", 'CASE DATA'!E129="715A.2(2)(a)", 'CASE DATA'!E129="715A.6(2)(a)", 'CASE DATA'!E129="715A.6(2)(b)", 'CASE DATA'!E129="715A.8(3)(a)", 'CASE DATA'!E129="715A.8(3)(b)", 'CASE DATA'!E129="715A.10(1)", 'CASE DATA'!E129="715A.10(2)", 'CASE DATA'!E129="716.3", 'CASE DATA'!E129="716.4", 'CASE DATA'!E129="716.8(6)", 'CASE DATA'!E129="716.10(2)(a)", 'CASE DATA'!E129="716.10(2)(b)", 'CASE DATA'!E129="716.10(2)(c)", 'CASE DATA'!E129="716.10(2)(d)", 'CASE DATA'!E129="716.12", 'CASE DATA'!E129="719.1(1)(f)", 'CASE DATA'!E129="719.1(2)(e)", 'CASE DATA'!E129="719.1(2)(f)", 'CASE DATA'!E129="719.1(2)(g)", 'CASE DATA'!E129="719.4(1)", 'CASE DATA'!E129="719.4(4)", 'CASE DATA'!E129="719.5(1)", 'CASE DATA'!E129="719.5(2)", 'CASE DATA'!E129="719.6(1)", 'CASE DATA'!E129="719.6(2)", 'CASE DATA'!E129="719.7(4)(a)", 'CASE DATA'!E129="719.7(4)(b)", 'CASE DATA'!E129="719.7A(3)", 'CASE DATA'!E129="719.9", 'CASE DATA'!E129="719.8", 'CASE DATA'!E129="720.2", 'CASE DATA'!E129="720.3", 'CASE DATA'!E129="721.1", 'CASE DATA'!E129="722.1", 'CASE DATA'!E129="", 'CASE DATA'!E129="722.2", 'CASE DATA'!E129="722.10", 'CASE DATA'!E129="723(5)(3)(c)", 'CASE DATA'!E129="723A.2", 'CASE DATA'!E129="723A.3(1)", 'CASE DATA'!E129="723A.3(2)", 'CASE DATA'!E129="724.1B", 'CASE DATA'!E129="724.1C", 'CASE DATA'!E129="724.3", 'CASE DATA'!E129="724.4B", 'CASE DATA'!E129="724.10", 'CASE DATA'!E129="724.16(2)", 'CASE DATA'!E129="724.16A(1)(a)", 'CASE DATA'!E129="724.16A(1)(b)", 'CASE DATA'!E129="724.17", 'CASE DATA'!E129="724.21", 'CASE DATA'!E129="724.26(1)", 'CASE DATA'!E129="922(g)(8)", 'CASE DATA'!E129="724.29A(2)", 'CASE DATA'!E129="724.29A(3)", 'CASE DATA'!E129="724.30(1)", 'CASE DATA'!E129="724.30(2)", 'CASE DATA'!E129="725.1(2)(b)", 'CASE DATA'!E129="725.2(1)", 'CASE DATA'!E129="725.2(2)", 'CASE DATA'!E129="725.3(2)", 'CASE DATA'!E129="725.3(1)", 'CASE DATA'!E129="725.7(2)(a)(3)", 'CASE DATA'!E129="725.7(2)(a)(4)", 'CASE DATA'!E129="725.7(2)(b)(2)", 'CASE DATA'!E129="725.7(2)(b(3)", 'CASE DATA'!E129="726.7(2)(c)(1)", 'CASE DATA'!E129="726.7(2)(c)(2)", 'CASE DATA'!E129="725.7(2)(d)", 'CASE DATA'!E129="726.2", 'CASE DATA'!E129="726.3", 'CASE DATA'!E129="726.5", 'CASE DATA'!E129="726.6(4)", 'CASE DATA'!E129="726.6(5)", 'CASE DATA'!E129="726.6(6)", 'CASE DATA'!E129="726.6A", 'CASE DATA'!E129="726.7(2)", 'CASE DATA'!E129="726.8(2)", 'CASE DATA'!E129="728.12(1)", 'CASE DATA'!E129="728.12(2)"),"felony","eligible"),"N/A")</f>
        <v>N/A</v>
      </c>
      <c r="M128" s="185" t="str">
        <f>IF(L128="eligible",IF(OR('CASE DATA'!E129="123.46",'CASE DATA'!E129="123.47",'CASE DATA'!E129="235B.20",'CASE DATA'!E129="321.218",'CASE DATA'!E129="321A.32",'CASE DATA'!E129="321J.21",'CASE DATA'!E129="321J.2",'CASE DATA'!E129="707.5",'CASE DATA'!E129="708.2(3)",'CASE DATA'!E129="708.2A",'CASE DATA'!E129="708.7",'CASE DATA'!E129="708.11",'CASE DATA'!E129="708.12",'CASE DATA'!E129="716.8(3)",'CASE DATA'!E129="716.8(4)", LEFT('CASE DATA'!E129,4)="717C", LEFT('CASE DATA'!E129, 3)="719", LEFT('CASE DATA'!E129,3)="720", 'CASE DATA'!E129="721.2", 'CASE DATA'!E129="721.10", 'CASE DATA'!E129="723.1", LEFT('CASE DATA'!E129,3)="724", LEFT('CASE DATA'!E129,3)="726", LEFT('CASE DATA'!E129,3)="728", LEFT('CASE DATA'!E129,4)="901A"),"ineligible misd", "eligible"),"N/A")</f>
        <v>N/A</v>
      </c>
      <c r="N128" s="185" t="str">
        <f>IF(L128="eligible",IF(COUNTIF('CASE DATA'!$C$4:$C$200, "")-COUNTIF('CASE DATA'!$A$4:$A$200, "")&gt;0, "YES","NO"),"N/A")</f>
        <v>N/A</v>
      </c>
      <c r="O128" s="185" t="str">
        <f xml:space="preserve"> IF(M128="eligible",'CASE DATA'!K129,"N/A")</f>
        <v>N/A</v>
      </c>
      <c r="P128" s="185" t="str">
        <f xml:space="preserve"> IF(M128="eligible",'CASE DATA'!I129+'CASE DATA'!J129+'CASE DATA'!L129+'CASE DATA'!M129+'CASE DATA'!N129+'CASE DATA'!O129+'CASE DATA'!M129+'CASE DATA'!Q129+'CASE DATA'!R129,"N/A")</f>
        <v>N/A</v>
      </c>
      <c r="Q128" s="11" t="str">
        <f>IF(M128="eligible",IF(C128+730.5&lt;'BASIC INFO'!$B$3, "YES", "NO"),"N/A")</f>
        <v>N/A</v>
      </c>
      <c r="R128" s="186" t="str">
        <f xml:space="preserve"> IF(OR('CASE DATA'!F129="DEF"), "YES", "NO")</f>
        <v>NO</v>
      </c>
      <c r="S128" s="162" t="str">
        <f>IF(R128="YES",'CASE DATA'!H129,"N/A")</f>
        <v>N/A</v>
      </c>
      <c r="T128" s="185" t="str">
        <f xml:space="preserve"> IF(R128="YES",'CASE DATA'!K129,"N/A")</f>
        <v>N/A</v>
      </c>
      <c r="U128" s="185" t="str">
        <f>IF(R128="YES",'CASE DATA'!I129+'CASE DATA'!J129+'CASE DATA'!L129+'CASE DATA'!M129+'CASE DATA'!N129+'CASE DATA'!O129+'CASE DATA'!P129+'CASE DATA'!Q129+'CASE DATA'!R129,"N/A")</f>
        <v>N/A</v>
      </c>
      <c r="V128" s="189" t="str">
        <f>IF(OR('CASE DATA'!E129="123.46",'CASE DATA'!E129="123.47"),"YES","NO")</f>
        <v>NO</v>
      </c>
      <c r="W128" s="189"/>
      <c r="X128" s="185" t="str">
        <f>IF(V128="YES",IF(C128+730.5&lt;'BASIC INFO'!$B$3, "YES","NO"), "N/A")</f>
        <v>N/A</v>
      </c>
      <c r="Y128" s="189" t="str">
        <f t="shared" si="2"/>
        <v>NO</v>
      </c>
      <c r="Z128" s="187" t="str">
        <f xml:space="preserve"> IF('BASIC INFO'!$B$6+6574.5&gt;C128, "YES", "NO")</f>
        <v>YES</v>
      </c>
    </row>
    <row r="129" spans="1:26" x14ac:dyDescent="0.25">
      <c r="A129" s="162">
        <f xml:space="preserve"> 'CASE DATA'!A130</f>
        <v>0</v>
      </c>
      <c r="B129" s="162">
        <f xml:space="preserve"> 'CASE DATA'!E130</f>
        <v>0</v>
      </c>
      <c r="C129" s="163">
        <f xml:space="preserve"> 'CASE DATA'!C130</f>
        <v>0</v>
      </c>
      <c r="D129" s="11" t="str">
        <f xml:space="preserve"> IF(OR('CASE DATA'!F130="JUV", 'CASE DATA'!F130="JWV"), "YES", "NO")</f>
        <v>NO</v>
      </c>
      <c r="E129" s="11"/>
      <c r="F129" s="11" t="str">
        <f>IF(D129="YES",IF(COUNTIF('CASE DATA'!$C$4:$C$200, "")-COUNTIF('CASE DATA'!$A$4:$A$200, "")&gt;0, "YES","NO"),"N/A")</f>
        <v>N/A</v>
      </c>
      <c r="G129" s="164" t="str">
        <f xml:space="preserve"> _xlfn.IFS(D129="NO", "N/A", AND('BASIC INFO'!$B$3&gt;'BASIC INFO'!$B$6+6574.5, C129+730.5&lt;'BASIC INFO'!$B$3), "YES", 'BASIC INFO'!$B$3&lt;('BASIC INFO'!$B$6+6574.5), "NOT YET 18", C129+730.5&gt;'BASIC INFO'!$B$3, "NOT YET 2 YEARS")</f>
        <v>N/A</v>
      </c>
      <c r="H129" s="186" t="str">
        <f xml:space="preserve"> IF(LEFT('CASE DATA'!E130,4)&lt;&gt;"321.",IF(OR('CASE DATA'!F130="DISM", 'CASE DATA'!F130="ACQ", 'CASE DATA'!F130="NOTF", 'CASE DATA'!F130="WTHD", 'CASE DATA'!F130="TNSF"), "YES", "NO"), "TRAFFIC")</f>
        <v>NO</v>
      </c>
      <c r="I129" s="185" t="str">
        <f xml:space="preserve"> IF(H129="YES",'CASE DATA'!K130,"N/A")</f>
        <v>N/A</v>
      </c>
      <c r="J129" s="185" t="str">
        <f>IF(H129="YES",'CASE DATA'!I130+'CASE DATA'!J130+'CASE DATA'!L130+'CASE DATA'!M130+'CASE DATA'!N130+'CASE DATA'!O130+'CASE DATA'!P130+'CASE DATA'!Q130+'CASE DATA'!R130,"N/A")</f>
        <v>N/A</v>
      </c>
      <c r="K129" s="162" t="str">
        <f xml:space="preserve"> IF(H129="YES",IF(C129+180&lt;'BASIC INFO'!$B$3, "YES", "NO"),"N/A")</f>
        <v>N/A</v>
      </c>
      <c r="L129" s="185" t="str">
        <f>IF(OR('CASE DATA'!F130="GTR", 'CASE DATA'!F130="GPL"),IF(OR('CASE DATA'!E130="81.6(2)", 'CASE DATA'!E130="99F.15(6)(b)(1)", 'CASE DATA'!E130= "124.401(1)(a)", 'CASE DATA'!E130= "124.401(1)(b)", 'CASE DATA'!E130= "124.401(1)(c)", 'CASE DATA'!E130= "124.401(1)(d)", 'CASE DATA'!E130="124.401(4)", 'CASE DATA'!E130="124.401(1)(b)", 'CASE DATA'!E130="124.401(1)(c)", 'CASE DATA'!E130="124.401D(2)(b)", 'CASE DATA'!E130="124.401D(2)(c)", 'CASE DATA'!E130="124.406(1)(a)", 'CASE DATA'!E130="124.406(1)(b) ", 'CASE DATA'!E130="124.406(2)(a)", 'CASE DATA'!E130="124.406(2)(b) ", 'CASE DATA'!E130="124.406(3)", 'CASE DATA'!E130="124.406A ", 'CASE DATA'!E130="124.407(2)(a)", 'CASE DATA'!E130="124B.9(1)", 'CASE DATA'!E130="124B.9(2)", 'CASE DATA'!E130="321J.2(2)(c)", 'CASE DATA'!E130="453B.12(2)", 'CASE DATA'!E130="453B.12(3)", 'CASE DATA'!E130="453B.12(4)", 'CASE DATA'!E130="462A.14(2)(c)", 'CASE DATA'!E130="462A.14(2)(d)", 'CASE DATA'!E130="462A.14(2)(e)", 'CASE DATA'!E130="705.1(2)", 'CASE DATA'!E130="706.3(1)", 'CASE DATA'!E130="706.3(2)", 'CASE DATA'!E130="706A.2(1)", 'CASE DATA'!E130="706A.2(2)", 'CASE DATA'!E130="706A.2(4)", 'CASE DATA'!E130="706B.2(1)(a)", 'CASE DATA'!E130="706B.2(1)(b)", 'CASE DATA'!E130="706B.2(1)(c)", 'CASE DATA'!E130="706B.2(1)(d)", 'CASE DATA'!E130="707.2", 'CASE DATA'!E130="707.3", 'CASE DATA'!E130="707.3A", 'CASE DATA'!E130="707.4", 'CASE DATA'!E130="707.5(1)(a)", 'CASE DATA'!E130="707.6A(1)", 'CASE DATA'!E130="707.6A(2)", 'CASE DATA'!E130="707.6A(3)", 'CASE DATA'!E130="707.6A(4)", 'CASE DATA'!E130="707.7(1)", 'CASE DATA'!E130="707.7(3)", 'CASE DATA'!E130="707.7(2)", 'CASE DATA'!E130="707.8(1)", 'CASE DATA'!E130="707.8(2)", 'CASE DATA'!E130="707.8(3)", 'CASE DATA'!E130="707.8(4)", 'CASE DATA'!E130="707.8(5)", 'CASE DATA'!E130="707.8(6)", 'CASE DATA'!E130="707.9", 'CASE DATA'!E130="707.11", 'CASE DATA'!E130="707A.2", 'CASE DATA'!E130="708.2(4)", 'CASE DATA'!E130="708.2(5)", 'CASE DATA'!E130="708.2A(4)", 'CASE DATA'!E130="708.2A(5)", 'CASE DATA'!E130="708.2C(2)", 'CASE DATA'!E130="708.2C(4)", 'CASE DATA'!E130="708.3(1)", 'CASE DATA'!E130="708.3(2)", 'CASE DATA'!E130="708.3A(1)", 'CASE DATA'!E130="708.3A(2)", 'CASE DATA'!E130="708.3B", 'CASE DATA'!E130="708.4(1)", 'CASE DATA'!E130="708.4(2)", 'CASE DATA'!E130="708.5", 'CASE DATA'!E130="708.8", 'CASE DATA'!E130="708.11(3)(a)", 'CASE DATA'!E130="708.11(3)(b)", 'CASE DATA'!E130="708.12(3)(f)", 'CASE DATA'!E130="708.13(3)", 'CASE DATA'!E130="708.14", 'CASE DATA'!E130="708A.2", 'CASE DATA'!E130="708A.4(1)", 'CASE DATA'!E130="708A.4(2)", 'CASE DATA'!E130="708A.5", 'CASE DATA'!E130="708A.6(1)", 'CASE DATA'!E130="708.A.6(2)", 'CASE DATA'!E130="709.2", 'CASE DATA'!E130="709.3", 'CASE DATA'!E130="709.4", 'CASE DATA'!E130="709.8(1)(a)", 'CASE DATA'!E130="709.8(1)(b)", 'CASE DATA'!E130="709.8(1)(c)", 'CASE DATA'!E130="709.8(1)(d)", 'CASE DATA'!E130="709.8(1)(e)", 'CASE DATA'!E130="709.11(1)", 'CASE DATA'!E130="709.11(2)", 'CASE DATA'!E130="709.15(2)(a)(1)", 'CASE DATA'!E130="709.15(3)(a)(1)", 'CASE DATA'!E130="709.18", 'CASE DATA'!E130="709A.6(2)", 'CASE DATA'!E130="709D.3(1)", 'CASE DATA'!E130="709D.3(2)", 'CASE DATA'!E130="709.D.3(3)", 'CASE DATA'!E130="710.2", 'CASE DATA'!E130="710.3", 'CASE DATA'!E130="710.4", 'CASE DATA'!E130="710.5", 'CASE DATA'!E130="710.10(1)", 'CASE DATA'!E130="710.10(2)", 'CASE DATA'!E130="710.10(3)", 'CASE DATA'!E130="710.11", 'CASE DATA'!E130="710A.2(1)", 'CASE DATA'!E130="710A.2(2)", 'CASE DATA'!E130="710A.2(3)", 'CASE DATA'!E130="710A.2(4)", 'CASE DATA'!E130="710A.2(5)", 'CASE DATA'!E130="710A.2(6)", 'CASE DATA'!E130="710A.2(7)", 'CASE DATA'!E130="710A.2A", 'CASE DATA'!E130="711.2", 'CASE DATA'!E130="711.3", 'CASE DATA'!E130="711.4", 'CASE DATA'!E130="712.2", 'CASE DATA'!E130="712.3", 'CASE DATA'!E130="712.6(1)", 'CASE DATA'!E130="712.7", 'CASE DATA'!E130="712.8", 'CASE DATA'!E130="", 'CASE DATA'!E130="713.3", 'CASE DATA'!E130="713.4", 'CASE DATA'!E130="713.5", 'CASE DATA'!E130="713.6", 'CASE DATA'!E130="713.6A(1)", 'CASE DATA'!E130="714.2(1)", 'CASE DATA'!E130="714.2(2)", 'CASE DATA'!E130="714.3A(2)(b)", 'CASE DATA'!E130="714.9", 'CASE DATA'!E130="714.10", 'CASE DATA'!E130="714.26(2)(a)", 'CASE DATA'!E130="714.26(2)(b)", 'CASE DATA'!E130="715A.2(2)(a)", 'CASE DATA'!E130="715A.6(2)(a)", 'CASE DATA'!E130="715A.6(2)(b)", 'CASE DATA'!E130="715A.8(3)(a)", 'CASE DATA'!E130="715A.8(3)(b)", 'CASE DATA'!E130="715A.10(1)", 'CASE DATA'!E130="715A.10(2)", 'CASE DATA'!E130="716.3", 'CASE DATA'!E130="716.4", 'CASE DATA'!E130="716.8(6)", 'CASE DATA'!E130="716.10(2)(a)", 'CASE DATA'!E130="716.10(2)(b)", 'CASE DATA'!E130="716.10(2)(c)", 'CASE DATA'!E130="716.10(2)(d)", 'CASE DATA'!E130="716.12", 'CASE DATA'!E130="719.1(1)(f)", 'CASE DATA'!E130="719.1(2)(e)", 'CASE DATA'!E130="719.1(2)(f)", 'CASE DATA'!E130="719.1(2)(g)", 'CASE DATA'!E130="719.4(1)", 'CASE DATA'!E130="719.4(4)", 'CASE DATA'!E130="719.5(1)", 'CASE DATA'!E130="719.5(2)", 'CASE DATA'!E130="719.6(1)", 'CASE DATA'!E130="719.6(2)", 'CASE DATA'!E130="719.7(4)(a)", 'CASE DATA'!E130="719.7(4)(b)", 'CASE DATA'!E130="719.7A(3)", 'CASE DATA'!E130="719.9", 'CASE DATA'!E130="719.8", 'CASE DATA'!E130="720.2", 'CASE DATA'!E130="720.3", 'CASE DATA'!E130="721.1", 'CASE DATA'!E130="722.1", 'CASE DATA'!E130="", 'CASE DATA'!E130="722.2", 'CASE DATA'!E130="722.10", 'CASE DATA'!E130="723(5)(3)(c)", 'CASE DATA'!E130="723A.2", 'CASE DATA'!E130="723A.3(1)", 'CASE DATA'!E130="723A.3(2)", 'CASE DATA'!E130="724.1B", 'CASE DATA'!E130="724.1C", 'CASE DATA'!E130="724.3", 'CASE DATA'!E130="724.4B", 'CASE DATA'!E130="724.10", 'CASE DATA'!E130="724.16(2)", 'CASE DATA'!E130="724.16A(1)(a)", 'CASE DATA'!E130="724.16A(1)(b)", 'CASE DATA'!E130="724.17", 'CASE DATA'!E130="724.21", 'CASE DATA'!E130="724.26(1)", 'CASE DATA'!E130="922(g)(8)", 'CASE DATA'!E130="724.29A(2)", 'CASE DATA'!E130="724.29A(3)", 'CASE DATA'!E130="724.30(1)", 'CASE DATA'!E130="724.30(2)", 'CASE DATA'!E130="725.1(2)(b)", 'CASE DATA'!E130="725.2(1)", 'CASE DATA'!E130="725.2(2)", 'CASE DATA'!E130="725.3(2)", 'CASE DATA'!E130="725.3(1)", 'CASE DATA'!E130="725.7(2)(a)(3)", 'CASE DATA'!E130="725.7(2)(a)(4)", 'CASE DATA'!E130="725.7(2)(b)(2)", 'CASE DATA'!E130="725.7(2)(b(3)", 'CASE DATA'!E130="726.7(2)(c)(1)", 'CASE DATA'!E130="726.7(2)(c)(2)", 'CASE DATA'!E130="725.7(2)(d)", 'CASE DATA'!E130="726.2", 'CASE DATA'!E130="726.3", 'CASE DATA'!E130="726.5", 'CASE DATA'!E130="726.6(4)", 'CASE DATA'!E130="726.6(5)", 'CASE DATA'!E130="726.6(6)", 'CASE DATA'!E130="726.6A", 'CASE DATA'!E130="726.7(2)", 'CASE DATA'!E130="726.8(2)", 'CASE DATA'!E130="728.12(1)", 'CASE DATA'!E130="728.12(2)"),"felony","eligible"),"N/A")</f>
        <v>N/A</v>
      </c>
      <c r="M129" s="185" t="str">
        <f>IF(L129="eligible",IF(OR('CASE DATA'!E130="123.46",'CASE DATA'!E130="123.47",'CASE DATA'!E130="235B.20",'CASE DATA'!E130="321.218",'CASE DATA'!E130="321A.32",'CASE DATA'!E130="321J.21",'CASE DATA'!E130="321J.2",'CASE DATA'!E130="707.5",'CASE DATA'!E130="708.2(3)",'CASE DATA'!E130="708.2A",'CASE DATA'!E130="708.7",'CASE DATA'!E130="708.11",'CASE DATA'!E130="708.12",'CASE DATA'!E130="716.8(3)",'CASE DATA'!E130="716.8(4)", LEFT('CASE DATA'!E130,4)="717C", LEFT('CASE DATA'!E130, 3)="719", LEFT('CASE DATA'!E130,3)="720", 'CASE DATA'!E130="721.2", 'CASE DATA'!E130="721.10", 'CASE DATA'!E130="723.1", LEFT('CASE DATA'!E130,3)="724", LEFT('CASE DATA'!E130,3)="726", LEFT('CASE DATA'!E130,3)="728", LEFT('CASE DATA'!E130,4)="901A"),"ineligible misd", "eligible"),"N/A")</f>
        <v>N/A</v>
      </c>
      <c r="N129" s="185" t="str">
        <f>IF(L129="eligible",IF(COUNTIF('CASE DATA'!$C$4:$C$200, "")-COUNTIF('CASE DATA'!$A$4:$A$200, "")&gt;0, "YES","NO"),"N/A")</f>
        <v>N/A</v>
      </c>
      <c r="O129" s="185" t="str">
        <f xml:space="preserve"> IF(M129="eligible",'CASE DATA'!K130,"N/A")</f>
        <v>N/A</v>
      </c>
      <c r="P129" s="185" t="str">
        <f xml:space="preserve"> IF(M129="eligible",'CASE DATA'!I130+'CASE DATA'!J130+'CASE DATA'!L130+'CASE DATA'!M130+'CASE DATA'!N130+'CASE DATA'!O130+'CASE DATA'!M130+'CASE DATA'!Q130+'CASE DATA'!R130,"N/A")</f>
        <v>N/A</v>
      </c>
      <c r="Q129" s="11" t="str">
        <f>IF(M129="eligible",IF(C129+730.5&lt;'BASIC INFO'!$B$3, "YES", "NO"),"N/A")</f>
        <v>N/A</v>
      </c>
      <c r="R129" s="186" t="str">
        <f xml:space="preserve"> IF(OR('CASE DATA'!F130="DEF"), "YES", "NO")</f>
        <v>NO</v>
      </c>
      <c r="S129" s="162" t="str">
        <f>IF(R129="YES",'CASE DATA'!H130,"N/A")</f>
        <v>N/A</v>
      </c>
      <c r="T129" s="185" t="str">
        <f xml:space="preserve"> IF(R129="YES",'CASE DATA'!K130,"N/A")</f>
        <v>N/A</v>
      </c>
      <c r="U129" s="185" t="str">
        <f>IF(R129="YES",'CASE DATA'!I130+'CASE DATA'!J130+'CASE DATA'!L130+'CASE DATA'!M130+'CASE DATA'!N130+'CASE DATA'!O130+'CASE DATA'!P130+'CASE DATA'!Q130+'CASE DATA'!R130,"N/A")</f>
        <v>N/A</v>
      </c>
      <c r="V129" s="189" t="str">
        <f>IF(OR('CASE DATA'!E130="123.46",'CASE DATA'!E130="123.47"),"YES","NO")</f>
        <v>NO</v>
      </c>
      <c r="W129" s="189"/>
      <c r="X129" s="185" t="str">
        <f>IF(V129="YES",IF(C129+730.5&lt;'BASIC INFO'!$B$3, "YES","NO"), "N/A")</f>
        <v>N/A</v>
      </c>
      <c r="Y129" s="189" t="str">
        <f t="shared" si="2"/>
        <v>NO</v>
      </c>
      <c r="Z129" s="187" t="str">
        <f xml:space="preserve"> IF('BASIC INFO'!$B$6+6574.5&gt;C129, "YES", "NO")</f>
        <v>YES</v>
      </c>
    </row>
    <row r="130" spans="1:26" x14ac:dyDescent="0.25">
      <c r="A130" s="162">
        <f xml:space="preserve"> 'CASE DATA'!A131</f>
        <v>0</v>
      </c>
      <c r="B130" s="162">
        <f xml:space="preserve"> 'CASE DATA'!E131</f>
        <v>0</v>
      </c>
      <c r="C130" s="163">
        <f xml:space="preserve"> 'CASE DATA'!C131</f>
        <v>0</v>
      </c>
      <c r="D130" s="11" t="str">
        <f xml:space="preserve"> IF(OR('CASE DATA'!F131="JUV", 'CASE DATA'!F131="JWV"), "YES", "NO")</f>
        <v>NO</v>
      </c>
      <c r="E130" s="11"/>
      <c r="F130" s="11" t="str">
        <f>IF(D130="YES",IF(COUNTIF('CASE DATA'!$C$4:$C$200, "")-COUNTIF('CASE DATA'!$A$4:$A$200, "")&gt;0, "YES","NO"),"N/A")</f>
        <v>N/A</v>
      </c>
      <c r="G130" s="164" t="str">
        <f xml:space="preserve"> _xlfn.IFS(D130="NO", "N/A", AND('BASIC INFO'!$B$3&gt;'BASIC INFO'!$B$6+6574.5, C130+730.5&lt;'BASIC INFO'!$B$3), "YES", 'BASIC INFO'!$B$3&lt;('BASIC INFO'!$B$6+6574.5), "NOT YET 18", C130+730.5&gt;'BASIC INFO'!$B$3, "NOT YET 2 YEARS")</f>
        <v>N/A</v>
      </c>
      <c r="H130" s="186" t="str">
        <f xml:space="preserve"> IF(LEFT('CASE DATA'!E131,4)&lt;&gt;"321.",IF(OR('CASE DATA'!F131="DISM", 'CASE DATA'!F131="ACQ", 'CASE DATA'!F131="NOTF", 'CASE DATA'!F131="WTHD", 'CASE DATA'!F131="TNSF"), "YES", "NO"), "TRAFFIC")</f>
        <v>NO</v>
      </c>
      <c r="I130" s="185" t="str">
        <f xml:space="preserve"> IF(H130="YES",'CASE DATA'!K131,"N/A")</f>
        <v>N/A</v>
      </c>
      <c r="J130" s="185" t="str">
        <f>IF(H130="YES",'CASE DATA'!I131+'CASE DATA'!J131+'CASE DATA'!L131+'CASE DATA'!M131+'CASE DATA'!N131+'CASE DATA'!O131+'CASE DATA'!P131+'CASE DATA'!Q131+'CASE DATA'!R131,"N/A")</f>
        <v>N/A</v>
      </c>
      <c r="K130" s="162" t="str">
        <f xml:space="preserve"> IF(H130="YES",IF(C130+180&lt;'BASIC INFO'!$B$3, "YES", "NO"),"N/A")</f>
        <v>N/A</v>
      </c>
      <c r="L130" s="185" t="str">
        <f>IF(OR('CASE DATA'!F131="GTR", 'CASE DATA'!F131="GPL"),IF(OR('CASE DATA'!E131="81.6(2)", 'CASE DATA'!E131="99F.15(6)(b)(1)", 'CASE DATA'!E131= "124.401(1)(a)", 'CASE DATA'!E131= "124.401(1)(b)", 'CASE DATA'!E131= "124.401(1)(c)", 'CASE DATA'!E131= "124.401(1)(d)", 'CASE DATA'!E131="124.401(4)", 'CASE DATA'!E131="124.401(1)(b)", 'CASE DATA'!E131="124.401(1)(c)", 'CASE DATA'!E131="124.401D(2)(b)", 'CASE DATA'!E131="124.401D(2)(c)", 'CASE DATA'!E131="124.406(1)(a)", 'CASE DATA'!E131="124.406(1)(b) ", 'CASE DATA'!E131="124.406(2)(a)", 'CASE DATA'!E131="124.406(2)(b) ", 'CASE DATA'!E131="124.406(3)", 'CASE DATA'!E131="124.406A ", 'CASE DATA'!E131="124.407(2)(a)", 'CASE DATA'!E131="124B.9(1)", 'CASE DATA'!E131="124B.9(2)", 'CASE DATA'!E131="321J.2(2)(c)", 'CASE DATA'!E131="453B.12(2)", 'CASE DATA'!E131="453B.12(3)", 'CASE DATA'!E131="453B.12(4)", 'CASE DATA'!E131="462A.14(2)(c)", 'CASE DATA'!E131="462A.14(2)(d)", 'CASE DATA'!E131="462A.14(2)(e)", 'CASE DATA'!E131="705.1(2)", 'CASE DATA'!E131="706.3(1)", 'CASE DATA'!E131="706.3(2)", 'CASE DATA'!E131="706A.2(1)", 'CASE DATA'!E131="706A.2(2)", 'CASE DATA'!E131="706A.2(4)", 'CASE DATA'!E131="706B.2(1)(a)", 'CASE DATA'!E131="706B.2(1)(b)", 'CASE DATA'!E131="706B.2(1)(c)", 'CASE DATA'!E131="706B.2(1)(d)", 'CASE DATA'!E131="707.2", 'CASE DATA'!E131="707.3", 'CASE DATA'!E131="707.3A", 'CASE DATA'!E131="707.4", 'CASE DATA'!E131="707.5(1)(a)", 'CASE DATA'!E131="707.6A(1)", 'CASE DATA'!E131="707.6A(2)", 'CASE DATA'!E131="707.6A(3)", 'CASE DATA'!E131="707.6A(4)", 'CASE DATA'!E131="707.7(1)", 'CASE DATA'!E131="707.7(3)", 'CASE DATA'!E131="707.7(2)", 'CASE DATA'!E131="707.8(1)", 'CASE DATA'!E131="707.8(2)", 'CASE DATA'!E131="707.8(3)", 'CASE DATA'!E131="707.8(4)", 'CASE DATA'!E131="707.8(5)", 'CASE DATA'!E131="707.8(6)", 'CASE DATA'!E131="707.9", 'CASE DATA'!E131="707.11", 'CASE DATA'!E131="707A.2", 'CASE DATA'!E131="708.2(4)", 'CASE DATA'!E131="708.2(5)", 'CASE DATA'!E131="708.2A(4)", 'CASE DATA'!E131="708.2A(5)", 'CASE DATA'!E131="708.2C(2)", 'CASE DATA'!E131="708.2C(4)", 'CASE DATA'!E131="708.3(1)", 'CASE DATA'!E131="708.3(2)", 'CASE DATA'!E131="708.3A(1)", 'CASE DATA'!E131="708.3A(2)", 'CASE DATA'!E131="708.3B", 'CASE DATA'!E131="708.4(1)", 'CASE DATA'!E131="708.4(2)", 'CASE DATA'!E131="708.5", 'CASE DATA'!E131="708.8", 'CASE DATA'!E131="708.11(3)(a)", 'CASE DATA'!E131="708.11(3)(b)", 'CASE DATA'!E131="708.12(3)(f)", 'CASE DATA'!E131="708.13(3)", 'CASE DATA'!E131="708.14", 'CASE DATA'!E131="708A.2", 'CASE DATA'!E131="708A.4(1)", 'CASE DATA'!E131="708A.4(2)", 'CASE DATA'!E131="708A.5", 'CASE DATA'!E131="708A.6(1)", 'CASE DATA'!E131="708.A.6(2)", 'CASE DATA'!E131="709.2", 'CASE DATA'!E131="709.3", 'CASE DATA'!E131="709.4", 'CASE DATA'!E131="709.8(1)(a)", 'CASE DATA'!E131="709.8(1)(b)", 'CASE DATA'!E131="709.8(1)(c)", 'CASE DATA'!E131="709.8(1)(d)", 'CASE DATA'!E131="709.8(1)(e)", 'CASE DATA'!E131="709.11(1)", 'CASE DATA'!E131="709.11(2)", 'CASE DATA'!E131="709.15(2)(a)(1)", 'CASE DATA'!E131="709.15(3)(a)(1)", 'CASE DATA'!E131="709.18", 'CASE DATA'!E131="709A.6(2)", 'CASE DATA'!E131="709D.3(1)", 'CASE DATA'!E131="709D.3(2)", 'CASE DATA'!E131="709.D.3(3)", 'CASE DATA'!E131="710.2", 'CASE DATA'!E131="710.3", 'CASE DATA'!E131="710.4", 'CASE DATA'!E131="710.5", 'CASE DATA'!E131="710.10(1)", 'CASE DATA'!E131="710.10(2)", 'CASE DATA'!E131="710.10(3)", 'CASE DATA'!E131="710.11", 'CASE DATA'!E131="710A.2(1)", 'CASE DATA'!E131="710A.2(2)", 'CASE DATA'!E131="710A.2(3)", 'CASE DATA'!E131="710A.2(4)", 'CASE DATA'!E131="710A.2(5)", 'CASE DATA'!E131="710A.2(6)", 'CASE DATA'!E131="710A.2(7)", 'CASE DATA'!E131="710A.2A", 'CASE DATA'!E131="711.2", 'CASE DATA'!E131="711.3", 'CASE DATA'!E131="711.4", 'CASE DATA'!E131="712.2", 'CASE DATA'!E131="712.3", 'CASE DATA'!E131="712.6(1)", 'CASE DATA'!E131="712.7", 'CASE DATA'!E131="712.8", 'CASE DATA'!E131="", 'CASE DATA'!E131="713.3", 'CASE DATA'!E131="713.4", 'CASE DATA'!E131="713.5", 'CASE DATA'!E131="713.6", 'CASE DATA'!E131="713.6A(1)", 'CASE DATA'!E131="714.2(1)", 'CASE DATA'!E131="714.2(2)", 'CASE DATA'!E131="714.3A(2)(b)", 'CASE DATA'!E131="714.9", 'CASE DATA'!E131="714.10", 'CASE DATA'!E131="714.26(2)(a)", 'CASE DATA'!E131="714.26(2)(b)", 'CASE DATA'!E131="715A.2(2)(a)", 'CASE DATA'!E131="715A.6(2)(a)", 'CASE DATA'!E131="715A.6(2)(b)", 'CASE DATA'!E131="715A.8(3)(a)", 'CASE DATA'!E131="715A.8(3)(b)", 'CASE DATA'!E131="715A.10(1)", 'CASE DATA'!E131="715A.10(2)", 'CASE DATA'!E131="716.3", 'CASE DATA'!E131="716.4", 'CASE DATA'!E131="716.8(6)", 'CASE DATA'!E131="716.10(2)(a)", 'CASE DATA'!E131="716.10(2)(b)", 'CASE DATA'!E131="716.10(2)(c)", 'CASE DATA'!E131="716.10(2)(d)", 'CASE DATA'!E131="716.12", 'CASE DATA'!E131="719.1(1)(f)", 'CASE DATA'!E131="719.1(2)(e)", 'CASE DATA'!E131="719.1(2)(f)", 'CASE DATA'!E131="719.1(2)(g)", 'CASE DATA'!E131="719.4(1)", 'CASE DATA'!E131="719.4(4)", 'CASE DATA'!E131="719.5(1)", 'CASE DATA'!E131="719.5(2)", 'CASE DATA'!E131="719.6(1)", 'CASE DATA'!E131="719.6(2)", 'CASE DATA'!E131="719.7(4)(a)", 'CASE DATA'!E131="719.7(4)(b)", 'CASE DATA'!E131="719.7A(3)", 'CASE DATA'!E131="719.9", 'CASE DATA'!E131="719.8", 'CASE DATA'!E131="720.2", 'CASE DATA'!E131="720.3", 'CASE DATA'!E131="721.1", 'CASE DATA'!E131="722.1", 'CASE DATA'!E131="", 'CASE DATA'!E131="722.2", 'CASE DATA'!E131="722.10", 'CASE DATA'!E131="723(5)(3)(c)", 'CASE DATA'!E131="723A.2", 'CASE DATA'!E131="723A.3(1)", 'CASE DATA'!E131="723A.3(2)", 'CASE DATA'!E131="724.1B", 'CASE DATA'!E131="724.1C", 'CASE DATA'!E131="724.3", 'CASE DATA'!E131="724.4B", 'CASE DATA'!E131="724.10", 'CASE DATA'!E131="724.16(2)", 'CASE DATA'!E131="724.16A(1)(a)", 'CASE DATA'!E131="724.16A(1)(b)", 'CASE DATA'!E131="724.17", 'CASE DATA'!E131="724.21", 'CASE DATA'!E131="724.26(1)", 'CASE DATA'!E131="922(g)(8)", 'CASE DATA'!E131="724.29A(2)", 'CASE DATA'!E131="724.29A(3)", 'CASE DATA'!E131="724.30(1)", 'CASE DATA'!E131="724.30(2)", 'CASE DATA'!E131="725.1(2)(b)", 'CASE DATA'!E131="725.2(1)", 'CASE DATA'!E131="725.2(2)", 'CASE DATA'!E131="725.3(2)", 'CASE DATA'!E131="725.3(1)", 'CASE DATA'!E131="725.7(2)(a)(3)", 'CASE DATA'!E131="725.7(2)(a)(4)", 'CASE DATA'!E131="725.7(2)(b)(2)", 'CASE DATA'!E131="725.7(2)(b(3)", 'CASE DATA'!E131="726.7(2)(c)(1)", 'CASE DATA'!E131="726.7(2)(c)(2)", 'CASE DATA'!E131="725.7(2)(d)", 'CASE DATA'!E131="726.2", 'CASE DATA'!E131="726.3", 'CASE DATA'!E131="726.5", 'CASE DATA'!E131="726.6(4)", 'CASE DATA'!E131="726.6(5)", 'CASE DATA'!E131="726.6(6)", 'CASE DATA'!E131="726.6A", 'CASE DATA'!E131="726.7(2)", 'CASE DATA'!E131="726.8(2)", 'CASE DATA'!E131="728.12(1)", 'CASE DATA'!E131="728.12(2)"),"felony","eligible"),"N/A")</f>
        <v>N/A</v>
      </c>
      <c r="M130" s="185" t="str">
        <f>IF(L130="eligible",IF(OR('CASE DATA'!E131="123.46",'CASE DATA'!E131="123.47",'CASE DATA'!E131="235B.20",'CASE DATA'!E131="321.218",'CASE DATA'!E131="321A.32",'CASE DATA'!E131="321J.21",'CASE DATA'!E131="321J.2",'CASE DATA'!E131="707.5",'CASE DATA'!E131="708.2(3)",'CASE DATA'!E131="708.2A",'CASE DATA'!E131="708.7",'CASE DATA'!E131="708.11",'CASE DATA'!E131="708.12",'CASE DATA'!E131="716.8(3)",'CASE DATA'!E131="716.8(4)", LEFT('CASE DATA'!E131,4)="717C", LEFT('CASE DATA'!E131, 3)="719", LEFT('CASE DATA'!E131,3)="720", 'CASE DATA'!E131="721.2", 'CASE DATA'!E131="721.10", 'CASE DATA'!E131="723.1", LEFT('CASE DATA'!E131,3)="724", LEFT('CASE DATA'!E131,3)="726", LEFT('CASE DATA'!E131,3)="728", LEFT('CASE DATA'!E131,4)="901A"),"ineligible misd", "eligible"),"N/A")</f>
        <v>N/A</v>
      </c>
      <c r="N130" s="185" t="str">
        <f>IF(L130="eligible",IF(COUNTIF('CASE DATA'!$C$4:$C$200, "")-COUNTIF('CASE DATA'!$A$4:$A$200, "")&gt;0, "YES","NO"),"N/A")</f>
        <v>N/A</v>
      </c>
      <c r="O130" s="185" t="str">
        <f xml:space="preserve"> IF(M130="eligible",'CASE DATA'!K131,"N/A")</f>
        <v>N/A</v>
      </c>
      <c r="P130" s="185" t="str">
        <f xml:space="preserve"> IF(M130="eligible",'CASE DATA'!I131+'CASE DATA'!J131+'CASE DATA'!L131+'CASE DATA'!M131+'CASE DATA'!N131+'CASE DATA'!O131+'CASE DATA'!M131+'CASE DATA'!Q131+'CASE DATA'!R131,"N/A")</f>
        <v>N/A</v>
      </c>
      <c r="Q130" s="11" t="str">
        <f>IF(M130="eligible",IF(C130+730.5&lt;'BASIC INFO'!$B$3, "YES", "NO"),"N/A")</f>
        <v>N/A</v>
      </c>
      <c r="R130" s="186" t="str">
        <f xml:space="preserve"> IF(OR('CASE DATA'!F131="DEF"), "YES", "NO")</f>
        <v>NO</v>
      </c>
      <c r="S130" s="162" t="str">
        <f>IF(R130="YES",'CASE DATA'!H131,"N/A")</f>
        <v>N/A</v>
      </c>
      <c r="T130" s="185" t="str">
        <f xml:space="preserve"> IF(R130="YES",'CASE DATA'!K131,"N/A")</f>
        <v>N/A</v>
      </c>
      <c r="U130" s="185" t="str">
        <f>IF(R130="YES",'CASE DATA'!I131+'CASE DATA'!J131+'CASE DATA'!L131+'CASE DATA'!M131+'CASE DATA'!N131+'CASE DATA'!O131+'CASE DATA'!P131+'CASE DATA'!Q131+'CASE DATA'!R131,"N/A")</f>
        <v>N/A</v>
      </c>
      <c r="V130" s="189" t="str">
        <f>IF(OR('CASE DATA'!E131="123.46",'CASE DATA'!E131="123.47"),"YES","NO")</f>
        <v>NO</v>
      </c>
      <c r="W130" s="189"/>
      <c r="X130" s="185" t="str">
        <f>IF(V130="YES",IF(C130+730.5&lt;'BASIC INFO'!$B$3, "YES","NO"), "N/A")</f>
        <v>N/A</v>
      </c>
      <c r="Y130" s="189" t="str">
        <f t="shared" si="2"/>
        <v>NO</v>
      </c>
      <c r="Z130" s="187" t="str">
        <f xml:space="preserve"> IF('BASIC INFO'!$B$6+6574.5&gt;C130, "YES", "NO")</f>
        <v>YES</v>
      </c>
    </row>
    <row r="131" spans="1:26" x14ac:dyDescent="0.25">
      <c r="A131" s="162">
        <f xml:space="preserve"> 'CASE DATA'!A132</f>
        <v>0</v>
      </c>
      <c r="B131" s="162">
        <f xml:space="preserve"> 'CASE DATA'!E132</f>
        <v>0</v>
      </c>
      <c r="C131" s="163">
        <f xml:space="preserve"> 'CASE DATA'!C132</f>
        <v>0</v>
      </c>
      <c r="D131" s="11" t="str">
        <f xml:space="preserve"> IF(OR('CASE DATA'!F132="JUV", 'CASE DATA'!F132="JWV"), "YES", "NO")</f>
        <v>NO</v>
      </c>
      <c r="E131" s="11"/>
      <c r="F131" s="11" t="str">
        <f>IF(D131="YES",IF(COUNTIF('CASE DATA'!$C$4:$C$200, "")-COUNTIF('CASE DATA'!$A$4:$A$200, "")&gt;0, "YES","NO"),"N/A")</f>
        <v>N/A</v>
      </c>
      <c r="G131" s="164" t="str">
        <f xml:space="preserve"> _xlfn.IFS(D131="NO", "N/A", AND('BASIC INFO'!$B$3&gt;'BASIC INFO'!$B$6+6574.5, C131+730.5&lt;'BASIC INFO'!$B$3), "YES", 'BASIC INFO'!$B$3&lt;('BASIC INFO'!$B$6+6574.5), "NOT YET 18", C131+730.5&gt;'BASIC INFO'!$B$3, "NOT YET 2 YEARS")</f>
        <v>N/A</v>
      </c>
      <c r="H131" s="186" t="str">
        <f xml:space="preserve"> IF(LEFT('CASE DATA'!E132,4)&lt;&gt;"321.",IF(OR('CASE DATA'!F132="DISM", 'CASE DATA'!F132="ACQ", 'CASE DATA'!F132="NOTF", 'CASE DATA'!F132="WTHD", 'CASE DATA'!F132="TNSF"), "YES", "NO"), "TRAFFIC")</f>
        <v>NO</v>
      </c>
      <c r="I131" s="185" t="str">
        <f xml:space="preserve"> IF(H131="YES",'CASE DATA'!K132,"N/A")</f>
        <v>N/A</v>
      </c>
      <c r="J131" s="185" t="str">
        <f>IF(H131="YES",'CASE DATA'!I132+'CASE DATA'!J132+'CASE DATA'!L132+'CASE DATA'!M132+'CASE DATA'!N132+'CASE DATA'!O132+'CASE DATA'!P132+'CASE DATA'!Q132+'CASE DATA'!R132,"N/A")</f>
        <v>N/A</v>
      </c>
      <c r="K131" s="162" t="str">
        <f xml:space="preserve"> IF(H131="YES",IF(C131+180&lt;'BASIC INFO'!$B$3, "YES", "NO"),"N/A")</f>
        <v>N/A</v>
      </c>
      <c r="L131" s="185" t="str">
        <f>IF(OR('CASE DATA'!F132="GTR", 'CASE DATA'!F132="GPL"),IF(OR('CASE DATA'!E132="81.6(2)", 'CASE DATA'!E132="99F.15(6)(b)(1)", 'CASE DATA'!E132= "124.401(1)(a)", 'CASE DATA'!E132= "124.401(1)(b)", 'CASE DATA'!E132= "124.401(1)(c)", 'CASE DATA'!E132= "124.401(1)(d)", 'CASE DATA'!E132="124.401(4)", 'CASE DATA'!E132="124.401(1)(b)", 'CASE DATA'!E132="124.401(1)(c)", 'CASE DATA'!E132="124.401D(2)(b)", 'CASE DATA'!E132="124.401D(2)(c)", 'CASE DATA'!E132="124.406(1)(a)", 'CASE DATA'!E132="124.406(1)(b) ", 'CASE DATA'!E132="124.406(2)(a)", 'CASE DATA'!E132="124.406(2)(b) ", 'CASE DATA'!E132="124.406(3)", 'CASE DATA'!E132="124.406A ", 'CASE DATA'!E132="124.407(2)(a)", 'CASE DATA'!E132="124B.9(1)", 'CASE DATA'!E132="124B.9(2)", 'CASE DATA'!E132="321J.2(2)(c)", 'CASE DATA'!E132="453B.12(2)", 'CASE DATA'!E132="453B.12(3)", 'CASE DATA'!E132="453B.12(4)", 'CASE DATA'!E132="462A.14(2)(c)", 'CASE DATA'!E132="462A.14(2)(d)", 'CASE DATA'!E132="462A.14(2)(e)", 'CASE DATA'!E132="705.1(2)", 'CASE DATA'!E132="706.3(1)", 'CASE DATA'!E132="706.3(2)", 'CASE DATA'!E132="706A.2(1)", 'CASE DATA'!E132="706A.2(2)", 'CASE DATA'!E132="706A.2(4)", 'CASE DATA'!E132="706B.2(1)(a)", 'CASE DATA'!E132="706B.2(1)(b)", 'CASE DATA'!E132="706B.2(1)(c)", 'CASE DATA'!E132="706B.2(1)(d)", 'CASE DATA'!E132="707.2", 'CASE DATA'!E132="707.3", 'CASE DATA'!E132="707.3A", 'CASE DATA'!E132="707.4", 'CASE DATA'!E132="707.5(1)(a)", 'CASE DATA'!E132="707.6A(1)", 'CASE DATA'!E132="707.6A(2)", 'CASE DATA'!E132="707.6A(3)", 'CASE DATA'!E132="707.6A(4)", 'CASE DATA'!E132="707.7(1)", 'CASE DATA'!E132="707.7(3)", 'CASE DATA'!E132="707.7(2)", 'CASE DATA'!E132="707.8(1)", 'CASE DATA'!E132="707.8(2)", 'CASE DATA'!E132="707.8(3)", 'CASE DATA'!E132="707.8(4)", 'CASE DATA'!E132="707.8(5)", 'CASE DATA'!E132="707.8(6)", 'CASE DATA'!E132="707.9", 'CASE DATA'!E132="707.11", 'CASE DATA'!E132="707A.2", 'CASE DATA'!E132="708.2(4)", 'CASE DATA'!E132="708.2(5)", 'CASE DATA'!E132="708.2A(4)", 'CASE DATA'!E132="708.2A(5)", 'CASE DATA'!E132="708.2C(2)", 'CASE DATA'!E132="708.2C(4)", 'CASE DATA'!E132="708.3(1)", 'CASE DATA'!E132="708.3(2)", 'CASE DATA'!E132="708.3A(1)", 'CASE DATA'!E132="708.3A(2)", 'CASE DATA'!E132="708.3B", 'CASE DATA'!E132="708.4(1)", 'CASE DATA'!E132="708.4(2)", 'CASE DATA'!E132="708.5", 'CASE DATA'!E132="708.8", 'CASE DATA'!E132="708.11(3)(a)", 'CASE DATA'!E132="708.11(3)(b)", 'CASE DATA'!E132="708.12(3)(f)", 'CASE DATA'!E132="708.13(3)", 'CASE DATA'!E132="708.14", 'CASE DATA'!E132="708A.2", 'CASE DATA'!E132="708A.4(1)", 'CASE DATA'!E132="708A.4(2)", 'CASE DATA'!E132="708A.5", 'CASE DATA'!E132="708A.6(1)", 'CASE DATA'!E132="708.A.6(2)", 'CASE DATA'!E132="709.2", 'CASE DATA'!E132="709.3", 'CASE DATA'!E132="709.4", 'CASE DATA'!E132="709.8(1)(a)", 'CASE DATA'!E132="709.8(1)(b)", 'CASE DATA'!E132="709.8(1)(c)", 'CASE DATA'!E132="709.8(1)(d)", 'CASE DATA'!E132="709.8(1)(e)", 'CASE DATA'!E132="709.11(1)", 'CASE DATA'!E132="709.11(2)", 'CASE DATA'!E132="709.15(2)(a)(1)", 'CASE DATA'!E132="709.15(3)(a)(1)", 'CASE DATA'!E132="709.18", 'CASE DATA'!E132="709A.6(2)", 'CASE DATA'!E132="709D.3(1)", 'CASE DATA'!E132="709D.3(2)", 'CASE DATA'!E132="709.D.3(3)", 'CASE DATA'!E132="710.2", 'CASE DATA'!E132="710.3", 'CASE DATA'!E132="710.4", 'CASE DATA'!E132="710.5", 'CASE DATA'!E132="710.10(1)", 'CASE DATA'!E132="710.10(2)", 'CASE DATA'!E132="710.10(3)", 'CASE DATA'!E132="710.11", 'CASE DATA'!E132="710A.2(1)", 'CASE DATA'!E132="710A.2(2)", 'CASE DATA'!E132="710A.2(3)", 'CASE DATA'!E132="710A.2(4)", 'CASE DATA'!E132="710A.2(5)", 'CASE DATA'!E132="710A.2(6)", 'CASE DATA'!E132="710A.2(7)", 'CASE DATA'!E132="710A.2A", 'CASE DATA'!E132="711.2", 'CASE DATA'!E132="711.3", 'CASE DATA'!E132="711.4", 'CASE DATA'!E132="712.2", 'CASE DATA'!E132="712.3", 'CASE DATA'!E132="712.6(1)", 'CASE DATA'!E132="712.7", 'CASE DATA'!E132="712.8", 'CASE DATA'!E132="", 'CASE DATA'!E132="713.3", 'CASE DATA'!E132="713.4", 'CASE DATA'!E132="713.5", 'CASE DATA'!E132="713.6", 'CASE DATA'!E132="713.6A(1)", 'CASE DATA'!E132="714.2(1)", 'CASE DATA'!E132="714.2(2)", 'CASE DATA'!E132="714.3A(2)(b)", 'CASE DATA'!E132="714.9", 'CASE DATA'!E132="714.10", 'CASE DATA'!E132="714.26(2)(a)", 'CASE DATA'!E132="714.26(2)(b)", 'CASE DATA'!E132="715A.2(2)(a)", 'CASE DATA'!E132="715A.6(2)(a)", 'CASE DATA'!E132="715A.6(2)(b)", 'CASE DATA'!E132="715A.8(3)(a)", 'CASE DATA'!E132="715A.8(3)(b)", 'CASE DATA'!E132="715A.10(1)", 'CASE DATA'!E132="715A.10(2)", 'CASE DATA'!E132="716.3", 'CASE DATA'!E132="716.4", 'CASE DATA'!E132="716.8(6)", 'CASE DATA'!E132="716.10(2)(a)", 'CASE DATA'!E132="716.10(2)(b)", 'CASE DATA'!E132="716.10(2)(c)", 'CASE DATA'!E132="716.10(2)(d)", 'CASE DATA'!E132="716.12", 'CASE DATA'!E132="719.1(1)(f)", 'CASE DATA'!E132="719.1(2)(e)", 'CASE DATA'!E132="719.1(2)(f)", 'CASE DATA'!E132="719.1(2)(g)", 'CASE DATA'!E132="719.4(1)", 'CASE DATA'!E132="719.4(4)", 'CASE DATA'!E132="719.5(1)", 'CASE DATA'!E132="719.5(2)", 'CASE DATA'!E132="719.6(1)", 'CASE DATA'!E132="719.6(2)", 'CASE DATA'!E132="719.7(4)(a)", 'CASE DATA'!E132="719.7(4)(b)", 'CASE DATA'!E132="719.7A(3)", 'CASE DATA'!E132="719.9", 'CASE DATA'!E132="719.8", 'CASE DATA'!E132="720.2", 'CASE DATA'!E132="720.3", 'CASE DATA'!E132="721.1", 'CASE DATA'!E132="722.1", 'CASE DATA'!E132="", 'CASE DATA'!E132="722.2", 'CASE DATA'!E132="722.10", 'CASE DATA'!E132="723(5)(3)(c)", 'CASE DATA'!E132="723A.2", 'CASE DATA'!E132="723A.3(1)", 'CASE DATA'!E132="723A.3(2)", 'CASE DATA'!E132="724.1B", 'CASE DATA'!E132="724.1C", 'CASE DATA'!E132="724.3", 'CASE DATA'!E132="724.4B", 'CASE DATA'!E132="724.10", 'CASE DATA'!E132="724.16(2)", 'CASE DATA'!E132="724.16A(1)(a)", 'CASE DATA'!E132="724.16A(1)(b)", 'CASE DATA'!E132="724.17", 'CASE DATA'!E132="724.21", 'CASE DATA'!E132="724.26(1)", 'CASE DATA'!E132="922(g)(8)", 'CASE DATA'!E132="724.29A(2)", 'CASE DATA'!E132="724.29A(3)", 'CASE DATA'!E132="724.30(1)", 'CASE DATA'!E132="724.30(2)", 'CASE DATA'!E132="725.1(2)(b)", 'CASE DATA'!E132="725.2(1)", 'CASE DATA'!E132="725.2(2)", 'CASE DATA'!E132="725.3(2)", 'CASE DATA'!E132="725.3(1)", 'CASE DATA'!E132="725.7(2)(a)(3)", 'CASE DATA'!E132="725.7(2)(a)(4)", 'CASE DATA'!E132="725.7(2)(b)(2)", 'CASE DATA'!E132="725.7(2)(b(3)", 'CASE DATA'!E132="726.7(2)(c)(1)", 'CASE DATA'!E132="726.7(2)(c)(2)", 'CASE DATA'!E132="725.7(2)(d)", 'CASE DATA'!E132="726.2", 'CASE DATA'!E132="726.3", 'CASE DATA'!E132="726.5", 'CASE DATA'!E132="726.6(4)", 'CASE DATA'!E132="726.6(5)", 'CASE DATA'!E132="726.6(6)", 'CASE DATA'!E132="726.6A", 'CASE DATA'!E132="726.7(2)", 'CASE DATA'!E132="726.8(2)", 'CASE DATA'!E132="728.12(1)", 'CASE DATA'!E132="728.12(2)"),"felony","eligible"),"N/A")</f>
        <v>N/A</v>
      </c>
      <c r="M131" s="185" t="str">
        <f>IF(L131="eligible",IF(OR('CASE DATA'!E132="123.46",'CASE DATA'!E132="123.47",'CASE DATA'!E132="235B.20",'CASE DATA'!E132="321.218",'CASE DATA'!E132="321A.32",'CASE DATA'!E132="321J.21",'CASE DATA'!E132="321J.2",'CASE DATA'!E132="707.5",'CASE DATA'!E132="708.2(3)",'CASE DATA'!E132="708.2A",'CASE DATA'!E132="708.7",'CASE DATA'!E132="708.11",'CASE DATA'!E132="708.12",'CASE DATA'!E132="716.8(3)",'CASE DATA'!E132="716.8(4)", LEFT('CASE DATA'!E132,4)="717C", LEFT('CASE DATA'!E132, 3)="719", LEFT('CASE DATA'!E132,3)="720", 'CASE DATA'!E132="721.2", 'CASE DATA'!E132="721.10", 'CASE DATA'!E132="723.1", LEFT('CASE DATA'!E132,3)="724", LEFT('CASE DATA'!E132,3)="726", LEFT('CASE DATA'!E132,3)="728", LEFT('CASE DATA'!E132,4)="901A"),"ineligible misd", "eligible"),"N/A")</f>
        <v>N/A</v>
      </c>
      <c r="N131" s="185" t="str">
        <f>IF(L131="eligible",IF(COUNTIF('CASE DATA'!$C$4:$C$200, "")-COUNTIF('CASE DATA'!$A$4:$A$200, "")&gt;0, "YES","NO"),"N/A")</f>
        <v>N/A</v>
      </c>
      <c r="O131" s="185" t="str">
        <f xml:space="preserve"> IF(M131="eligible",'CASE DATA'!K132,"N/A")</f>
        <v>N/A</v>
      </c>
      <c r="P131" s="185" t="str">
        <f xml:space="preserve"> IF(M131="eligible",'CASE DATA'!I132+'CASE DATA'!J132+'CASE DATA'!L132+'CASE DATA'!M132+'CASE DATA'!N132+'CASE DATA'!O132+'CASE DATA'!M132+'CASE DATA'!Q132+'CASE DATA'!R132,"N/A")</f>
        <v>N/A</v>
      </c>
      <c r="Q131" s="11" t="str">
        <f>IF(M131="eligible",IF(C131+730.5&lt;'BASIC INFO'!$B$3, "YES", "NO"),"N/A")</f>
        <v>N/A</v>
      </c>
      <c r="R131" s="186" t="str">
        <f xml:space="preserve"> IF(OR('CASE DATA'!F132="DEF"), "YES", "NO")</f>
        <v>NO</v>
      </c>
      <c r="S131" s="162" t="str">
        <f>IF(R131="YES",'CASE DATA'!H132,"N/A")</f>
        <v>N/A</v>
      </c>
      <c r="T131" s="185" t="str">
        <f xml:space="preserve"> IF(R131="YES",'CASE DATA'!K132,"N/A")</f>
        <v>N/A</v>
      </c>
      <c r="U131" s="185" t="str">
        <f>IF(R131="YES",'CASE DATA'!I132+'CASE DATA'!J132+'CASE DATA'!L132+'CASE DATA'!M132+'CASE DATA'!N132+'CASE DATA'!O132+'CASE DATA'!P132+'CASE DATA'!Q132+'CASE DATA'!R132,"N/A")</f>
        <v>N/A</v>
      </c>
      <c r="V131" s="189" t="str">
        <f>IF(OR('CASE DATA'!E132="123.46",'CASE DATA'!E132="123.47"),"YES","NO")</f>
        <v>NO</v>
      </c>
      <c r="W131" s="189"/>
      <c r="X131" s="185" t="str">
        <f>IF(V131="YES",IF(C131+730.5&lt;'BASIC INFO'!$B$3, "YES","NO"), "N/A")</f>
        <v>N/A</v>
      </c>
      <c r="Y131" s="189" t="str">
        <f t="shared" si="2"/>
        <v>NO</v>
      </c>
      <c r="Z131" s="187" t="str">
        <f xml:space="preserve"> IF('BASIC INFO'!$B$6+6574.5&gt;C131, "YES", "NO")</f>
        <v>YES</v>
      </c>
    </row>
    <row r="132" spans="1:26" x14ac:dyDescent="0.25">
      <c r="A132" s="162">
        <f xml:space="preserve"> 'CASE DATA'!A133</f>
        <v>0</v>
      </c>
      <c r="B132" s="162">
        <f xml:space="preserve"> 'CASE DATA'!E133</f>
        <v>0</v>
      </c>
      <c r="C132" s="163">
        <f xml:space="preserve"> 'CASE DATA'!C133</f>
        <v>0</v>
      </c>
      <c r="D132" s="11" t="str">
        <f xml:space="preserve"> IF(OR('CASE DATA'!F133="JUV", 'CASE DATA'!F133="JWV"), "YES", "NO")</f>
        <v>NO</v>
      </c>
      <c r="E132" s="11"/>
      <c r="F132" s="11" t="str">
        <f>IF(D132="YES",IF(COUNTIF('CASE DATA'!$C$4:$C$200, "")-COUNTIF('CASE DATA'!$A$4:$A$200, "")&gt;0, "YES","NO"),"N/A")</f>
        <v>N/A</v>
      </c>
      <c r="G132" s="164" t="str">
        <f xml:space="preserve"> _xlfn.IFS(D132="NO", "N/A", AND('BASIC INFO'!$B$3&gt;'BASIC INFO'!$B$6+6574.5, C132+730.5&lt;'BASIC INFO'!$B$3), "YES", 'BASIC INFO'!$B$3&lt;('BASIC INFO'!$B$6+6574.5), "NOT YET 18", C132+730.5&gt;'BASIC INFO'!$B$3, "NOT YET 2 YEARS")</f>
        <v>N/A</v>
      </c>
      <c r="H132" s="186" t="str">
        <f xml:space="preserve"> IF(LEFT('CASE DATA'!E133,4)&lt;&gt;"321.",IF(OR('CASE DATA'!F133="DISM", 'CASE DATA'!F133="ACQ", 'CASE DATA'!F133="NOTF", 'CASE DATA'!F133="WTHD", 'CASE DATA'!F133="TNSF"), "YES", "NO"), "TRAFFIC")</f>
        <v>NO</v>
      </c>
      <c r="I132" s="185" t="str">
        <f xml:space="preserve"> IF(H132="YES",'CASE DATA'!K133,"N/A")</f>
        <v>N/A</v>
      </c>
      <c r="J132" s="185" t="str">
        <f>IF(H132="YES",'CASE DATA'!I133+'CASE DATA'!J133+'CASE DATA'!L133+'CASE DATA'!M133+'CASE DATA'!N133+'CASE DATA'!O133+'CASE DATA'!P133+'CASE DATA'!Q133+'CASE DATA'!R133,"N/A")</f>
        <v>N/A</v>
      </c>
      <c r="K132" s="162" t="str">
        <f xml:space="preserve"> IF(H132="YES",IF(C132+180&lt;'BASIC INFO'!$B$3, "YES", "NO"),"N/A")</f>
        <v>N/A</v>
      </c>
      <c r="L132" s="185" t="str">
        <f>IF(OR('CASE DATA'!F133="GTR", 'CASE DATA'!F133="GPL"),IF(OR('CASE DATA'!E133="81.6(2)", 'CASE DATA'!E133="99F.15(6)(b)(1)", 'CASE DATA'!E133= "124.401(1)(a)", 'CASE DATA'!E133= "124.401(1)(b)", 'CASE DATA'!E133= "124.401(1)(c)", 'CASE DATA'!E133= "124.401(1)(d)", 'CASE DATA'!E133="124.401(4)", 'CASE DATA'!E133="124.401(1)(b)", 'CASE DATA'!E133="124.401(1)(c)", 'CASE DATA'!E133="124.401D(2)(b)", 'CASE DATA'!E133="124.401D(2)(c)", 'CASE DATA'!E133="124.406(1)(a)", 'CASE DATA'!E133="124.406(1)(b) ", 'CASE DATA'!E133="124.406(2)(a)", 'CASE DATA'!E133="124.406(2)(b) ", 'CASE DATA'!E133="124.406(3)", 'CASE DATA'!E133="124.406A ", 'CASE DATA'!E133="124.407(2)(a)", 'CASE DATA'!E133="124B.9(1)", 'CASE DATA'!E133="124B.9(2)", 'CASE DATA'!E133="321J.2(2)(c)", 'CASE DATA'!E133="453B.12(2)", 'CASE DATA'!E133="453B.12(3)", 'CASE DATA'!E133="453B.12(4)", 'CASE DATA'!E133="462A.14(2)(c)", 'CASE DATA'!E133="462A.14(2)(d)", 'CASE DATA'!E133="462A.14(2)(e)", 'CASE DATA'!E133="705.1(2)", 'CASE DATA'!E133="706.3(1)", 'CASE DATA'!E133="706.3(2)", 'CASE DATA'!E133="706A.2(1)", 'CASE DATA'!E133="706A.2(2)", 'CASE DATA'!E133="706A.2(4)", 'CASE DATA'!E133="706B.2(1)(a)", 'CASE DATA'!E133="706B.2(1)(b)", 'CASE DATA'!E133="706B.2(1)(c)", 'CASE DATA'!E133="706B.2(1)(d)", 'CASE DATA'!E133="707.2", 'CASE DATA'!E133="707.3", 'CASE DATA'!E133="707.3A", 'CASE DATA'!E133="707.4", 'CASE DATA'!E133="707.5(1)(a)", 'CASE DATA'!E133="707.6A(1)", 'CASE DATA'!E133="707.6A(2)", 'CASE DATA'!E133="707.6A(3)", 'CASE DATA'!E133="707.6A(4)", 'CASE DATA'!E133="707.7(1)", 'CASE DATA'!E133="707.7(3)", 'CASE DATA'!E133="707.7(2)", 'CASE DATA'!E133="707.8(1)", 'CASE DATA'!E133="707.8(2)", 'CASE DATA'!E133="707.8(3)", 'CASE DATA'!E133="707.8(4)", 'CASE DATA'!E133="707.8(5)", 'CASE DATA'!E133="707.8(6)", 'CASE DATA'!E133="707.9", 'CASE DATA'!E133="707.11", 'CASE DATA'!E133="707A.2", 'CASE DATA'!E133="708.2(4)", 'CASE DATA'!E133="708.2(5)", 'CASE DATA'!E133="708.2A(4)", 'CASE DATA'!E133="708.2A(5)", 'CASE DATA'!E133="708.2C(2)", 'CASE DATA'!E133="708.2C(4)", 'CASE DATA'!E133="708.3(1)", 'CASE DATA'!E133="708.3(2)", 'CASE DATA'!E133="708.3A(1)", 'CASE DATA'!E133="708.3A(2)", 'CASE DATA'!E133="708.3B", 'CASE DATA'!E133="708.4(1)", 'CASE DATA'!E133="708.4(2)", 'CASE DATA'!E133="708.5", 'CASE DATA'!E133="708.8", 'CASE DATA'!E133="708.11(3)(a)", 'CASE DATA'!E133="708.11(3)(b)", 'CASE DATA'!E133="708.12(3)(f)", 'CASE DATA'!E133="708.13(3)", 'CASE DATA'!E133="708.14", 'CASE DATA'!E133="708A.2", 'CASE DATA'!E133="708A.4(1)", 'CASE DATA'!E133="708A.4(2)", 'CASE DATA'!E133="708A.5", 'CASE DATA'!E133="708A.6(1)", 'CASE DATA'!E133="708.A.6(2)", 'CASE DATA'!E133="709.2", 'CASE DATA'!E133="709.3", 'CASE DATA'!E133="709.4", 'CASE DATA'!E133="709.8(1)(a)", 'CASE DATA'!E133="709.8(1)(b)", 'CASE DATA'!E133="709.8(1)(c)", 'CASE DATA'!E133="709.8(1)(d)", 'CASE DATA'!E133="709.8(1)(e)", 'CASE DATA'!E133="709.11(1)", 'CASE DATA'!E133="709.11(2)", 'CASE DATA'!E133="709.15(2)(a)(1)", 'CASE DATA'!E133="709.15(3)(a)(1)", 'CASE DATA'!E133="709.18", 'CASE DATA'!E133="709A.6(2)", 'CASE DATA'!E133="709D.3(1)", 'CASE DATA'!E133="709D.3(2)", 'CASE DATA'!E133="709.D.3(3)", 'CASE DATA'!E133="710.2", 'CASE DATA'!E133="710.3", 'CASE DATA'!E133="710.4", 'CASE DATA'!E133="710.5", 'CASE DATA'!E133="710.10(1)", 'CASE DATA'!E133="710.10(2)", 'CASE DATA'!E133="710.10(3)", 'CASE DATA'!E133="710.11", 'CASE DATA'!E133="710A.2(1)", 'CASE DATA'!E133="710A.2(2)", 'CASE DATA'!E133="710A.2(3)", 'CASE DATA'!E133="710A.2(4)", 'CASE DATA'!E133="710A.2(5)", 'CASE DATA'!E133="710A.2(6)", 'CASE DATA'!E133="710A.2(7)", 'CASE DATA'!E133="710A.2A", 'CASE DATA'!E133="711.2", 'CASE DATA'!E133="711.3", 'CASE DATA'!E133="711.4", 'CASE DATA'!E133="712.2", 'CASE DATA'!E133="712.3", 'CASE DATA'!E133="712.6(1)", 'CASE DATA'!E133="712.7", 'CASE DATA'!E133="712.8", 'CASE DATA'!E133="", 'CASE DATA'!E133="713.3", 'CASE DATA'!E133="713.4", 'CASE DATA'!E133="713.5", 'CASE DATA'!E133="713.6", 'CASE DATA'!E133="713.6A(1)", 'CASE DATA'!E133="714.2(1)", 'CASE DATA'!E133="714.2(2)", 'CASE DATA'!E133="714.3A(2)(b)", 'CASE DATA'!E133="714.9", 'CASE DATA'!E133="714.10", 'CASE DATA'!E133="714.26(2)(a)", 'CASE DATA'!E133="714.26(2)(b)", 'CASE DATA'!E133="715A.2(2)(a)", 'CASE DATA'!E133="715A.6(2)(a)", 'CASE DATA'!E133="715A.6(2)(b)", 'CASE DATA'!E133="715A.8(3)(a)", 'CASE DATA'!E133="715A.8(3)(b)", 'CASE DATA'!E133="715A.10(1)", 'CASE DATA'!E133="715A.10(2)", 'CASE DATA'!E133="716.3", 'CASE DATA'!E133="716.4", 'CASE DATA'!E133="716.8(6)", 'CASE DATA'!E133="716.10(2)(a)", 'CASE DATA'!E133="716.10(2)(b)", 'CASE DATA'!E133="716.10(2)(c)", 'CASE DATA'!E133="716.10(2)(d)", 'CASE DATA'!E133="716.12", 'CASE DATA'!E133="719.1(1)(f)", 'CASE DATA'!E133="719.1(2)(e)", 'CASE DATA'!E133="719.1(2)(f)", 'CASE DATA'!E133="719.1(2)(g)", 'CASE DATA'!E133="719.4(1)", 'CASE DATA'!E133="719.4(4)", 'CASE DATA'!E133="719.5(1)", 'CASE DATA'!E133="719.5(2)", 'CASE DATA'!E133="719.6(1)", 'CASE DATA'!E133="719.6(2)", 'CASE DATA'!E133="719.7(4)(a)", 'CASE DATA'!E133="719.7(4)(b)", 'CASE DATA'!E133="719.7A(3)", 'CASE DATA'!E133="719.9", 'CASE DATA'!E133="719.8", 'CASE DATA'!E133="720.2", 'CASE DATA'!E133="720.3", 'CASE DATA'!E133="721.1", 'CASE DATA'!E133="722.1", 'CASE DATA'!E133="", 'CASE DATA'!E133="722.2", 'CASE DATA'!E133="722.10", 'CASE DATA'!E133="723(5)(3)(c)", 'CASE DATA'!E133="723A.2", 'CASE DATA'!E133="723A.3(1)", 'CASE DATA'!E133="723A.3(2)", 'CASE DATA'!E133="724.1B", 'CASE DATA'!E133="724.1C", 'CASE DATA'!E133="724.3", 'CASE DATA'!E133="724.4B", 'CASE DATA'!E133="724.10", 'CASE DATA'!E133="724.16(2)", 'CASE DATA'!E133="724.16A(1)(a)", 'CASE DATA'!E133="724.16A(1)(b)", 'CASE DATA'!E133="724.17", 'CASE DATA'!E133="724.21", 'CASE DATA'!E133="724.26(1)", 'CASE DATA'!E133="922(g)(8)", 'CASE DATA'!E133="724.29A(2)", 'CASE DATA'!E133="724.29A(3)", 'CASE DATA'!E133="724.30(1)", 'CASE DATA'!E133="724.30(2)", 'CASE DATA'!E133="725.1(2)(b)", 'CASE DATA'!E133="725.2(1)", 'CASE DATA'!E133="725.2(2)", 'CASE DATA'!E133="725.3(2)", 'CASE DATA'!E133="725.3(1)", 'CASE DATA'!E133="725.7(2)(a)(3)", 'CASE DATA'!E133="725.7(2)(a)(4)", 'CASE DATA'!E133="725.7(2)(b)(2)", 'CASE DATA'!E133="725.7(2)(b(3)", 'CASE DATA'!E133="726.7(2)(c)(1)", 'CASE DATA'!E133="726.7(2)(c)(2)", 'CASE DATA'!E133="725.7(2)(d)", 'CASE DATA'!E133="726.2", 'CASE DATA'!E133="726.3", 'CASE DATA'!E133="726.5", 'CASE DATA'!E133="726.6(4)", 'CASE DATA'!E133="726.6(5)", 'CASE DATA'!E133="726.6(6)", 'CASE DATA'!E133="726.6A", 'CASE DATA'!E133="726.7(2)", 'CASE DATA'!E133="726.8(2)", 'CASE DATA'!E133="728.12(1)", 'CASE DATA'!E133="728.12(2)"),"felony","eligible"),"N/A")</f>
        <v>N/A</v>
      </c>
      <c r="M132" s="185" t="str">
        <f>IF(L132="eligible",IF(OR('CASE DATA'!E133="123.46",'CASE DATA'!E133="123.47",'CASE DATA'!E133="235B.20",'CASE DATA'!E133="321.218",'CASE DATA'!E133="321A.32",'CASE DATA'!E133="321J.21",'CASE DATA'!E133="321J.2",'CASE DATA'!E133="707.5",'CASE DATA'!E133="708.2(3)",'CASE DATA'!E133="708.2A",'CASE DATA'!E133="708.7",'CASE DATA'!E133="708.11",'CASE DATA'!E133="708.12",'CASE DATA'!E133="716.8(3)",'CASE DATA'!E133="716.8(4)", LEFT('CASE DATA'!E133,4)="717C", LEFT('CASE DATA'!E133, 3)="719", LEFT('CASE DATA'!E133,3)="720", 'CASE DATA'!E133="721.2", 'CASE DATA'!E133="721.10", 'CASE DATA'!E133="723.1", LEFT('CASE DATA'!E133,3)="724", LEFT('CASE DATA'!E133,3)="726", LEFT('CASE DATA'!E133,3)="728", LEFT('CASE DATA'!E133,4)="901A"),"ineligible misd", "eligible"),"N/A")</f>
        <v>N/A</v>
      </c>
      <c r="N132" s="185" t="str">
        <f>IF(L132="eligible",IF(COUNTIF('CASE DATA'!$C$4:$C$200, "")-COUNTIF('CASE DATA'!$A$4:$A$200, "")&gt;0, "YES","NO"),"N/A")</f>
        <v>N/A</v>
      </c>
      <c r="O132" s="185" t="str">
        <f xml:space="preserve"> IF(M132="eligible",'CASE DATA'!K133,"N/A")</f>
        <v>N/A</v>
      </c>
      <c r="P132" s="185" t="str">
        <f xml:space="preserve"> IF(M132="eligible",'CASE DATA'!I133+'CASE DATA'!J133+'CASE DATA'!L133+'CASE DATA'!M133+'CASE DATA'!N133+'CASE DATA'!O133+'CASE DATA'!M133+'CASE DATA'!Q133+'CASE DATA'!R133,"N/A")</f>
        <v>N/A</v>
      </c>
      <c r="Q132" s="11" t="str">
        <f>IF(M132="eligible",IF(C132+730.5&lt;'BASIC INFO'!$B$3, "YES", "NO"),"N/A")</f>
        <v>N/A</v>
      </c>
      <c r="R132" s="186" t="str">
        <f xml:space="preserve"> IF(OR('CASE DATA'!F133="DEF"), "YES", "NO")</f>
        <v>NO</v>
      </c>
      <c r="S132" s="162" t="str">
        <f>IF(R132="YES",'CASE DATA'!H133,"N/A")</f>
        <v>N/A</v>
      </c>
      <c r="T132" s="185" t="str">
        <f xml:space="preserve"> IF(R132="YES",'CASE DATA'!K133,"N/A")</f>
        <v>N/A</v>
      </c>
      <c r="U132" s="185" t="str">
        <f>IF(R132="YES",'CASE DATA'!I133+'CASE DATA'!J133+'CASE DATA'!L133+'CASE DATA'!M133+'CASE DATA'!N133+'CASE DATA'!O133+'CASE DATA'!P133+'CASE DATA'!Q133+'CASE DATA'!R133,"N/A")</f>
        <v>N/A</v>
      </c>
      <c r="V132" s="189" t="str">
        <f>IF(OR('CASE DATA'!E133="123.46",'CASE DATA'!E133="123.47"),"YES","NO")</f>
        <v>NO</v>
      </c>
      <c r="W132" s="189"/>
      <c r="X132" s="185" t="str">
        <f>IF(V132="YES",IF(C132+730.5&lt;'BASIC INFO'!$B$3, "YES","NO"), "N/A")</f>
        <v>N/A</v>
      </c>
      <c r="Y132" s="189" t="str">
        <f t="shared" si="2"/>
        <v>NO</v>
      </c>
      <c r="Z132" s="187" t="str">
        <f xml:space="preserve"> IF('BASIC INFO'!$B$6+6574.5&gt;C132, "YES", "NO")</f>
        <v>YES</v>
      </c>
    </row>
    <row r="133" spans="1:26" x14ac:dyDescent="0.25">
      <c r="A133" s="162">
        <f xml:space="preserve"> 'CASE DATA'!A134</f>
        <v>0</v>
      </c>
      <c r="B133" s="162">
        <f xml:space="preserve"> 'CASE DATA'!E134</f>
        <v>0</v>
      </c>
      <c r="C133" s="163">
        <f xml:space="preserve"> 'CASE DATA'!C134</f>
        <v>0</v>
      </c>
      <c r="D133" s="11" t="str">
        <f xml:space="preserve"> IF(OR('CASE DATA'!F134="JUV", 'CASE DATA'!F134="JWV"), "YES", "NO")</f>
        <v>NO</v>
      </c>
      <c r="E133" s="11"/>
      <c r="F133" s="11" t="str">
        <f>IF(D133="YES",IF(COUNTIF('CASE DATA'!$C$4:$C$200, "")-COUNTIF('CASE DATA'!$A$4:$A$200, "")&gt;0, "YES","NO"),"N/A")</f>
        <v>N/A</v>
      </c>
      <c r="G133" s="164" t="str">
        <f xml:space="preserve"> _xlfn.IFS(D133="NO", "N/A", AND('BASIC INFO'!$B$3&gt;'BASIC INFO'!$B$6+6574.5, C133+730.5&lt;'BASIC INFO'!$B$3), "YES", 'BASIC INFO'!$B$3&lt;('BASIC INFO'!$B$6+6574.5), "NOT YET 18", C133+730.5&gt;'BASIC INFO'!$B$3, "NOT YET 2 YEARS")</f>
        <v>N/A</v>
      </c>
      <c r="H133" s="186" t="str">
        <f xml:space="preserve"> IF(LEFT('CASE DATA'!E134,4)&lt;&gt;"321.",IF(OR('CASE DATA'!F134="DISM", 'CASE DATA'!F134="ACQ", 'CASE DATA'!F134="NOTF", 'CASE DATA'!F134="WTHD", 'CASE DATA'!F134="TNSF"), "YES", "NO"), "TRAFFIC")</f>
        <v>NO</v>
      </c>
      <c r="I133" s="185" t="str">
        <f xml:space="preserve"> IF(H133="YES",'CASE DATA'!K134,"N/A")</f>
        <v>N/A</v>
      </c>
      <c r="J133" s="185" t="str">
        <f>IF(H133="YES",'CASE DATA'!I134+'CASE DATA'!J134+'CASE DATA'!L134+'CASE DATA'!M134+'CASE DATA'!N134+'CASE DATA'!O134+'CASE DATA'!P134+'CASE DATA'!Q134+'CASE DATA'!R134,"N/A")</f>
        <v>N/A</v>
      </c>
      <c r="K133" s="162" t="str">
        <f xml:space="preserve"> IF(H133="YES",IF(C133+180&lt;'BASIC INFO'!$B$3, "YES", "NO"),"N/A")</f>
        <v>N/A</v>
      </c>
      <c r="L133" s="185" t="str">
        <f>IF(OR('CASE DATA'!F134="GTR", 'CASE DATA'!F134="GPL"),IF(OR('CASE DATA'!E134="81.6(2)", 'CASE DATA'!E134="99F.15(6)(b)(1)", 'CASE DATA'!E134= "124.401(1)(a)", 'CASE DATA'!E134= "124.401(1)(b)", 'CASE DATA'!E134= "124.401(1)(c)", 'CASE DATA'!E134= "124.401(1)(d)", 'CASE DATA'!E134="124.401(4)", 'CASE DATA'!E134="124.401(1)(b)", 'CASE DATA'!E134="124.401(1)(c)", 'CASE DATA'!E134="124.401D(2)(b)", 'CASE DATA'!E134="124.401D(2)(c)", 'CASE DATA'!E134="124.406(1)(a)", 'CASE DATA'!E134="124.406(1)(b) ", 'CASE DATA'!E134="124.406(2)(a)", 'CASE DATA'!E134="124.406(2)(b) ", 'CASE DATA'!E134="124.406(3)", 'CASE DATA'!E134="124.406A ", 'CASE DATA'!E134="124.407(2)(a)", 'CASE DATA'!E134="124B.9(1)", 'CASE DATA'!E134="124B.9(2)", 'CASE DATA'!E134="321J.2(2)(c)", 'CASE DATA'!E134="453B.12(2)", 'CASE DATA'!E134="453B.12(3)", 'CASE DATA'!E134="453B.12(4)", 'CASE DATA'!E134="462A.14(2)(c)", 'CASE DATA'!E134="462A.14(2)(d)", 'CASE DATA'!E134="462A.14(2)(e)", 'CASE DATA'!E134="705.1(2)", 'CASE DATA'!E134="706.3(1)", 'CASE DATA'!E134="706.3(2)", 'CASE DATA'!E134="706A.2(1)", 'CASE DATA'!E134="706A.2(2)", 'CASE DATA'!E134="706A.2(4)", 'CASE DATA'!E134="706B.2(1)(a)", 'CASE DATA'!E134="706B.2(1)(b)", 'CASE DATA'!E134="706B.2(1)(c)", 'CASE DATA'!E134="706B.2(1)(d)", 'CASE DATA'!E134="707.2", 'CASE DATA'!E134="707.3", 'CASE DATA'!E134="707.3A", 'CASE DATA'!E134="707.4", 'CASE DATA'!E134="707.5(1)(a)", 'CASE DATA'!E134="707.6A(1)", 'CASE DATA'!E134="707.6A(2)", 'CASE DATA'!E134="707.6A(3)", 'CASE DATA'!E134="707.6A(4)", 'CASE DATA'!E134="707.7(1)", 'CASE DATA'!E134="707.7(3)", 'CASE DATA'!E134="707.7(2)", 'CASE DATA'!E134="707.8(1)", 'CASE DATA'!E134="707.8(2)", 'CASE DATA'!E134="707.8(3)", 'CASE DATA'!E134="707.8(4)", 'CASE DATA'!E134="707.8(5)", 'CASE DATA'!E134="707.8(6)", 'CASE DATA'!E134="707.9", 'CASE DATA'!E134="707.11", 'CASE DATA'!E134="707A.2", 'CASE DATA'!E134="708.2(4)", 'CASE DATA'!E134="708.2(5)", 'CASE DATA'!E134="708.2A(4)", 'CASE DATA'!E134="708.2A(5)", 'CASE DATA'!E134="708.2C(2)", 'CASE DATA'!E134="708.2C(4)", 'CASE DATA'!E134="708.3(1)", 'CASE DATA'!E134="708.3(2)", 'CASE DATA'!E134="708.3A(1)", 'CASE DATA'!E134="708.3A(2)", 'CASE DATA'!E134="708.3B", 'CASE DATA'!E134="708.4(1)", 'CASE DATA'!E134="708.4(2)", 'CASE DATA'!E134="708.5", 'CASE DATA'!E134="708.8", 'CASE DATA'!E134="708.11(3)(a)", 'CASE DATA'!E134="708.11(3)(b)", 'CASE DATA'!E134="708.12(3)(f)", 'CASE DATA'!E134="708.13(3)", 'CASE DATA'!E134="708.14", 'CASE DATA'!E134="708A.2", 'CASE DATA'!E134="708A.4(1)", 'CASE DATA'!E134="708A.4(2)", 'CASE DATA'!E134="708A.5", 'CASE DATA'!E134="708A.6(1)", 'CASE DATA'!E134="708.A.6(2)", 'CASE DATA'!E134="709.2", 'CASE DATA'!E134="709.3", 'CASE DATA'!E134="709.4", 'CASE DATA'!E134="709.8(1)(a)", 'CASE DATA'!E134="709.8(1)(b)", 'CASE DATA'!E134="709.8(1)(c)", 'CASE DATA'!E134="709.8(1)(d)", 'CASE DATA'!E134="709.8(1)(e)", 'CASE DATA'!E134="709.11(1)", 'CASE DATA'!E134="709.11(2)", 'CASE DATA'!E134="709.15(2)(a)(1)", 'CASE DATA'!E134="709.15(3)(a)(1)", 'CASE DATA'!E134="709.18", 'CASE DATA'!E134="709A.6(2)", 'CASE DATA'!E134="709D.3(1)", 'CASE DATA'!E134="709D.3(2)", 'CASE DATA'!E134="709.D.3(3)", 'CASE DATA'!E134="710.2", 'CASE DATA'!E134="710.3", 'CASE DATA'!E134="710.4", 'CASE DATA'!E134="710.5", 'CASE DATA'!E134="710.10(1)", 'CASE DATA'!E134="710.10(2)", 'CASE DATA'!E134="710.10(3)", 'CASE DATA'!E134="710.11", 'CASE DATA'!E134="710A.2(1)", 'CASE DATA'!E134="710A.2(2)", 'CASE DATA'!E134="710A.2(3)", 'CASE DATA'!E134="710A.2(4)", 'CASE DATA'!E134="710A.2(5)", 'CASE DATA'!E134="710A.2(6)", 'CASE DATA'!E134="710A.2(7)", 'CASE DATA'!E134="710A.2A", 'CASE DATA'!E134="711.2", 'CASE DATA'!E134="711.3", 'CASE DATA'!E134="711.4", 'CASE DATA'!E134="712.2", 'CASE DATA'!E134="712.3", 'CASE DATA'!E134="712.6(1)", 'CASE DATA'!E134="712.7", 'CASE DATA'!E134="712.8", 'CASE DATA'!E134="", 'CASE DATA'!E134="713.3", 'CASE DATA'!E134="713.4", 'CASE DATA'!E134="713.5", 'CASE DATA'!E134="713.6", 'CASE DATA'!E134="713.6A(1)", 'CASE DATA'!E134="714.2(1)", 'CASE DATA'!E134="714.2(2)", 'CASE DATA'!E134="714.3A(2)(b)", 'CASE DATA'!E134="714.9", 'CASE DATA'!E134="714.10", 'CASE DATA'!E134="714.26(2)(a)", 'CASE DATA'!E134="714.26(2)(b)", 'CASE DATA'!E134="715A.2(2)(a)", 'CASE DATA'!E134="715A.6(2)(a)", 'CASE DATA'!E134="715A.6(2)(b)", 'CASE DATA'!E134="715A.8(3)(a)", 'CASE DATA'!E134="715A.8(3)(b)", 'CASE DATA'!E134="715A.10(1)", 'CASE DATA'!E134="715A.10(2)", 'CASE DATA'!E134="716.3", 'CASE DATA'!E134="716.4", 'CASE DATA'!E134="716.8(6)", 'CASE DATA'!E134="716.10(2)(a)", 'CASE DATA'!E134="716.10(2)(b)", 'CASE DATA'!E134="716.10(2)(c)", 'CASE DATA'!E134="716.10(2)(d)", 'CASE DATA'!E134="716.12", 'CASE DATA'!E134="719.1(1)(f)", 'CASE DATA'!E134="719.1(2)(e)", 'CASE DATA'!E134="719.1(2)(f)", 'CASE DATA'!E134="719.1(2)(g)", 'CASE DATA'!E134="719.4(1)", 'CASE DATA'!E134="719.4(4)", 'CASE DATA'!E134="719.5(1)", 'CASE DATA'!E134="719.5(2)", 'CASE DATA'!E134="719.6(1)", 'CASE DATA'!E134="719.6(2)", 'CASE DATA'!E134="719.7(4)(a)", 'CASE DATA'!E134="719.7(4)(b)", 'CASE DATA'!E134="719.7A(3)", 'CASE DATA'!E134="719.9", 'CASE DATA'!E134="719.8", 'CASE DATA'!E134="720.2", 'CASE DATA'!E134="720.3", 'CASE DATA'!E134="721.1", 'CASE DATA'!E134="722.1", 'CASE DATA'!E134="", 'CASE DATA'!E134="722.2", 'CASE DATA'!E134="722.10", 'CASE DATA'!E134="723(5)(3)(c)", 'CASE DATA'!E134="723A.2", 'CASE DATA'!E134="723A.3(1)", 'CASE DATA'!E134="723A.3(2)", 'CASE DATA'!E134="724.1B", 'CASE DATA'!E134="724.1C", 'CASE DATA'!E134="724.3", 'CASE DATA'!E134="724.4B", 'CASE DATA'!E134="724.10", 'CASE DATA'!E134="724.16(2)", 'CASE DATA'!E134="724.16A(1)(a)", 'CASE DATA'!E134="724.16A(1)(b)", 'CASE DATA'!E134="724.17", 'CASE DATA'!E134="724.21", 'CASE DATA'!E134="724.26(1)", 'CASE DATA'!E134="922(g)(8)", 'CASE DATA'!E134="724.29A(2)", 'CASE DATA'!E134="724.29A(3)", 'CASE DATA'!E134="724.30(1)", 'CASE DATA'!E134="724.30(2)", 'CASE DATA'!E134="725.1(2)(b)", 'CASE DATA'!E134="725.2(1)", 'CASE DATA'!E134="725.2(2)", 'CASE DATA'!E134="725.3(2)", 'CASE DATA'!E134="725.3(1)", 'CASE DATA'!E134="725.7(2)(a)(3)", 'CASE DATA'!E134="725.7(2)(a)(4)", 'CASE DATA'!E134="725.7(2)(b)(2)", 'CASE DATA'!E134="725.7(2)(b(3)", 'CASE DATA'!E134="726.7(2)(c)(1)", 'CASE DATA'!E134="726.7(2)(c)(2)", 'CASE DATA'!E134="725.7(2)(d)", 'CASE DATA'!E134="726.2", 'CASE DATA'!E134="726.3", 'CASE DATA'!E134="726.5", 'CASE DATA'!E134="726.6(4)", 'CASE DATA'!E134="726.6(5)", 'CASE DATA'!E134="726.6(6)", 'CASE DATA'!E134="726.6A", 'CASE DATA'!E134="726.7(2)", 'CASE DATA'!E134="726.8(2)", 'CASE DATA'!E134="728.12(1)", 'CASE DATA'!E134="728.12(2)"),"felony","eligible"),"N/A")</f>
        <v>N/A</v>
      </c>
      <c r="M133" s="185" t="str">
        <f>IF(L133="eligible",IF(OR('CASE DATA'!E134="123.46",'CASE DATA'!E134="123.47",'CASE DATA'!E134="235B.20",'CASE DATA'!E134="321.218",'CASE DATA'!E134="321A.32",'CASE DATA'!E134="321J.21",'CASE DATA'!E134="321J.2",'CASE DATA'!E134="707.5",'CASE DATA'!E134="708.2(3)",'CASE DATA'!E134="708.2A",'CASE DATA'!E134="708.7",'CASE DATA'!E134="708.11",'CASE DATA'!E134="708.12",'CASE DATA'!E134="716.8(3)",'CASE DATA'!E134="716.8(4)", LEFT('CASE DATA'!E134,4)="717C", LEFT('CASE DATA'!E134, 3)="719", LEFT('CASE DATA'!E134,3)="720", 'CASE DATA'!E134="721.2", 'CASE DATA'!E134="721.10", 'CASE DATA'!E134="723.1", LEFT('CASE DATA'!E134,3)="724", LEFT('CASE DATA'!E134,3)="726", LEFT('CASE DATA'!E134,3)="728", LEFT('CASE DATA'!E134,4)="901A"),"ineligible misd", "eligible"),"N/A")</f>
        <v>N/A</v>
      </c>
      <c r="N133" s="185" t="str">
        <f>IF(L133="eligible",IF(COUNTIF('CASE DATA'!$C$4:$C$200, "")-COUNTIF('CASE DATA'!$A$4:$A$200, "")&gt;0, "YES","NO"),"N/A")</f>
        <v>N/A</v>
      </c>
      <c r="O133" s="185" t="str">
        <f xml:space="preserve"> IF(M133="eligible",'CASE DATA'!K134,"N/A")</f>
        <v>N/A</v>
      </c>
      <c r="P133" s="185" t="str">
        <f xml:space="preserve"> IF(M133="eligible",'CASE DATA'!I134+'CASE DATA'!J134+'CASE DATA'!L134+'CASE DATA'!M134+'CASE DATA'!N134+'CASE DATA'!O134+'CASE DATA'!M134+'CASE DATA'!Q134+'CASE DATA'!R134,"N/A")</f>
        <v>N/A</v>
      </c>
      <c r="Q133" s="11" t="str">
        <f>IF(M133="eligible",IF(C133+730.5&lt;'BASIC INFO'!$B$3, "YES", "NO"),"N/A")</f>
        <v>N/A</v>
      </c>
      <c r="R133" s="186" t="str">
        <f xml:space="preserve"> IF(OR('CASE DATA'!F134="DEF"), "YES", "NO")</f>
        <v>NO</v>
      </c>
      <c r="S133" s="162" t="str">
        <f>IF(R133="YES",'CASE DATA'!H134,"N/A")</f>
        <v>N/A</v>
      </c>
      <c r="T133" s="185" t="str">
        <f xml:space="preserve"> IF(R133="YES",'CASE DATA'!K134,"N/A")</f>
        <v>N/A</v>
      </c>
      <c r="U133" s="185" t="str">
        <f>IF(R133="YES",'CASE DATA'!I134+'CASE DATA'!J134+'CASE DATA'!L134+'CASE DATA'!M134+'CASE DATA'!N134+'CASE DATA'!O134+'CASE DATA'!P134+'CASE DATA'!Q134+'CASE DATA'!R134,"N/A")</f>
        <v>N/A</v>
      </c>
      <c r="V133" s="189" t="str">
        <f>IF(OR('CASE DATA'!E134="123.46",'CASE DATA'!E134="123.47"),"YES","NO")</f>
        <v>NO</v>
      </c>
      <c r="W133" s="189"/>
      <c r="X133" s="185" t="str">
        <f>IF(V133="YES",IF(C133+730.5&lt;'BASIC INFO'!$B$3, "YES","NO"), "N/A")</f>
        <v>N/A</v>
      </c>
      <c r="Y133" s="189" t="str">
        <f t="shared" si="2"/>
        <v>NO</v>
      </c>
      <c r="Z133" s="187" t="str">
        <f xml:space="preserve"> IF('BASIC INFO'!$B$6+6574.5&gt;C133, "YES", "NO")</f>
        <v>YES</v>
      </c>
    </row>
    <row r="134" spans="1:26" x14ac:dyDescent="0.25">
      <c r="A134" s="162">
        <f xml:space="preserve"> 'CASE DATA'!A135</f>
        <v>0</v>
      </c>
      <c r="B134" s="162">
        <f xml:space="preserve"> 'CASE DATA'!E135</f>
        <v>0</v>
      </c>
      <c r="C134" s="163">
        <f xml:space="preserve"> 'CASE DATA'!C135</f>
        <v>0</v>
      </c>
      <c r="D134" s="11" t="str">
        <f xml:space="preserve"> IF(OR('CASE DATA'!F135="JUV", 'CASE DATA'!F135="JWV"), "YES", "NO")</f>
        <v>NO</v>
      </c>
      <c r="E134" s="11"/>
      <c r="F134" s="11" t="str">
        <f>IF(D134="YES",IF(COUNTIF('CASE DATA'!$C$4:$C$200, "")-COUNTIF('CASE DATA'!$A$4:$A$200, "")&gt;0, "YES","NO"),"N/A")</f>
        <v>N/A</v>
      </c>
      <c r="G134" s="164" t="str">
        <f xml:space="preserve"> _xlfn.IFS(D134="NO", "N/A", AND('BASIC INFO'!$B$3&gt;'BASIC INFO'!$B$6+6574.5, C134+730.5&lt;'BASIC INFO'!$B$3), "YES", 'BASIC INFO'!$B$3&lt;('BASIC INFO'!$B$6+6574.5), "NOT YET 18", C134+730.5&gt;'BASIC INFO'!$B$3, "NOT YET 2 YEARS")</f>
        <v>N/A</v>
      </c>
      <c r="H134" s="186" t="str">
        <f xml:space="preserve"> IF(LEFT('CASE DATA'!E135,4)&lt;&gt;"321.",IF(OR('CASE DATA'!F135="DISM", 'CASE DATA'!F135="ACQ", 'CASE DATA'!F135="NOTF", 'CASE DATA'!F135="WTHD", 'CASE DATA'!F135="TNSF"), "YES", "NO"), "TRAFFIC")</f>
        <v>NO</v>
      </c>
      <c r="I134" s="185" t="str">
        <f xml:space="preserve"> IF(H134="YES",'CASE DATA'!K135,"N/A")</f>
        <v>N/A</v>
      </c>
      <c r="J134" s="185" t="str">
        <f>IF(H134="YES",'CASE DATA'!I135+'CASE DATA'!J135+'CASE DATA'!L135+'CASE DATA'!M135+'CASE DATA'!N135+'CASE DATA'!O135+'CASE DATA'!P135+'CASE DATA'!Q135+'CASE DATA'!R135,"N/A")</f>
        <v>N/A</v>
      </c>
      <c r="K134" s="162" t="str">
        <f xml:space="preserve"> IF(H134="YES",IF(C134+180&lt;'BASIC INFO'!$B$3, "YES", "NO"),"N/A")</f>
        <v>N/A</v>
      </c>
      <c r="L134" s="185" t="str">
        <f>IF(OR('CASE DATA'!F135="GTR", 'CASE DATA'!F135="GPL"),IF(OR('CASE DATA'!E135="81.6(2)", 'CASE DATA'!E135="99F.15(6)(b)(1)", 'CASE DATA'!E135= "124.401(1)(a)", 'CASE DATA'!E135= "124.401(1)(b)", 'CASE DATA'!E135= "124.401(1)(c)", 'CASE DATA'!E135= "124.401(1)(d)", 'CASE DATA'!E135="124.401(4)", 'CASE DATA'!E135="124.401(1)(b)", 'CASE DATA'!E135="124.401(1)(c)", 'CASE DATA'!E135="124.401D(2)(b)", 'CASE DATA'!E135="124.401D(2)(c)", 'CASE DATA'!E135="124.406(1)(a)", 'CASE DATA'!E135="124.406(1)(b) ", 'CASE DATA'!E135="124.406(2)(a)", 'CASE DATA'!E135="124.406(2)(b) ", 'CASE DATA'!E135="124.406(3)", 'CASE DATA'!E135="124.406A ", 'CASE DATA'!E135="124.407(2)(a)", 'CASE DATA'!E135="124B.9(1)", 'CASE DATA'!E135="124B.9(2)", 'CASE DATA'!E135="321J.2(2)(c)", 'CASE DATA'!E135="453B.12(2)", 'CASE DATA'!E135="453B.12(3)", 'CASE DATA'!E135="453B.12(4)", 'CASE DATA'!E135="462A.14(2)(c)", 'CASE DATA'!E135="462A.14(2)(d)", 'CASE DATA'!E135="462A.14(2)(e)", 'CASE DATA'!E135="705.1(2)", 'CASE DATA'!E135="706.3(1)", 'CASE DATA'!E135="706.3(2)", 'CASE DATA'!E135="706A.2(1)", 'CASE DATA'!E135="706A.2(2)", 'CASE DATA'!E135="706A.2(4)", 'CASE DATA'!E135="706B.2(1)(a)", 'CASE DATA'!E135="706B.2(1)(b)", 'CASE DATA'!E135="706B.2(1)(c)", 'CASE DATA'!E135="706B.2(1)(d)", 'CASE DATA'!E135="707.2", 'CASE DATA'!E135="707.3", 'CASE DATA'!E135="707.3A", 'CASE DATA'!E135="707.4", 'CASE DATA'!E135="707.5(1)(a)", 'CASE DATA'!E135="707.6A(1)", 'CASE DATA'!E135="707.6A(2)", 'CASE DATA'!E135="707.6A(3)", 'CASE DATA'!E135="707.6A(4)", 'CASE DATA'!E135="707.7(1)", 'CASE DATA'!E135="707.7(3)", 'CASE DATA'!E135="707.7(2)", 'CASE DATA'!E135="707.8(1)", 'CASE DATA'!E135="707.8(2)", 'CASE DATA'!E135="707.8(3)", 'CASE DATA'!E135="707.8(4)", 'CASE DATA'!E135="707.8(5)", 'CASE DATA'!E135="707.8(6)", 'CASE DATA'!E135="707.9", 'CASE DATA'!E135="707.11", 'CASE DATA'!E135="707A.2", 'CASE DATA'!E135="708.2(4)", 'CASE DATA'!E135="708.2(5)", 'CASE DATA'!E135="708.2A(4)", 'CASE DATA'!E135="708.2A(5)", 'CASE DATA'!E135="708.2C(2)", 'CASE DATA'!E135="708.2C(4)", 'CASE DATA'!E135="708.3(1)", 'CASE DATA'!E135="708.3(2)", 'CASE DATA'!E135="708.3A(1)", 'CASE DATA'!E135="708.3A(2)", 'CASE DATA'!E135="708.3B", 'CASE DATA'!E135="708.4(1)", 'CASE DATA'!E135="708.4(2)", 'CASE DATA'!E135="708.5", 'CASE DATA'!E135="708.8", 'CASE DATA'!E135="708.11(3)(a)", 'CASE DATA'!E135="708.11(3)(b)", 'CASE DATA'!E135="708.12(3)(f)", 'CASE DATA'!E135="708.13(3)", 'CASE DATA'!E135="708.14", 'CASE DATA'!E135="708A.2", 'CASE DATA'!E135="708A.4(1)", 'CASE DATA'!E135="708A.4(2)", 'CASE DATA'!E135="708A.5", 'CASE DATA'!E135="708A.6(1)", 'CASE DATA'!E135="708.A.6(2)", 'CASE DATA'!E135="709.2", 'CASE DATA'!E135="709.3", 'CASE DATA'!E135="709.4", 'CASE DATA'!E135="709.8(1)(a)", 'CASE DATA'!E135="709.8(1)(b)", 'CASE DATA'!E135="709.8(1)(c)", 'CASE DATA'!E135="709.8(1)(d)", 'CASE DATA'!E135="709.8(1)(e)", 'CASE DATA'!E135="709.11(1)", 'CASE DATA'!E135="709.11(2)", 'CASE DATA'!E135="709.15(2)(a)(1)", 'CASE DATA'!E135="709.15(3)(a)(1)", 'CASE DATA'!E135="709.18", 'CASE DATA'!E135="709A.6(2)", 'CASE DATA'!E135="709D.3(1)", 'CASE DATA'!E135="709D.3(2)", 'CASE DATA'!E135="709.D.3(3)", 'CASE DATA'!E135="710.2", 'CASE DATA'!E135="710.3", 'CASE DATA'!E135="710.4", 'CASE DATA'!E135="710.5", 'CASE DATA'!E135="710.10(1)", 'CASE DATA'!E135="710.10(2)", 'CASE DATA'!E135="710.10(3)", 'CASE DATA'!E135="710.11", 'CASE DATA'!E135="710A.2(1)", 'CASE DATA'!E135="710A.2(2)", 'CASE DATA'!E135="710A.2(3)", 'CASE DATA'!E135="710A.2(4)", 'CASE DATA'!E135="710A.2(5)", 'CASE DATA'!E135="710A.2(6)", 'CASE DATA'!E135="710A.2(7)", 'CASE DATA'!E135="710A.2A", 'CASE DATA'!E135="711.2", 'CASE DATA'!E135="711.3", 'CASE DATA'!E135="711.4", 'CASE DATA'!E135="712.2", 'CASE DATA'!E135="712.3", 'CASE DATA'!E135="712.6(1)", 'CASE DATA'!E135="712.7", 'CASE DATA'!E135="712.8", 'CASE DATA'!E135="", 'CASE DATA'!E135="713.3", 'CASE DATA'!E135="713.4", 'CASE DATA'!E135="713.5", 'CASE DATA'!E135="713.6", 'CASE DATA'!E135="713.6A(1)", 'CASE DATA'!E135="714.2(1)", 'CASE DATA'!E135="714.2(2)", 'CASE DATA'!E135="714.3A(2)(b)", 'CASE DATA'!E135="714.9", 'CASE DATA'!E135="714.10", 'CASE DATA'!E135="714.26(2)(a)", 'CASE DATA'!E135="714.26(2)(b)", 'CASE DATA'!E135="715A.2(2)(a)", 'CASE DATA'!E135="715A.6(2)(a)", 'CASE DATA'!E135="715A.6(2)(b)", 'CASE DATA'!E135="715A.8(3)(a)", 'CASE DATA'!E135="715A.8(3)(b)", 'CASE DATA'!E135="715A.10(1)", 'CASE DATA'!E135="715A.10(2)", 'CASE DATA'!E135="716.3", 'CASE DATA'!E135="716.4", 'CASE DATA'!E135="716.8(6)", 'CASE DATA'!E135="716.10(2)(a)", 'CASE DATA'!E135="716.10(2)(b)", 'CASE DATA'!E135="716.10(2)(c)", 'CASE DATA'!E135="716.10(2)(d)", 'CASE DATA'!E135="716.12", 'CASE DATA'!E135="719.1(1)(f)", 'CASE DATA'!E135="719.1(2)(e)", 'CASE DATA'!E135="719.1(2)(f)", 'CASE DATA'!E135="719.1(2)(g)", 'CASE DATA'!E135="719.4(1)", 'CASE DATA'!E135="719.4(4)", 'CASE DATA'!E135="719.5(1)", 'CASE DATA'!E135="719.5(2)", 'CASE DATA'!E135="719.6(1)", 'CASE DATA'!E135="719.6(2)", 'CASE DATA'!E135="719.7(4)(a)", 'CASE DATA'!E135="719.7(4)(b)", 'CASE DATA'!E135="719.7A(3)", 'CASE DATA'!E135="719.9", 'CASE DATA'!E135="719.8", 'CASE DATA'!E135="720.2", 'CASE DATA'!E135="720.3", 'CASE DATA'!E135="721.1", 'CASE DATA'!E135="722.1", 'CASE DATA'!E135="", 'CASE DATA'!E135="722.2", 'CASE DATA'!E135="722.10", 'CASE DATA'!E135="723(5)(3)(c)", 'CASE DATA'!E135="723A.2", 'CASE DATA'!E135="723A.3(1)", 'CASE DATA'!E135="723A.3(2)", 'CASE DATA'!E135="724.1B", 'CASE DATA'!E135="724.1C", 'CASE DATA'!E135="724.3", 'CASE DATA'!E135="724.4B", 'CASE DATA'!E135="724.10", 'CASE DATA'!E135="724.16(2)", 'CASE DATA'!E135="724.16A(1)(a)", 'CASE DATA'!E135="724.16A(1)(b)", 'CASE DATA'!E135="724.17", 'CASE DATA'!E135="724.21", 'CASE DATA'!E135="724.26(1)", 'CASE DATA'!E135="922(g)(8)", 'CASE DATA'!E135="724.29A(2)", 'CASE DATA'!E135="724.29A(3)", 'CASE DATA'!E135="724.30(1)", 'CASE DATA'!E135="724.30(2)", 'CASE DATA'!E135="725.1(2)(b)", 'CASE DATA'!E135="725.2(1)", 'CASE DATA'!E135="725.2(2)", 'CASE DATA'!E135="725.3(2)", 'CASE DATA'!E135="725.3(1)", 'CASE DATA'!E135="725.7(2)(a)(3)", 'CASE DATA'!E135="725.7(2)(a)(4)", 'CASE DATA'!E135="725.7(2)(b)(2)", 'CASE DATA'!E135="725.7(2)(b(3)", 'CASE DATA'!E135="726.7(2)(c)(1)", 'CASE DATA'!E135="726.7(2)(c)(2)", 'CASE DATA'!E135="725.7(2)(d)", 'CASE DATA'!E135="726.2", 'CASE DATA'!E135="726.3", 'CASE DATA'!E135="726.5", 'CASE DATA'!E135="726.6(4)", 'CASE DATA'!E135="726.6(5)", 'CASE DATA'!E135="726.6(6)", 'CASE DATA'!E135="726.6A", 'CASE DATA'!E135="726.7(2)", 'CASE DATA'!E135="726.8(2)", 'CASE DATA'!E135="728.12(1)", 'CASE DATA'!E135="728.12(2)"),"felony","eligible"),"N/A")</f>
        <v>N/A</v>
      </c>
      <c r="M134" s="185" t="str">
        <f>IF(L134="eligible",IF(OR('CASE DATA'!E135="123.46",'CASE DATA'!E135="123.47",'CASE DATA'!E135="235B.20",'CASE DATA'!E135="321.218",'CASE DATA'!E135="321A.32",'CASE DATA'!E135="321J.21",'CASE DATA'!E135="321J.2",'CASE DATA'!E135="707.5",'CASE DATA'!E135="708.2(3)",'CASE DATA'!E135="708.2A",'CASE DATA'!E135="708.7",'CASE DATA'!E135="708.11",'CASE DATA'!E135="708.12",'CASE DATA'!E135="716.8(3)",'CASE DATA'!E135="716.8(4)", LEFT('CASE DATA'!E135,4)="717C", LEFT('CASE DATA'!E135, 3)="719", LEFT('CASE DATA'!E135,3)="720", 'CASE DATA'!E135="721.2", 'CASE DATA'!E135="721.10", 'CASE DATA'!E135="723.1", LEFT('CASE DATA'!E135,3)="724", LEFT('CASE DATA'!E135,3)="726", LEFT('CASE DATA'!E135,3)="728", LEFT('CASE DATA'!E135,4)="901A"),"ineligible misd", "eligible"),"N/A")</f>
        <v>N/A</v>
      </c>
      <c r="N134" s="185" t="str">
        <f>IF(L134="eligible",IF(COUNTIF('CASE DATA'!$C$4:$C$200, "")-COUNTIF('CASE DATA'!$A$4:$A$200, "")&gt;0, "YES","NO"),"N/A")</f>
        <v>N/A</v>
      </c>
      <c r="O134" s="185" t="str">
        <f xml:space="preserve"> IF(M134="eligible",'CASE DATA'!K135,"N/A")</f>
        <v>N/A</v>
      </c>
      <c r="P134" s="185" t="str">
        <f xml:space="preserve"> IF(M134="eligible",'CASE DATA'!I135+'CASE DATA'!J135+'CASE DATA'!L135+'CASE DATA'!M135+'CASE DATA'!N135+'CASE DATA'!O135+'CASE DATA'!M135+'CASE DATA'!Q135+'CASE DATA'!R135,"N/A")</f>
        <v>N/A</v>
      </c>
      <c r="Q134" s="11" t="str">
        <f>IF(M134="eligible",IF(C134+730.5&lt;'BASIC INFO'!$B$3, "YES", "NO"),"N/A")</f>
        <v>N/A</v>
      </c>
      <c r="R134" s="186" t="str">
        <f xml:space="preserve"> IF(OR('CASE DATA'!F135="DEF"), "YES", "NO")</f>
        <v>NO</v>
      </c>
      <c r="S134" s="162" t="str">
        <f>IF(R134="YES",'CASE DATA'!H135,"N/A")</f>
        <v>N/A</v>
      </c>
      <c r="T134" s="185" t="str">
        <f xml:space="preserve"> IF(R134="YES",'CASE DATA'!K135,"N/A")</f>
        <v>N/A</v>
      </c>
      <c r="U134" s="185" t="str">
        <f>IF(R134="YES",'CASE DATA'!I135+'CASE DATA'!J135+'CASE DATA'!L135+'CASE DATA'!M135+'CASE DATA'!N135+'CASE DATA'!O135+'CASE DATA'!P135+'CASE DATA'!Q135+'CASE DATA'!R135,"N/A")</f>
        <v>N/A</v>
      </c>
      <c r="V134" s="189" t="str">
        <f>IF(OR('CASE DATA'!E135="123.46",'CASE DATA'!E135="123.47"),"YES","NO")</f>
        <v>NO</v>
      </c>
      <c r="W134" s="189"/>
      <c r="X134" s="185" t="str">
        <f>IF(V134="YES",IF(C134+730.5&lt;'BASIC INFO'!$B$3, "YES","NO"), "N/A")</f>
        <v>N/A</v>
      </c>
      <c r="Y134" s="189" t="str">
        <f t="shared" si="2"/>
        <v>NO</v>
      </c>
      <c r="Z134" s="187" t="str">
        <f xml:space="preserve"> IF('BASIC INFO'!$B$6+6574.5&gt;C134, "YES", "NO")</f>
        <v>YES</v>
      </c>
    </row>
    <row r="135" spans="1:26" x14ac:dyDescent="0.25">
      <c r="A135" s="162">
        <f xml:space="preserve"> 'CASE DATA'!A136</f>
        <v>0</v>
      </c>
      <c r="B135" s="162">
        <f xml:space="preserve"> 'CASE DATA'!E136</f>
        <v>0</v>
      </c>
      <c r="C135" s="163">
        <f xml:space="preserve"> 'CASE DATA'!C136</f>
        <v>0</v>
      </c>
      <c r="D135" s="11" t="str">
        <f xml:space="preserve"> IF(OR('CASE DATA'!F136="JUV", 'CASE DATA'!F136="JWV"), "YES", "NO")</f>
        <v>NO</v>
      </c>
      <c r="E135" s="11"/>
      <c r="F135" s="11" t="str">
        <f>IF(D135="YES",IF(COUNTIF('CASE DATA'!$C$4:$C$200, "")-COUNTIF('CASE DATA'!$A$4:$A$200, "")&gt;0, "YES","NO"),"N/A")</f>
        <v>N/A</v>
      </c>
      <c r="G135" s="164" t="str">
        <f xml:space="preserve"> _xlfn.IFS(D135="NO", "N/A", AND('BASIC INFO'!$B$3&gt;'BASIC INFO'!$B$6+6574.5, C135+730.5&lt;'BASIC INFO'!$B$3), "YES", 'BASIC INFO'!$B$3&lt;('BASIC INFO'!$B$6+6574.5), "NOT YET 18", C135+730.5&gt;'BASIC INFO'!$B$3, "NOT YET 2 YEARS")</f>
        <v>N/A</v>
      </c>
      <c r="H135" s="186" t="str">
        <f xml:space="preserve"> IF(LEFT('CASE DATA'!E136,4)&lt;&gt;"321.",IF(OR('CASE DATA'!F136="DISM", 'CASE DATA'!F136="ACQ", 'CASE DATA'!F136="NOTF", 'CASE DATA'!F136="WTHD", 'CASE DATA'!F136="TNSF"), "YES", "NO"), "TRAFFIC")</f>
        <v>NO</v>
      </c>
      <c r="I135" s="185" t="str">
        <f xml:space="preserve"> IF(H135="YES",'CASE DATA'!K136,"N/A")</f>
        <v>N/A</v>
      </c>
      <c r="J135" s="185" t="str">
        <f>IF(H135="YES",'CASE DATA'!I136+'CASE DATA'!J136+'CASE DATA'!L136+'CASE DATA'!M136+'CASE DATA'!N136+'CASE DATA'!O136+'CASE DATA'!P136+'CASE DATA'!Q136+'CASE DATA'!R136,"N/A")</f>
        <v>N/A</v>
      </c>
      <c r="K135" s="162" t="str">
        <f xml:space="preserve"> IF(H135="YES",IF(C135+180&lt;'BASIC INFO'!$B$3, "YES", "NO"),"N/A")</f>
        <v>N/A</v>
      </c>
      <c r="L135" s="185" t="str">
        <f>IF(OR('CASE DATA'!F136="GTR", 'CASE DATA'!F136="GPL"),IF(OR('CASE DATA'!E136="81.6(2)", 'CASE DATA'!E136="99F.15(6)(b)(1)", 'CASE DATA'!E136= "124.401(1)(a)", 'CASE DATA'!E136= "124.401(1)(b)", 'CASE DATA'!E136= "124.401(1)(c)", 'CASE DATA'!E136= "124.401(1)(d)", 'CASE DATA'!E136="124.401(4)", 'CASE DATA'!E136="124.401(1)(b)", 'CASE DATA'!E136="124.401(1)(c)", 'CASE DATA'!E136="124.401D(2)(b)", 'CASE DATA'!E136="124.401D(2)(c)", 'CASE DATA'!E136="124.406(1)(a)", 'CASE DATA'!E136="124.406(1)(b) ", 'CASE DATA'!E136="124.406(2)(a)", 'CASE DATA'!E136="124.406(2)(b) ", 'CASE DATA'!E136="124.406(3)", 'CASE DATA'!E136="124.406A ", 'CASE DATA'!E136="124.407(2)(a)", 'CASE DATA'!E136="124B.9(1)", 'CASE DATA'!E136="124B.9(2)", 'CASE DATA'!E136="321J.2(2)(c)", 'CASE DATA'!E136="453B.12(2)", 'CASE DATA'!E136="453B.12(3)", 'CASE DATA'!E136="453B.12(4)", 'CASE DATA'!E136="462A.14(2)(c)", 'CASE DATA'!E136="462A.14(2)(d)", 'CASE DATA'!E136="462A.14(2)(e)", 'CASE DATA'!E136="705.1(2)", 'CASE DATA'!E136="706.3(1)", 'CASE DATA'!E136="706.3(2)", 'CASE DATA'!E136="706A.2(1)", 'CASE DATA'!E136="706A.2(2)", 'CASE DATA'!E136="706A.2(4)", 'CASE DATA'!E136="706B.2(1)(a)", 'CASE DATA'!E136="706B.2(1)(b)", 'CASE DATA'!E136="706B.2(1)(c)", 'CASE DATA'!E136="706B.2(1)(d)", 'CASE DATA'!E136="707.2", 'CASE DATA'!E136="707.3", 'CASE DATA'!E136="707.3A", 'CASE DATA'!E136="707.4", 'CASE DATA'!E136="707.5(1)(a)", 'CASE DATA'!E136="707.6A(1)", 'CASE DATA'!E136="707.6A(2)", 'CASE DATA'!E136="707.6A(3)", 'CASE DATA'!E136="707.6A(4)", 'CASE DATA'!E136="707.7(1)", 'CASE DATA'!E136="707.7(3)", 'CASE DATA'!E136="707.7(2)", 'CASE DATA'!E136="707.8(1)", 'CASE DATA'!E136="707.8(2)", 'CASE DATA'!E136="707.8(3)", 'CASE DATA'!E136="707.8(4)", 'CASE DATA'!E136="707.8(5)", 'CASE DATA'!E136="707.8(6)", 'CASE DATA'!E136="707.9", 'CASE DATA'!E136="707.11", 'CASE DATA'!E136="707A.2", 'CASE DATA'!E136="708.2(4)", 'CASE DATA'!E136="708.2(5)", 'CASE DATA'!E136="708.2A(4)", 'CASE DATA'!E136="708.2A(5)", 'CASE DATA'!E136="708.2C(2)", 'CASE DATA'!E136="708.2C(4)", 'CASE DATA'!E136="708.3(1)", 'CASE DATA'!E136="708.3(2)", 'CASE DATA'!E136="708.3A(1)", 'CASE DATA'!E136="708.3A(2)", 'CASE DATA'!E136="708.3B", 'CASE DATA'!E136="708.4(1)", 'CASE DATA'!E136="708.4(2)", 'CASE DATA'!E136="708.5", 'CASE DATA'!E136="708.8", 'CASE DATA'!E136="708.11(3)(a)", 'CASE DATA'!E136="708.11(3)(b)", 'CASE DATA'!E136="708.12(3)(f)", 'CASE DATA'!E136="708.13(3)", 'CASE DATA'!E136="708.14", 'CASE DATA'!E136="708A.2", 'CASE DATA'!E136="708A.4(1)", 'CASE DATA'!E136="708A.4(2)", 'CASE DATA'!E136="708A.5", 'CASE DATA'!E136="708A.6(1)", 'CASE DATA'!E136="708.A.6(2)", 'CASE DATA'!E136="709.2", 'CASE DATA'!E136="709.3", 'CASE DATA'!E136="709.4", 'CASE DATA'!E136="709.8(1)(a)", 'CASE DATA'!E136="709.8(1)(b)", 'CASE DATA'!E136="709.8(1)(c)", 'CASE DATA'!E136="709.8(1)(d)", 'CASE DATA'!E136="709.8(1)(e)", 'CASE DATA'!E136="709.11(1)", 'CASE DATA'!E136="709.11(2)", 'CASE DATA'!E136="709.15(2)(a)(1)", 'CASE DATA'!E136="709.15(3)(a)(1)", 'CASE DATA'!E136="709.18", 'CASE DATA'!E136="709A.6(2)", 'CASE DATA'!E136="709D.3(1)", 'CASE DATA'!E136="709D.3(2)", 'CASE DATA'!E136="709.D.3(3)", 'CASE DATA'!E136="710.2", 'CASE DATA'!E136="710.3", 'CASE DATA'!E136="710.4", 'CASE DATA'!E136="710.5", 'CASE DATA'!E136="710.10(1)", 'CASE DATA'!E136="710.10(2)", 'CASE DATA'!E136="710.10(3)", 'CASE DATA'!E136="710.11", 'CASE DATA'!E136="710A.2(1)", 'CASE DATA'!E136="710A.2(2)", 'CASE DATA'!E136="710A.2(3)", 'CASE DATA'!E136="710A.2(4)", 'CASE DATA'!E136="710A.2(5)", 'CASE DATA'!E136="710A.2(6)", 'CASE DATA'!E136="710A.2(7)", 'CASE DATA'!E136="710A.2A", 'CASE DATA'!E136="711.2", 'CASE DATA'!E136="711.3", 'CASE DATA'!E136="711.4", 'CASE DATA'!E136="712.2", 'CASE DATA'!E136="712.3", 'CASE DATA'!E136="712.6(1)", 'CASE DATA'!E136="712.7", 'CASE DATA'!E136="712.8", 'CASE DATA'!E136="", 'CASE DATA'!E136="713.3", 'CASE DATA'!E136="713.4", 'CASE DATA'!E136="713.5", 'CASE DATA'!E136="713.6", 'CASE DATA'!E136="713.6A(1)", 'CASE DATA'!E136="714.2(1)", 'CASE DATA'!E136="714.2(2)", 'CASE DATA'!E136="714.3A(2)(b)", 'CASE DATA'!E136="714.9", 'CASE DATA'!E136="714.10", 'CASE DATA'!E136="714.26(2)(a)", 'CASE DATA'!E136="714.26(2)(b)", 'CASE DATA'!E136="715A.2(2)(a)", 'CASE DATA'!E136="715A.6(2)(a)", 'CASE DATA'!E136="715A.6(2)(b)", 'CASE DATA'!E136="715A.8(3)(a)", 'CASE DATA'!E136="715A.8(3)(b)", 'CASE DATA'!E136="715A.10(1)", 'CASE DATA'!E136="715A.10(2)", 'CASE DATA'!E136="716.3", 'CASE DATA'!E136="716.4", 'CASE DATA'!E136="716.8(6)", 'CASE DATA'!E136="716.10(2)(a)", 'CASE DATA'!E136="716.10(2)(b)", 'CASE DATA'!E136="716.10(2)(c)", 'CASE DATA'!E136="716.10(2)(d)", 'CASE DATA'!E136="716.12", 'CASE DATA'!E136="719.1(1)(f)", 'CASE DATA'!E136="719.1(2)(e)", 'CASE DATA'!E136="719.1(2)(f)", 'CASE DATA'!E136="719.1(2)(g)", 'CASE DATA'!E136="719.4(1)", 'CASE DATA'!E136="719.4(4)", 'CASE DATA'!E136="719.5(1)", 'CASE DATA'!E136="719.5(2)", 'CASE DATA'!E136="719.6(1)", 'CASE DATA'!E136="719.6(2)", 'CASE DATA'!E136="719.7(4)(a)", 'CASE DATA'!E136="719.7(4)(b)", 'CASE DATA'!E136="719.7A(3)", 'CASE DATA'!E136="719.9", 'CASE DATA'!E136="719.8", 'CASE DATA'!E136="720.2", 'CASE DATA'!E136="720.3", 'CASE DATA'!E136="721.1", 'CASE DATA'!E136="722.1", 'CASE DATA'!E136="", 'CASE DATA'!E136="722.2", 'CASE DATA'!E136="722.10", 'CASE DATA'!E136="723(5)(3)(c)", 'CASE DATA'!E136="723A.2", 'CASE DATA'!E136="723A.3(1)", 'CASE DATA'!E136="723A.3(2)", 'CASE DATA'!E136="724.1B", 'CASE DATA'!E136="724.1C", 'CASE DATA'!E136="724.3", 'CASE DATA'!E136="724.4B", 'CASE DATA'!E136="724.10", 'CASE DATA'!E136="724.16(2)", 'CASE DATA'!E136="724.16A(1)(a)", 'CASE DATA'!E136="724.16A(1)(b)", 'CASE DATA'!E136="724.17", 'CASE DATA'!E136="724.21", 'CASE DATA'!E136="724.26(1)", 'CASE DATA'!E136="922(g)(8)", 'CASE DATA'!E136="724.29A(2)", 'CASE DATA'!E136="724.29A(3)", 'CASE DATA'!E136="724.30(1)", 'CASE DATA'!E136="724.30(2)", 'CASE DATA'!E136="725.1(2)(b)", 'CASE DATA'!E136="725.2(1)", 'CASE DATA'!E136="725.2(2)", 'CASE DATA'!E136="725.3(2)", 'CASE DATA'!E136="725.3(1)", 'CASE DATA'!E136="725.7(2)(a)(3)", 'CASE DATA'!E136="725.7(2)(a)(4)", 'CASE DATA'!E136="725.7(2)(b)(2)", 'CASE DATA'!E136="725.7(2)(b(3)", 'CASE DATA'!E136="726.7(2)(c)(1)", 'CASE DATA'!E136="726.7(2)(c)(2)", 'CASE DATA'!E136="725.7(2)(d)", 'CASE DATA'!E136="726.2", 'CASE DATA'!E136="726.3", 'CASE DATA'!E136="726.5", 'CASE DATA'!E136="726.6(4)", 'CASE DATA'!E136="726.6(5)", 'CASE DATA'!E136="726.6(6)", 'CASE DATA'!E136="726.6A", 'CASE DATA'!E136="726.7(2)", 'CASE DATA'!E136="726.8(2)", 'CASE DATA'!E136="728.12(1)", 'CASE DATA'!E136="728.12(2)"),"felony","eligible"),"N/A")</f>
        <v>N/A</v>
      </c>
      <c r="M135" s="185" t="str">
        <f>IF(L135="eligible",IF(OR('CASE DATA'!E136="123.46",'CASE DATA'!E136="123.47",'CASE DATA'!E136="235B.20",'CASE DATA'!E136="321.218",'CASE DATA'!E136="321A.32",'CASE DATA'!E136="321J.21",'CASE DATA'!E136="321J.2",'CASE DATA'!E136="707.5",'CASE DATA'!E136="708.2(3)",'CASE DATA'!E136="708.2A",'CASE DATA'!E136="708.7",'CASE DATA'!E136="708.11",'CASE DATA'!E136="708.12",'CASE DATA'!E136="716.8(3)",'CASE DATA'!E136="716.8(4)", LEFT('CASE DATA'!E136,4)="717C", LEFT('CASE DATA'!E136, 3)="719", LEFT('CASE DATA'!E136,3)="720", 'CASE DATA'!E136="721.2", 'CASE DATA'!E136="721.10", 'CASE DATA'!E136="723.1", LEFT('CASE DATA'!E136,3)="724", LEFT('CASE DATA'!E136,3)="726", LEFT('CASE DATA'!E136,3)="728", LEFT('CASE DATA'!E136,4)="901A"),"ineligible misd", "eligible"),"N/A")</f>
        <v>N/A</v>
      </c>
      <c r="N135" s="185" t="str">
        <f>IF(L135="eligible",IF(COUNTIF('CASE DATA'!$C$4:$C$200, "")-COUNTIF('CASE DATA'!$A$4:$A$200, "")&gt;0, "YES","NO"),"N/A")</f>
        <v>N/A</v>
      </c>
      <c r="O135" s="185" t="str">
        <f xml:space="preserve"> IF(M135="eligible",'CASE DATA'!K136,"N/A")</f>
        <v>N/A</v>
      </c>
      <c r="P135" s="185" t="str">
        <f xml:space="preserve"> IF(M135="eligible",'CASE DATA'!I136+'CASE DATA'!J136+'CASE DATA'!L136+'CASE DATA'!M136+'CASE DATA'!N136+'CASE DATA'!O136+'CASE DATA'!M136+'CASE DATA'!Q136+'CASE DATA'!R136,"N/A")</f>
        <v>N/A</v>
      </c>
      <c r="Q135" s="11" t="str">
        <f>IF(M135="eligible",IF(C135+730.5&lt;'BASIC INFO'!$B$3, "YES", "NO"),"N/A")</f>
        <v>N/A</v>
      </c>
      <c r="R135" s="186" t="str">
        <f xml:space="preserve"> IF(OR('CASE DATA'!F136="DEF"), "YES", "NO")</f>
        <v>NO</v>
      </c>
      <c r="S135" s="162" t="str">
        <f>IF(R135="YES",'CASE DATA'!H136,"N/A")</f>
        <v>N/A</v>
      </c>
      <c r="T135" s="185" t="str">
        <f xml:space="preserve"> IF(R135="YES",'CASE DATA'!K136,"N/A")</f>
        <v>N/A</v>
      </c>
      <c r="U135" s="185" t="str">
        <f>IF(R135="YES",'CASE DATA'!I136+'CASE DATA'!J136+'CASE DATA'!L136+'CASE DATA'!M136+'CASE DATA'!N136+'CASE DATA'!O136+'CASE DATA'!P136+'CASE DATA'!Q136+'CASE DATA'!R136,"N/A")</f>
        <v>N/A</v>
      </c>
      <c r="V135" s="189" t="str">
        <f>IF(OR('CASE DATA'!E136="123.46",'CASE DATA'!E136="123.47"),"YES","NO")</f>
        <v>NO</v>
      </c>
      <c r="W135" s="189"/>
      <c r="X135" s="185" t="str">
        <f>IF(V135="YES",IF(C135+730.5&lt;'BASIC INFO'!$B$3, "YES","NO"), "N/A")</f>
        <v>N/A</v>
      </c>
      <c r="Y135" s="189" t="str">
        <f t="shared" si="2"/>
        <v>NO</v>
      </c>
      <c r="Z135" s="187" t="str">
        <f xml:space="preserve"> IF('BASIC INFO'!$B$6+6574.5&gt;C135, "YES", "NO")</f>
        <v>YES</v>
      </c>
    </row>
    <row r="136" spans="1:26" x14ac:dyDescent="0.25">
      <c r="A136" s="162">
        <f xml:space="preserve"> 'CASE DATA'!A137</f>
        <v>0</v>
      </c>
      <c r="B136" s="162">
        <f xml:space="preserve"> 'CASE DATA'!E137</f>
        <v>0</v>
      </c>
      <c r="C136" s="163">
        <f xml:space="preserve"> 'CASE DATA'!C137</f>
        <v>0</v>
      </c>
      <c r="D136" s="11" t="str">
        <f xml:space="preserve"> IF(OR('CASE DATA'!F137="JUV", 'CASE DATA'!F137="JWV"), "YES", "NO")</f>
        <v>NO</v>
      </c>
      <c r="E136" s="11"/>
      <c r="F136" s="11" t="str">
        <f>IF(D136="YES",IF(COUNTIF('CASE DATA'!$C$4:$C$200, "")-COUNTIF('CASE DATA'!$A$4:$A$200, "")&gt;0, "YES","NO"),"N/A")</f>
        <v>N/A</v>
      </c>
      <c r="G136" s="164" t="str">
        <f xml:space="preserve"> _xlfn.IFS(D136="NO", "N/A", AND('BASIC INFO'!$B$3&gt;'BASIC INFO'!$B$6+6574.5, C136+730.5&lt;'BASIC INFO'!$B$3), "YES", 'BASIC INFO'!$B$3&lt;('BASIC INFO'!$B$6+6574.5), "NOT YET 18", C136+730.5&gt;'BASIC INFO'!$B$3, "NOT YET 2 YEARS")</f>
        <v>N/A</v>
      </c>
      <c r="H136" s="186" t="str">
        <f xml:space="preserve"> IF(LEFT('CASE DATA'!E137,4)&lt;&gt;"321.",IF(OR('CASE DATA'!F137="DISM", 'CASE DATA'!F137="ACQ", 'CASE DATA'!F137="NOTF", 'CASE DATA'!F137="WTHD", 'CASE DATA'!F137="TNSF"), "YES", "NO"), "TRAFFIC")</f>
        <v>NO</v>
      </c>
      <c r="I136" s="185" t="str">
        <f xml:space="preserve"> IF(H136="YES",'CASE DATA'!K137,"N/A")</f>
        <v>N/A</v>
      </c>
      <c r="J136" s="185" t="str">
        <f>IF(H136="YES",'CASE DATA'!I137+'CASE DATA'!J137+'CASE DATA'!L137+'CASE DATA'!M137+'CASE DATA'!N137+'CASE DATA'!O137+'CASE DATA'!P137+'CASE DATA'!Q137+'CASE DATA'!R137,"N/A")</f>
        <v>N/A</v>
      </c>
      <c r="K136" s="162" t="str">
        <f xml:space="preserve"> IF(H136="YES",IF(C136+180&lt;'BASIC INFO'!$B$3, "YES", "NO"),"N/A")</f>
        <v>N/A</v>
      </c>
      <c r="L136" s="185" t="str">
        <f>IF(OR('CASE DATA'!F137="GTR", 'CASE DATA'!F137="GPL"),IF(OR('CASE DATA'!E137="81.6(2)", 'CASE DATA'!E137="99F.15(6)(b)(1)", 'CASE DATA'!E137= "124.401(1)(a)", 'CASE DATA'!E137= "124.401(1)(b)", 'CASE DATA'!E137= "124.401(1)(c)", 'CASE DATA'!E137= "124.401(1)(d)", 'CASE DATA'!E137="124.401(4)", 'CASE DATA'!E137="124.401(1)(b)", 'CASE DATA'!E137="124.401(1)(c)", 'CASE DATA'!E137="124.401D(2)(b)", 'CASE DATA'!E137="124.401D(2)(c)", 'CASE DATA'!E137="124.406(1)(a)", 'CASE DATA'!E137="124.406(1)(b) ", 'CASE DATA'!E137="124.406(2)(a)", 'CASE DATA'!E137="124.406(2)(b) ", 'CASE DATA'!E137="124.406(3)", 'CASE DATA'!E137="124.406A ", 'CASE DATA'!E137="124.407(2)(a)", 'CASE DATA'!E137="124B.9(1)", 'CASE DATA'!E137="124B.9(2)", 'CASE DATA'!E137="321J.2(2)(c)", 'CASE DATA'!E137="453B.12(2)", 'CASE DATA'!E137="453B.12(3)", 'CASE DATA'!E137="453B.12(4)", 'CASE DATA'!E137="462A.14(2)(c)", 'CASE DATA'!E137="462A.14(2)(d)", 'CASE DATA'!E137="462A.14(2)(e)", 'CASE DATA'!E137="705.1(2)", 'CASE DATA'!E137="706.3(1)", 'CASE DATA'!E137="706.3(2)", 'CASE DATA'!E137="706A.2(1)", 'CASE DATA'!E137="706A.2(2)", 'CASE DATA'!E137="706A.2(4)", 'CASE DATA'!E137="706B.2(1)(a)", 'CASE DATA'!E137="706B.2(1)(b)", 'CASE DATA'!E137="706B.2(1)(c)", 'CASE DATA'!E137="706B.2(1)(d)", 'CASE DATA'!E137="707.2", 'CASE DATA'!E137="707.3", 'CASE DATA'!E137="707.3A", 'CASE DATA'!E137="707.4", 'CASE DATA'!E137="707.5(1)(a)", 'CASE DATA'!E137="707.6A(1)", 'CASE DATA'!E137="707.6A(2)", 'CASE DATA'!E137="707.6A(3)", 'CASE DATA'!E137="707.6A(4)", 'CASE DATA'!E137="707.7(1)", 'CASE DATA'!E137="707.7(3)", 'CASE DATA'!E137="707.7(2)", 'CASE DATA'!E137="707.8(1)", 'CASE DATA'!E137="707.8(2)", 'CASE DATA'!E137="707.8(3)", 'CASE DATA'!E137="707.8(4)", 'CASE DATA'!E137="707.8(5)", 'CASE DATA'!E137="707.8(6)", 'CASE DATA'!E137="707.9", 'CASE DATA'!E137="707.11", 'CASE DATA'!E137="707A.2", 'CASE DATA'!E137="708.2(4)", 'CASE DATA'!E137="708.2(5)", 'CASE DATA'!E137="708.2A(4)", 'CASE DATA'!E137="708.2A(5)", 'CASE DATA'!E137="708.2C(2)", 'CASE DATA'!E137="708.2C(4)", 'CASE DATA'!E137="708.3(1)", 'CASE DATA'!E137="708.3(2)", 'CASE DATA'!E137="708.3A(1)", 'CASE DATA'!E137="708.3A(2)", 'CASE DATA'!E137="708.3B", 'CASE DATA'!E137="708.4(1)", 'CASE DATA'!E137="708.4(2)", 'CASE DATA'!E137="708.5", 'CASE DATA'!E137="708.8", 'CASE DATA'!E137="708.11(3)(a)", 'CASE DATA'!E137="708.11(3)(b)", 'CASE DATA'!E137="708.12(3)(f)", 'CASE DATA'!E137="708.13(3)", 'CASE DATA'!E137="708.14", 'CASE DATA'!E137="708A.2", 'CASE DATA'!E137="708A.4(1)", 'CASE DATA'!E137="708A.4(2)", 'CASE DATA'!E137="708A.5", 'CASE DATA'!E137="708A.6(1)", 'CASE DATA'!E137="708.A.6(2)", 'CASE DATA'!E137="709.2", 'CASE DATA'!E137="709.3", 'CASE DATA'!E137="709.4", 'CASE DATA'!E137="709.8(1)(a)", 'CASE DATA'!E137="709.8(1)(b)", 'CASE DATA'!E137="709.8(1)(c)", 'CASE DATA'!E137="709.8(1)(d)", 'CASE DATA'!E137="709.8(1)(e)", 'CASE DATA'!E137="709.11(1)", 'CASE DATA'!E137="709.11(2)", 'CASE DATA'!E137="709.15(2)(a)(1)", 'CASE DATA'!E137="709.15(3)(a)(1)", 'CASE DATA'!E137="709.18", 'CASE DATA'!E137="709A.6(2)", 'CASE DATA'!E137="709D.3(1)", 'CASE DATA'!E137="709D.3(2)", 'CASE DATA'!E137="709.D.3(3)", 'CASE DATA'!E137="710.2", 'CASE DATA'!E137="710.3", 'CASE DATA'!E137="710.4", 'CASE DATA'!E137="710.5", 'CASE DATA'!E137="710.10(1)", 'CASE DATA'!E137="710.10(2)", 'CASE DATA'!E137="710.10(3)", 'CASE DATA'!E137="710.11", 'CASE DATA'!E137="710A.2(1)", 'CASE DATA'!E137="710A.2(2)", 'CASE DATA'!E137="710A.2(3)", 'CASE DATA'!E137="710A.2(4)", 'CASE DATA'!E137="710A.2(5)", 'CASE DATA'!E137="710A.2(6)", 'CASE DATA'!E137="710A.2(7)", 'CASE DATA'!E137="710A.2A", 'CASE DATA'!E137="711.2", 'CASE DATA'!E137="711.3", 'CASE DATA'!E137="711.4", 'CASE DATA'!E137="712.2", 'CASE DATA'!E137="712.3", 'CASE DATA'!E137="712.6(1)", 'CASE DATA'!E137="712.7", 'CASE DATA'!E137="712.8", 'CASE DATA'!E137="", 'CASE DATA'!E137="713.3", 'CASE DATA'!E137="713.4", 'CASE DATA'!E137="713.5", 'CASE DATA'!E137="713.6", 'CASE DATA'!E137="713.6A(1)", 'CASE DATA'!E137="714.2(1)", 'CASE DATA'!E137="714.2(2)", 'CASE DATA'!E137="714.3A(2)(b)", 'CASE DATA'!E137="714.9", 'CASE DATA'!E137="714.10", 'CASE DATA'!E137="714.26(2)(a)", 'CASE DATA'!E137="714.26(2)(b)", 'CASE DATA'!E137="715A.2(2)(a)", 'CASE DATA'!E137="715A.6(2)(a)", 'CASE DATA'!E137="715A.6(2)(b)", 'CASE DATA'!E137="715A.8(3)(a)", 'CASE DATA'!E137="715A.8(3)(b)", 'CASE DATA'!E137="715A.10(1)", 'CASE DATA'!E137="715A.10(2)", 'CASE DATA'!E137="716.3", 'CASE DATA'!E137="716.4", 'CASE DATA'!E137="716.8(6)", 'CASE DATA'!E137="716.10(2)(a)", 'CASE DATA'!E137="716.10(2)(b)", 'CASE DATA'!E137="716.10(2)(c)", 'CASE DATA'!E137="716.10(2)(d)", 'CASE DATA'!E137="716.12", 'CASE DATA'!E137="719.1(1)(f)", 'CASE DATA'!E137="719.1(2)(e)", 'CASE DATA'!E137="719.1(2)(f)", 'CASE DATA'!E137="719.1(2)(g)", 'CASE DATA'!E137="719.4(1)", 'CASE DATA'!E137="719.4(4)", 'CASE DATA'!E137="719.5(1)", 'CASE DATA'!E137="719.5(2)", 'CASE DATA'!E137="719.6(1)", 'CASE DATA'!E137="719.6(2)", 'CASE DATA'!E137="719.7(4)(a)", 'CASE DATA'!E137="719.7(4)(b)", 'CASE DATA'!E137="719.7A(3)", 'CASE DATA'!E137="719.9", 'CASE DATA'!E137="719.8", 'CASE DATA'!E137="720.2", 'CASE DATA'!E137="720.3", 'CASE DATA'!E137="721.1", 'CASE DATA'!E137="722.1", 'CASE DATA'!E137="", 'CASE DATA'!E137="722.2", 'CASE DATA'!E137="722.10", 'CASE DATA'!E137="723(5)(3)(c)", 'CASE DATA'!E137="723A.2", 'CASE DATA'!E137="723A.3(1)", 'CASE DATA'!E137="723A.3(2)", 'CASE DATA'!E137="724.1B", 'CASE DATA'!E137="724.1C", 'CASE DATA'!E137="724.3", 'CASE DATA'!E137="724.4B", 'CASE DATA'!E137="724.10", 'CASE DATA'!E137="724.16(2)", 'CASE DATA'!E137="724.16A(1)(a)", 'CASE DATA'!E137="724.16A(1)(b)", 'CASE DATA'!E137="724.17", 'CASE DATA'!E137="724.21", 'CASE DATA'!E137="724.26(1)", 'CASE DATA'!E137="922(g)(8)", 'CASE DATA'!E137="724.29A(2)", 'CASE DATA'!E137="724.29A(3)", 'CASE DATA'!E137="724.30(1)", 'CASE DATA'!E137="724.30(2)", 'CASE DATA'!E137="725.1(2)(b)", 'CASE DATA'!E137="725.2(1)", 'CASE DATA'!E137="725.2(2)", 'CASE DATA'!E137="725.3(2)", 'CASE DATA'!E137="725.3(1)", 'CASE DATA'!E137="725.7(2)(a)(3)", 'CASE DATA'!E137="725.7(2)(a)(4)", 'CASE DATA'!E137="725.7(2)(b)(2)", 'CASE DATA'!E137="725.7(2)(b(3)", 'CASE DATA'!E137="726.7(2)(c)(1)", 'CASE DATA'!E137="726.7(2)(c)(2)", 'CASE DATA'!E137="725.7(2)(d)", 'CASE DATA'!E137="726.2", 'CASE DATA'!E137="726.3", 'CASE DATA'!E137="726.5", 'CASE DATA'!E137="726.6(4)", 'CASE DATA'!E137="726.6(5)", 'CASE DATA'!E137="726.6(6)", 'CASE DATA'!E137="726.6A", 'CASE DATA'!E137="726.7(2)", 'CASE DATA'!E137="726.8(2)", 'CASE DATA'!E137="728.12(1)", 'CASE DATA'!E137="728.12(2)"),"felony","eligible"),"N/A")</f>
        <v>N/A</v>
      </c>
      <c r="M136" s="185" t="str">
        <f>IF(L136="eligible",IF(OR('CASE DATA'!E137="123.46",'CASE DATA'!E137="123.47",'CASE DATA'!E137="235B.20",'CASE DATA'!E137="321.218",'CASE DATA'!E137="321A.32",'CASE DATA'!E137="321J.21",'CASE DATA'!E137="321J.2",'CASE DATA'!E137="707.5",'CASE DATA'!E137="708.2(3)",'CASE DATA'!E137="708.2A",'CASE DATA'!E137="708.7",'CASE DATA'!E137="708.11",'CASE DATA'!E137="708.12",'CASE DATA'!E137="716.8(3)",'CASE DATA'!E137="716.8(4)", LEFT('CASE DATA'!E137,4)="717C", LEFT('CASE DATA'!E137, 3)="719", LEFT('CASE DATA'!E137,3)="720", 'CASE DATA'!E137="721.2", 'CASE DATA'!E137="721.10", 'CASE DATA'!E137="723.1", LEFT('CASE DATA'!E137,3)="724", LEFT('CASE DATA'!E137,3)="726", LEFT('CASE DATA'!E137,3)="728", LEFT('CASE DATA'!E137,4)="901A"),"ineligible misd", "eligible"),"N/A")</f>
        <v>N/A</v>
      </c>
      <c r="N136" s="185" t="str">
        <f>IF(L136="eligible",IF(COUNTIF('CASE DATA'!$C$4:$C$200, "")-COUNTIF('CASE DATA'!$A$4:$A$200, "")&gt;0, "YES","NO"),"N/A")</f>
        <v>N/A</v>
      </c>
      <c r="O136" s="185" t="str">
        <f xml:space="preserve"> IF(M136="eligible",'CASE DATA'!K137,"N/A")</f>
        <v>N/A</v>
      </c>
      <c r="P136" s="185" t="str">
        <f xml:space="preserve"> IF(M136="eligible",'CASE DATA'!I137+'CASE DATA'!J137+'CASE DATA'!L137+'CASE DATA'!M137+'CASE DATA'!N137+'CASE DATA'!O137+'CASE DATA'!M137+'CASE DATA'!Q137+'CASE DATA'!R137,"N/A")</f>
        <v>N/A</v>
      </c>
      <c r="Q136" s="11" t="str">
        <f>IF(M136="eligible",IF(C136+730.5&lt;'BASIC INFO'!$B$3, "YES", "NO"),"N/A")</f>
        <v>N/A</v>
      </c>
      <c r="R136" s="186" t="str">
        <f xml:space="preserve"> IF(OR('CASE DATA'!F137="DEF"), "YES", "NO")</f>
        <v>NO</v>
      </c>
      <c r="S136" s="162" t="str">
        <f>IF(R136="YES",'CASE DATA'!H137,"N/A")</f>
        <v>N/A</v>
      </c>
      <c r="T136" s="185" t="str">
        <f xml:space="preserve"> IF(R136="YES",'CASE DATA'!K137,"N/A")</f>
        <v>N/A</v>
      </c>
      <c r="U136" s="185" t="str">
        <f>IF(R136="YES",'CASE DATA'!I137+'CASE DATA'!J137+'CASE DATA'!L137+'CASE DATA'!M137+'CASE DATA'!N137+'CASE DATA'!O137+'CASE DATA'!P137+'CASE DATA'!Q137+'CASE DATA'!R137,"N/A")</f>
        <v>N/A</v>
      </c>
      <c r="V136" s="189" t="str">
        <f>IF(OR('CASE DATA'!E137="123.46",'CASE DATA'!E137="123.47"),"YES","NO")</f>
        <v>NO</v>
      </c>
      <c r="W136" s="189"/>
      <c r="X136" s="185" t="str">
        <f>IF(V136="YES",IF(C136+730.5&lt;'BASIC INFO'!$B$3, "YES","NO"), "N/A")</f>
        <v>N/A</v>
      </c>
      <c r="Y136" s="189" t="str">
        <f t="shared" si="2"/>
        <v>NO</v>
      </c>
      <c r="Z136" s="187" t="str">
        <f xml:space="preserve"> IF('BASIC INFO'!$B$6+6574.5&gt;C136, "YES", "NO")</f>
        <v>YES</v>
      </c>
    </row>
    <row r="137" spans="1:26" x14ac:dyDescent="0.25">
      <c r="A137" s="162">
        <f xml:space="preserve"> 'CASE DATA'!A138</f>
        <v>0</v>
      </c>
      <c r="B137" s="162">
        <f xml:space="preserve"> 'CASE DATA'!E138</f>
        <v>0</v>
      </c>
      <c r="C137" s="163">
        <f xml:space="preserve"> 'CASE DATA'!C138</f>
        <v>0</v>
      </c>
      <c r="D137" s="11" t="str">
        <f xml:space="preserve"> IF(OR('CASE DATA'!F138="JUV", 'CASE DATA'!F138="JWV"), "YES", "NO")</f>
        <v>NO</v>
      </c>
      <c r="E137" s="11"/>
      <c r="F137" s="11" t="str">
        <f>IF(D137="YES",IF(COUNTIF('CASE DATA'!$C$4:$C$200, "")-COUNTIF('CASE DATA'!$A$4:$A$200, "")&gt;0, "YES","NO"),"N/A")</f>
        <v>N/A</v>
      </c>
      <c r="G137" s="164" t="str">
        <f xml:space="preserve"> _xlfn.IFS(D137="NO", "N/A", AND('BASIC INFO'!$B$3&gt;'BASIC INFO'!$B$6+6574.5, C137+730.5&lt;'BASIC INFO'!$B$3), "YES", 'BASIC INFO'!$B$3&lt;('BASIC INFO'!$B$6+6574.5), "NOT YET 18", C137+730.5&gt;'BASIC INFO'!$B$3, "NOT YET 2 YEARS")</f>
        <v>N/A</v>
      </c>
      <c r="H137" s="186" t="str">
        <f xml:space="preserve"> IF(LEFT('CASE DATA'!E138,4)&lt;&gt;"321.",IF(OR('CASE DATA'!F138="DISM", 'CASE DATA'!F138="ACQ", 'CASE DATA'!F138="NOTF", 'CASE DATA'!F138="WTHD", 'CASE DATA'!F138="TNSF"), "YES", "NO"), "TRAFFIC")</f>
        <v>NO</v>
      </c>
      <c r="I137" s="185" t="str">
        <f xml:space="preserve"> IF(H137="YES",'CASE DATA'!K138,"N/A")</f>
        <v>N/A</v>
      </c>
      <c r="J137" s="185" t="str">
        <f>IF(H137="YES",'CASE DATA'!I138+'CASE DATA'!J138+'CASE DATA'!L138+'CASE DATA'!M138+'CASE DATA'!N138+'CASE DATA'!O138+'CASE DATA'!P138+'CASE DATA'!Q138+'CASE DATA'!R138,"N/A")</f>
        <v>N/A</v>
      </c>
      <c r="K137" s="162" t="str">
        <f xml:space="preserve"> IF(H137="YES",IF(C137+180&lt;'BASIC INFO'!$B$3, "YES", "NO"),"N/A")</f>
        <v>N/A</v>
      </c>
      <c r="L137" s="185" t="str">
        <f>IF(OR('CASE DATA'!F138="GTR", 'CASE DATA'!F138="GPL"),IF(OR('CASE DATA'!E138="81.6(2)", 'CASE DATA'!E138="99F.15(6)(b)(1)", 'CASE DATA'!E138= "124.401(1)(a)", 'CASE DATA'!E138= "124.401(1)(b)", 'CASE DATA'!E138= "124.401(1)(c)", 'CASE DATA'!E138= "124.401(1)(d)", 'CASE DATA'!E138="124.401(4)", 'CASE DATA'!E138="124.401(1)(b)", 'CASE DATA'!E138="124.401(1)(c)", 'CASE DATA'!E138="124.401D(2)(b)", 'CASE DATA'!E138="124.401D(2)(c)", 'CASE DATA'!E138="124.406(1)(a)", 'CASE DATA'!E138="124.406(1)(b) ", 'CASE DATA'!E138="124.406(2)(a)", 'CASE DATA'!E138="124.406(2)(b) ", 'CASE DATA'!E138="124.406(3)", 'CASE DATA'!E138="124.406A ", 'CASE DATA'!E138="124.407(2)(a)", 'CASE DATA'!E138="124B.9(1)", 'CASE DATA'!E138="124B.9(2)", 'CASE DATA'!E138="321J.2(2)(c)", 'CASE DATA'!E138="453B.12(2)", 'CASE DATA'!E138="453B.12(3)", 'CASE DATA'!E138="453B.12(4)", 'CASE DATA'!E138="462A.14(2)(c)", 'CASE DATA'!E138="462A.14(2)(d)", 'CASE DATA'!E138="462A.14(2)(e)", 'CASE DATA'!E138="705.1(2)", 'CASE DATA'!E138="706.3(1)", 'CASE DATA'!E138="706.3(2)", 'CASE DATA'!E138="706A.2(1)", 'CASE DATA'!E138="706A.2(2)", 'CASE DATA'!E138="706A.2(4)", 'CASE DATA'!E138="706B.2(1)(a)", 'CASE DATA'!E138="706B.2(1)(b)", 'CASE DATA'!E138="706B.2(1)(c)", 'CASE DATA'!E138="706B.2(1)(d)", 'CASE DATA'!E138="707.2", 'CASE DATA'!E138="707.3", 'CASE DATA'!E138="707.3A", 'CASE DATA'!E138="707.4", 'CASE DATA'!E138="707.5(1)(a)", 'CASE DATA'!E138="707.6A(1)", 'CASE DATA'!E138="707.6A(2)", 'CASE DATA'!E138="707.6A(3)", 'CASE DATA'!E138="707.6A(4)", 'CASE DATA'!E138="707.7(1)", 'CASE DATA'!E138="707.7(3)", 'CASE DATA'!E138="707.7(2)", 'CASE DATA'!E138="707.8(1)", 'CASE DATA'!E138="707.8(2)", 'CASE DATA'!E138="707.8(3)", 'CASE DATA'!E138="707.8(4)", 'CASE DATA'!E138="707.8(5)", 'CASE DATA'!E138="707.8(6)", 'CASE DATA'!E138="707.9", 'CASE DATA'!E138="707.11", 'CASE DATA'!E138="707A.2", 'CASE DATA'!E138="708.2(4)", 'CASE DATA'!E138="708.2(5)", 'CASE DATA'!E138="708.2A(4)", 'CASE DATA'!E138="708.2A(5)", 'CASE DATA'!E138="708.2C(2)", 'CASE DATA'!E138="708.2C(4)", 'CASE DATA'!E138="708.3(1)", 'CASE DATA'!E138="708.3(2)", 'CASE DATA'!E138="708.3A(1)", 'CASE DATA'!E138="708.3A(2)", 'CASE DATA'!E138="708.3B", 'CASE DATA'!E138="708.4(1)", 'CASE DATA'!E138="708.4(2)", 'CASE DATA'!E138="708.5", 'CASE DATA'!E138="708.8", 'CASE DATA'!E138="708.11(3)(a)", 'CASE DATA'!E138="708.11(3)(b)", 'CASE DATA'!E138="708.12(3)(f)", 'CASE DATA'!E138="708.13(3)", 'CASE DATA'!E138="708.14", 'CASE DATA'!E138="708A.2", 'CASE DATA'!E138="708A.4(1)", 'CASE DATA'!E138="708A.4(2)", 'CASE DATA'!E138="708A.5", 'CASE DATA'!E138="708A.6(1)", 'CASE DATA'!E138="708.A.6(2)", 'CASE DATA'!E138="709.2", 'CASE DATA'!E138="709.3", 'CASE DATA'!E138="709.4", 'CASE DATA'!E138="709.8(1)(a)", 'CASE DATA'!E138="709.8(1)(b)", 'CASE DATA'!E138="709.8(1)(c)", 'CASE DATA'!E138="709.8(1)(d)", 'CASE DATA'!E138="709.8(1)(e)", 'CASE DATA'!E138="709.11(1)", 'CASE DATA'!E138="709.11(2)", 'CASE DATA'!E138="709.15(2)(a)(1)", 'CASE DATA'!E138="709.15(3)(a)(1)", 'CASE DATA'!E138="709.18", 'CASE DATA'!E138="709A.6(2)", 'CASE DATA'!E138="709D.3(1)", 'CASE DATA'!E138="709D.3(2)", 'CASE DATA'!E138="709.D.3(3)", 'CASE DATA'!E138="710.2", 'CASE DATA'!E138="710.3", 'CASE DATA'!E138="710.4", 'CASE DATA'!E138="710.5", 'CASE DATA'!E138="710.10(1)", 'CASE DATA'!E138="710.10(2)", 'CASE DATA'!E138="710.10(3)", 'CASE DATA'!E138="710.11", 'CASE DATA'!E138="710A.2(1)", 'CASE DATA'!E138="710A.2(2)", 'CASE DATA'!E138="710A.2(3)", 'CASE DATA'!E138="710A.2(4)", 'CASE DATA'!E138="710A.2(5)", 'CASE DATA'!E138="710A.2(6)", 'CASE DATA'!E138="710A.2(7)", 'CASE DATA'!E138="710A.2A", 'CASE DATA'!E138="711.2", 'CASE DATA'!E138="711.3", 'CASE DATA'!E138="711.4", 'CASE DATA'!E138="712.2", 'CASE DATA'!E138="712.3", 'CASE DATA'!E138="712.6(1)", 'CASE DATA'!E138="712.7", 'CASE DATA'!E138="712.8", 'CASE DATA'!E138="", 'CASE DATA'!E138="713.3", 'CASE DATA'!E138="713.4", 'CASE DATA'!E138="713.5", 'CASE DATA'!E138="713.6", 'CASE DATA'!E138="713.6A(1)", 'CASE DATA'!E138="714.2(1)", 'CASE DATA'!E138="714.2(2)", 'CASE DATA'!E138="714.3A(2)(b)", 'CASE DATA'!E138="714.9", 'CASE DATA'!E138="714.10", 'CASE DATA'!E138="714.26(2)(a)", 'CASE DATA'!E138="714.26(2)(b)", 'CASE DATA'!E138="715A.2(2)(a)", 'CASE DATA'!E138="715A.6(2)(a)", 'CASE DATA'!E138="715A.6(2)(b)", 'CASE DATA'!E138="715A.8(3)(a)", 'CASE DATA'!E138="715A.8(3)(b)", 'CASE DATA'!E138="715A.10(1)", 'CASE DATA'!E138="715A.10(2)", 'CASE DATA'!E138="716.3", 'CASE DATA'!E138="716.4", 'CASE DATA'!E138="716.8(6)", 'CASE DATA'!E138="716.10(2)(a)", 'CASE DATA'!E138="716.10(2)(b)", 'CASE DATA'!E138="716.10(2)(c)", 'CASE DATA'!E138="716.10(2)(d)", 'CASE DATA'!E138="716.12", 'CASE DATA'!E138="719.1(1)(f)", 'CASE DATA'!E138="719.1(2)(e)", 'CASE DATA'!E138="719.1(2)(f)", 'CASE DATA'!E138="719.1(2)(g)", 'CASE DATA'!E138="719.4(1)", 'CASE DATA'!E138="719.4(4)", 'CASE DATA'!E138="719.5(1)", 'CASE DATA'!E138="719.5(2)", 'CASE DATA'!E138="719.6(1)", 'CASE DATA'!E138="719.6(2)", 'CASE DATA'!E138="719.7(4)(a)", 'CASE DATA'!E138="719.7(4)(b)", 'CASE DATA'!E138="719.7A(3)", 'CASE DATA'!E138="719.9", 'CASE DATA'!E138="719.8", 'CASE DATA'!E138="720.2", 'CASE DATA'!E138="720.3", 'CASE DATA'!E138="721.1", 'CASE DATA'!E138="722.1", 'CASE DATA'!E138="", 'CASE DATA'!E138="722.2", 'CASE DATA'!E138="722.10", 'CASE DATA'!E138="723(5)(3)(c)", 'CASE DATA'!E138="723A.2", 'CASE DATA'!E138="723A.3(1)", 'CASE DATA'!E138="723A.3(2)", 'CASE DATA'!E138="724.1B", 'CASE DATA'!E138="724.1C", 'CASE DATA'!E138="724.3", 'CASE DATA'!E138="724.4B", 'CASE DATA'!E138="724.10", 'CASE DATA'!E138="724.16(2)", 'CASE DATA'!E138="724.16A(1)(a)", 'CASE DATA'!E138="724.16A(1)(b)", 'CASE DATA'!E138="724.17", 'CASE DATA'!E138="724.21", 'CASE DATA'!E138="724.26(1)", 'CASE DATA'!E138="922(g)(8)", 'CASE DATA'!E138="724.29A(2)", 'CASE DATA'!E138="724.29A(3)", 'CASE DATA'!E138="724.30(1)", 'CASE DATA'!E138="724.30(2)", 'CASE DATA'!E138="725.1(2)(b)", 'CASE DATA'!E138="725.2(1)", 'CASE DATA'!E138="725.2(2)", 'CASE DATA'!E138="725.3(2)", 'CASE DATA'!E138="725.3(1)", 'CASE DATA'!E138="725.7(2)(a)(3)", 'CASE DATA'!E138="725.7(2)(a)(4)", 'CASE DATA'!E138="725.7(2)(b)(2)", 'CASE DATA'!E138="725.7(2)(b(3)", 'CASE DATA'!E138="726.7(2)(c)(1)", 'CASE DATA'!E138="726.7(2)(c)(2)", 'CASE DATA'!E138="725.7(2)(d)", 'CASE DATA'!E138="726.2", 'CASE DATA'!E138="726.3", 'CASE DATA'!E138="726.5", 'CASE DATA'!E138="726.6(4)", 'CASE DATA'!E138="726.6(5)", 'CASE DATA'!E138="726.6(6)", 'CASE DATA'!E138="726.6A", 'CASE DATA'!E138="726.7(2)", 'CASE DATA'!E138="726.8(2)", 'CASE DATA'!E138="728.12(1)", 'CASE DATA'!E138="728.12(2)"),"felony","eligible"),"N/A")</f>
        <v>N/A</v>
      </c>
      <c r="M137" s="185" t="str">
        <f>IF(L137="eligible",IF(OR('CASE DATA'!E138="123.46",'CASE DATA'!E138="123.47",'CASE DATA'!E138="235B.20",'CASE DATA'!E138="321.218",'CASE DATA'!E138="321A.32",'CASE DATA'!E138="321J.21",'CASE DATA'!E138="321J.2",'CASE DATA'!E138="707.5",'CASE DATA'!E138="708.2(3)",'CASE DATA'!E138="708.2A",'CASE DATA'!E138="708.7",'CASE DATA'!E138="708.11",'CASE DATA'!E138="708.12",'CASE DATA'!E138="716.8(3)",'CASE DATA'!E138="716.8(4)", LEFT('CASE DATA'!E138,4)="717C", LEFT('CASE DATA'!E138, 3)="719", LEFT('CASE DATA'!E138,3)="720", 'CASE DATA'!E138="721.2", 'CASE DATA'!E138="721.10", 'CASE DATA'!E138="723.1", LEFT('CASE DATA'!E138,3)="724", LEFT('CASE DATA'!E138,3)="726", LEFT('CASE DATA'!E138,3)="728", LEFT('CASE DATA'!E138,4)="901A"),"ineligible misd", "eligible"),"N/A")</f>
        <v>N/A</v>
      </c>
      <c r="N137" s="185" t="str">
        <f>IF(L137="eligible",IF(COUNTIF('CASE DATA'!$C$4:$C$200, "")-COUNTIF('CASE DATA'!$A$4:$A$200, "")&gt;0, "YES","NO"),"N/A")</f>
        <v>N/A</v>
      </c>
      <c r="O137" s="185" t="str">
        <f xml:space="preserve"> IF(M137="eligible",'CASE DATA'!K138,"N/A")</f>
        <v>N/A</v>
      </c>
      <c r="P137" s="185" t="str">
        <f xml:space="preserve"> IF(M137="eligible",'CASE DATA'!I138+'CASE DATA'!J138+'CASE DATA'!L138+'CASE DATA'!M138+'CASE DATA'!N138+'CASE DATA'!O138+'CASE DATA'!M138+'CASE DATA'!Q138+'CASE DATA'!R138,"N/A")</f>
        <v>N/A</v>
      </c>
      <c r="Q137" s="11" t="str">
        <f>IF(M137="eligible",IF(C137+730.5&lt;'BASIC INFO'!$B$3, "YES", "NO"),"N/A")</f>
        <v>N/A</v>
      </c>
      <c r="R137" s="186" t="str">
        <f xml:space="preserve"> IF(OR('CASE DATA'!F138="DEF"), "YES", "NO")</f>
        <v>NO</v>
      </c>
      <c r="S137" s="162" t="str">
        <f>IF(R137="YES",'CASE DATA'!H138,"N/A")</f>
        <v>N/A</v>
      </c>
      <c r="T137" s="185" t="str">
        <f xml:space="preserve"> IF(R137="YES",'CASE DATA'!K138,"N/A")</f>
        <v>N/A</v>
      </c>
      <c r="U137" s="185" t="str">
        <f>IF(R137="YES",'CASE DATA'!I138+'CASE DATA'!J138+'CASE DATA'!L138+'CASE DATA'!M138+'CASE DATA'!N138+'CASE DATA'!O138+'CASE DATA'!P138+'CASE DATA'!Q138+'CASE DATA'!R138,"N/A")</f>
        <v>N/A</v>
      </c>
      <c r="V137" s="189" t="str">
        <f>IF(OR('CASE DATA'!E138="123.46",'CASE DATA'!E138="123.47"),"YES","NO")</f>
        <v>NO</v>
      </c>
      <c r="W137" s="189"/>
      <c r="X137" s="185" t="str">
        <f>IF(V137="YES",IF(C137+730.5&lt;'BASIC INFO'!$B$3, "YES","NO"), "N/A")</f>
        <v>N/A</v>
      </c>
      <c r="Y137" s="189" t="str">
        <f t="shared" si="2"/>
        <v>NO</v>
      </c>
      <c r="Z137" s="187" t="str">
        <f xml:space="preserve"> IF('BASIC INFO'!$B$6+6574.5&gt;C137, "YES", "NO")</f>
        <v>YES</v>
      </c>
    </row>
    <row r="138" spans="1:26" x14ac:dyDescent="0.25">
      <c r="A138" s="162">
        <f xml:space="preserve"> 'CASE DATA'!A139</f>
        <v>0</v>
      </c>
      <c r="B138" s="162">
        <f xml:space="preserve"> 'CASE DATA'!E139</f>
        <v>0</v>
      </c>
      <c r="C138" s="163">
        <f xml:space="preserve"> 'CASE DATA'!C139</f>
        <v>0</v>
      </c>
      <c r="D138" s="11" t="str">
        <f xml:space="preserve"> IF(OR('CASE DATA'!F139="JUV", 'CASE DATA'!F139="JWV"), "YES", "NO")</f>
        <v>NO</v>
      </c>
      <c r="E138" s="11"/>
      <c r="F138" s="11" t="str">
        <f>IF(D138="YES",IF(COUNTIF('CASE DATA'!$C$4:$C$200, "")-COUNTIF('CASE DATA'!$A$4:$A$200, "")&gt;0, "YES","NO"),"N/A")</f>
        <v>N/A</v>
      </c>
      <c r="G138" s="164" t="str">
        <f xml:space="preserve"> _xlfn.IFS(D138="NO", "N/A", AND('BASIC INFO'!$B$3&gt;'BASIC INFO'!$B$6+6574.5, C138+730.5&lt;'BASIC INFO'!$B$3), "YES", 'BASIC INFO'!$B$3&lt;('BASIC INFO'!$B$6+6574.5), "NOT YET 18", C138+730.5&gt;'BASIC INFO'!$B$3, "NOT YET 2 YEARS")</f>
        <v>N/A</v>
      </c>
      <c r="H138" s="186" t="str">
        <f xml:space="preserve"> IF(LEFT('CASE DATA'!E139,4)&lt;&gt;"321.",IF(OR('CASE DATA'!F139="DISM", 'CASE DATA'!F139="ACQ", 'CASE DATA'!F139="NOTF", 'CASE DATA'!F139="WTHD", 'CASE DATA'!F139="TNSF"), "YES", "NO"), "TRAFFIC")</f>
        <v>NO</v>
      </c>
      <c r="I138" s="185" t="str">
        <f xml:space="preserve"> IF(H138="YES",'CASE DATA'!K139,"N/A")</f>
        <v>N/A</v>
      </c>
      <c r="J138" s="185" t="str">
        <f>IF(H138="YES",'CASE DATA'!I139+'CASE DATA'!J139+'CASE DATA'!L139+'CASE DATA'!M139+'CASE DATA'!N139+'CASE DATA'!O139+'CASE DATA'!P139+'CASE DATA'!Q139+'CASE DATA'!R139,"N/A")</f>
        <v>N/A</v>
      </c>
      <c r="K138" s="162" t="str">
        <f xml:space="preserve"> IF(H138="YES",IF(C138+180&lt;'BASIC INFO'!$B$3, "YES", "NO"),"N/A")</f>
        <v>N/A</v>
      </c>
      <c r="L138" s="185" t="str">
        <f>IF(OR('CASE DATA'!F139="GTR", 'CASE DATA'!F139="GPL"),IF(OR('CASE DATA'!E139="81.6(2)", 'CASE DATA'!E139="99F.15(6)(b)(1)", 'CASE DATA'!E139= "124.401(1)(a)", 'CASE DATA'!E139= "124.401(1)(b)", 'CASE DATA'!E139= "124.401(1)(c)", 'CASE DATA'!E139= "124.401(1)(d)", 'CASE DATA'!E139="124.401(4)", 'CASE DATA'!E139="124.401(1)(b)", 'CASE DATA'!E139="124.401(1)(c)", 'CASE DATA'!E139="124.401D(2)(b)", 'CASE DATA'!E139="124.401D(2)(c)", 'CASE DATA'!E139="124.406(1)(a)", 'CASE DATA'!E139="124.406(1)(b) ", 'CASE DATA'!E139="124.406(2)(a)", 'CASE DATA'!E139="124.406(2)(b) ", 'CASE DATA'!E139="124.406(3)", 'CASE DATA'!E139="124.406A ", 'CASE DATA'!E139="124.407(2)(a)", 'CASE DATA'!E139="124B.9(1)", 'CASE DATA'!E139="124B.9(2)", 'CASE DATA'!E139="321J.2(2)(c)", 'CASE DATA'!E139="453B.12(2)", 'CASE DATA'!E139="453B.12(3)", 'CASE DATA'!E139="453B.12(4)", 'CASE DATA'!E139="462A.14(2)(c)", 'CASE DATA'!E139="462A.14(2)(d)", 'CASE DATA'!E139="462A.14(2)(e)", 'CASE DATA'!E139="705.1(2)", 'CASE DATA'!E139="706.3(1)", 'CASE DATA'!E139="706.3(2)", 'CASE DATA'!E139="706A.2(1)", 'CASE DATA'!E139="706A.2(2)", 'CASE DATA'!E139="706A.2(4)", 'CASE DATA'!E139="706B.2(1)(a)", 'CASE DATA'!E139="706B.2(1)(b)", 'CASE DATA'!E139="706B.2(1)(c)", 'CASE DATA'!E139="706B.2(1)(d)", 'CASE DATA'!E139="707.2", 'CASE DATA'!E139="707.3", 'CASE DATA'!E139="707.3A", 'CASE DATA'!E139="707.4", 'CASE DATA'!E139="707.5(1)(a)", 'CASE DATA'!E139="707.6A(1)", 'CASE DATA'!E139="707.6A(2)", 'CASE DATA'!E139="707.6A(3)", 'CASE DATA'!E139="707.6A(4)", 'CASE DATA'!E139="707.7(1)", 'CASE DATA'!E139="707.7(3)", 'CASE DATA'!E139="707.7(2)", 'CASE DATA'!E139="707.8(1)", 'CASE DATA'!E139="707.8(2)", 'CASE DATA'!E139="707.8(3)", 'CASE DATA'!E139="707.8(4)", 'CASE DATA'!E139="707.8(5)", 'CASE DATA'!E139="707.8(6)", 'CASE DATA'!E139="707.9", 'CASE DATA'!E139="707.11", 'CASE DATA'!E139="707A.2", 'CASE DATA'!E139="708.2(4)", 'CASE DATA'!E139="708.2(5)", 'CASE DATA'!E139="708.2A(4)", 'CASE DATA'!E139="708.2A(5)", 'CASE DATA'!E139="708.2C(2)", 'CASE DATA'!E139="708.2C(4)", 'CASE DATA'!E139="708.3(1)", 'CASE DATA'!E139="708.3(2)", 'CASE DATA'!E139="708.3A(1)", 'CASE DATA'!E139="708.3A(2)", 'CASE DATA'!E139="708.3B", 'CASE DATA'!E139="708.4(1)", 'CASE DATA'!E139="708.4(2)", 'CASE DATA'!E139="708.5", 'CASE DATA'!E139="708.8", 'CASE DATA'!E139="708.11(3)(a)", 'CASE DATA'!E139="708.11(3)(b)", 'CASE DATA'!E139="708.12(3)(f)", 'CASE DATA'!E139="708.13(3)", 'CASE DATA'!E139="708.14", 'CASE DATA'!E139="708A.2", 'CASE DATA'!E139="708A.4(1)", 'CASE DATA'!E139="708A.4(2)", 'CASE DATA'!E139="708A.5", 'CASE DATA'!E139="708A.6(1)", 'CASE DATA'!E139="708.A.6(2)", 'CASE DATA'!E139="709.2", 'CASE DATA'!E139="709.3", 'CASE DATA'!E139="709.4", 'CASE DATA'!E139="709.8(1)(a)", 'CASE DATA'!E139="709.8(1)(b)", 'CASE DATA'!E139="709.8(1)(c)", 'CASE DATA'!E139="709.8(1)(d)", 'CASE DATA'!E139="709.8(1)(e)", 'CASE DATA'!E139="709.11(1)", 'CASE DATA'!E139="709.11(2)", 'CASE DATA'!E139="709.15(2)(a)(1)", 'CASE DATA'!E139="709.15(3)(a)(1)", 'CASE DATA'!E139="709.18", 'CASE DATA'!E139="709A.6(2)", 'CASE DATA'!E139="709D.3(1)", 'CASE DATA'!E139="709D.3(2)", 'CASE DATA'!E139="709.D.3(3)", 'CASE DATA'!E139="710.2", 'CASE DATA'!E139="710.3", 'CASE DATA'!E139="710.4", 'CASE DATA'!E139="710.5", 'CASE DATA'!E139="710.10(1)", 'CASE DATA'!E139="710.10(2)", 'CASE DATA'!E139="710.10(3)", 'CASE DATA'!E139="710.11", 'CASE DATA'!E139="710A.2(1)", 'CASE DATA'!E139="710A.2(2)", 'CASE DATA'!E139="710A.2(3)", 'CASE DATA'!E139="710A.2(4)", 'CASE DATA'!E139="710A.2(5)", 'CASE DATA'!E139="710A.2(6)", 'CASE DATA'!E139="710A.2(7)", 'CASE DATA'!E139="710A.2A", 'CASE DATA'!E139="711.2", 'CASE DATA'!E139="711.3", 'CASE DATA'!E139="711.4", 'CASE DATA'!E139="712.2", 'CASE DATA'!E139="712.3", 'CASE DATA'!E139="712.6(1)", 'CASE DATA'!E139="712.7", 'CASE DATA'!E139="712.8", 'CASE DATA'!E139="", 'CASE DATA'!E139="713.3", 'CASE DATA'!E139="713.4", 'CASE DATA'!E139="713.5", 'CASE DATA'!E139="713.6", 'CASE DATA'!E139="713.6A(1)", 'CASE DATA'!E139="714.2(1)", 'CASE DATA'!E139="714.2(2)", 'CASE DATA'!E139="714.3A(2)(b)", 'CASE DATA'!E139="714.9", 'CASE DATA'!E139="714.10", 'CASE DATA'!E139="714.26(2)(a)", 'CASE DATA'!E139="714.26(2)(b)", 'CASE DATA'!E139="715A.2(2)(a)", 'CASE DATA'!E139="715A.6(2)(a)", 'CASE DATA'!E139="715A.6(2)(b)", 'CASE DATA'!E139="715A.8(3)(a)", 'CASE DATA'!E139="715A.8(3)(b)", 'CASE DATA'!E139="715A.10(1)", 'CASE DATA'!E139="715A.10(2)", 'CASE DATA'!E139="716.3", 'CASE DATA'!E139="716.4", 'CASE DATA'!E139="716.8(6)", 'CASE DATA'!E139="716.10(2)(a)", 'CASE DATA'!E139="716.10(2)(b)", 'CASE DATA'!E139="716.10(2)(c)", 'CASE DATA'!E139="716.10(2)(d)", 'CASE DATA'!E139="716.12", 'CASE DATA'!E139="719.1(1)(f)", 'CASE DATA'!E139="719.1(2)(e)", 'CASE DATA'!E139="719.1(2)(f)", 'CASE DATA'!E139="719.1(2)(g)", 'CASE DATA'!E139="719.4(1)", 'CASE DATA'!E139="719.4(4)", 'CASE DATA'!E139="719.5(1)", 'CASE DATA'!E139="719.5(2)", 'CASE DATA'!E139="719.6(1)", 'CASE DATA'!E139="719.6(2)", 'CASE DATA'!E139="719.7(4)(a)", 'CASE DATA'!E139="719.7(4)(b)", 'CASE DATA'!E139="719.7A(3)", 'CASE DATA'!E139="719.9", 'CASE DATA'!E139="719.8", 'CASE DATA'!E139="720.2", 'CASE DATA'!E139="720.3", 'CASE DATA'!E139="721.1", 'CASE DATA'!E139="722.1", 'CASE DATA'!E139="", 'CASE DATA'!E139="722.2", 'CASE DATA'!E139="722.10", 'CASE DATA'!E139="723(5)(3)(c)", 'CASE DATA'!E139="723A.2", 'CASE DATA'!E139="723A.3(1)", 'CASE DATA'!E139="723A.3(2)", 'CASE DATA'!E139="724.1B", 'CASE DATA'!E139="724.1C", 'CASE DATA'!E139="724.3", 'CASE DATA'!E139="724.4B", 'CASE DATA'!E139="724.10", 'CASE DATA'!E139="724.16(2)", 'CASE DATA'!E139="724.16A(1)(a)", 'CASE DATA'!E139="724.16A(1)(b)", 'CASE DATA'!E139="724.17", 'CASE DATA'!E139="724.21", 'CASE DATA'!E139="724.26(1)", 'CASE DATA'!E139="922(g)(8)", 'CASE DATA'!E139="724.29A(2)", 'CASE DATA'!E139="724.29A(3)", 'CASE DATA'!E139="724.30(1)", 'CASE DATA'!E139="724.30(2)", 'CASE DATA'!E139="725.1(2)(b)", 'CASE DATA'!E139="725.2(1)", 'CASE DATA'!E139="725.2(2)", 'CASE DATA'!E139="725.3(2)", 'CASE DATA'!E139="725.3(1)", 'CASE DATA'!E139="725.7(2)(a)(3)", 'CASE DATA'!E139="725.7(2)(a)(4)", 'CASE DATA'!E139="725.7(2)(b)(2)", 'CASE DATA'!E139="725.7(2)(b(3)", 'CASE DATA'!E139="726.7(2)(c)(1)", 'CASE DATA'!E139="726.7(2)(c)(2)", 'CASE DATA'!E139="725.7(2)(d)", 'CASE DATA'!E139="726.2", 'CASE DATA'!E139="726.3", 'CASE DATA'!E139="726.5", 'CASE DATA'!E139="726.6(4)", 'CASE DATA'!E139="726.6(5)", 'CASE DATA'!E139="726.6(6)", 'CASE DATA'!E139="726.6A", 'CASE DATA'!E139="726.7(2)", 'CASE DATA'!E139="726.8(2)", 'CASE DATA'!E139="728.12(1)", 'CASE DATA'!E139="728.12(2)"),"felony","eligible"),"N/A")</f>
        <v>N/A</v>
      </c>
      <c r="M138" s="185" t="str">
        <f>IF(L138="eligible",IF(OR('CASE DATA'!E139="123.46",'CASE DATA'!E139="123.47",'CASE DATA'!E139="235B.20",'CASE DATA'!E139="321.218",'CASE DATA'!E139="321A.32",'CASE DATA'!E139="321J.21",'CASE DATA'!E139="321J.2",'CASE DATA'!E139="707.5",'CASE DATA'!E139="708.2(3)",'CASE DATA'!E139="708.2A",'CASE DATA'!E139="708.7",'CASE DATA'!E139="708.11",'CASE DATA'!E139="708.12",'CASE DATA'!E139="716.8(3)",'CASE DATA'!E139="716.8(4)", LEFT('CASE DATA'!E139,4)="717C", LEFT('CASE DATA'!E139, 3)="719", LEFT('CASE DATA'!E139,3)="720", 'CASE DATA'!E139="721.2", 'CASE DATA'!E139="721.10", 'CASE DATA'!E139="723.1", LEFT('CASE DATA'!E139,3)="724", LEFT('CASE DATA'!E139,3)="726", LEFT('CASE DATA'!E139,3)="728", LEFT('CASE DATA'!E139,4)="901A"),"ineligible misd", "eligible"),"N/A")</f>
        <v>N/A</v>
      </c>
      <c r="N138" s="185" t="str">
        <f>IF(L138="eligible",IF(COUNTIF('CASE DATA'!$C$4:$C$200, "")-COUNTIF('CASE DATA'!$A$4:$A$200, "")&gt;0, "YES","NO"),"N/A")</f>
        <v>N/A</v>
      </c>
      <c r="O138" s="185" t="str">
        <f xml:space="preserve"> IF(M138="eligible",'CASE DATA'!K139,"N/A")</f>
        <v>N/A</v>
      </c>
      <c r="P138" s="185" t="str">
        <f xml:space="preserve"> IF(M138="eligible",'CASE DATA'!I139+'CASE DATA'!J139+'CASE DATA'!L139+'CASE DATA'!M139+'CASE DATA'!N139+'CASE DATA'!O139+'CASE DATA'!M139+'CASE DATA'!Q139+'CASE DATA'!R139,"N/A")</f>
        <v>N/A</v>
      </c>
      <c r="Q138" s="11" t="str">
        <f>IF(M138="eligible",IF(C138+730.5&lt;'BASIC INFO'!$B$3, "YES", "NO"),"N/A")</f>
        <v>N/A</v>
      </c>
      <c r="R138" s="186" t="str">
        <f xml:space="preserve"> IF(OR('CASE DATA'!F139="DEF"), "YES", "NO")</f>
        <v>NO</v>
      </c>
      <c r="S138" s="162" t="str">
        <f>IF(R138="YES",'CASE DATA'!H139,"N/A")</f>
        <v>N/A</v>
      </c>
      <c r="T138" s="185" t="str">
        <f xml:space="preserve"> IF(R138="YES",'CASE DATA'!K139,"N/A")</f>
        <v>N/A</v>
      </c>
      <c r="U138" s="185" t="str">
        <f>IF(R138="YES",'CASE DATA'!I139+'CASE DATA'!J139+'CASE DATA'!L139+'CASE DATA'!M139+'CASE DATA'!N139+'CASE DATA'!O139+'CASE DATA'!P139+'CASE DATA'!Q139+'CASE DATA'!R139,"N/A")</f>
        <v>N/A</v>
      </c>
      <c r="V138" s="189" t="str">
        <f>IF(OR('CASE DATA'!E139="123.46",'CASE DATA'!E139="123.47"),"YES","NO")</f>
        <v>NO</v>
      </c>
      <c r="W138" s="189"/>
      <c r="X138" s="185" t="str">
        <f>IF(V138="YES",IF(C138+730.5&lt;'BASIC INFO'!$B$3, "YES","NO"), "N/A")</f>
        <v>N/A</v>
      </c>
      <c r="Y138" s="189" t="str">
        <f t="shared" si="2"/>
        <v>NO</v>
      </c>
      <c r="Z138" s="187" t="str">
        <f xml:space="preserve"> IF('BASIC INFO'!$B$6+6574.5&gt;C138, "YES", "NO")</f>
        <v>YES</v>
      </c>
    </row>
    <row r="139" spans="1:26" x14ac:dyDescent="0.25">
      <c r="A139" s="162">
        <f xml:space="preserve"> 'CASE DATA'!A140</f>
        <v>0</v>
      </c>
      <c r="B139" s="162">
        <f xml:space="preserve"> 'CASE DATA'!E140</f>
        <v>0</v>
      </c>
      <c r="C139" s="163">
        <f xml:space="preserve"> 'CASE DATA'!C140</f>
        <v>0</v>
      </c>
      <c r="D139" s="11" t="str">
        <f xml:space="preserve"> IF(OR('CASE DATA'!F140="JUV", 'CASE DATA'!F140="JWV"), "YES", "NO")</f>
        <v>NO</v>
      </c>
      <c r="E139" s="11"/>
      <c r="F139" s="11" t="str">
        <f>IF(D139="YES",IF(COUNTIF('CASE DATA'!$C$4:$C$200, "")-COUNTIF('CASE DATA'!$A$4:$A$200, "")&gt;0, "YES","NO"),"N/A")</f>
        <v>N/A</v>
      </c>
      <c r="G139" s="164" t="str">
        <f xml:space="preserve"> _xlfn.IFS(D139="NO", "N/A", AND('BASIC INFO'!$B$3&gt;'BASIC INFO'!$B$6+6574.5, C139+730.5&lt;'BASIC INFO'!$B$3), "YES", 'BASIC INFO'!$B$3&lt;('BASIC INFO'!$B$6+6574.5), "NOT YET 18", C139+730.5&gt;'BASIC INFO'!$B$3, "NOT YET 2 YEARS")</f>
        <v>N/A</v>
      </c>
      <c r="H139" s="186" t="str">
        <f xml:space="preserve"> IF(LEFT('CASE DATA'!E140,4)&lt;&gt;"321.",IF(OR('CASE DATA'!F140="DISM", 'CASE DATA'!F140="ACQ", 'CASE DATA'!F140="NOTF", 'CASE DATA'!F140="WTHD", 'CASE DATA'!F140="TNSF"), "YES", "NO"), "TRAFFIC")</f>
        <v>NO</v>
      </c>
      <c r="I139" s="185" t="str">
        <f xml:space="preserve"> IF(H139="YES",'CASE DATA'!K140,"N/A")</f>
        <v>N/A</v>
      </c>
      <c r="J139" s="185" t="str">
        <f>IF(H139="YES",'CASE DATA'!I140+'CASE DATA'!J140+'CASE DATA'!L140+'CASE DATA'!M140+'CASE DATA'!N140+'CASE DATA'!O140+'CASE DATA'!P140+'CASE DATA'!Q140+'CASE DATA'!R140,"N/A")</f>
        <v>N/A</v>
      </c>
      <c r="K139" s="162" t="str">
        <f xml:space="preserve"> IF(H139="YES",IF(C139+180&lt;'BASIC INFO'!$B$3, "YES", "NO"),"N/A")</f>
        <v>N/A</v>
      </c>
      <c r="L139" s="185" t="str">
        <f>IF(OR('CASE DATA'!F140="GTR", 'CASE DATA'!F140="GPL"),IF(OR('CASE DATA'!E140="81.6(2)", 'CASE DATA'!E140="99F.15(6)(b)(1)", 'CASE DATA'!E140= "124.401(1)(a)", 'CASE DATA'!E140= "124.401(1)(b)", 'CASE DATA'!E140= "124.401(1)(c)", 'CASE DATA'!E140= "124.401(1)(d)", 'CASE DATA'!E140="124.401(4)", 'CASE DATA'!E140="124.401(1)(b)", 'CASE DATA'!E140="124.401(1)(c)", 'CASE DATA'!E140="124.401D(2)(b)", 'CASE DATA'!E140="124.401D(2)(c)", 'CASE DATA'!E140="124.406(1)(a)", 'CASE DATA'!E140="124.406(1)(b) ", 'CASE DATA'!E140="124.406(2)(a)", 'CASE DATA'!E140="124.406(2)(b) ", 'CASE DATA'!E140="124.406(3)", 'CASE DATA'!E140="124.406A ", 'CASE DATA'!E140="124.407(2)(a)", 'CASE DATA'!E140="124B.9(1)", 'CASE DATA'!E140="124B.9(2)", 'CASE DATA'!E140="321J.2(2)(c)", 'CASE DATA'!E140="453B.12(2)", 'CASE DATA'!E140="453B.12(3)", 'CASE DATA'!E140="453B.12(4)", 'CASE DATA'!E140="462A.14(2)(c)", 'CASE DATA'!E140="462A.14(2)(d)", 'CASE DATA'!E140="462A.14(2)(e)", 'CASE DATA'!E140="705.1(2)", 'CASE DATA'!E140="706.3(1)", 'CASE DATA'!E140="706.3(2)", 'CASE DATA'!E140="706A.2(1)", 'CASE DATA'!E140="706A.2(2)", 'CASE DATA'!E140="706A.2(4)", 'CASE DATA'!E140="706B.2(1)(a)", 'CASE DATA'!E140="706B.2(1)(b)", 'CASE DATA'!E140="706B.2(1)(c)", 'CASE DATA'!E140="706B.2(1)(d)", 'CASE DATA'!E140="707.2", 'CASE DATA'!E140="707.3", 'CASE DATA'!E140="707.3A", 'CASE DATA'!E140="707.4", 'CASE DATA'!E140="707.5(1)(a)", 'CASE DATA'!E140="707.6A(1)", 'CASE DATA'!E140="707.6A(2)", 'CASE DATA'!E140="707.6A(3)", 'CASE DATA'!E140="707.6A(4)", 'CASE DATA'!E140="707.7(1)", 'CASE DATA'!E140="707.7(3)", 'CASE DATA'!E140="707.7(2)", 'CASE DATA'!E140="707.8(1)", 'CASE DATA'!E140="707.8(2)", 'CASE DATA'!E140="707.8(3)", 'CASE DATA'!E140="707.8(4)", 'CASE DATA'!E140="707.8(5)", 'CASE DATA'!E140="707.8(6)", 'CASE DATA'!E140="707.9", 'CASE DATA'!E140="707.11", 'CASE DATA'!E140="707A.2", 'CASE DATA'!E140="708.2(4)", 'CASE DATA'!E140="708.2(5)", 'CASE DATA'!E140="708.2A(4)", 'CASE DATA'!E140="708.2A(5)", 'CASE DATA'!E140="708.2C(2)", 'CASE DATA'!E140="708.2C(4)", 'CASE DATA'!E140="708.3(1)", 'CASE DATA'!E140="708.3(2)", 'CASE DATA'!E140="708.3A(1)", 'CASE DATA'!E140="708.3A(2)", 'CASE DATA'!E140="708.3B", 'CASE DATA'!E140="708.4(1)", 'CASE DATA'!E140="708.4(2)", 'CASE DATA'!E140="708.5", 'CASE DATA'!E140="708.8", 'CASE DATA'!E140="708.11(3)(a)", 'CASE DATA'!E140="708.11(3)(b)", 'CASE DATA'!E140="708.12(3)(f)", 'CASE DATA'!E140="708.13(3)", 'CASE DATA'!E140="708.14", 'CASE DATA'!E140="708A.2", 'CASE DATA'!E140="708A.4(1)", 'CASE DATA'!E140="708A.4(2)", 'CASE DATA'!E140="708A.5", 'CASE DATA'!E140="708A.6(1)", 'CASE DATA'!E140="708.A.6(2)", 'CASE DATA'!E140="709.2", 'CASE DATA'!E140="709.3", 'CASE DATA'!E140="709.4", 'CASE DATA'!E140="709.8(1)(a)", 'CASE DATA'!E140="709.8(1)(b)", 'CASE DATA'!E140="709.8(1)(c)", 'CASE DATA'!E140="709.8(1)(d)", 'CASE DATA'!E140="709.8(1)(e)", 'CASE DATA'!E140="709.11(1)", 'CASE DATA'!E140="709.11(2)", 'CASE DATA'!E140="709.15(2)(a)(1)", 'CASE DATA'!E140="709.15(3)(a)(1)", 'CASE DATA'!E140="709.18", 'CASE DATA'!E140="709A.6(2)", 'CASE DATA'!E140="709D.3(1)", 'CASE DATA'!E140="709D.3(2)", 'CASE DATA'!E140="709.D.3(3)", 'CASE DATA'!E140="710.2", 'CASE DATA'!E140="710.3", 'CASE DATA'!E140="710.4", 'CASE DATA'!E140="710.5", 'CASE DATA'!E140="710.10(1)", 'CASE DATA'!E140="710.10(2)", 'CASE DATA'!E140="710.10(3)", 'CASE DATA'!E140="710.11", 'CASE DATA'!E140="710A.2(1)", 'CASE DATA'!E140="710A.2(2)", 'CASE DATA'!E140="710A.2(3)", 'CASE DATA'!E140="710A.2(4)", 'CASE DATA'!E140="710A.2(5)", 'CASE DATA'!E140="710A.2(6)", 'CASE DATA'!E140="710A.2(7)", 'CASE DATA'!E140="710A.2A", 'CASE DATA'!E140="711.2", 'CASE DATA'!E140="711.3", 'CASE DATA'!E140="711.4", 'CASE DATA'!E140="712.2", 'CASE DATA'!E140="712.3", 'CASE DATA'!E140="712.6(1)", 'CASE DATA'!E140="712.7", 'CASE DATA'!E140="712.8", 'CASE DATA'!E140="", 'CASE DATA'!E140="713.3", 'CASE DATA'!E140="713.4", 'CASE DATA'!E140="713.5", 'CASE DATA'!E140="713.6", 'CASE DATA'!E140="713.6A(1)", 'CASE DATA'!E140="714.2(1)", 'CASE DATA'!E140="714.2(2)", 'CASE DATA'!E140="714.3A(2)(b)", 'CASE DATA'!E140="714.9", 'CASE DATA'!E140="714.10", 'CASE DATA'!E140="714.26(2)(a)", 'CASE DATA'!E140="714.26(2)(b)", 'CASE DATA'!E140="715A.2(2)(a)", 'CASE DATA'!E140="715A.6(2)(a)", 'CASE DATA'!E140="715A.6(2)(b)", 'CASE DATA'!E140="715A.8(3)(a)", 'CASE DATA'!E140="715A.8(3)(b)", 'CASE DATA'!E140="715A.10(1)", 'CASE DATA'!E140="715A.10(2)", 'CASE DATA'!E140="716.3", 'CASE DATA'!E140="716.4", 'CASE DATA'!E140="716.8(6)", 'CASE DATA'!E140="716.10(2)(a)", 'CASE DATA'!E140="716.10(2)(b)", 'CASE DATA'!E140="716.10(2)(c)", 'CASE DATA'!E140="716.10(2)(d)", 'CASE DATA'!E140="716.12", 'CASE DATA'!E140="719.1(1)(f)", 'CASE DATA'!E140="719.1(2)(e)", 'CASE DATA'!E140="719.1(2)(f)", 'CASE DATA'!E140="719.1(2)(g)", 'CASE DATA'!E140="719.4(1)", 'CASE DATA'!E140="719.4(4)", 'CASE DATA'!E140="719.5(1)", 'CASE DATA'!E140="719.5(2)", 'CASE DATA'!E140="719.6(1)", 'CASE DATA'!E140="719.6(2)", 'CASE DATA'!E140="719.7(4)(a)", 'CASE DATA'!E140="719.7(4)(b)", 'CASE DATA'!E140="719.7A(3)", 'CASE DATA'!E140="719.9", 'CASE DATA'!E140="719.8", 'CASE DATA'!E140="720.2", 'CASE DATA'!E140="720.3", 'CASE DATA'!E140="721.1", 'CASE DATA'!E140="722.1", 'CASE DATA'!E140="", 'CASE DATA'!E140="722.2", 'CASE DATA'!E140="722.10", 'CASE DATA'!E140="723(5)(3)(c)", 'CASE DATA'!E140="723A.2", 'CASE DATA'!E140="723A.3(1)", 'CASE DATA'!E140="723A.3(2)", 'CASE DATA'!E140="724.1B", 'CASE DATA'!E140="724.1C", 'CASE DATA'!E140="724.3", 'CASE DATA'!E140="724.4B", 'CASE DATA'!E140="724.10", 'CASE DATA'!E140="724.16(2)", 'CASE DATA'!E140="724.16A(1)(a)", 'CASE DATA'!E140="724.16A(1)(b)", 'CASE DATA'!E140="724.17", 'CASE DATA'!E140="724.21", 'CASE DATA'!E140="724.26(1)", 'CASE DATA'!E140="922(g)(8)", 'CASE DATA'!E140="724.29A(2)", 'CASE DATA'!E140="724.29A(3)", 'CASE DATA'!E140="724.30(1)", 'CASE DATA'!E140="724.30(2)", 'CASE DATA'!E140="725.1(2)(b)", 'CASE DATA'!E140="725.2(1)", 'CASE DATA'!E140="725.2(2)", 'CASE DATA'!E140="725.3(2)", 'CASE DATA'!E140="725.3(1)", 'CASE DATA'!E140="725.7(2)(a)(3)", 'CASE DATA'!E140="725.7(2)(a)(4)", 'CASE DATA'!E140="725.7(2)(b)(2)", 'CASE DATA'!E140="725.7(2)(b(3)", 'CASE DATA'!E140="726.7(2)(c)(1)", 'CASE DATA'!E140="726.7(2)(c)(2)", 'CASE DATA'!E140="725.7(2)(d)", 'CASE DATA'!E140="726.2", 'CASE DATA'!E140="726.3", 'CASE DATA'!E140="726.5", 'CASE DATA'!E140="726.6(4)", 'CASE DATA'!E140="726.6(5)", 'CASE DATA'!E140="726.6(6)", 'CASE DATA'!E140="726.6A", 'CASE DATA'!E140="726.7(2)", 'CASE DATA'!E140="726.8(2)", 'CASE DATA'!E140="728.12(1)", 'CASE DATA'!E140="728.12(2)"),"felony","eligible"),"N/A")</f>
        <v>N/A</v>
      </c>
      <c r="M139" s="185" t="str">
        <f>IF(L139="eligible",IF(OR('CASE DATA'!E140="123.46",'CASE DATA'!E140="123.47",'CASE DATA'!E140="235B.20",'CASE DATA'!E140="321.218",'CASE DATA'!E140="321A.32",'CASE DATA'!E140="321J.21",'CASE DATA'!E140="321J.2",'CASE DATA'!E140="707.5",'CASE DATA'!E140="708.2(3)",'CASE DATA'!E140="708.2A",'CASE DATA'!E140="708.7",'CASE DATA'!E140="708.11",'CASE DATA'!E140="708.12",'CASE DATA'!E140="716.8(3)",'CASE DATA'!E140="716.8(4)", LEFT('CASE DATA'!E140,4)="717C", LEFT('CASE DATA'!E140, 3)="719", LEFT('CASE DATA'!E140,3)="720", 'CASE DATA'!E140="721.2", 'CASE DATA'!E140="721.10", 'CASE DATA'!E140="723.1", LEFT('CASE DATA'!E140,3)="724", LEFT('CASE DATA'!E140,3)="726", LEFT('CASE DATA'!E140,3)="728", LEFT('CASE DATA'!E140,4)="901A"),"ineligible misd", "eligible"),"N/A")</f>
        <v>N/A</v>
      </c>
      <c r="N139" s="185" t="str">
        <f>IF(L139="eligible",IF(COUNTIF('CASE DATA'!$C$4:$C$200, "")-COUNTIF('CASE DATA'!$A$4:$A$200, "")&gt;0, "YES","NO"),"N/A")</f>
        <v>N/A</v>
      </c>
      <c r="O139" s="185" t="str">
        <f xml:space="preserve"> IF(M139="eligible",'CASE DATA'!K140,"N/A")</f>
        <v>N/A</v>
      </c>
      <c r="P139" s="185" t="str">
        <f xml:space="preserve"> IF(M139="eligible",'CASE DATA'!I140+'CASE DATA'!J140+'CASE DATA'!L140+'CASE DATA'!M140+'CASE DATA'!N140+'CASE DATA'!O140+'CASE DATA'!M140+'CASE DATA'!Q140+'CASE DATA'!R140,"N/A")</f>
        <v>N/A</v>
      </c>
      <c r="Q139" s="11" t="str">
        <f>IF(M139="eligible",IF(C139+730.5&lt;'BASIC INFO'!$B$3, "YES", "NO"),"N/A")</f>
        <v>N/A</v>
      </c>
      <c r="R139" s="186" t="str">
        <f xml:space="preserve"> IF(OR('CASE DATA'!F140="DEF"), "YES", "NO")</f>
        <v>NO</v>
      </c>
      <c r="S139" s="162" t="str">
        <f>IF(R139="YES",'CASE DATA'!H140,"N/A")</f>
        <v>N/A</v>
      </c>
      <c r="T139" s="185" t="str">
        <f xml:space="preserve"> IF(R139="YES",'CASE DATA'!K140,"N/A")</f>
        <v>N/A</v>
      </c>
      <c r="U139" s="185" t="str">
        <f>IF(R139="YES",'CASE DATA'!I140+'CASE DATA'!J140+'CASE DATA'!L140+'CASE DATA'!M140+'CASE DATA'!N140+'CASE DATA'!O140+'CASE DATA'!P140+'CASE DATA'!Q140+'CASE DATA'!R140,"N/A")</f>
        <v>N/A</v>
      </c>
      <c r="V139" s="189" t="str">
        <f>IF(OR('CASE DATA'!E140="123.46",'CASE DATA'!E140="123.47"),"YES","NO")</f>
        <v>NO</v>
      </c>
      <c r="W139" s="189"/>
      <c r="X139" s="185" t="str">
        <f>IF(V139="YES",IF(C139+730.5&lt;'BASIC INFO'!$B$3, "YES","NO"), "N/A")</f>
        <v>N/A</v>
      </c>
      <c r="Y139" s="189" t="str">
        <f t="shared" si="2"/>
        <v>NO</v>
      </c>
      <c r="Z139" s="187" t="str">
        <f xml:space="preserve"> IF('BASIC INFO'!$B$6+6574.5&gt;C139, "YES", "NO")</f>
        <v>YES</v>
      </c>
    </row>
    <row r="140" spans="1:26" x14ac:dyDescent="0.25">
      <c r="A140" s="162">
        <f xml:space="preserve"> 'CASE DATA'!A141</f>
        <v>0</v>
      </c>
      <c r="B140" s="162">
        <f xml:space="preserve"> 'CASE DATA'!E141</f>
        <v>0</v>
      </c>
      <c r="C140" s="163">
        <f xml:space="preserve"> 'CASE DATA'!C141</f>
        <v>0</v>
      </c>
      <c r="D140" s="11" t="str">
        <f xml:space="preserve"> IF(OR('CASE DATA'!F141="JUV", 'CASE DATA'!F141="JWV"), "YES", "NO")</f>
        <v>NO</v>
      </c>
      <c r="E140" s="11"/>
      <c r="F140" s="11" t="str">
        <f>IF(D140="YES",IF(COUNTIF('CASE DATA'!$C$4:$C$200, "")-COUNTIF('CASE DATA'!$A$4:$A$200, "")&gt;0, "YES","NO"),"N/A")</f>
        <v>N/A</v>
      </c>
      <c r="G140" s="164" t="str">
        <f xml:space="preserve"> _xlfn.IFS(D140="NO", "N/A", AND('BASIC INFO'!$B$3&gt;'BASIC INFO'!$B$6+6574.5, C140+730.5&lt;'BASIC INFO'!$B$3), "YES", 'BASIC INFO'!$B$3&lt;('BASIC INFO'!$B$6+6574.5), "NOT YET 18", C140+730.5&gt;'BASIC INFO'!$B$3, "NOT YET 2 YEARS")</f>
        <v>N/A</v>
      </c>
      <c r="H140" s="186" t="str">
        <f xml:space="preserve"> IF(LEFT('CASE DATA'!E141,4)&lt;&gt;"321.",IF(OR('CASE DATA'!F141="DISM", 'CASE DATA'!F141="ACQ", 'CASE DATA'!F141="NOTF", 'CASE DATA'!F141="WTHD", 'CASE DATA'!F141="TNSF"), "YES", "NO"), "TRAFFIC")</f>
        <v>NO</v>
      </c>
      <c r="I140" s="185" t="str">
        <f xml:space="preserve"> IF(H140="YES",'CASE DATA'!K141,"N/A")</f>
        <v>N/A</v>
      </c>
      <c r="J140" s="185" t="str">
        <f>IF(H140="YES",'CASE DATA'!I141+'CASE DATA'!J141+'CASE DATA'!L141+'CASE DATA'!M141+'CASE DATA'!N141+'CASE DATA'!O141+'CASE DATA'!P141+'CASE DATA'!Q141+'CASE DATA'!R141,"N/A")</f>
        <v>N/A</v>
      </c>
      <c r="K140" s="162" t="str">
        <f xml:space="preserve"> IF(H140="YES",IF(C140+180&lt;'BASIC INFO'!$B$3, "YES", "NO"),"N/A")</f>
        <v>N/A</v>
      </c>
      <c r="L140" s="185" t="str">
        <f>IF(OR('CASE DATA'!F141="GTR", 'CASE DATA'!F141="GPL"),IF(OR('CASE DATA'!E141="81.6(2)", 'CASE DATA'!E141="99F.15(6)(b)(1)", 'CASE DATA'!E141= "124.401(1)(a)", 'CASE DATA'!E141= "124.401(1)(b)", 'CASE DATA'!E141= "124.401(1)(c)", 'CASE DATA'!E141= "124.401(1)(d)", 'CASE DATA'!E141="124.401(4)", 'CASE DATA'!E141="124.401(1)(b)", 'CASE DATA'!E141="124.401(1)(c)", 'CASE DATA'!E141="124.401D(2)(b)", 'CASE DATA'!E141="124.401D(2)(c)", 'CASE DATA'!E141="124.406(1)(a)", 'CASE DATA'!E141="124.406(1)(b) ", 'CASE DATA'!E141="124.406(2)(a)", 'CASE DATA'!E141="124.406(2)(b) ", 'CASE DATA'!E141="124.406(3)", 'CASE DATA'!E141="124.406A ", 'CASE DATA'!E141="124.407(2)(a)", 'CASE DATA'!E141="124B.9(1)", 'CASE DATA'!E141="124B.9(2)", 'CASE DATA'!E141="321J.2(2)(c)", 'CASE DATA'!E141="453B.12(2)", 'CASE DATA'!E141="453B.12(3)", 'CASE DATA'!E141="453B.12(4)", 'CASE DATA'!E141="462A.14(2)(c)", 'CASE DATA'!E141="462A.14(2)(d)", 'CASE DATA'!E141="462A.14(2)(e)", 'CASE DATA'!E141="705.1(2)", 'CASE DATA'!E141="706.3(1)", 'CASE DATA'!E141="706.3(2)", 'CASE DATA'!E141="706A.2(1)", 'CASE DATA'!E141="706A.2(2)", 'CASE DATA'!E141="706A.2(4)", 'CASE DATA'!E141="706B.2(1)(a)", 'CASE DATA'!E141="706B.2(1)(b)", 'CASE DATA'!E141="706B.2(1)(c)", 'CASE DATA'!E141="706B.2(1)(d)", 'CASE DATA'!E141="707.2", 'CASE DATA'!E141="707.3", 'CASE DATA'!E141="707.3A", 'CASE DATA'!E141="707.4", 'CASE DATA'!E141="707.5(1)(a)", 'CASE DATA'!E141="707.6A(1)", 'CASE DATA'!E141="707.6A(2)", 'CASE DATA'!E141="707.6A(3)", 'CASE DATA'!E141="707.6A(4)", 'CASE DATA'!E141="707.7(1)", 'CASE DATA'!E141="707.7(3)", 'CASE DATA'!E141="707.7(2)", 'CASE DATA'!E141="707.8(1)", 'CASE DATA'!E141="707.8(2)", 'CASE DATA'!E141="707.8(3)", 'CASE DATA'!E141="707.8(4)", 'CASE DATA'!E141="707.8(5)", 'CASE DATA'!E141="707.8(6)", 'CASE DATA'!E141="707.9", 'CASE DATA'!E141="707.11", 'CASE DATA'!E141="707A.2", 'CASE DATA'!E141="708.2(4)", 'CASE DATA'!E141="708.2(5)", 'CASE DATA'!E141="708.2A(4)", 'CASE DATA'!E141="708.2A(5)", 'CASE DATA'!E141="708.2C(2)", 'CASE DATA'!E141="708.2C(4)", 'CASE DATA'!E141="708.3(1)", 'CASE DATA'!E141="708.3(2)", 'CASE DATA'!E141="708.3A(1)", 'CASE DATA'!E141="708.3A(2)", 'CASE DATA'!E141="708.3B", 'CASE DATA'!E141="708.4(1)", 'CASE DATA'!E141="708.4(2)", 'CASE DATA'!E141="708.5", 'CASE DATA'!E141="708.8", 'CASE DATA'!E141="708.11(3)(a)", 'CASE DATA'!E141="708.11(3)(b)", 'CASE DATA'!E141="708.12(3)(f)", 'CASE DATA'!E141="708.13(3)", 'CASE DATA'!E141="708.14", 'CASE DATA'!E141="708A.2", 'CASE DATA'!E141="708A.4(1)", 'CASE DATA'!E141="708A.4(2)", 'CASE DATA'!E141="708A.5", 'CASE DATA'!E141="708A.6(1)", 'CASE DATA'!E141="708.A.6(2)", 'CASE DATA'!E141="709.2", 'CASE DATA'!E141="709.3", 'CASE DATA'!E141="709.4", 'CASE DATA'!E141="709.8(1)(a)", 'CASE DATA'!E141="709.8(1)(b)", 'CASE DATA'!E141="709.8(1)(c)", 'CASE DATA'!E141="709.8(1)(d)", 'CASE DATA'!E141="709.8(1)(e)", 'CASE DATA'!E141="709.11(1)", 'CASE DATA'!E141="709.11(2)", 'CASE DATA'!E141="709.15(2)(a)(1)", 'CASE DATA'!E141="709.15(3)(a)(1)", 'CASE DATA'!E141="709.18", 'CASE DATA'!E141="709A.6(2)", 'CASE DATA'!E141="709D.3(1)", 'CASE DATA'!E141="709D.3(2)", 'CASE DATA'!E141="709.D.3(3)", 'CASE DATA'!E141="710.2", 'CASE DATA'!E141="710.3", 'CASE DATA'!E141="710.4", 'CASE DATA'!E141="710.5", 'CASE DATA'!E141="710.10(1)", 'CASE DATA'!E141="710.10(2)", 'CASE DATA'!E141="710.10(3)", 'CASE DATA'!E141="710.11", 'CASE DATA'!E141="710A.2(1)", 'CASE DATA'!E141="710A.2(2)", 'CASE DATA'!E141="710A.2(3)", 'CASE DATA'!E141="710A.2(4)", 'CASE DATA'!E141="710A.2(5)", 'CASE DATA'!E141="710A.2(6)", 'CASE DATA'!E141="710A.2(7)", 'CASE DATA'!E141="710A.2A", 'CASE DATA'!E141="711.2", 'CASE DATA'!E141="711.3", 'CASE DATA'!E141="711.4", 'CASE DATA'!E141="712.2", 'CASE DATA'!E141="712.3", 'CASE DATA'!E141="712.6(1)", 'CASE DATA'!E141="712.7", 'CASE DATA'!E141="712.8", 'CASE DATA'!E141="", 'CASE DATA'!E141="713.3", 'CASE DATA'!E141="713.4", 'CASE DATA'!E141="713.5", 'CASE DATA'!E141="713.6", 'CASE DATA'!E141="713.6A(1)", 'CASE DATA'!E141="714.2(1)", 'CASE DATA'!E141="714.2(2)", 'CASE DATA'!E141="714.3A(2)(b)", 'CASE DATA'!E141="714.9", 'CASE DATA'!E141="714.10", 'CASE DATA'!E141="714.26(2)(a)", 'CASE DATA'!E141="714.26(2)(b)", 'CASE DATA'!E141="715A.2(2)(a)", 'CASE DATA'!E141="715A.6(2)(a)", 'CASE DATA'!E141="715A.6(2)(b)", 'CASE DATA'!E141="715A.8(3)(a)", 'CASE DATA'!E141="715A.8(3)(b)", 'CASE DATA'!E141="715A.10(1)", 'CASE DATA'!E141="715A.10(2)", 'CASE DATA'!E141="716.3", 'CASE DATA'!E141="716.4", 'CASE DATA'!E141="716.8(6)", 'CASE DATA'!E141="716.10(2)(a)", 'CASE DATA'!E141="716.10(2)(b)", 'CASE DATA'!E141="716.10(2)(c)", 'CASE DATA'!E141="716.10(2)(d)", 'CASE DATA'!E141="716.12", 'CASE DATA'!E141="719.1(1)(f)", 'CASE DATA'!E141="719.1(2)(e)", 'CASE DATA'!E141="719.1(2)(f)", 'CASE DATA'!E141="719.1(2)(g)", 'CASE DATA'!E141="719.4(1)", 'CASE DATA'!E141="719.4(4)", 'CASE DATA'!E141="719.5(1)", 'CASE DATA'!E141="719.5(2)", 'CASE DATA'!E141="719.6(1)", 'CASE DATA'!E141="719.6(2)", 'CASE DATA'!E141="719.7(4)(a)", 'CASE DATA'!E141="719.7(4)(b)", 'CASE DATA'!E141="719.7A(3)", 'CASE DATA'!E141="719.9", 'CASE DATA'!E141="719.8", 'CASE DATA'!E141="720.2", 'CASE DATA'!E141="720.3", 'CASE DATA'!E141="721.1", 'CASE DATA'!E141="722.1", 'CASE DATA'!E141="", 'CASE DATA'!E141="722.2", 'CASE DATA'!E141="722.10", 'CASE DATA'!E141="723(5)(3)(c)", 'CASE DATA'!E141="723A.2", 'CASE DATA'!E141="723A.3(1)", 'CASE DATA'!E141="723A.3(2)", 'CASE DATA'!E141="724.1B", 'CASE DATA'!E141="724.1C", 'CASE DATA'!E141="724.3", 'CASE DATA'!E141="724.4B", 'CASE DATA'!E141="724.10", 'CASE DATA'!E141="724.16(2)", 'CASE DATA'!E141="724.16A(1)(a)", 'CASE DATA'!E141="724.16A(1)(b)", 'CASE DATA'!E141="724.17", 'CASE DATA'!E141="724.21", 'CASE DATA'!E141="724.26(1)", 'CASE DATA'!E141="922(g)(8)", 'CASE DATA'!E141="724.29A(2)", 'CASE DATA'!E141="724.29A(3)", 'CASE DATA'!E141="724.30(1)", 'CASE DATA'!E141="724.30(2)", 'CASE DATA'!E141="725.1(2)(b)", 'CASE DATA'!E141="725.2(1)", 'CASE DATA'!E141="725.2(2)", 'CASE DATA'!E141="725.3(2)", 'CASE DATA'!E141="725.3(1)", 'CASE DATA'!E141="725.7(2)(a)(3)", 'CASE DATA'!E141="725.7(2)(a)(4)", 'CASE DATA'!E141="725.7(2)(b)(2)", 'CASE DATA'!E141="725.7(2)(b(3)", 'CASE DATA'!E141="726.7(2)(c)(1)", 'CASE DATA'!E141="726.7(2)(c)(2)", 'CASE DATA'!E141="725.7(2)(d)", 'CASE DATA'!E141="726.2", 'CASE DATA'!E141="726.3", 'CASE DATA'!E141="726.5", 'CASE DATA'!E141="726.6(4)", 'CASE DATA'!E141="726.6(5)", 'CASE DATA'!E141="726.6(6)", 'CASE DATA'!E141="726.6A", 'CASE DATA'!E141="726.7(2)", 'CASE DATA'!E141="726.8(2)", 'CASE DATA'!E141="728.12(1)", 'CASE DATA'!E141="728.12(2)"),"felony","eligible"),"N/A")</f>
        <v>N/A</v>
      </c>
      <c r="M140" s="185" t="str">
        <f>IF(L140="eligible",IF(OR('CASE DATA'!E141="123.46",'CASE DATA'!E141="123.47",'CASE DATA'!E141="235B.20",'CASE DATA'!E141="321.218",'CASE DATA'!E141="321A.32",'CASE DATA'!E141="321J.21",'CASE DATA'!E141="321J.2",'CASE DATA'!E141="707.5",'CASE DATA'!E141="708.2(3)",'CASE DATA'!E141="708.2A",'CASE DATA'!E141="708.7",'CASE DATA'!E141="708.11",'CASE DATA'!E141="708.12",'CASE DATA'!E141="716.8(3)",'CASE DATA'!E141="716.8(4)", LEFT('CASE DATA'!E141,4)="717C", LEFT('CASE DATA'!E141, 3)="719", LEFT('CASE DATA'!E141,3)="720", 'CASE DATA'!E141="721.2", 'CASE DATA'!E141="721.10", 'CASE DATA'!E141="723.1", LEFT('CASE DATA'!E141,3)="724", LEFT('CASE DATA'!E141,3)="726", LEFT('CASE DATA'!E141,3)="728", LEFT('CASE DATA'!E141,4)="901A"),"ineligible misd", "eligible"),"N/A")</f>
        <v>N/A</v>
      </c>
      <c r="N140" s="185" t="str">
        <f>IF(L140="eligible",IF(COUNTIF('CASE DATA'!$C$4:$C$200, "")-COUNTIF('CASE DATA'!$A$4:$A$200, "")&gt;0, "YES","NO"),"N/A")</f>
        <v>N/A</v>
      </c>
      <c r="O140" s="185" t="str">
        <f xml:space="preserve"> IF(M140="eligible",'CASE DATA'!K141,"N/A")</f>
        <v>N/A</v>
      </c>
      <c r="P140" s="185" t="str">
        <f xml:space="preserve"> IF(M140="eligible",'CASE DATA'!I141+'CASE DATA'!J141+'CASE DATA'!L141+'CASE DATA'!M141+'CASE DATA'!N141+'CASE DATA'!O141+'CASE DATA'!M141+'CASE DATA'!Q141+'CASE DATA'!R141,"N/A")</f>
        <v>N/A</v>
      </c>
      <c r="Q140" s="11" t="str">
        <f>IF(M140="eligible",IF(C140+730.5&lt;'BASIC INFO'!$B$3, "YES", "NO"),"N/A")</f>
        <v>N/A</v>
      </c>
      <c r="R140" s="186" t="str">
        <f xml:space="preserve"> IF(OR('CASE DATA'!F141="DEF"), "YES", "NO")</f>
        <v>NO</v>
      </c>
      <c r="S140" s="162" t="str">
        <f>IF(R140="YES",'CASE DATA'!H141,"N/A")</f>
        <v>N/A</v>
      </c>
      <c r="T140" s="185" t="str">
        <f xml:space="preserve"> IF(R140="YES",'CASE DATA'!K141,"N/A")</f>
        <v>N/A</v>
      </c>
      <c r="U140" s="185" t="str">
        <f>IF(R140="YES",'CASE DATA'!I141+'CASE DATA'!J141+'CASE DATA'!L141+'CASE DATA'!M141+'CASE DATA'!N141+'CASE DATA'!O141+'CASE DATA'!P141+'CASE DATA'!Q141+'CASE DATA'!R141,"N/A")</f>
        <v>N/A</v>
      </c>
      <c r="V140" s="189" t="str">
        <f>IF(OR('CASE DATA'!E141="123.46",'CASE DATA'!E141="123.47"),"YES","NO")</f>
        <v>NO</v>
      </c>
      <c r="W140" s="189"/>
      <c r="X140" s="185" t="str">
        <f>IF(V140="YES",IF(C140+730.5&lt;'BASIC INFO'!$B$3, "YES","NO"), "N/A")</f>
        <v>N/A</v>
      </c>
      <c r="Y140" s="189" t="str">
        <f t="shared" si="2"/>
        <v>NO</v>
      </c>
      <c r="Z140" s="187" t="str">
        <f xml:space="preserve"> IF('BASIC INFO'!$B$6+6574.5&gt;C140, "YES", "NO")</f>
        <v>YES</v>
      </c>
    </row>
    <row r="141" spans="1:26" x14ac:dyDescent="0.25">
      <c r="A141" s="162">
        <f xml:space="preserve"> 'CASE DATA'!A142</f>
        <v>0</v>
      </c>
      <c r="B141" s="162">
        <f xml:space="preserve"> 'CASE DATA'!E142</f>
        <v>0</v>
      </c>
      <c r="C141" s="163">
        <f xml:space="preserve"> 'CASE DATA'!C142</f>
        <v>0</v>
      </c>
      <c r="D141" s="11" t="str">
        <f xml:space="preserve"> IF(OR('CASE DATA'!F142="JUV", 'CASE DATA'!F142="JWV"), "YES", "NO")</f>
        <v>NO</v>
      </c>
      <c r="E141" s="11"/>
      <c r="F141" s="11" t="str">
        <f>IF(D141="YES",IF(COUNTIF('CASE DATA'!$C$4:$C$200, "")-COUNTIF('CASE DATA'!$A$4:$A$200, "")&gt;0, "YES","NO"),"N/A")</f>
        <v>N/A</v>
      </c>
      <c r="G141" s="164" t="str">
        <f xml:space="preserve"> _xlfn.IFS(D141="NO", "N/A", AND('BASIC INFO'!$B$3&gt;'BASIC INFO'!$B$6+6574.5, C141+730.5&lt;'BASIC INFO'!$B$3), "YES", 'BASIC INFO'!$B$3&lt;('BASIC INFO'!$B$6+6574.5), "NOT YET 18", C141+730.5&gt;'BASIC INFO'!$B$3, "NOT YET 2 YEARS")</f>
        <v>N/A</v>
      </c>
      <c r="H141" s="186" t="str">
        <f xml:space="preserve"> IF(LEFT('CASE DATA'!E142,4)&lt;&gt;"321.",IF(OR('CASE DATA'!F142="DISM", 'CASE DATA'!F142="ACQ", 'CASE DATA'!F142="NOTF", 'CASE DATA'!F142="WTHD", 'CASE DATA'!F142="TNSF"), "YES", "NO"), "TRAFFIC")</f>
        <v>NO</v>
      </c>
      <c r="I141" s="185" t="str">
        <f xml:space="preserve"> IF(H141="YES",'CASE DATA'!K142,"N/A")</f>
        <v>N/A</v>
      </c>
      <c r="J141" s="185" t="str">
        <f>IF(H141="YES",'CASE DATA'!I142+'CASE DATA'!J142+'CASE DATA'!L142+'CASE DATA'!M142+'CASE DATA'!N142+'CASE DATA'!O142+'CASE DATA'!P142+'CASE DATA'!Q142+'CASE DATA'!R142,"N/A")</f>
        <v>N/A</v>
      </c>
      <c r="K141" s="162" t="str">
        <f xml:space="preserve"> IF(H141="YES",IF(C141+180&lt;'BASIC INFO'!$B$3, "YES", "NO"),"N/A")</f>
        <v>N/A</v>
      </c>
      <c r="L141" s="185" t="str">
        <f>IF(OR('CASE DATA'!F142="GTR", 'CASE DATA'!F142="GPL"),IF(OR('CASE DATA'!E142="81.6(2)", 'CASE DATA'!E142="99F.15(6)(b)(1)", 'CASE DATA'!E142= "124.401(1)(a)", 'CASE DATA'!E142= "124.401(1)(b)", 'CASE DATA'!E142= "124.401(1)(c)", 'CASE DATA'!E142= "124.401(1)(d)", 'CASE DATA'!E142="124.401(4)", 'CASE DATA'!E142="124.401(1)(b)", 'CASE DATA'!E142="124.401(1)(c)", 'CASE DATA'!E142="124.401D(2)(b)", 'CASE DATA'!E142="124.401D(2)(c)", 'CASE DATA'!E142="124.406(1)(a)", 'CASE DATA'!E142="124.406(1)(b) ", 'CASE DATA'!E142="124.406(2)(a)", 'CASE DATA'!E142="124.406(2)(b) ", 'CASE DATA'!E142="124.406(3)", 'CASE DATA'!E142="124.406A ", 'CASE DATA'!E142="124.407(2)(a)", 'CASE DATA'!E142="124B.9(1)", 'CASE DATA'!E142="124B.9(2)", 'CASE DATA'!E142="321J.2(2)(c)", 'CASE DATA'!E142="453B.12(2)", 'CASE DATA'!E142="453B.12(3)", 'CASE DATA'!E142="453B.12(4)", 'CASE DATA'!E142="462A.14(2)(c)", 'CASE DATA'!E142="462A.14(2)(d)", 'CASE DATA'!E142="462A.14(2)(e)", 'CASE DATA'!E142="705.1(2)", 'CASE DATA'!E142="706.3(1)", 'CASE DATA'!E142="706.3(2)", 'CASE DATA'!E142="706A.2(1)", 'CASE DATA'!E142="706A.2(2)", 'CASE DATA'!E142="706A.2(4)", 'CASE DATA'!E142="706B.2(1)(a)", 'CASE DATA'!E142="706B.2(1)(b)", 'CASE DATA'!E142="706B.2(1)(c)", 'CASE DATA'!E142="706B.2(1)(d)", 'CASE DATA'!E142="707.2", 'CASE DATA'!E142="707.3", 'CASE DATA'!E142="707.3A", 'CASE DATA'!E142="707.4", 'CASE DATA'!E142="707.5(1)(a)", 'CASE DATA'!E142="707.6A(1)", 'CASE DATA'!E142="707.6A(2)", 'CASE DATA'!E142="707.6A(3)", 'CASE DATA'!E142="707.6A(4)", 'CASE DATA'!E142="707.7(1)", 'CASE DATA'!E142="707.7(3)", 'CASE DATA'!E142="707.7(2)", 'CASE DATA'!E142="707.8(1)", 'CASE DATA'!E142="707.8(2)", 'CASE DATA'!E142="707.8(3)", 'CASE DATA'!E142="707.8(4)", 'CASE DATA'!E142="707.8(5)", 'CASE DATA'!E142="707.8(6)", 'CASE DATA'!E142="707.9", 'CASE DATA'!E142="707.11", 'CASE DATA'!E142="707A.2", 'CASE DATA'!E142="708.2(4)", 'CASE DATA'!E142="708.2(5)", 'CASE DATA'!E142="708.2A(4)", 'CASE DATA'!E142="708.2A(5)", 'CASE DATA'!E142="708.2C(2)", 'CASE DATA'!E142="708.2C(4)", 'CASE DATA'!E142="708.3(1)", 'CASE DATA'!E142="708.3(2)", 'CASE DATA'!E142="708.3A(1)", 'CASE DATA'!E142="708.3A(2)", 'CASE DATA'!E142="708.3B", 'CASE DATA'!E142="708.4(1)", 'CASE DATA'!E142="708.4(2)", 'CASE DATA'!E142="708.5", 'CASE DATA'!E142="708.8", 'CASE DATA'!E142="708.11(3)(a)", 'CASE DATA'!E142="708.11(3)(b)", 'CASE DATA'!E142="708.12(3)(f)", 'CASE DATA'!E142="708.13(3)", 'CASE DATA'!E142="708.14", 'CASE DATA'!E142="708A.2", 'CASE DATA'!E142="708A.4(1)", 'CASE DATA'!E142="708A.4(2)", 'CASE DATA'!E142="708A.5", 'CASE DATA'!E142="708A.6(1)", 'CASE DATA'!E142="708.A.6(2)", 'CASE DATA'!E142="709.2", 'CASE DATA'!E142="709.3", 'CASE DATA'!E142="709.4", 'CASE DATA'!E142="709.8(1)(a)", 'CASE DATA'!E142="709.8(1)(b)", 'CASE DATA'!E142="709.8(1)(c)", 'CASE DATA'!E142="709.8(1)(d)", 'CASE DATA'!E142="709.8(1)(e)", 'CASE DATA'!E142="709.11(1)", 'CASE DATA'!E142="709.11(2)", 'CASE DATA'!E142="709.15(2)(a)(1)", 'CASE DATA'!E142="709.15(3)(a)(1)", 'CASE DATA'!E142="709.18", 'CASE DATA'!E142="709A.6(2)", 'CASE DATA'!E142="709D.3(1)", 'CASE DATA'!E142="709D.3(2)", 'CASE DATA'!E142="709.D.3(3)", 'CASE DATA'!E142="710.2", 'CASE DATA'!E142="710.3", 'CASE DATA'!E142="710.4", 'CASE DATA'!E142="710.5", 'CASE DATA'!E142="710.10(1)", 'CASE DATA'!E142="710.10(2)", 'CASE DATA'!E142="710.10(3)", 'CASE DATA'!E142="710.11", 'CASE DATA'!E142="710A.2(1)", 'CASE DATA'!E142="710A.2(2)", 'CASE DATA'!E142="710A.2(3)", 'CASE DATA'!E142="710A.2(4)", 'CASE DATA'!E142="710A.2(5)", 'CASE DATA'!E142="710A.2(6)", 'CASE DATA'!E142="710A.2(7)", 'CASE DATA'!E142="710A.2A", 'CASE DATA'!E142="711.2", 'CASE DATA'!E142="711.3", 'CASE DATA'!E142="711.4", 'CASE DATA'!E142="712.2", 'CASE DATA'!E142="712.3", 'CASE DATA'!E142="712.6(1)", 'CASE DATA'!E142="712.7", 'CASE DATA'!E142="712.8", 'CASE DATA'!E142="", 'CASE DATA'!E142="713.3", 'CASE DATA'!E142="713.4", 'CASE DATA'!E142="713.5", 'CASE DATA'!E142="713.6", 'CASE DATA'!E142="713.6A(1)", 'CASE DATA'!E142="714.2(1)", 'CASE DATA'!E142="714.2(2)", 'CASE DATA'!E142="714.3A(2)(b)", 'CASE DATA'!E142="714.9", 'CASE DATA'!E142="714.10", 'CASE DATA'!E142="714.26(2)(a)", 'CASE DATA'!E142="714.26(2)(b)", 'CASE DATA'!E142="715A.2(2)(a)", 'CASE DATA'!E142="715A.6(2)(a)", 'CASE DATA'!E142="715A.6(2)(b)", 'CASE DATA'!E142="715A.8(3)(a)", 'CASE DATA'!E142="715A.8(3)(b)", 'CASE DATA'!E142="715A.10(1)", 'CASE DATA'!E142="715A.10(2)", 'CASE DATA'!E142="716.3", 'CASE DATA'!E142="716.4", 'CASE DATA'!E142="716.8(6)", 'CASE DATA'!E142="716.10(2)(a)", 'CASE DATA'!E142="716.10(2)(b)", 'CASE DATA'!E142="716.10(2)(c)", 'CASE DATA'!E142="716.10(2)(d)", 'CASE DATA'!E142="716.12", 'CASE DATA'!E142="719.1(1)(f)", 'CASE DATA'!E142="719.1(2)(e)", 'CASE DATA'!E142="719.1(2)(f)", 'CASE DATA'!E142="719.1(2)(g)", 'CASE DATA'!E142="719.4(1)", 'CASE DATA'!E142="719.4(4)", 'CASE DATA'!E142="719.5(1)", 'CASE DATA'!E142="719.5(2)", 'CASE DATA'!E142="719.6(1)", 'CASE DATA'!E142="719.6(2)", 'CASE DATA'!E142="719.7(4)(a)", 'CASE DATA'!E142="719.7(4)(b)", 'CASE DATA'!E142="719.7A(3)", 'CASE DATA'!E142="719.9", 'CASE DATA'!E142="719.8", 'CASE DATA'!E142="720.2", 'CASE DATA'!E142="720.3", 'CASE DATA'!E142="721.1", 'CASE DATA'!E142="722.1", 'CASE DATA'!E142="", 'CASE DATA'!E142="722.2", 'CASE DATA'!E142="722.10", 'CASE DATA'!E142="723(5)(3)(c)", 'CASE DATA'!E142="723A.2", 'CASE DATA'!E142="723A.3(1)", 'CASE DATA'!E142="723A.3(2)", 'CASE DATA'!E142="724.1B", 'CASE DATA'!E142="724.1C", 'CASE DATA'!E142="724.3", 'CASE DATA'!E142="724.4B", 'CASE DATA'!E142="724.10", 'CASE DATA'!E142="724.16(2)", 'CASE DATA'!E142="724.16A(1)(a)", 'CASE DATA'!E142="724.16A(1)(b)", 'CASE DATA'!E142="724.17", 'CASE DATA'!E142="724.21", 'CASE DATA'!E142="724.26(1)", 'CASE DATA'!E142="922(g)(8)", 'CASE DATA'!E142="724.29A(2)", 'CASE DATA'!E142="724.29A(3)", 'CASE DATA'!E142="724.30(1)", 'CASE DATA'!E142="724.30(2)", 'CASE DATA'!E142="725.1(2)(b)", 'CASE DATA'!E142="725.2(1)", 'CASE DATA'!E142="725.2(2)", 'CASE DATA'!E142="725.3(2)", 'CASE DATA'!E142="725.3(1)", 'CASE DATA'!E142="725.7(2)(a)(3)", 'CASE DATA'!E142="725.7(2)(a)(4)", 'CASE DATA'!E142="725.7(2)(b)(2)", 'CASE DATA'!E142="725.7(2)(b(3)", 'CASE DATA'!E142="726.7(2)(c)(1)", 'CASE DATA'!E142="726.7(2)(c)(2)", 'CASE DATA'!E142="725.7(2)(d)", 'CASE DATA'!E142="726.2", 'CASE DATA'!E142="726.3", 'CASE DATA'!E142="726.5", 'CASE DATA'!E142="726.6(4)", 'CASE DATA'!E142="726.6(5)", 'CASE DATA'!E142="726.6(6)", 'CASE DATA'!E142="726.6A", 'CASE DATA'!E142="726.7(2)", 'CASE DATA'!E142="726.8(2)", 'CASE DATA'!E142="728.12(1)", 'CASE DATA'!E142="728.12(2)"),"felony","eligible"),"N/A")</f>
        <v>N/A</v>
      </c>
      <c r="M141" s="185" t="str">
        <f>IF(L141="eligible",IF(OR('CASE DATA'!E142="123.46",'CASE DATA'!E142="123.47",'CASE DATA'!E142="235B.20",'CASE DATA'!E142="321.218",'CASE DATA'!E142="321A.32",'CASE DATA'!E142="321J.21",'CASE DATA'!E142="321J.2",'CASE DATA'!E142="707.5",'CASE DATA'!E142="708.2(3)",'CASE DATA'!E142="708.2A",'CASE DATA'!E142="708.7",'CASE DATA'!E142="708.11",'CASE DATA'!E142="708.12",'CASE DATA'!E142="716.8(3)",'CASE DATA'!E142="716.8(4)", LEFT('CASE DATA'!E142,4)="717C", LEFT('CASE DATA'!E142, 3)="719", LEFT('CASE DATA'!E142,3)="720", 'CASE DATA'!E142="721.2", 'CASE DATA'!E142="721.10", 'CASE DATA'!E142="723.1", LEFT('CASE DATA'!E142,3)="724", LEFT('CASE DATA'!E142,3)="726", LEFT('CASE DATA'!E142,3)="728", LEFT('CASE DATA'!E142,4)="901A"),"ineligible misd", "eligible"),"N/A")</f>
        <v>N/A</v>
      </c>
      <c r="N141" s="185" t="str">
        <f>IF(L141="eligible",IF(COUNTIF('CASE DATA'!$C$4:$C$200, "")-COUNTIF('CASE DATA'!$A$4:$A$200, "")&gt;0, "YES","NO"),"N/A")</f>
        <v>N/A</v>
      </c>
      <c r="O141" s="185" t="str">
        <f xml:space="preserve"> IF(M141="eligible",'CASE DATA'!K142,"N/A")</f>
        <v>N/A</v>
      </c>
      <c r="P141" s="185" t="str">
        <f xml:space="preserve"> IF(M141="eligible",'CASE DATA'!I142+'CASE DATA'!J142+'CASE DATA'!L142+'CASE DATA'!M142+'CASE DATA'!N142+'CASE DATA'!O142+'CASE DATA'!M142+'CASE DATA'!Q142+'CASE DATA'!R142,"N/A")</f>
        <v>N/A</v>
      </c>
      <c r="Q141" s="11" t="str">
        <f>IF(M141="eligible",IF(C141+730.5&lt;'BASIC INFO'!$B$3, "YES", "NO"),"N/A")</f>
        <v>N/A</v>
      </c>
      <c r="R141" s="186" t="str">
        <f xml:space="preserve"> IF(OR('CASE DATA'!F142="DEF"), "YES", "NO")</f>
        <v>NO</v>
      </c>
      <c r="S141" s="162" t="str">
        <f>IF(R141="YES",'CASE DATA'!H142,"N/A")</f>
        <v>N/A</v>
      </c>
      <c r="T141" s="185" t="str">
        <f xml:space="preserve"> IF(R141="YES",'CASE DATA'!K142,"N/A")</f>
        <v>N/A</v>
      </c>
      <c r="U141" s="185" t="str">
        <f>IF(R141="YES",'CASE DATA'!I142+'CASE DATA'!J142+'CASE DATA'!L142+'CASE DATA'!M142+'CASE DATA'!N142+'CASE DATA'!O142+'CASE DATA'!P142+'CASE DATA'!Q142+'CASE DATA'!R142,"N/A")</f>
        <v>N/A</v>
      </c>
      <c r="V141" s="189" t="str">
        <f>IF(OR('CASE DATA'!E142="123.46",'CASE DATA'!E142="123.47"),"YES","NO")</f>
        <v>NO</v>
      </c>
      <c r="W141" s="189"/>
      <c r="X141" s="185" t="str">
        <f>IF(V141="YES",IF(C141+730.5&lt;'BASIC INFO'!$B$3, "YES","NO"), "N/A")</f>
        <v>N/A</v>
      </c>
      <c r="Y141" s="189" t="str">
        <f t="shared" si="2"/>
        <v>NO</v>
      </c>
      <c r="Z141" s="187" t="str">
        <f xml:space="preserve"> IF('BASIC INFO'!$B$6+6574.5&gt;C141, "YES", "NO")</f>
        <v>YES</v>
      </c>
    </row>
    <row r="142" spans="1:26" x14ac:dyDescent="0.25">
      <c r="A142" s="162">
        <f xml:space="preserve"> 'CASE DATA'!A143</f>
        <v>0</v>
      </c>
      <c r="B142" s="162">
        <f xml:space="preserve"> 'CASE DATA'!E143</f>
        <v>0</v>
      </c>
      <c r="C142" s="163">
        <f xml:space="preserve"> 'CASE DATA'!C143</f>
        <v>0</v>
      </c>
      <c r="D142" s="11" t="str">
        <f xml:space="preserve"> IF(OR('CASE DATA'!F143="JUV", 'CASE DATA'!F143="JWV"), "YES", "NO")</f>
        <v>NO</v>
      </c>
      <c r="E142" s="11"/>
      <c r="F142" s="11" t="str">
        <f>IF(D142="YES",IF(COUNTIF('CASE DATA'!$C$4:$C$200, "")-COUNTIF('CASE DATA'!$A$4:$A$200, "")&gt;0, "YES","NO"),"N/A")</f>
        <v>N/A</v>
      </c>
      <c r="G142" s="164" t="str">
        <f xml:space="preserve"> _xlfn.IFS(D142="NO", "N/A", AND('BASIC INFO'!$B$3&gt;'BASIC INFO'!$B$6+6574.5, C142+730.5&lt;'BASIC INFO'!$B$3), "YES", 'BASIC INFO'!$B$3&lt;('BASIC INFO'!$B$6+6574.5), "NOT YET 18", C142+730.5&gt;'BASIC INFO'!$B$3, "NOT YET 2 YEARS")</f>
        <v>N/A</v>
      </c>
      <c r="H142" s="186" t="str">
        <f xml:space="preserve"> IF(LEFT('CASE DATA'!E143,4)&lt;&gt;"321.",IF(OR('CASE DATA'!F143="DISM", 'CASE DATA'!F143="ACQ", 'CASE DATA'!F143="NOTF", 'CASE DATA'!F143="WTHD", 'CASE DATA'!F143="TNSF"), "YES", "NO"), "TRAFFIC")</f>
        <v>NO</v>
      </c>
      <c r="I142" s="185" t="str">
        <f xml:space="preserve"> IF(H142="YES",'CASE DATA'!K143,"N/A")</f>
        <v>N/A</v>
      </c>
      <c r="J142" s="185" t="str">
        <f>IF(H142="YES",'CASE DATA'!I143+'CASE DATA'!J143+'CASE DATA'!L143+'CASE DATA'!M143+'CASE DATA'!N143+'CASE DATA'!O143+'CASE DATA'!P143+'CASE DATA'!Q143+'CASE DATA'!R143,"N/A")</f>
        <v>N/A</v>
      </c>
      <c r="K142" s="162" t="str">
        <f xml:space="preserve"> IF(H142="YES",IF(C142+180&lt;'BASIC INFO'!$B$3, "YES", "NO"),"N/A")</f>
        <v>N/A</v>
      </c>
      <c r="L142" s="185" t="str">
        <f>IF(OR('CASE DATA'!F143="GTR", 'CASE DATA'!F143="GPL"),IF(OR('CASE DATA'!E143="81.6(2)", 'CASE DATA'!E143="99F.15(6)(b)(1)", 'CASE DATA'!E143= "124.401(1)(a)", 'CASE DATA'!E143= "124.401(1)(b)", 'CASE DATA'!E143= "124.401(1)(c)", 'CASE DATA'!E143= "124.401(1)(d)", 'CASE DATA'!E143="124.401(4)", 'CASE DATA'!E143="124.401(1)(b)", 'CASE DATA'!E143="124.401(1)(c)", 'CASE DATA'!E143="124.401D(2)(b)", 'CASE DATA'!E143="124.401D(2)(c)", 'CASE DATA'!E143="124.406(1)(a)", 'CASE DATA'!E143="124.406(1)(b) ", 'CASE DATA'!E143="124.406(2)(a)", 'CASE DATA'!E143="124.406(2)(b) ", 'CASE DATA'!E143="124.406(3)", 'CASE DATA'!E143="124.406A ", 'CASE DATA'!E143="124.407(2)(a)", 'CASE DATA'!E143="124B.9(1)", 'CASE DATA'!E143="124B.9(2)", 'CASE DATA'!E143="321J.2(2)(c)", 'CASE DATA'!E143="453B.12(2)", 'CASE DATA'!E143="453B.12(3)", 'CASE DATA'!E143="453B.12(4)", 'CASE DATA'!E143="462A.14(2)(c)", 'CASE DATA'!E143="462A.14(2)(d)", 'CASE DATA'!E143="462A.14(2)(e)", 'CASE DATA'!E143="705.1(2)", 'CASE DATA'!E143="706.3(1)", 'CASE DATA'!E143="706.3(2)", 'CASE DATA'!E143="706A.2(1)", 'CASE DATA'!E143="706A.2(2)", 'CASE DATA'!E143="706A.2(4)", 'CASE DATA'!E143="706B.2(1)(a)", 'CASE DATA'!E143="706B.2(1)(b)", 'CASE DATA'!E143="706B.2(1)(c)", 'CASE DATA'!E143="706B.2(1)(d)", 'CASE DATA'!E143="707.2", 'CASE DATA'!E143="707.3", 'CASE DATA'!E143="707.3A", 'CASE DATA'!E143="707.4", 'CASE DATA'!E143="707.5(1)(a)", 'CASE DATA'!E143="707.6A(1)", 'CASE DATA'!E143="707.6A(2)", 'CASE DATA'!E143="707.6A(3)", 'CASE DATA'!E143="707.6A(4)", 'CASE DATA'!E143="707.7(1)", 'CASE DATA'!E143="707.7(3)", 'CASE DATA'!E143="707.7(2)", 'CASE DATA'!E143="707.8(1)", 'CASE DATA'!E143="707.8(2)", 'CASE DATA'!E143="707.8(3)", 'CASE DATA'!E143="707.8(4)", 'CASE DATA'!E143="707.8(5)", 'CASE DATA'!E143="707.8(6)", 'CASE DATA'!E143="707.9", 'CASE DATA'!E143="707.11", 'CASE DATA'!E143="707A.2", 'CASE DATA'!E143="708.2(4)", 'CASE DATA'!E143="708.2(5)", 'CASE DATA'!E143="708.2A(4)", 'CASE DATA'!E143="708.2A(5)", 'CASE DATA'!E143="708.2C(2)", 'CASE DATA'!E143="708.2C(4)", 'CASE DATA'!E143="708.3(1)", 'CASE DATA'!E143="708.3(2)", 'CASE DATA'!E143="708.3A(1)", 'CASE DATA'!E143="708.3A(2)", 'CASE DATA'!E143="708.3B", 'CASE DATA'!E143="708.4(1)", 'CASE DATA'!E143="708.4(2)", 'CASE DATA'!E143="708.5", 'CASE DATA'!E143="708.8", 'CASE DATA'!E143="708.11(3)(a)", 'CASE DATA'!E143="708.11(3)(b)", 'CASE DATA'!E143="708.12(3)(f)", 'CASE DATA'!E143="708.13(3)", 'CASE DATA'!E143="708.14", 'CASE DATA'!E143="708A.2", 'CASE DATA'!E143="708A.4(1)", 'CASE DATA'!E143="708A.4(2)", 'CASE DATA'!E143="708A.5", 'CASE DATA'!E143="708A.6(1)", 'CASE DATA'!E143="708.A.6(2)", 'CASE DATA'!E143="709.2", 'CASE DATA'!E143="709.3", 'CASE DATA'!E143="709.4", 'CASE DATA'!E143="709.8(1)(a)", 'CASE DATA'!E143="709.8(1)(b)", 'CASE DATA'!E143="709.8(1)(c)", 'CASE DATA'!E143="709.8(1)(d)", 'CASE DATA'!E143="709.8(1)(e)", 'CASE DATA'!E143="709.11(1)", 'CASE DATA'!E143="709.11(2)", 'CASE DATA'!E143="709.15(2)(a)(1)", 'CASE DATA'!E143="709.15(3)(a)(1)", 'CASE DATA'!E143="709.18", 'CASE DATA'!E143="709A.6(2)", 'CASE DATA'!E143="709D.3(1)", 'CASE DATA'!E143="709D.3(2)", 'CASE DATA'!E143="709.D.3(3)", 'CASE DATA'!E143="710.2", 'CASE DATA'!E143="710.3", 'CASE DATA'!E143="710.4", 'CASE DATA'!E143="710.5", 'CASE DATA'!E143="710.10(1)", 'CASE DATA'!E143="710.10(2)", 'CASE DATA'!E143="710.10(3)", 'CASE DATA'!E143="710.11", 'CASE DATA'!E143="710A.2(1)", 'CASE DATA'!E143="710A.2(2)", 'CASE DATA'!E143="710A.2(3)", 'CASE DATA'!E143="710A.2(4)", 'CASE DATA'!E143="710A.2(5)", 'CASE DATA'!E143="710A.2(6)", 'CASE DATA'!E143="710A.2(7)", 'CASE DATA'!E143="710A.2A", 'CASE DATA'!E143="711.2", 'CASE DATA'!E143="711.3", 'CASE DATA'!E143="711.4", 'CASE DATA'!E143="712.2", 'CASE DATA'!E143="712.3", 'CASE DATA'!E143="712.6(1)", 'CASE DATA'!E143="712.7", 'CASE DATA'!E143="712.8", 'CASE DATA'!E143="", 'CASE DATA'!E143="713.3", 'CASE DATA'!E143="713.4", 'CASE DATA'!E143="713.5", 'CASE DATA'!E143="713.6", 'CASE DATA'!E143="713.6A(1)", 'CASE DATA'!E143="714.2(1)", 'CASE DATA'!E143="714.2(2)", 'CASE DATA'!E143="714.3A(2)(b)", 'CASE DATA'!E143="714.9", 'CASE DATA'!E143="714.10", 'CASE DATA'!E143="714.26(2)(a)", 'CASE DATA'!E143="714.26(2)(b)", 'CASE DATA'!E143="715A.2(2)(a)", 'CASE DATA'!E143="715A.6(2)(a)", 'CASE DATA'!E143="715A.6(2)(b)", 'CASE DATA'!E143="715A.8(3)(a)", 'CASE DATA'!E143="715A.8(3)(b)", 'CASE DATA'!E143="715A.10(1)", 'CASE DATA'!E143="715A.10(2)", 'CASE DATA'!E143="716.3", 'CASE DATA'!E143="716.4", 'CASE DATA'!E143="716.8(6)", 'CASE DATA'!E143="716.10(2)(a)", 'CASE DATA'!E143="716.10(2)(b)", 'CASE DATA'!E143="716.10(2)(c)", 'CASE DATA'!E143="716.10(2)(d)", 'CASE DATA'!E143="716.12", 'CASE DATA'!E143="719.1(1)(f)", 'CASE DATA'!E143="719.1(2)(e)", 'CASE DATA'!E143="719.1(2)(f)", 'CASE DATA'!E143="719.1(2)(g)", 'CASE DATA'!E143="719.4(1)", 'CASE DATA'!E143="719.4(4)", 'CASE DATA'!E143="719.5(1)", 'CASE DATA'!E143="719.5(2)", 'CASE DATA'!E143="719.6(1)", 'CASE DATA'!E143="719.6(2)", 'CASE DATA'!E143="719.7(4)(a)", 'CASE DATA'!E143="719.7(4)(b)", 'CASE DATA'!E143="719.7A(3)", 'CASE DATA'!E143="719.9", 'CASE DATA'!E143="719.8", 'CASE DATA'!E143="720.2", 'CASE DATA'!E143="720.3", 'CASE DATA'!E143="721.1", 'CASE DATA'!E143="722.1", 'CASE DATA'!E143="", 'CASE DATA'!E143="722.2", 'CASE DATA'!E143="722.10", 'CASE DATA'!E143="723(5)(3)(c)", 'CASE DATA'!E143="723A.2", 'CASE DATA'!E143="723A.3(1)", 'CASE DATA'!E143="723A.3(2)", 'CASE DATA'!E143="724.1B", 'CASE DATA'!E143="724.1C", 'CASE DATA'!E143="724.3", 'CASE DATA'!E143="724.4B", 'CASE DATA'!E143="724.10", 'CASE DATA'!E143="724.16(2)", 'CASE DATA'!E143="724.16A(1)(a)", 'CASE DATA'!E143="724.16A(1)(b)", 'CASE DATA'!E143="724.17", 'CASE DATA'!E143="724.21", 'CASE DATA'!E143="724.26(1)", 'CASE DATA'!E143="922(g)(8)", 'CASE DATA'!E143="724.29A(2)", 'CASE DATA'!E143="724.29A(3)", 'CASE DATA'!E143="724.30(1)", 'CASE DATA'!E143="724.30(2)", 'CASE DATA'!E143="725.1(2)(b)", 'CASE DATA'!E143="725.2(1)", 'CASE DATA'!E143="725.2(2)", 'CASE DATA'!E143="725.3(2)", 'CASE DATA'!E143="725.3(1)", 'CASE DATA'!E143="725.7(2)(a)(3)", 'CASE DATA'!E143="725.7(2)(a)(4)", 'CASE DATA'!E143="725.7(2)(b)(2)", 'CASE DATA'!E143="725.7(2)(b(3)", 'CASE DATA'!E143="726.7(2)(c)(1)", 'CASE DATA'!E143="726.7(2)(c)(2)", 'CASE DATA'!E143="725.7(2)(d)", 'CASE DATA'!E143="726.2", 'CASE DATA'!E143="726.3", 'CASE DATA'!E143="726.5", 'CASE DATA'!E143="726.6(4)", 'CASE DATA'!E143="726.6(5)", 'CASE DATA'!E143="726.6(6)", 'CASE DATA'!E143="726.6A", 'CASE DATA'!E143="726.7(2)", 'CASE DATA'!E143="726.8(2)", 'CASE DATA'!E143="728.12(1)", 'CASE DATA'!E143="728.12(2)"),"felony","eligible"),"N/A")</f>
        <v>N/A</v>
      </c>
      <c r="M142" s="185" t="str">
        <f>IF(L142="eligible",IF(OR('CASE DATA'!E143="123.46",'CASE DATA'!E143="123.47",'CASE DATA'!E143="235B.20",'CASE DATA'!E143="321.218",'CASE DATA'!E143="321A.32",'CASE DATA'!E143="321J.21",'CASE DATA'!E143="321J.2",'CASE DATA'!E143="707.5",'CASE DATA'!E143="708.2(3)",'CASE DATA'!E143="708.2A",'CASE DATA'!E143="708.7",'CASE DATA'!E143="708.11",'CASE DATA'!E143="708.12",'CASE DATA'!E143="716.8(3)",'CASE DATA'!E143="716.8(4)", LEFT('CASE DATA'!E143,4)="717C", LEFT('CASE DATA'!E143, 3)="719", LEFT('CASE DATA'!E143,3)="720", 'CASE DATA'!E143="721.2", 'CASE DATA'!E143="721.10", 'CASE DATA'!E143="723.1", LEFT('CASE DATA'!E143,3)="724", LEFT('CASE DATA'!E143,3)="726", LEFT('CASE DATA'!E143,3)="728", LEFT('CASE DATA'!E143,4)="901A"),"ineligible misd", "eligible"),"N/A")</f>
        <v>N/A</v>
      </c>
      <c r="N142" s="185" t="str">
        <f>IF(L142="eligible",IF(COUNTIF('CASE DATA'!$C$4:$C$200, "")-COUNTIF('CASE DATA'!$A$4:$A$200, "")&gt;0, "YES","NO"),"N/A")</f>
        <v>N/A</v>
      </c>
      <c r="O142" s="185" t="str">
        <f xml:space="preserve"> IF(M142="eligible",'CASE DATA'!K143,"N/A")</f>
        <v>N/A</v>
      </c>
      <c r="P142" s="185" t="str">
        <f xml:space="preserve"> IF(M142="eligible",'CASE DATA'!I143+'CASE DATA'!J143+'CASE DATA'!L143+'CASE DATA'!M143+'CASE DATA'!N143+'CASE DATA'!O143+'CASE DATA'!M143+'CASE DATA'!Q143+'CASE DATA'!R143,"N/A")</f>
        <v>N/A</v>
      </c>
      <c r="Q142" s="11" t="str">
        <f>IF(M142="eligible",IF(C142+730.5&lt;'BASIC INFO'!$B$3, "YES", "NO"),"N/A")</f>
        <v>N/A</v>
      </c>
      <c r="R142" s="186" t="str">
        <f xml:space="preserve"> IF(OR('CASE DATA'!F143="DEF"), "YES", "NO")</f>
        <v>NO</v>
      </c>
      <c r="S142" s="162" t="str">
        <f>IF(R142="YES",'CASE DATA'!H143,"N/A")</f>
        <v>N/A</v>
      </c>
      <c r="T142" s="185" t="str">
        <f xml:space="preserve"> IF(R142="YES",'CASE DATA'!K143,"N/A")</f>
        <v>N/A</v>
      </c>
      <c r="U142" s="185" t="str">
        <f>IF(R142="YES",'CASE DATA'!I143+'CASE DATA'!J143+'CASE DATA'!L143+'CASE DATA'!M143+'CASE DATA'!N143+'CASE DATA'!O143+'CASE DATA'!P143+'CASE DATA'!Q143+'CASE DATA'!R143,"N/A")</f>
        <v>N/A</v>
      </c>
      <c r="V142" s="189" t="str">
        <f>IF(OR('CASE DATA'!E143="123.46",'CASE DATA'!E143="123.47"),"YES","NO")</f>
        <v>NO</v>
      </c>
      <c r="W142" s="189"/>
      <c r="X142" s="185" t="str">
        <f>IF(V142="YES",IF(C142+730.5&lt;'BASIC INFO'!$B$3, "YES","NO"), "N/A")</f>
        <v>N/A</v>
      </c>
      <c r="Y142" s="189" t="str">
        <f t="shared" si="2"/>
        <v>NO</v>
      </c>
      <c r="Z142" s="187" t="str">
        <f xml:space="preserve"> IF('BASIC INFO'!$B$6+6574.5&gt;C142, "YES", "NO")</f>
        <v>YES</v>
      </c>
    </row>
    <row r="143" spans="1:26" x14ac:dyDescent="0.25">
      <c r="A143" s="162">
        <f xml:space="preserve"> 'CASE DATA'!A144</f>
        <v>0</v>
      </c>
      <c r="B143" s="162">
        <f xml:space="preserve"> 'CASE DATA'!E144</f>
        <v>0</v>
      </c>
      <c r="C143" s="163">
        <f xml:space="preserve"> 'CASE DATA'!C144</f>
        <v>0</v>
      </c>
      <c r="D143" s="11" t="str">
        <f xml:space="preserve"> IF(OR('CASE DATA'!F144="JUV", 'CASE DATA'!F144="JWV"), "YES", "NO")</f>
        <v>NO</v>
      </c>
      <c r="E143" s="11"/>
      <c r="F143" s="11" t="str">
        <f>IF(D143="YES",IF(COUNTIF('CASE DATA'!$C$4:$C$200, "")-COUNTIF('CASE DATA'!$A$4:$A$200, "")&gt;0, "YES","NO"),"N/A")</f>
        <v>N/A</v>
      </c>
      <c r="G143" s="164" t="str">
        <f xml:space="preserve"> _xlfn.IFS(D143="NO", "N/A", AND('BASIC INFO'!$B$3&gt;'BASIC INFO'!$B$6+6574.5, C143+730.5&lt;'BASIC INFO'!$B$3), "YES", 'BASIC INFO'!$B$3&lt;('BASIC INFO'!$B$6+6574.5), "NOT YET 18", C143+730.5&gt;'BASIC INFO'!$B$3, "NOT YET 2 YEARS")</f>
        <v>N/A</v>
      </c>
      <c r="H143" s="186" t="str">
        <f xml:space="preserve"> IF(LEFT('CASE DATA'!E144,4)&lt;&gt;"321.",IF(OR('CASE DATA'!F144="DISM", 'CASE DATA'!F144="ACQ", 'CASE DATA'!F144="NOTF", 'CASE DATA'!F144="WTHD", 'CASE DATA'!F144="TNSF"), "YES", "NO"), "TRAFFIC")</f>
        <v>NO</v>
      </c>
      <c r="I143" s="185" t="str">
        <f xml:space="preserve"> IF(H143="YES",'CASE DATA'!K144,"N/A")</f>
        <v>N/A</v>
      </c>
      <c r="J143" s="185" t="str">
        <f>IF(H143="YES",'CASE DATA'!I144+'CASE DATA'!J144+'CASE DATA'!L144+'CASE DATA'!M144+'CASE DATA'!N144+'CASE DATA'!O144+'CASE DATA'!P144+'CASE DATA'!Q144+'CASE DATA'!R144,"N/A")</f>
        <v>N/A</v>
      </c>
      <c r="K143" s="162" t="str">
        <f xml:space="preserve"> IF(H143="YES",IF(C143+180&lt;'BASIC INFO'!$B$3, "YES", "NO"),"N/A")</f>
        <v>N/A</v>
      </c>
      <c r="L143" s="185" t="str">
        <f>IF(OR('CASE DATA'!F144="GTR", 'CASE DATA'!F144="GPL"),IF(OR('CASE DATA'!E144="81.6(2)", 'CASE DATA'!E144="99F.15(6)(b)(1)", 'CASE DATA'!E144= "124.401(1)(a)", 'CASE DATA'!E144= "124.401(1)(b)", 'CASE DATA'!E144= "124.401(1)(c)", 'CASE DATA'!E144= "124.401(1)(d)", 'CASE DATA'!E144="124.401(4)", 'CASE DATA'!E144="124.401(1)(b)", 'CASE DATA'!E144="124.401(1)(c)", 'CASE DATA'!E144="124.401D(2)(b)", 'CASE DATA'!E144="124.401D(2)(c)", 'CASE DATA'!E144="124.406(1)(a)", 'CASE DATA'!E144="124.406(1)(b) ", 'CASE DATA'!E144="124.406(2)(a)", 'CASE DATA'!E144="124.406(2)(b) ", 'CASE DATA'!E144="124.406(3)", 'CASE DATA'!E144="124.406A ", 'CASE DATA'!E144="124.407(2)(a)", 'CASE DATA'!E144="124B.9(1)", 'CASE DATA'!E144="124B.9(2)", 'CASE DATA'!E144="321J.2(2)(c)", 'CASE DATA'!E144="453B.12(2)", 'CASE DATA'!E144="453B.12(3)", 'CASE DATA'!E144="453B.12(4)", 'CASE DATA'!E144="462A.14(2)(c)", 'CASE DATA'!E144="462A.14(2)(d)", 'CASE DATA'!E144="462A.14(2)(e)", 'CASE DATA'!E144="705.1(2)", 'CASE DATA'!E144="706.3(1)", 'CASE DATA'!E144="706.3(2)", 'CASE DATA'!E144="706A.2(1)", 'CASE DATA'!E144="706A.2(2)", 'CASE DATA'!E144="706A.2(4)", 'CASE DATA'!E144="706B.2(1)(a)", 'CASE DATA'!E144="706B.2(1)(b)", 'CASE DATA'!E144="706B.2(1)(c)", 'CASE DATA'!E144="706B.2(1)(d)", 'CASE DATA'!E144="707.2", 'CASE DATA'!E144="707.3", 'CASE DATA'!E144="707.3A", 'CASE DATA'!E144="707.4", 'CASE DATA'!E144="707.5(1)(a)", 'CASE DATA'!E144="707.6A(1)", 'CASE DATA'!E144="707.6A(2)", 'CASE DATA'!E144="707.6A(3)", 'CASE DATA'!E144="707.6A(4)", 'CASE DATA'!E144="707.7(1)", 'CASE DATA'!E144="707.7(3)", 'CASE DATA'!E144="707.7(2)", 'CASE DATA'!E144="707.8(1)", 'CASE DATA'!E144="707.8(2)", 'CASE DATA'!E144="707.8(3)", 'CASE DATA'!E144="707.8(4)", 'CASE DATA'!E144="707.8(5)", 'CASE DATA'!E144="707.8(6)", 'CASE DATA'!E144="707.9", 'CASE DATA'!E144="707.11", 'CASE DATA'!E144="707A.2", 'CASE DATA'!E144="708.2(4)", 'CASE DATA'!E144="708.2(5)", 'CASE DATA'!E144="708.2A(4)", 'CASE DATA'!E144="708.2A(5)", 'CASE DATA'!E144="708.2C(2)", 'CASE DATA'!E144="708.2C(4)", 'CASE DATA'!E144="708.3(1)", 'CASE DATA'!E144="708.3(2)", 'CASE DATA'!E144="708.3A(1)", 'CASE DATA'!E144="708.3A(2)", 'CASE DATA'!E144="708.3B", 'CASE DATA'!E144="708.4(1)", 'CASE DATA'!E144="708.4(2)", 'CASE DATA'!E144="708.5", 'CASE DATA'!E144="708.8", 'CASE DATA'!E144="708.11(3)(a)", 'CASE DATA'!E144="708.11(3)(b)", 'CASE DATA'!E144="708.12(3)(f)", 'CASE DATA'!E144="708.13(3)", 'CASE DATA'!E144="708.14", 'CASE DATA'!E144="708A.2", 'CASE DATA'!E144="708A.4(1)", 'CASE DATA'!E144="708A.4(2)", 'CASE DATA'!E144="708A.5", 'CASE DATA'!E144="708A.6(1)", 'CASE DATA'!E144="708.A.6(2)", 'CASE DATA'!E144="709.2", 'CASE DATA'!E144="709.3", 'CASE DATA'!E144="709.4", 'CASE DATA'!E144="709.8(1)(a)", 'CASE DATA'!E144="709.8(1)(b)", 'CASE DATA'!E144="709.8(1)(c)", 'CASE DATA'!E144="709.8(1)(d)", 'CASE DATA'!E144="709.8(1)(e)", 'CASE DATA'!E144="709.11(1)", 'CASE DATA'!E144="709.11(2)", 'CASE DATA'!E144="709.15(2)(a)(1)", 'CASE DATA'!E144="709.15(3)(a)(1)", 'CASE DATA'!E144="709.18", 'CASE DATA'!E144="709A.6(2)", 'CASE DATA'!E144="709D.3(1)", 'CASE DATA'!E144="709D.3(2)", 'CASE DATA'!E144="709.D.3(3)", 'CASE DATA'!E144="710.2", 'CASE DATA'!E144="710.3", 'CASE DATA'!E144="710.4", 'CASE DATA'!E144="710.5", 'CASE DATA'!E144="710.10(1)", 'CASE DATA'!E144="710.10(2)", 'CASE DATA'!E144="710.10(3)", 'CASE DATA'!E144="710.11", 'CASE DATA'!E144="710A.2(1)", 'CASE DATA'!E144="710A.2(2)", 'CASE DATA'!E144="710A.2(3)", 'CASE DATA'!E144="710A.2(4)", 'CASE DATA'!E144="710A.2(5)", 'CASE DATA'!E144="710A.2(6)", 'CASE DATA'!E144="710A.2(7)", 'CASE DATA'!E144="710A.2A", 'CASE DATA'!E144="711.2", 'CASE DATA'!E144="711.3", 'CASE DATA'!E144="711.4", 'CASE DATA'!E144="712.2", 'CASE DATA'!E144="712.3", 'CASE DATA'!E144="712.6(1)", 'CASE DATA'!E144="712.7", 'CASE DATA'!E144="712.8", 'CASE DATA'!E144="", 'CASE DATA'!E144="713.3", 'CASE DATA'!E144="713.4", 'CASE DATA'!E144="713.5", 'CASE DATA'!E144="713.6", 'CASE DATA'!E144="713.6A(1)", 'CASE DATA'!E144="714.2(1)", 'CASE DATA'!E144="714.2(2)", 'CASE DATA'!E144="714.3A(2)(b)", 'CASE DATA'!E144="714.9", 'CASE DATA'!E144="714.10", 'CASE DATA'!E144="714.26(2)(a)", 'CASE DATA'!E144="714.26(2)(b)", 'CASE DATA'!E144="715A.2(2)(a)", 'CASE DATA'!E144="715A.6(2)(a)", 'CASE DATA'!E144="715A.6(2)(b)", 'CASE DATA'!E144="715A.8(3)(a)", 'CASE DATA'!E144="715A.8(3)(b)", 'CASE DATA'!E144="715A.10(1)", 'CASE DATA'!E144="715A.10(2)", 'CASE DATA'!E144="716.3", 'CASE DATA'!E144="716.4", 'CASE DATA'!E144="716.8(6)", 'CASE DATA'!E144="716.10(2)(a)", 'CASE DATA'!E144="716.10(2)(b)", 'CASE DATA'!E144="716.10(2)(c)", 'CASE DATA'!E144="716.10(2)(d)", 'CASE DATA'!E144="716.12", 'CASE DATA'!E144="719.1(1)(f)", 'CASE DATA'!E144="719.1(2)(e)", 'CASE DATA'!E144="719.1(2)(f)", 'CASE DATA'!E144="719.1(2)(g)", 'CASE DATA'!E144="719.4(1)", 'CASE DATA'!E144="719.4(4)", 'CASE DATA'!E144="719.5(1)", 'CASE DATA'!E144="719.5(2)", 'CASE DATA'!E144="719.6(1)", 'CASE DATA'!E144="719.6(2)", 'CASE DATA'!E144="719.7(4)(a)", 'CASE DATA'!E144="719.7(4)(b)", 'CASE DATA'!E144="719.7A(3)", 'CASE DATA'!E144="719.9", 'CASE DATA'!E144="719.8", 'CASE DATA'!E144="720.2", 'CASE DATA'!E144="720.3", 'CASE DATA'!E144="721.1", 'CASE DATA'!E144="722.1", 'CASE DATA'!E144="", 'CASE DATA'!E144="722.2", 'CASE DATA'!E144="722.10", 'CASE DATA'!E144="723(5)(3)(c)", 'CASE DATA'!E144="723A.2", 'CASE DATA'!E144="723A.3(1)", 'CASE DATA'!E144="723A.3(2)", 'CASE DATA'!E144="724.1B", 'CASE DATA'!E144="724.1C", 'CASE DATA'!E144="724.3", 'CASE DATA'!E144="724.4B", 'CASE DATA'!E144="724.10", 'CASE DATA'!E144="724.16(2)", 'CASE DATA'!E144="724.16A(1)(a)", 'CASE DATA'!E144="724.16A(1)(b)", 'CASE DATA'!E144="724.17", 'CASE DATA'!E144="724.21", 'CASE DATA'!E144="724.26(1)", 'CASE DATA'!E144="922(g)(8)", 'CASE DATA'!E144="724.29A(2)", 'CASE DATA'!E144="724.29A(3)", 'CASE DATA'!E144="724.30(1)", 'CASE DATA'!E144="724.30(2)", 'CASE DATA'!E144="725.1(2)(b)", 'CASE DATA'!E144="725.2(1)", 'CASE DATA'!E144="725.2(2)", 'CASE DATA'!E144="725.3(2)", 'CASE DATA'!E144="725.3(1)", 'CASE DATA'!E144="725.7(2)(a)(3)", 'CASE DATA'!E144="725.7(2)(a)(4)", 'CASE DATA'!E144="725.7(2)(b)(2)", 'CASE DATA'!E144="725.7(2)(b(3)", 'CASE DATA'!E144="726.7(2)(c)(1)", 'CASE DATA'!E144="726.7(2)(c)(2)", 'CASE DATA'!E144="725.7(2)(d)", 'CASE DATA'!E144="726.2", 'CASE DATA'!E144="726.3", 'CASE DATA'!E144="726.5", 'CASE DATA'!E144="726.6(4)", 'CASE DATA'!E144="726.6(5)", 'CASE DATA'!E144="726.6(6)", 'CASE DATA'!E144="726.6A", 'CASE DATA'!E144="726.7(2)", 'CASE DATA'!E144="726.8(2)", 'CASE DATA'!E144="728.12(1)", 'CASE DATA'!E144="728.12(2)"),"felony","eligible"),"N/A")</f>
        <v>N/A</v>
      </c>
      <c r="M143" s="185" t="str">
        <f>IF(L143="eligible",IF(OR('CASE DATA'!E144="123.46",'CASE DATA'!E144="123.47",'CASE DATA'!E144="235B.20",'CASE DATA'!E144="321.218",'CASE DATA'!E144="321A.32",'CASE DATA'!E144="321J.21",'CASE DATA'!E144="321J.2",'CASE DATA'!E144="707.5",'CASE DATA'!E144="708.2(3)",'CASE DATA'!E144="708.2A",'CASE DATA'!E144="708.7",'CASE DATA'!E144="708.11",'CASE DATA'!E144="708.12",'CASE DATA'!E144="716.8(3)",'CASE DATA'!E144="716.8(4)", LEFT('CASE DATA'!E144,4)="717C", LEFT('CASE DATA'!E144, 3)="719", LEFT('CASE DATA'!E144,3)="720", 'CASE DATA'!E144="721.2", 'CASE DATA'!E144="721.10", 'CASE DATA'!E144="723.1", LEFT('CASE DATA'!E144,3)="724", LEFT('CASE DATA'!E144,3)="726", LEFT('CASE DATA'!E144,3)="728", LEFT('CASE DATA'!E144,4)="901A"),"ineligible misd", "eligible"),"N/A")</f>
        <v>N/A</v>
      </c>
      <c r="N143" s="185" t="str">
        <f>IF(L143="eligible",IF(COUNTIF('CASE DATA'!$C$4:$C$200, "")-COUNTIF('CASE DATA'!$A$4:$A$200, "")&gt;0, "YES","NO"),"N/A")</f>
        <v>N/A</v>
      </c>
      <c r="O143" s="185" t="str">
        <f xml:space="preserve"> IF(M143="eligible",'CASE DATA'!K144,"N/A")</f>
        <v>N/A</v>
      </c>
      <c r="P143" s="185" t="str">
        <f xml:space="preserve"> IF(M143="eligible",'CASE DATA'!I144+'CASE DATA'!J144+'CASE DATA'!L144+'CASE DATA'!M144+'CASE DATA'!N144+'CASE DATA'!O144+'CASE DATA'!M144+'CASE DATA'!Q144+'CASE DATA'!R144,"N/A")</f>
        <v>N/A</v>
      </c>
      <c r="Q143" s="11" t="str">
        <f>IF(M143="eligible",IF(C143+730.5&lt;'BASIC INFO'!$B$3, "YES", "NO"),"N/A")</f>
        <v>N/A</v>
      </c>
      <c r="R143" s="186" t="str">
        <f xml:space="preserve"> IF(OR('CASE DATA'!F144="DEF"), "YES", "NO")</f>
        <v>NO</v>
      </c>
      <c r="S143" s="162" t="str">
        <f>IF(R143="YES",'CASE DATA'!H144,"N/A")</f>
        <v>N/A</v>
      </c>
      <c r="T143" s="185" t="str">
        <f xml:space="preserve"> IF(R143="YES",'CASE DATA'!K144,"N/A")</f>
        <v>N/A</v>
      </c>
      <c r="U143" s="185" t="str">
        <f>IF(R143="YES",'CASE DATA'!I144+'CASE DATA'!J144+'CASE DATA'!L144+'CASE DATA'!M144+'CASE DATA'!N144+'CASE DATA'!O144+'CASE DATA'!P144+'CASE DATA'!Q144+'CASE DATA'!R144,"N/A")</f>
        <v>N/A</v>
      </c>
      <c r="V143" s="189" t="str">
        <f>IF(OR('CASE DATA'!E144="123.46",'CASE DATA'!E144="123.47"),"YES","NO")</f>
        <v>NO</v>
      </c>
      <c r="W143" s="189"/>
      <c r="X143" s="185" t="str">
        <f>IF(V143="YES",IF(C143+730.5&lt;'BASIC INFO'!$B$3, "YES","NO"), "N/A")</f>
        <v>N/A</v>
      </c>
      <c r="Y143" s="189" t="str">
        <f t="shared" si="2"/>
        <v>NO</v>
      </c>
      <c r="Z143" s="187" t="str">
        <f xml:space="preserve"> IF('BASIC INFO'!$B$6+6574.5&gt;C143, "YES", "NO")</f>
        <v>YES</v>
      </c>
    </row>
    <row r="144" spans="1:26" x14ac:dyDescent="0.25">
      <c r="A144" s="162">
        <f xml:space="preserve"> 'CASE DATA'!A145</f>
        <v>0</v>
      </c>
      <c r="B144" s="162">
        <f xml:space="preserve"> 'CASE DATA'!E145</f>
        <v>0</v>
      </c>
      <c r="C144" s="163">
        <f xml:space="preserve"> 'CASE DATA'!C145</f>
        <v>0</v>
      </c>
      <c r="D144" s="11" t="str">
        <f xml:space="preserve"> IF(OR('CASE DATA'!F145="JUV", 'CASE DATA'!F145="JWV"), "YES", "NO")</f>
        <v>NO</v>
      </c>
      <c r="E144" s="11"/>
      <c r="F144" s="11" t="str">
        <f>IF(D144="YES",IF(COUNTIF('CASE DATA'!$C$4:$C$200, "")-COUNTIF('CASE DATA'!$A$4:$A$200, "")&gt;0, "YES","NO"),"N/A")</f>
        <v>N/A</v>
      </c>
      <c r="G144" s="164" t="str">
        <f xml:space="preserve"> _xlfn.IFS(D144="NO", "N/A", AND('BASIC INFO'!$B$3&gt;'BASIC INFO'!$B$6+6574.5, C144+730.5&lt;'BASIC INFO'!$B$3), "YES", 'BASIC INFO'!$B$3&lt;('BASIC INFO'!$B$6+6574.5), "NOT YET 18", C144+730.5&gt;'BASIC INFO'!$B$3, "NOT YET 2 YEARS")</f>
        <v>N/A</v>
      </c>
      <c r="H144" s="186" t="str">
        <f xml:space="preserve"> IF(LEFT('CASE DATA'!E145,4)&lt;&gt;"321.",IF(OR('CASE DATA'!F145="DISM", 'CASE DATA'!F145="ACQ", 'CASE DATA'!F145="NOTF", 'CASE DATA'!F145="WTHD", 'CASE DATA'!F145="TNSF"), "YES", "NO"), "TRAFFIC")</f>
        <v>NO</v>
      </c>
      <c r="I144" s="185" t="str">
        <f xml:space="preserve"> IF(H144="YES",'CASE DATA'!K145,"N/A")</f>
        <v>N/A</v>
      </c>
      <c r="J144" s="185" t="str">
        <f>IF(H144="YES",'CASE DATA'!I145+'CASE DATA'!J145+'CASE DATA'!L145+'CASE DATA'!M145+'CASE DATA'!N145+'CASE DATA'!O145+'CASE DATA'!P145+'CASE DATA'!Q145+'CASE DATA'!R145,"N/A")</f>
        <v>N/A</v>
      </c>
      <c r="K144" s="162" t="str">
        <f xml:space="preserve"> IF(H144="YES",IF(C144+180&lt;'BASIC INFO'!$B$3, "YES", "NO"),"N/A")</f>
        <v>N/A</v>
      </c>
      <c r="L144" s="185" t="str">
        <f>IF(OR('CASE DATA'!F145="GTR", 'CASE DATA'!F145="GPL"),IF(OR('CASE DATA'!E145="81.6(2)", 'CASE DATA'!E145="99F.15(6)(b)(1)", 'CASE DATA'!E145= "124.401(1)(a)", 'CASE DATA'!E145= "124.401(1)(b)", 'CASE DATA'!E145= "124.401(1)(c)", 'CASE DATA'!E145= "124.401(1)(d)", 'CASE DATA'!E145="124.401(4)", 'CASE DATA'!E145="124.401(1)(b)", 'CASE DATA'!E145="124.401(1)(c)", 'CASE DATA'!E145="124.401D(2)(b)", 'CASE DATA'!E145="124.401D(2)(c)", 'CASE DATA'!E145="124.406(1)(a)", 'CASE DATA'!E145="124.406(1)(b) ", 'CASE DATA'!E145="124.406(2)(a)", 'CASE DATA'!E145="124.406(2)(b) ", 'CASE DATA'!E145="124.406(3)", 'CASE DATA'!E145="124.406A ", 'CASE DATA'!E145="124.407(2)(a)", 'CASE DATA'!E145="124B.9(1)", 'CASE DATA'!E145="124B.9(2)", 'CASE DATA'!E145="321J.2(2)(c)", 'CASE DATA'!E145="453B.12(2)", 'CASE DATA'!E145="453B.12(3)", 'CASE DATA'!E145="453B.12(4)", 'CASE DATA'!E145="462A.14(2)(c)", 'CASE DATA'!E145="462A.14(2)(d)", 'CASE DATA'!E145="462A.14(2)(e)", 'CASE DATA'!E145="705.1(2)", 'CASE DATA'!E145="706.3(1)", 'CASE DATA'!E145="706.3(2)", 'CASE DATA'!E145="706A.2(1)", 'CASE DATA'!E145="706A.2(2)", 'CASE DATA'!E145="706A.2(4)", 'CASE DATA'!E145="706B.2(1)(a)", 'CASE DATA'!E145="706B.2(1)(b)", 'CASE DATA'!E145="706B.2(1)(c)", 'CASE DATA'!E145="706B.2(1)(d)", 'CASE DATA'!E145="707.2", 'CASE DATA'!E145="707.3", 'CASE DATA'!E145="707.3A", 'CASE DATA'!E145="707.4", 'CASE DATA'!E145="707.5(1)(a)", 'CASE DATA'!E145="707.6A(1)", 'CASE DATA'!E145="707.6A(2)", 'CASE DATA'!E145="707.6A(3)", 'CASE DATA'!E145="707.6A(4)", 'CASE DATA'!E145="707.7(1)", 'CASE DATA'!E145="707.7(3)", 'CASE DATA'!E145="707.7(2)", 'CASE DATA'!E145="707.8(1)", 'CASE DATA'!E145="707.8(2)", 'CASE DATA'!E145="707.8(3)", 'CASE DATA'!E145="707.8(4)", 'CASE DATA'!E145="707.8(5)", 'CASE DATA'!E145="707.8(6)", 'CASE DATA'!E145="707.9", 'CASE DATA'!E145="707.11", 'CASE DATA'!E145="707A.2", 'CASE DATA'!E145="708.2(4)", 'CASE DATA'!E145="708.2(5)", 'CASE DATA'!E145="708.2A(4)", 'CASE DATA'!E145="708.2A(5)", 'CASE DATA'!E145="708.2C(2)", 'CASE DATA'!E145="708.2C(4)", 'CASE DATA'!E145="708.3(1)", 'CASE DATA'!E145="708.3(2)", 'CASE DATA'!E145="708.3A(1)", 'CASE DATA'!E145="708.3A(2)", 'CASE DATA'!E145="708.3B", 'CASE DATA'!E145="708.4(1)", 'CASE DATA'!E145="708.4(2)", 'CASE DATA'!E145="708.5", 'CASE DATA'!E145="708.8", 'CASE DATA'!E145="708.11(3)(a)", 'CASE DATA'!E145="708.11(3)(b)", 'CASE DATA'!E145="708.12(3)(f)", 'CASE DATA'!E145="708.13(3)", 'CASE DATA'!E145="708.14", 'CASE DATA'!E145="708A.2", 'CASE DATA'!E145="708A.4(1)", 'CASE DATA'!E145="708A.4(2)", 'CASE DATA'!E145="708A.5", 'CASE DATA'!E145="708A.6(1)", 'CASE DATA'!E145="708.A.6(2)", 'CASE DATA'!E145="709.2", 'CASE DATA'!E145="709.3", 'CASE DATA'!E145="709.4", 'CASE DATA'!E145="709.8(1)(a)", 'CASE DATA'!E145="709.8(1)(b)", 'CASE DATA'!E145="709.8(1)(c)", 'CASE DATA'!E145="709.8(1)(d)", 'CASE DATA'!E145="709.8(1)(e)", 'CASE DATA'!E145="709.11(1)", 'CASE DATA'!E145="709.11(2)", 'CASE DATA'!E145="709.15(2)(a)(1)", 'CASE DATA'!E145="709.15(3)(a)(1)", 'CASE DATA'!E145="709.18", 'CASE DATA'!E145="709A.6(2)", 'CASE DATA'!E145="709D.3(1)", 'CASE DATA'!E145="709D.3(2)", 'CASE DATA'!E145="709.D.3(3)", 'CASE DATA'!E145="710.2", 'CASE DATA'!E145="710.3", 'CASE DATA'!E145="710.4", 'CASE DATA'!E145="710.5", 'CASE DATA'!E145="710.10(1)", 'CASE DATA'!E145="710.10(2)", 'CASE DATA'!E145="710.10(3)", 'CASE DATA'!E145="710.11", 'CASE DATA'!E145="710A.2(1)", 'CASE DATA'!E145="710A.2(2)", 'CASE DATA'!E145="710A.2(3)", 'CASE DATA'!E145="710A.2(4)", 'CASE DATA'!E145="710A.2(5)", 'CASE DATA'!E145="710A.2(6)", 'CASE DATA'!E145="710A.2(7)", 'CASE DATA'!E145="710A.2A", 'CASE DATA'!E145="711.2", 'CASE DATA'!E145="711.3", 'CASE DATA'!E145="711.4", 'CASE DATA'!E145="712.2", 'CASE DATA'!E145="712.3", 'CASE DATA'!E145="712.6(1)", 'CASE DATA'!E145="712.7", 'CASE DATA'!E145="712.8", 'CASE DATA'!E145="", 'CASE DATA'!E145="713.3", 'CASE DATA'!E145="713.4", 'CASE DATA'!E145="713.5", 'CASE DATA'!E145="713.6", 'CASE DATA'!E145="713.6A(1)", 'CASE DATA'!E145="714.2(1)", 'CASE DATA'!E145="714.2(2)", 'CASE DATA'!E145="714.3A(2)(b)", 'CASE DATA'!E145="714.9", 'CASE DATA'!E145="714.10", 'CASE DATA'!E145="714.26(2)(a)", 'CASE DATA'!E145="714.26(2)(b)", 'CASE DATA'!E145="715A.2(2)(a)", 'CASE DATA'!E145="715A.6(2)(a)", 'CASE DATA'!E145="715A.6(2)(b)", 'CASE DATA'!E145="715A.8(3)(a)", 'CASE DATA'!E145="715A.8(3)(b)", 'CASE DATA'!E145="715A.10(1)", 'CASE DATA'!E145="715A.10(2)", 'CASE DATA'!E145="716.3", 'CASE DATA'!E145="716.4", 'CASE DATA'!E145="716.8(6)", 'CASE DATA'!E145="716.10(2)(a)", 'CASE DATA'!E145="716.10(2)(b)", 'CASE DATA'!E145="716.10(2)(c)", 'CASE DATA'!E145="716.10(2)(d)", 'CASE DATA'!E145="716.12", 'CASE DATA'!E145="719.1(1)(f)", 'CASE DATA'!E145="719.1(2)(e)", 'CASE DATA'!E145="719.1(2)(f)", 'CASE DATA'!E145="719.1(2)(g)", 'CASE DATA'!E145="719.4(1)", 'CASE DATA'!E145="719.4(4)", 'CASE DATA'!E145="719.5(1)", 'CASE DATA'!E145="719.5(2)", 'CASE DATA'!E145="719.6(1)", 'CASE DATA'!E145="719.6(2)", 'CASE DATA'!E145="719.7(4)(a)", 'CASE DATA'!E145="719.7(4)(b)", 'CASE DATA'!E145="719.7A(3)", 'CASE DATA'!E145="719.9", 'CASE DATA'!E145="719.8", 'CASE DATA'!E145="720.2", 'CASE DATA'!E145="720.3", 'CASE DATA'!E145="721.1", 'CASE DATA'!E145="722.1", 'CASE DATA'!E145="", 'CASE DATA'!E145="722.2", 'CASE DATA'!E145="722.10", 'CASE DATA'!E145="723(5)(3)(c)", 'CASE DATA'!E145="723A.2", 'CASE DATA'!E145="723A.3(1)", 'CASE DATA'!E145="723A.3(2)", 'CASE DATA'!E145="724.1B", 'CASE DATA'!E145="724.1C", 'CASE DATA'!E145="724.3", 'CASE DATA'!E145="724.4B", 'CASE DATA'!E145="724.10", 'CASE DATA'!E145="724.16(2)", 'CASE DATA'!E145="724.16A(1)(a)", 'CASE DATA'!E145="724.16A(1)(b)", 'CASE DATA'!E145="724.17", 'CASE DATA'!E145="724.21", 'CASE DATA'!E145="724.26(1)", 'CASE DATA'!E145="922(g)(8)", 'CASE DATA'!E145="724.29A(2)", 'CASE DATA'!E145="724.29A(3)", 'CASE DATA'!E145="724.30(1)", 'CASE DATA'!E145="724.30(2)", 'CASE DATA'!E145="725.1(2)(b)", 'CASE DATA'!E145="725.2(1)", 'CASE DATA'!E145="725.2(2)", 'CASE DATA'!E145="725.3(2)", 'CASE DATA'!E145="725.3(1)", 'CASE DATA'!E145="725.7(2)(a)(3)", 'CASE DATA'!E145="725.7(2)(a)(4)", 'CASE DATA'!E145="725.7(2)(b)(2)", 'CASE DATA'!E145="725.7(2)(b(3)", 'CASE DATA'!E145="726.7(2)(c)(1)", 'CASE DATA'!E145="726.7(2)(c)(2)", 'CASE DATA'!E145="725.7(2)(d)", 'CASE DATA'!E145="726.2", 'CASE DATA'!E145="726.3", 'CASE DATA'!E145="726.5", 'CASE DATA'!E145="726.6(4)", 'CASE DATA'!E145="726.6(5)", 'CASE DATA'!E145="726.6(6)", 'CASE DATA'!E145="726.6A", 'CASE DATA'!E145="726.7(2)", 'CASE DATA'!E145="726.8(2)", 'CASE DATA'!E145="728.12(1)", 'CASE DATA'!E145="728.12(2)"),"felony","eligible"),"N/A")</f>
        <v>N/A</v>
      </c>
      <c r="M144" s="185" t="str">
        <f>IF(L144="eligible",IF(OR('CASE DATA'!E145="123.46",'CASE DATA'!E145="123.47",'CASE DATA'!E145="235B.20",'CASE DATA'!E145="321.218",'CASE DATA'!E145="321A.32",'CASE DATA'!E145="321J.21",'CASE DATA'!E145="321J.2",'CASE DATA'!E145="707.5",'CASE DATA'!E145="708.2(3)",'CASE DATA'!E145="708.2A",'CASE DATA'!E145="708.7",'CASE DATA'!E145="708.11",'CASE DATA'!E145="708.12",'CASE DATA'!E145="716.8(3)",'CASE DATA'!E145="716.8(4)", LEFT('CASE DATA'!E145,4)="717C", LEFT('CASE DATA'!E145, 3)="719", LEFT('CASE DATA'!E145,3)="720", 'CASE DATA'!E145="721.2", 'CASE DATA'!E145="721.10", 'CASE DATA'!E145="723.1", LEFT('CASE DATA'!E145,3)="724", LEFT('CASE DATA'!E145,3)="726", LEFT('CASE DATA'!E145,3)="728", LEFT('CASE DATA'!E145,4)="901A"),"ineligible misd", "eligible"),"N/A")</f>
        <v>N/A</v>
      </c>
      <c r="N144" s="185" t="str">
        <f>IF(L144="eligible",IF(COUNTIF('CASE DATA'!$C$4:$C$200, "")-COUNTIF('CASE DATA'!$A$4:$A$200, "")&gt;0, "YES","NO"),"N/A")</f>
        <v>N/A</v>
      </c>
      <c r="O144" s="185" t="str">
        <f xml:space="preserve"> IF(M144="eligible",'CASE DATA'!K145,"N/A")</f>
        <v>N/A</v>
      </c>
      <c r="P144" s="185" t="str">
        <f xml:space="preserve"> IF(M144="eligible",'CASE DATA'!I145+'CASE DATA'!J145+'CASE DATA'!L145+'CASE DATA'!M145+'CASE DATA'!N145+'CASE DATA'!O145+'CASE DATA'!M145+'CASE DATA'!Q145+'CASE DATA'!R145,"N/A")</f>
        <v>N/A</v>
      </c>
      <c r="Q144" s="11" t="str">
        <f>IF(M144="eligible",IF(C144+730.5&lt;'BASIC INFO'!$B$3, "YES", "NO"),"N/A")</f>
        <v>N/A</v>
      </c>
      <c r="R144" s="186" t="str">
        <f xml:space="preserve"> IF(OR('CASE DATA'!F145="DEF"), "YES", "NO")</f>
        <v>NO</v>
      </c>
      <c r="S144" s="162" t="str">
        <f>IF(R144="YES",'CASE DATA'!H145,"N/A")</f>
        <v>N/A</v>
      </c>
      <c r="T144" s="185" t="str">
        <f xml:space="preserve"> IF(R144="YES",'CASE DATA'!K145,"N/A")</f>
        <v>N/A</v>
      </c>
      <c r="U144" s="185" t="str">
        <f>IF(R144="YES",'CASE DATA'!I145+'CASE DATA'!J145+'CASE DATA'!L145+'CASE DATA'!M145+'CASE DATA'!N145+'CASE DATA'!O145+'CASE DATA'!P145+'CASE DATA'!Q145+'CASE DATA'!R145,"N/A")</f>
        <v>N/A</v>
      </c>
      <c r="V144" s="189" t="str">
        <f>IF(OR('CASE DATA'!E145="123.46",'CASE DATA'!E145="123.47"),"YES","NO")</f>
        <v>NO</v>
      </c>
      <c r="W144" s="189"/>
      <c r="X144" s="185" t="str">
        <f>IF(V144="YES",IF(C144+730.5&lt;'BASIC INFO'!$B$3, "YES","NO"), "N/A")</f>
        <v>N/A</v>
      </c>
      <c r="Y144" s="189" t="str">
        <f t="shared" si="2"/>
        <v>NO</v>
      </c>
      <c r="Z144" s="187" t="str">
        <f xml:space="preserve"> IF('BASIC INFO'!$B$6+6574.5&gt;C144, "YES", "NO")</f>
        <v>YES</v>
      </c>
    </row>
    <row r="145" spans="1:26" x14ac:dyDescent="0.25">
      <c r="A145" s="162">
        <f xml:space="preserve"> 'CASE DATA'!A146</f>
        <v>0</v>
      </c>
      <c r="B145" s="162">
        <f xml:space="preserve"> 'CASE DATA'!E146</f>
        <v>0</v>
      </c>
      <c r="C145" s="163">
        <f xml:space="preserve"> 'CASE DATA'!C146</f>
        <v>0</v>
      </c>
      <c r="D145" s="11" t="str">
        <f xml:space="preserve"> IF(OR('CASE DATA'!F146="JUV", 'CASE DATA'!F146="JWV"), "YES", "NO")</f>
        <v>NO</v>
      </c>
      <c r="E145" s="11"/>
      <c r="F145" s="11" t="str">
        <f>IF(D145="YES",IF(COUNTIF('CASE DATA'!$C$4:$C$200, "")-COUNTIF('CASE DATA'!$A$4:$A$200, "")&gt;0, "YES","NO"),"N/A")</f>
        <v>N/A</v>
      </c>
      <c r="G145" s="164" t="str">
        <f xml:space="preserve"> _xlfn.IFS(D145="NO", "N/A", AND('BASIC INFO'!$B$3&gt;'BASIC INFO'!$B$6+6574.5, C145+730.5&lt;'BASIC INFO'!$B$3), "YES", 'BASIC INFO'!$B$3&lt;('BASIC INFO'!$B$6+6574.5), "NOT YET 18", C145+730.5&gt;'BASIC INFO'!$B$3, "NOT YET 2 YEARS")</f>
        <v>N/A</v>
      </c>
      <c r="H145" s="186" t="str">
        <f xml:space="preserve"> IF(LEFT('CASE DATA'!E146,4)&lt;&gt;"321.",IF(OR('CASE DATA'!F146="DISM", 'CASE DATA'!F146="ACQ", 'CASE DATA'!F146="NOTF", 'CASE DATA'!F146="WTHD", 'CASE DATA'!F146="TNSF"), "YES", "NO"), "TRAFFIC")</f>
        <v>NO</v>
      </c>
      <c r="I145" s="185" t="str">
        <f xml:space="preserve"> IF(H145="YES",'CASE DATA'!K146,"N/A")</f>
        <v>N/A</v>
      </c>
      <c r="J145" s="185" t="str">
        <f>IF(H145="YES",'CASE DATA'!I146+'CASE DATA'!J146+'CASE DATA'!L146+'CASE DATA'!M146+'CASE DATA'!N146+'CASE DATA'!O146+'CASE DATA'!P146+'CASE DATA'!Q146+'CASE DATA'!R146,"N/A")</f>
        <v>N/A</v>
      </c>
      <c r="K145" s="162" t="str">
        <f xml:space="preserve"> IF(H145="YES",IF(C145+180&lt;'BASIC INFO'!$B$3, "YES", "NO"),"N/A")</f>
        <v>N/A</v>
      </c>
      <c r="L145" s="185" t="str">
        <f>IF(OR('CASE DATA'!F146="GTR", 'CASE DATA'!F146="GPL"),IF(OR('CASE DATA'!E146="81.6(2)", 'CASE DATA'!E146="99F.15(6)(b)(1)", 'CASE DATA'!E146= "124.401(1)(a)", 'CASE DATA'!E146= "124.401(1)(b)", 'CASE DATA'!E146= "124.401(1)(c)", 'CASE DATA'!E146= "124.401(1)(d)", 'CASE DATA'!E146="124.401(4)", 'CASE DATA'!E146="124.401(1)(b)", 'CASE DATA'!E146="124.401(1)(c)", 'CASE DATA'!E146="124.401D(2)(b)", 'CASE DATA'!E146="124.401D(2)(c)", 'CASE DATA'!E146="124.406(1)(a)", 'CASE DATA'!E146="124.406(1)(b) ", 'CASE DATA'!E146="124.406(2)(a)", 'CASE DATA'!E146="124.406(2)(b) ", 'CASE DATA'!E146="124.406(3)", 'CASE DATA'!E146="124.406A ", 'CASE DATA'!E146="124.407(2)(a)", 'CASE DATA'!E146="124B.9(1)", 'CASE DATA'!E146="124B.9(2)", 'CASE DATA'!E146="321J.2(2)(c)", 'CASE DATA'!E146="453B.12(2)", 'CASE DATA'!E146="453B.12(3)", 'CASE DATA'!E146="453B.12(4)", 'CASE DATA'!E146="462A.14(2)(c)", 'CASE DATA'!E146="462A.14(2)(d)", 'CASE DATA'!E146="462A.14(2)(e)", 'CASE DATA'!E146="705.1(2)", 'CASE DATA'!E146="706.3(1)", 'CASE DATA'!E146="706.3(2)", 'CASE DATA'!E146="706A.2(1)", 'CASE DATA'!E146="706A.2(2)", 'CASE DATA'!E146="706A.2(4)", 'CASE DATA'!E146="706B.2(1)(a)", 'CASE DATA'!E146="706B.2(1)(b)", 'CASE DATA'!E146="706B.2(1)(c)", 'CASE DATA'!E146="706B.2(1)(d)", 'CASE DATA'!E146="707.2", 'CASE DATA'!E146="707.3", 'CASE DATA'!E146="707.3A", 'CASE DATA'!E146="707.4", 'CASE DATA'!E146="707.5(1)(a)", 'CASE DATA'!E146="707.6A(1)", 'CASE DATA'!E146="707.6A(2)", 'CASE DATA'!E146="707.6A(3)", 'CASE DATA'!E146="707.6A(4)", 'CASE DATA'!E146="707.7(1)", 'CASE DATA'!E146="707.7(3)", 'CASE DATA'!E146="707.7(2)", 'CASE DATA'!E146="707.8(1)", 'CASE DATA'!E146="707.8(2)", 'CASE DATA'!E146="707.8(3)", 'CASE DATA'!E146="707.8(4)", 'CASE DATA'!E146="707.8(5)", 'CASE DATA'!E146="707.8(6)", 'CASE DATA'!E146="707.9", 'CASE DATA'!E146="707.11", 'CASE DATA'!E146="707A.2", 'CASE DATA'!E146="708.2(4)", 'CASE DATA'!E146="708.2(5)", 'CASE DATA'!E146="708.2A(4)", 'CASE DATA'!E146="708.2A(5)", 'CASE DATA'!E146="708.2C(2)", 'CASE DATA'!E146="708.2C(4)", 'CASE DATA'!E146="708.3(1)", 'CASE DATA'!E146="708.3(2)", 'CASE DATA'!E146="708.3A(1)", 'CASE DATA'!E146="708.3A(2)", 'CASE DATA'!E146="708.3B", 'CASE DATA'!E146="708.4(1)", 'CASE DATA'!E146="708.4(2)", 'CASE DATA'!E146="708.5", 'CASE DATA'!E146="708.8", 'CASE DATA'!E146="708.11(3)(a)", 'CASE DATA'!E146="708.11(3)(b)", 'CASE DATA'!E146="708.12(3)(f)", 'CASE DATA'!E146="708.13(3)", 'CASE DATA'!E146="708.14", 'CASE DATA'!E146="708A.2", 'CASE DATA'!E146="708A.4(1)", 'CASE DATA'!E146="708A.4(2)", 'CASE DATA'!E146="708A.5", 'CASE DATA'!E146="708A.6(1)", 'CASE DATA'!E146="708.A.6(2)", 'CASE DATA'!E146="709.2", 'CASE DATA'!E146="709.3", 'CASE DATA'!E146="709.4", 'CASE DATA'!E146="709.8(1)(a)", 'CASE DATA'!E146="709.8(1)(b)", 'CASE DATA'!E146="709.8(1)(c)", 'CASE DATA'!E146="709.8(1)(d)", 'CASE DATA'!E146="709.8(1)(e)", 'CASE DATA'!E146="709.11(1)", 'CASE DATA'!E146="709.11(2)", 'CASE DATA'!E146="709.15(2)(a)(1)", 'CASE DATA'!E146="709.15(3)(a)(1)", 'CASE DATA'!E146="709.18", 'CASE DATA'!E146="709A.6(2)", 'CASE DATA'!E146="709D.3(1)", 'CASE DATA'!E146="709D.3(2)", 'CASE DATA'!E146="709.D.3(3)", 'CASE DATA'!E146="710.2", 'CASE DATA'!E146="710.3", 'CASE DATA'!E146="710.4", 'CASE DATA'!E146="710.5", 'CASE DATA'!E146="710.10(1)", 'CASE DATA'!E146="710.10(2)", 'CASE DATA'!E146="710.10(3)", 'CASE DATA'!E146="710.11", 'CASE DATA'!E146="710A.2(1)", 'CASE DATA'!E146="710A.2(2)", 'CASE DATA'!E146="710A.2(3)", 'CASE DATA'!E146="710A.2(4)", 'CASE DATA'!E146="710A.2(5)", 'CASE DATA'!E146="710A.2(6)", 'CASE DATA'!E146="710A.2(7)", 'CASE DATA'!E146="710A.2A", 'CASE DATA'!E146="711.2", 'CASE DATA'!E146="711.3", 'CASE DATA'!E146="711.4", 'CASE DATA'!E146="712.2", 'CASE DATA'!E146="712.3", 'CASE DATA'!E146="712.6(1)", 'CASE DATA'!E146="712.7", 'CASE DATA'!E146="712.8", 'CASE DATA'!E146="", 'CASE DATA'!E146="713.3", 'CASE DATA'!E146="713.4", 'CASE DATA'!E146="713.5", 'CASE DATA'!E146="713.6", 'CASE DATA'!E146="713.6A(1)", 'CASE DATA'!E146="714.2(1)", 'CASE DATA'!E146="714.2(2)", 'CASE DATA'!E146="714.3A(2)(b)", 'CASE DATA'!E146="714.9", 'CASE DATA'!E146="714.10", 'CASE DATA'!E146="714.26(2)(a)", 'CASE DATA'!E146="714.26(2)(b)", 'CASE DATA'!E146="715A.2(2)(a)", 'CASE DATA'!E146="715A.6(2)(a)", 'CASE DATA'!E146="715A.6(2)(b)", 'CASE DATA'!E146="715A.8(3)(a)", 'CASE DATA'!E146="715A.8(3)(b)", 'CASE DATA'!E146="715A.10(1)", 'CASE DATA'!E146="715A.10(2)", 'CASE DATA'!E146="716.3", 'CASE DATA'!E146="716.4", 'CASE DATA'!E146="716.8(6)", 'CASE DATA'!E146="716.10(2)(a)", 'CASE DATA'!E146="716.10(2)(b)", 'CASE DATA'!E146="716.10(2)(c)", 'CASE DATA'!E146="716.10(2)(d)", 'CASE DATA'!E146="716.12", 'CASE DATA'!E146="719.1(1)(f)", 'CASE DATA'!E146="719.1(2)(e)", 'CASE DATA'!E146="719.1(2)(f)", 'CASE DATA'!E146="719.1(2)(g)", 'CASE DATA'!E146="719.4(1)", 'CASE DATA'!E146="719.4(4)", 'CASE DATA'!E146="719.5(1)", 'CASE DATA'!E146="719.5(2)", 'CASE DATA'!E146="719.6(1)", 'CASE DATA'!E146="719.6(2)", 'CASE DATA'!E146="719.7(4)(a)", 'CASE DATA'!E146="719.7(4)(b)", 'CASE DATA'!E146="719.7A(3)", 'CASE DATA'!E146="719.9", 'CASE DATA'!E146="719.8", 'CASE DATA'!E146="720.2", 'CASE DATA'!E146="720.3", 'CASE DATA'!E146="721.1", 'CASE DATA'!E146="722.1", 'CASE DATA'!E146="", 'CASE DATA'!E146="722.2", 'CASE DATA'!E146="722.10", 'CASE DATA'!E146="723(5)(3)(c)", 'CASE DATA'!E146="723A.2", 'CASE DATA'!E146="723A.3(1)", 'CASE DATA'!E146="723A.3(2)", 'CASE DATA'!E146="724.1B", 'CASE DATA'!E146="724.1C", 'CASE DATA'!E146="724.3", 'CASE DATA'!E146="724.4B", 'CASE DATA'!E146="724.10", 'CASE DATA'!E146="724.16(2)", 'CASE DATA'!E146="724.16A(1)(a)", 'CASE DATA'!E146="724.16A(1)(b)", 'CASE DATA'!E146="724.17", 'CASE DATA'!E146="724.21", 'CASE DATA'!E146="724.26(1)", 'CASE DATA'!E146="922(g)(8)", 'CASE DATA'!E146="724.29A(2)", 'CASE DATA'!E146="724.29A(3)", 'CASE DATA'!E146="724.30(1)", 'CASE DATA'!E146="724.30(2)", 'CASE DATA'!E146="725.1(2)(b)", 'CASE DATA'!E146="725.2(1)", 'CASE DATA'!E146="725.2(2)", 'CASE DATA'!E146="725.3(2)", 'CASE DATA'!E146="725.3(1)", 'CASE DATA'!E146="725.7(2)(a)(3)", 'CASE DATA'!E146="725.7(2)(a)(4)", 'CASE DATA'!E146="725.7(2)(b)(2)", 'CASE DATA'!E146="725.7(2)(b(3)", 'CASE DATA'!E146="726.7(2)(c)(1)", 'CASE DATA'!E146="726.7(2)(c)(2)", 'CASE DATA'!E146="725.7(2)(d)", 'CASE DATA'!E146="726.2", 'CASE DATA'!E146="726.3", 'CASE DATA'!E146="726.5", 'CASE DATA'!E146="726.6(4)", 'CASE DATA'!E146="726.6(5)", 'CASE DATA'!E146="726.6(6)", 'CASE DATA'!E146="726.6A", 'CASE DATA'!E146="726.7(2)", 'CASE DATA'!E146="726.8(2)", 'CASE DATA'!E146="728.12(1)", 'CASE DATA'!E146="728.12(2)"),"felony","eligible"),"N/A")</f>
        <v>N/A</v>
      </c>
      <c r="M145" s="185" t="str">
        <f>IF(L145="eligible",IF(OR('CASE DATA'!E146="123.46",'CASE DATA'!E146="123.47",'CASE DATA'!E146="235B.20",'CASE DATA'!E146="321.218",'CASE DATA'!E146="321A.32",'CASE DATA'!E146="321J.21",'CASE DATA'!E146="321J.2",'CASE DATA'!E146="707.5",'CASE DATA'!E146="708.2(3)",'CASE DATA'!E146="708.2A",'CASE DATA'!E146="708.7",'CASE DATA'!E146="708.11",'CASE DATA'!E146="708.12",'CASE DATA'!E146="716.8(3)",'CASE DATA'!E146="716.8(4)", LEFT('CASE DATA'!E146,4)="717C", LEFT('CASE DATA'!E146, 3)="719", LEFT('CASE DATA'!E146,3)="720", 'CASE DATA'!E146="721.2", 'CASE DATA'!E146="721.10", 'CASE DATA'!E146="723.1", LEFT('CASE DATA'!E146,3)="724", LEFT('CASE DATA'!E146,3)="726", LEFT('CASE DATA'!E146,3)="728", LEFT('CASE DATA'!E146,4)="901A"),"ineligible misd", "eligible"),"N/A")</f>
        <v>N/A</v>
      </c>
      <c r="N145" s="185" t="str">
        <f>IF(L145="eligible",IF(COUNTIF('CASE DATA'!$C$4:$C$200, "")-COUNTIF('CASE DATA'!$A$4:$A$200, "")&gt;0, "YES","NO"),"N/A")</f>
        <v>N/A</v>
      </c>
      <c r="O145" s="185" t="str">
        <f xml:space="preserve"> IF(M145="eligible",'CASE DATA'!K146,"N/A")</f>
        <v>N/A</v>
      </c>
      <c r="P145" s="185" t="str">
        <f xml:space="preserve"> IF(M145="eligible",'CASE DATA'!I146+'CASE DATA'!J146+'CASE DATA'!L146+'CASE DATA'!M146+'CASE DATA'!N146+'CASE DATA'!O146+'CASE DATA'!M146+'CASE DATA'!Q146+'CASE DATA'!R146,"N/A")</f>
        <v>N/A</v>
      </c>
      <c r="Q145" s="11" t="str">
        <f>IF(M145="eligible",IF(C145+730.5&lt;'BASIC INFO'!$B$3, "YES", "NO"),"N/A")</f>
        <v>N/A</v>
      </c>
      <c r="R145" s="186" t="str">
        <f xml:space="preserve"> IF(OR('CASE DATA'!F146="DEF"), "YES", "NO")</f>
        <v>NO</v>
      </c>
      <c r="S145" s="162" t="str">
        <f>IF(R145="YES",'CASE DATA'!H146,"N/A")</f>
        <v>N/A</v>
      </c>
      <c r="T145" s="185" t="str">
        <f xml:space="preserve"> IF(R145="YES",'CASE DATA'!K146,"N/A")</f>
        <v>N/A</v>
      </c>
      <c r="U145" s="185" t="str">
        <f>IF(R145="YES",'CASE DATA'!I146+'CASE DATA'!J146+'CASE DATA'!L146+'CASE DATA'!M146+'CASE DATA'!N146+'CASE DATA'!O146+'CASE DATA'!P146+'CASE DATA'!Q146+'CASE DATA'!R146,"N/A")</f>
        <v>N/A</v>
      </c>
      <c r="V145" s="189" t="str">
        <f>IF(OR('CASE DATA'!E146="123.46",'CASE DATA'!E146="123.47"),"YES","NO")</f>
        <v>NO</v>
      </c>
      <c r="W145" s="189"/>
      <c r="X145" s="185" t="str">
        <f>IF(V145="YES",IF(C145+730.5&lt;'BASIC INFO'!$B$3, "YES","NO"), "N/A")</f>
        <v>N/A</v>
      </c>
      <c r="Y145" s="189" t="str">
        <f t="shared" si="2"/>
        <v>NO</v>
      </c>
      <c r="Z145" s="187" t="str">
        <f xml:space="preserve"> IF('BASIC INFO'!$B$6+6574.5&gt;C145, "YES", "NO")</f>
        <v>YES</v>
      </c>
    </row>
    <row r="146" spans="1:26" x14ac:dyDescent="0.25">
      <c r="A146" s="162">
        <f xml:space="preserve"> 'CASE DATA'!A147</f>
        <v>0</v>
      </c>
      <c r="B146" s="162">
        <f xml:space="preserve"> 'CASE DATA'!E147</f>
        <v>0</v>
      </c>
      <c r="C146" s="163">
        <f xml:space="preserve"> 'CASE DATA'!C147</f>
        <v>0</v>
      </c>
      <c r="D146" s="11" t="str">
        <f xml:space="preserve"> IF(OR('CASE DATA'!F147="JUV", 'CASE DATA'!F147="JWV"), "YES", "NO")</f>
        <v>NO</v>
      </c>
      <c r="E146" s="11"/>
      <c r="F146" s="11" t="str">
        <f>IF(D146="YES",IF(COUNTIF('CASE DATA'!$C$4:$C$200, "")-COUNTIF('CASE DATA'!$A$4:$A$200, "")&gt;0, "YES","NO"),"N/A")</f>
        <v>N/A</v>
      </c>
      <c r="G146" s="164" t="str">
        <f xml:space="preserve"> _xlfn.IFS(D146="NO", "N/A", AND('BASIC INFO'!$B$3&gt;'BASIC INFO'!$B$6+6574.5, C146+730.5&lt;'BASIC INFO'!$B$3), "YES", 'BASIC INFO'!$B$3&lt;('BASIC INFO'!$B$6+6574.5), "NOT YET 18", C146+730.5&gt;'BASIC INFO'!$B$3, "NOT YET 2 YEARS")</f>
        <v>N/A</v>
      </c>
      <c r="H146" s="186" t="str">
        <f xml:space="preserve"> IF(LEFT('CASE DATA'!E147,4)&lt;&gt;"321.",IF(OR('CASE DATA'!F147="DISM", 'CASE DATA'!F147="ACQ", 'CASE DATA'!F147="NOTF", 'CASE DATA'!F147="WTHD", 'CASE DATA'!F147="TNSF"), "YES", "NO"), "TRAFFIC")</f>
        <v>NO</v>
      </c>
      <c r="I146" s="185" t="str">
        <f xml:space="preserve"> IF(H146="YES",'CASE DATA'!K147,"N/A")</f>
        <v>N/A</v>
      </c>
      <c r="J146" s="185" t="str">
        <f>IF(H146="YES",'CASE DATA'!I147+'CASE DATA'!J147+'CASE DATA'!L147+'CASE DATA'!M147+'CASE DATA'!N147+'CASE DATA'!O147+'CASE DATA'!P147+'CASE DATA'!Q147+'CASE DATA'!R147,"N/A")</f>
        <v>N/A</v>
      </c>
      <c r="K146" s="162" t="str">
        <f xml:space="preserve"> IF(H146="YES",IF(C146+180&lt;'BASIC INFO'!$B$3, "YES", "NO"),"N/A")</f>
        <v>N/A</v>
      </c>
      <c r="L146" s="185" t="str">
        <f>IF(OR('CASE DATA'!F147="GTR", 'CASE DATA'!F147="GPL"),IF(OR('CASE DATA'!E147="81.6(2)", 'CASE DATA'!E147="99F.15(6)(b)(1)", 'CASE DATA'!E147= "124.401(1)(a)", 'CASE DATA'!E147= "124.401(1)(b)", 'CASE DATA'!E147= "124.401(1)(c)", 'CASE DATA'!E147= "124.401(1)(d)", 'CASE DATA'!E147="124.401(4)", 'CASE DATA'!E147="124.401(1)(b)", 'CASE DATA'!E147="124.401(1)(c)", 'CASE DATA'!E147="124.401D(2)(b)", 'CASE DATA'!E147="124.401D(2)(c)", 'CASE DATA'!E147="124.406(1)(a)", 'CASE DATA'!E147="124.406(1)(b) ", 'CASE DATA'!E147="124.406(2)(a)", 'CASE DATA'!E147="124.406(2)(b) ", 'CASE DATA'!E147="124.406(3)", 'CASE DATA'!E147="124.406A ", 'CASE DATA'!E147="124.407(2)(a)", 'CASE DATA'!E147="124B.9(1)", 'CASE DATA'!E147="124B.9(2)", 'CASE DATA'!E147="321J.2(2)(c)", 'CASE DATA'!E147="453B.12(2)", 'CASE DATA'!E147="453B.12(3)", 'CASE DATA'!E147="453B.12(4)", 'CASE DATA'!E147="462A.14(2)(c)", 'CASE DATA'!E147="462A.14(2)(d)", 'CASE DATA'!E147="462A.14(2)(e)", 'CASE DATA'!E147="705.1(2)", 'CASE DATA'!E147="706.3(1)", 'CASE DATA'!E147="706.3(2)", 'CASE DATA'!E147="706A.2(1)", 'CASE DATA'!E147="706A.2(2)", 'CASE DATA'!E147="706A.2(4)", 'CASE DATA'!E147="706B.2(1)(a)", 'CASE DATA'!E147="706B.2(1)(b)", 'CASE DATA'!E147="706B.2(1)(c)", 'CASE DATA'!E147="706B.2(1)(d)", 'CASE DATA'!E147="707.2", 'CASE DATA'!E147="707.3", 'CASE DATA'!E147="707.3A", 'CASE DATA'!E147="707.4", 'CASE DATA'!E147="707.5(1)(a)", 'CASE DATA'!E147="707.6A(1)", 'CASE DATA'!E147="707.6A(2)", 'CASE DATA'!E147="707.6A(3)", 'CASE DATA'!E147="707.6A(4)", 'CASE DATA'!E147="707.7(1)", 'CASE DATA'!E147="707.7(3)", 'CASE DATA'!E147="707.7(2)", 'CASE DATA'!E147="707.8(1)", 'CASE DATA'!E147="707.8(2)", 'CASE DATA'!E147="707.8(3)", 'CASE DATA'!E147="707.8(4)", 'CASE DATA'!E147="707.8(5)", 'CASE DATA'!E147="707.8(6)", 'CASE DATA'!E147="707.9", 'CASE DATA'!E147="707.11", 'CASE DATA'!E147="707A.2", 'CASE DATA'!E147="708.2(4)", 'CASE DATA'!E147="708.2(5)", 'CASE DATA'!E147="708.2A(4)", 'CASE DATA'!E147="708.2A(5)", 'CASE DATA'!E147="708.2C(2)", 'CASE DATA'!E147="708.2C(4)", 'CASE DATA'!E147="708.3(1)", 'CASE DATA'!E147="708.3(2)", 'CASE DATA'!E147="708.3A(1)", 'CASE DATA'!E147="708.3A(2)", 'CASE DATA'!E147="708.3B", 'CASE DATA'!E147="708.4(1)", 'CASE DATA'!E147="708.4(2)", 'CASE DATA'!E147="708.5", 'CASE DATA'!E147="708.8", 'CASE DATA'!E147="708.11(3)(a)", 'CASE DATA'!E147="708.11(3)(b)", 'CASE DATA'!E147="708.12(3)(f)", 'CASE DATA'!E147="708.13(3)", 'CASE DATA'!E147="708.14", 'CASE DATA'!E147="708A.2", 'CASE DATA'!E147="708A.4(1)", 'CASE DATA'!E147="708A.4(2)", 'CASE DATA'!E147="708A.5", 'CASE DATA'!E147="708A.6(1)", 'CASE DATA'!E147="708.A.6(2)", 'CASE DATA'!E147="709.2", 'CASE DATA'!E147="709.3", 'CASE DATA'!E147="709.4", 'CASE DATA'!E147="709.8(1)(a)", 'CASE DATA'!E147="709.8(1)(b)", 'CASE DATA'!E147="709.8(1)(c)", 'CASE DATA'!E147="709.8(1)(d)", 'CASE DATA'!E147="709.8(1)(e)", 'CASE DATA'!E147="709.11(1)", 'CASE DATA'!E147="709.11(2)", 'CASE DATA'!E147="709.15(2)(a)(1)", 'CASE DATA'!E147="709.15(3)(a)(1)", 'CASE DATA'!E147="709.18", 'CASE DATA'!E147="709A.6(2)", 'CASE DATA'!E147="709D.3(1)", 'CASE DATA'!E147="709D.3(2)", 'CASE DATA'!E147="709.D.3(3)", 'CASE DATA'!E147="710.2", 'CASE DATA'!E147="710.3", 'CASE DATA'!E147="710.4", 'CASE DATA'!E147="710.5", 'CASE DATA'!E147="710.10(1)", 'CASE DATA'!E147="710.10(2)", 'CASE DATA'!E147="710.10(3)", 'CASE DATA'!E147="710.11", 'CASE DATA'!E147="710A.2(1)", 'CASE DATA'!E147="710A.2(2)", 'CASE DATA'!E147="710A.2(3)", 'CASE DATA'!E147="710A.2(4)", 'CASE DATA'!E147="710A.2(5)", 'CASE DATA'!E147="710A.2(6)", 'CASE DATA'!E147="710A.2(7)", 'CASE DATA'!E147="710A.2A", 'CASE DATA'!E147="711.2", 'CASE DATA'!E147="711.3", 'CASE DATA'!E147="711.4", 'CASE DATA'!E147="712.2", 'CASE DATA'!E147="712.3", 'CASE DATA'!E147="712.6(1)", 'CASE DATA'!E147="712.7", 'CASE DATA'!E147="712.8", 'CASE DATA'!E147="", 'CASE DATA'!E147="713.3", 'CASE DATA'!E147="713.4", 'CASE DATA'!E147="713.5", 'CASE DATA'!E147="713.6", 'CASE DATA'!E147="713.6A(1)", 'CASE DATA'!E147="714.2(1)", 'CASE DATA'!E147="714.2(2)", 'CASE DATA'!E147="714.3A(2)(b)", 'CASE DATA'!E147="714.9", 'CASE DATA'!E147="714.10", 'CASE DATA'!E147="714.26(2)(a)", 'CASE DATA'!E147="714.26(2)(b)", 'CASE DATA'!E147="715A.2(2)(a)", 'CASE DATA'!E147="715A.6(2)(a)", 'CASE DATA'!E147="715A.6(2)(b)", 'CASE DATA'!E147="715A.8(3)(a)", 'CASE DATA'!E147="715A.8(3)(b)", 'CASE DATA'!E147="715A.10(1)", 'CASE DATA'!E147="715A.10(2)", 'CASE DATA'!E147="716.3", 'CASE DATA'!E147="716.4", 'CASE DATA'!E147="716.8(6)", 'CASE DATA'!E147="716.10(2)(a)", 'CASE DATA'!E147="716.10(2)(b)", 'CASE DATA'!E147="716.10(2)(c)", 'CASE DATA'!E147="716.10(2)(d)", 'CASE DATA'!E147="716.12", 'CASE DATA'!E147="719.1(1)(f)", 'CASE DATA'!E147="719.1(2)(e)", 'CASE DATA'!E147="719.1(2)(f)", 'CASE DATA'!E147="719.1(2)(g)", 'CASE DATA'!E147="719.4(1)", 'CASE DATA'!E147="719.4(4)", 'CASE DATA'!E147="719.5(1)", 'CASE DATA'!E147="719.5(2)", 'CASE DATA'!E147="719.6(1)", 'CASE DATA'!E147="719.6(2)", 'CASE DATA'!E147="719.7(4)(a)", 'CASE DATA'!E147="719.7(4)(b)", 'CASE DATA'!E147="719.7A(3)", 'CASE DATA'!E147="719.9", 'CASE DATA'!E147="719.8", 'CASE DATA'!E147="720.2", 'CASE DATA'!E147="720.3", 'CASE DATA'!E147="721.1", 'CASE DATA'!E147="722.1", 'CASE DATA'!E147="", 'CASE DATA'!E147="722.2", 'CASE DATA'!E147="722.10", 'CASE DATA'!E147="723(5)(3)(c)", 'CASE DATA'!E147="723A.2", 'CASE DATA'!E147="723A.3(1)", 'CASE DATA'!E147="723A.3(2)", 'CASE DATA'!E147="724.1B", 'CASE DATA'!E147="724.1C", 'CASE DATA'!E147="724.3", 'CASE DATA'!E147="724.4B", 'CASE DATA'!E147="724.10", 'CASE DATA'!E147="724.16(2)", 'CASE DATA'!E147="724.16A(1)(a)", 'CASE DATA'!E147="724.16A(1)(b)", 'CASE DATA'!E147="724.17", 'CASE DATA'!E147="724.21", 'CASE DATA'!E147="724.26(1)", 'CASE DATA'!E147="922(g)(8)", 'CASE DATA'!E147="724.29A(2)", 'CASE DATA'!E147="724.29A(3)", 'CASE DATA'!E147="724.30(1)", 'CASE DATA'!E147="724.30(2)", 'CASE DATA'!E147="725.1(2)(b)", 'CASE DATA'!E147="725.2(1)", 'CASE DATA'!E147="725.2(2)", 'CASE DATA'!E147="725.3(2)", 'CASE DATA'!E147="725.3(1)", 'CASE DATA'!E147="725.7(2)(a)(3)", 'CASE DATA'!E147="725.7(2)(a)(4)", 'CASE DATA'!E147="725.7(2)(b)(2)", 'CASE DATA'!E147="725.7(2)(b(3)", 'CASE DATA'!E147="726.7(2)(c)(1)", 'CASE DATA'!E147="726.7(2)(c)(2)", 'CASE DATA'!E147="725.7(2)(d)", 'CASE DATA'!E147="726.2", 'CASE DATA'!E147="726.3", 'CASE DATA'!E147="726.5", 'CASE DATA'!E147="726.6(4)", 'CASE DATA'!E147="726.6(5)", 'CASE DATA'!E147="726.6(6)", 'CASE DATA'!E147="726.6A", 'CASE DATA'!E147="726.7(2)", 'CASE DATA'!E147="726.8(2)", 'CASE DATA'!E147="728.12(1)", 'CASE DATA'!E147="728.12(2)"),"felony","eligible"),"N/A")</f>
        <v>N/A</v>
      </c>
      <c r="M146" s="185" t="str">
        <f>IF(L146="eligible",IF(OR('CASE DATA'!E147="123.46",'CASE DATA'!E147="123.47",'CASE DATA'!E147="235B.20",'CASE DATA'!E147="321.218",'CASE DATA'!E147="321A.32",'CASE DATA'!E147="321J.21",'CASE DATA'!E147="321J.2",'CASE DATA'!E147="707.5",'CASE DATA'!E147="708.2(3)",'CASE DATA'!E147="708.2A",'CASE DATA'!E147="708.7",'CASE DATA'!E147="708.11",'CASE DATA'!E147="708.12",'CASE DATA'!E147="716.8(3)",'CASE DATA'!E147="716.8(4)", LEFT('CASE DATA'!E147,4)="717C", LEFT('CASE DATA'!E147, 3)="719", LEFT('CASE DATA'!E147,3)="720", 'CASE DATA'!E147="721.2", 'CASE DATA'!E147="721.10", 'CASE DATA'!E147="723.1", LEFT('CASE DATA'!E147,3)="724", LEFT('CASE DATA'!E147,3)="726", LEFT('CASE DATA'!E147,3)="728", LEFT('CASE DATA'!E147,4)="901A"),"ineligible misd", "eligible"),"N/A")</f>
        <v>N/A</v>
      </c>
      <c r="N146" s="185" t="str">
        <f>IF(L146="eligible",IF(COUNTIF('CASE DATA'!$C$4:$C$200, "")-COUNTIF('CASE DATA'!$A$4:$A$200, "")&gt;0, "YES","NO"),"N/A")</f>
        <v>N/A</v>
      </c>
      <c r="O146" s="185" t="str">
        <f xml:space="preserve"> IF(M146="eligible",'CASE DATA'!K147,"N/A")</f>
        <v>N/A</v>
      </c>
      <c r="P146" s="185" t="str">
        <f xml:space="preserve"> IF(M146="eligible",'CASE DATA'!I147+'CASE DATA'!J147+'CASE DATA'!L147+'CASE DATA'!M147+'CASE DATA'!N147+'CASE DATA'!O147+'CASE DATA'!M147+'CASE DATA'!Q147+'CASE DATA'!R147,"N/A")</f>
        <v>N/A</v>
      </c>
      <c r="Q146" s="11" t="str">
        <f>IF(M146="eligible",IF(C146+730.5&lt;'BASIC INFO'!$B$3, "YES", "NO"),"N/A")</f>
        <v>N/A</v>
      </c>
      <c r="R146" s="186" t="str">
        <f xml:space="preserve"> IF(OR('CASE DATA'!F147="DEF"), "YES", "NO")</f>
        <v>NO</v>
      </c>
      <c r="S146" s="162" t="str">
        <f>IF(R146="YES",'CASE DATA'!H147,"N/A")</f>
        <v>N/A</v>
      </c>
      <c r="T146" s="185" t="str">
        <f xml:space="preserve"> IF(R146="YES",'CASE DATA'!K147,"N/A")</f>
        <v>N/A</v>
      </c>
      <c r="U146" s="185" t="str">
        <f>IF(R146="YES",'CASE DATA'!I147+'CASE DATA'!J147+'CASE DATA'!L147+'CASE DATA'!M147+'CASE DATA'!N147+'CASE DATA'!O147+'CASE DATA'!P147+'CASE DATA'!Q147+'CASE DATA'!R147,"N/A")</f>
        <v>N/A</v>
      </c>
      <c r="V146" s="189" t="str">
        <f>IF(OR('CASE DATA'!E147="123.46",'CASE DATA'!E147="123.47"),"YES","NO")</f>
        <v>NO</v>
      </c>
      <c r="W146" s="189"/>
      <c r="X146" s="185" t="str">
        <f>IF(V146="YES",IF(C146+730.5&lt;'BASIC INFO'!$B$3, "YES","NO"), "N/A")</f>
        <v>N/A</v>
      </c>
      <c r="Y146" s="189" t="str">
        <f t="shared" si="2"/>
        <v>NO</v>
      </c>
      <c r="Z146" s="187" t="str">
        <f xml:space="preserve"> IF('BASIC INFO'!$B$6+6574.5&gt;C146, "YES", "NO")</f>
        <v>YES</v>
      </c>
    </row>
    <row r="147" spans="1:26" x14ac:dyDescent="0.25">
      <c r="A147" s="162">
        <f xml:space="preserve"> 'CASE DATA'!A148</f>
        <v>0</v>
      </c>
      <c r="B147" s="162">
        <f xml:space="preserve"> 'CASE DATA'!E148</f>
        <v>0</v>
      </c>
      <c r="C147" s="163">
        <f xml:space="preserve"> 'CASE DATA'!C148</f>
        <v>0</v>
      </c>
      <c r="D147" s="11" t="str">
        <f xml:space="preserve"> IF(OR('CASE DATA'!F148="JUV", 'CASE DATA'!F148="JWV"), "YES", "NO")</f>
        <v>NO</v>
      </c>
      <c r="E147" s="11"/>
      <c r="F147" s="11" t="str">
        <f>IF(D147="YES",IF(COUNTIF('CASE DATA'!$C$4:$C$200, "")-COUNTIF('CASE DATA'!$A$4:$A$200, "")&gt;0, "YES","NO"),"N/A")</f>
        <v>N/A</v>
      </c>
      <c r="G147" s="164" t="str">
        <f xml:space="preserve"> _xlfn.IFS(D147="NO", "N/A", AND('BASIC INFO'!$B$3&gt;'BASIC INFO'!$B$6+6574.5, C147+730.5&lt;'BASIC INFO'!$B$3), "YES", 'BASIC INFO'!$B$3&lt;('BASIC INFO'!$B$6+6574.5), "NOT YET 18", C147+730.5&gt;'BASIC INFO'!$B$3, "NOT YET 2 YEARS")</f>
        <v>N/A</v>
      </c>
      <c r="H147" s="186" t="str">
        <f xml:space="preserve"> IF(LEFT('CASE DATA'!E148,4)&lt;&gt;"321.",IF(OR('CASE DATA'!F148="DISM", 'CASE DATA'!F148="ACQ", 'CASE DATA'!F148="NOTF", 'CASE DATA'!F148="WTHD", 'CASE DATA'!F148="TNSF"), "YES", "NO"), "TRAFFIC")</f>
        <v>NO</v>
      </c>
      <c r="I147" s="185" t="str">
        <f xml:space="preserve"> IF(H147="YES",'CASE DATA'!K148,"N/A")</f>
        <v>N/A</v>
      </c>
      <c r="J147" s="185" t="str">
        <f>IF(H147="YES",'CASE DATA'!I148+'CASE DATA'!J148+'CASE DATA'!L148+'CASE DATA'!M148+'CASE DATA'!N148+'CASE DATA'!O148+'CASE DATA'!P148+'CASE DATA'!Q148+'CASE DATA'!R148,"N/A")</f>
        <v>N/A</v>
      </c>
      <c r="K147" s="162" t="str">
        <f xml:space="preserve"> IF(H147="YES",IF(C147+180&lt;'BASIC INFO'!$B$3, "YES", "NO"),"N/A")</f>
        <v>N/A</v>
      </c>
      <c r="L147" s="185" t="str">
        <f>IF(OR('CASE DATA'!F148="GTR", 'CASE DATA'!F148="GPL"),IF(OR('CASE DATA'!E148="81.6(2)", 'CASE DATA'!E148="99F.15(6)(b)(1)", 'CASE DATA'!E148= "124.401(1)(a)", 'CASE DATA'!E148= "124.401(1)(b)", 'CASE DATA'!E148= "124.401(1)(c)", 'CASE DATA'!E148= "124.401(1)(d)", 'CASE DATA'!E148="124.401(4)", 'CASE DATA'!E148="124.401(1)(b)", 'CASE DATA'!E148="124.401(1)(c)", 'CASE DATA'!E148="124.401D(2)(b)", 'CASE DATA'!E148="124.401D(2)(c)", 'CASE DATA'!E148="124.406(1)(a)", 'CASE DATA'!E148="124.406(1)(b) ", 'CASE DATA'!E148="124.406(2)(a)", 'CASE DATA'!E148="124.406(2)(b) ", 'CASE DATA'!E148="124.406(3)", 'CASE DATA'!E148="124.406A ", 'CASE DATA'!E148="124.407(2)(a)", 'CASE DATA'!E148="124B.9(1)", 'CASE DATA'!E148="124B.9(2)", 'CASE DATA'!E148="321J.2(2)(c)", 'CASE DATA'!E148="453B.12(2)", 'CASE DATA'!E148="453B.12(3)", 'CASE DATA'!E148="453B.12(4)", 'CASE DATA'!E148="462A.14(2)(c)", 'CASE DATA'!E148="462A.14(2)(d)", 'CASE DATA'!E148="462A.14(2)(e)", 'CASE DATA'!E148="705.1(2)", 'CASE DATA'!E148="706.3(1)", 'CASE DATA'!E148="706.3(2)", 'CASE DATA'!E148="706A.2(1)", 'CASE DATA'!E148="706A.2(2)", 'CASE DATA'!E148="706A.2(4)", 'CASE DATA'!E148="706B.2(1)(a)", 'CASE DATA'!E148="706B.2(1)(b)", 'CASE DATA'!E148="706B.2(1)(c)", 'CASE DATA'!E148="706B.2(1)(d)", 'CASE DATA'!E148="707.2", 'CASE DATA'!E148="707.3", 'CASE DATA'!E148="707.3A", 'CASE DATA'!E148="707.4", 'CASE DATA'!E148="707.5(1)(a)", 'CASE DATA'!E148="707.6A(1)", 'CASE DATA'!E148="707.6A(2)", 'CASE DATA'!E148="707.6A(3)", 'CASE DATA'!E148="707.6A(4)", 'CASE DATA'!E148="707.7(1)", 'CASE DATA'!E148="707.7(3)", 'CASE DATA'!E148="707.7(2)", 'CASE DATA'!E148="707.8(1)", 'CASE DATA'!E148="707.8(2)", 'CASE DATA'!E148="707.8(3)", 'CASE DATA'!E148="707.8(4)", 'CASE DATA'!E148="707.8(5)", 'CASE DATA'!E148="707.8(6)", 'CASE DATA'!E148="707.9", 'CASE DATA'!E148="707.11", 'CASE DATA'!E148="707A.2", 'CASE DATA'!E148="708.2(4)", 'CASE DATA'!E148="708.2(5)", 'CASE DATA'!E148="708.2A(4)", 'CASE DATA'!E148="708.2A(5)", 'CASE DATA'!E148="708.2C(2)", 'CASE DATA'!E148="708.2C(4)", 'CASE DATA'!E148="708.3(1)", 'CASE DATA'!E148="708.3(2)", 'CASE DATA'!E148="708.3A(1)", 'CASE DATA'!E148="708.3A(2)", 'CASE DATA'!E148="708.3B", 'CASE DATA'!E148="708.4(1)", 'CASE DATA'!E148="708.4(2)", 'CASE DATA'!E148="708.5", 'CASE DATA'!E148="708.8", 'CASE DATA'!E148="708.11(3)(a)", 'CASE DATA'!E148="708.11(3)(b)", 'CASE DATA'!E148="708.12(3)(f)", 'CASE DATA'!E148="708.13(3)", 'CASE DATA'!E148="708.14", 'CASE DATA'!E148="708A.2", 'CASE DATA'!E148="708A.4(1)", 'CASE DATA'!E148="708A.4(2)", 'CASE DATA'!E148="708A.5", 'CASE DATA'!E148="708A.6(1)", 'CASE DATA'!E148="708.A.6(2)", 'CASE DATA'!E148="709.2", 'CASE DATA'!E148="709.3", 'CASE DATA'!E148="709.4", 'CASE DATA'!E148="709.8(1)(a)", 'CASE DATA'!E148="709.8(1)(b)", 'CASE DATA'!E148="709.8(1)(c)", 'CASE DATA'!E148="709.8(1)(d)", 'CASE DATA'!E148="709.8(1)(e)", 'CASE DATA'!E148="709.11(1)", 'CASE DATA'!E148="709.11(2)", 'CASE DATA'!E148="709.15(2)(a)(1)", 'CASE DATA'!E148="709.15(3)(a)(1)", 'CASE DATA'!E148="709.18", 'CASE DATA'!E148="709A.6(2)", 'CASE DATA'!E148="709D.3(1)", 'CASE DATA'!E148="709D.3(2)", 'CASE DATA'!E148="709.D.3(3)", 'CASE DATA'!E148="710.2", 'CASE DATA'!E148="710.3", 'CASE DATA'!E148="710.4", 'CASE DATA'!E148="710.5", 'CASE DATA'!E148="710.10(1)", 'CASE DATA'!E148="710.10(2)", 'CASE DATA'!E148="710.10(3)", 'CASE DATA'!E148="710.11", 'CASE DATA'!E148="710A.2(1)", 'CASE DATA'!E148="710A.2(2)", 'CASE DATA'!E148="710A.2(3)", 'CASE DATA'!E148="710A.2(4)", 'CASE DATA'!E148="710A.2(5)", 'CASE DATA'!E148="710A.2(6)", 'CASE DATA'!E148="710A.2(7)", 'CASE DATA'!E148="710A.2A", 'CASE DATA'!E148="711.2", 'CASE DATA'!E148="711.3", 'CASE DATA'!E148="711.4", 'CASE DATA'!E148="712.2", 'CASE DATA'!E148="712.3", 'CASE DATA'!E148="712.6(1)", 'CASE DATA'!E148="712.7", 'CASE DATA'!E148="712.8", 'CASE DATA'!E148="", 'CASE DATA'!E148="713.3", 'CASE DATA'!E148="713.4", 'CASE DATA'!E148="713.5", 'CASE DATA'!E148="713.6", 'CASE DATA'!E148="713.6A(1)", 'CASE DATA'!E148="714.2(1)", 'CASE DATA'!E148="714.2(2)", 'CASE DATA'!E148="714.3A(2)(b)", 'CASE DATA'!E148="714.9", 'CASE DATA'!E148="714.10", 'CASE DATA'!E148="714.26(2)(a)", 'CASE DATA'!E148="714.26(2)(b)", 'CASE DATA'!E148="715A.2(2)(a)", 'CASE DATA'!E148="715A.6(2)(a)", 'CASE DATA'!E148="715A.6(2)(b)", 'CASE DATA'!E148="715A.8(3)(a)", 'CASE DATA'!E148="715A.8(3)(b)", 'CASE DATA'!E148="715A.10(1)", 'CASE DATA'!E148="715A.10(2)", 'CASE DATA'!E148="716.3", 'CASE DATA'!E148="716.4", 'CASE DATA'!E148="716.8(6)", 'CASE DATA'!E148="716.10(2)(a)", 'CASE DATA'!E148="716.10(2)(b)", 'CASE DATA'!E148="716.10(2)(c)", 'CASE DATA'!E148="716.10(2)(d)", 'CASE DATA'!E148="716.12", 'CASE DATA'!E148="719.1(1)(f)", 'CASE DATA'!E148="719.1(2)(e)", 'CASE DATA'!E148="719.1(2)(f)", 'CASE DATA'!E148="719.1(2)(g)", 'CASE DATA'!E148="719.4(1)", 'CASE DATA'!E148="719.4(4)", 'CASE DATA'!E148="719.5(1)", 'CASE DATA'!E148="719.5(2)", 'CASE DATA'!E148="719.6(1)", 'CASE DATA'!E148="719.6(2)", 'CASE DATA'!E148="719.7(4)(a)", 'CASE DATA'!E148="719.7(4)(b)", 'CASE DATA'!E148="719.7A(3)", 'CASE DATA'!E148="719.9", 'CASE DATA'!E148="719.8", 'CASE DATA'!E148="720.2", 'CASE DATA'!E148="720.3", 'CASE DATA'!E148="721.1", 'CASE DATA'!E148="722.1", 'CASE DATA'!E148="", 'CASE DATA'!E148="722.2", 'CASE DATA'!E148="722.10", 'CASE DATA'!E148="723(5)(3)(c)", 'CASE DATA'!E148="723A.2", 'CASE DATA'!E148="723A.3(1)", 'CASE DATA'!E148="723A.3(2)", 'CASE DATA'!E148="724.1B", 'CASE DATA'!E148="724.1C", 'CASE DATA'!E148="724.3", 'CASE DATA'!E148="724.4B", 'CASE DATA'!E148="724.10", 'CASE DATA'!E148="724.16(2)", 'CASE DATA'!E148="724.16A(1)(a)", 'CASE DATA'!E148="724.16A(1)(b)", 'CASE DATA'!E148="724.17", 'CASE DATA'!E148="724.21", 'CASE DATA'!E148="724.26(1)", 'CASE DATA'!E148="922(g)(8)", 'CASE DATA'!E148="724.29A(2)", 'CASE DATA'!E148="724.29A(3)", 'CASE DATA'!E148="724.30(1)", 'CASE DATA'!E148="724.30(2)", 'CASE DATA'!E148="725.1(2)(b)", 'CASE DATA'!E148="725.2(1)", 'CASE DATA'!E148="725.2(2)", 'CASE DATA'!E148="725.3(2)", 'CASE DATA'!E148="725.3(1)", 'CASE DATA'!E148="725.7(2)(a)(3)", 'CASE DATA'!E148="725.7(2)(a)(4)", 'CASE DATA'!E148="725.7(2)(b)(2)", 'CASE DATA'!E148="725.7(2)(b(3)", 'CASE DATA'!E148="726.7(2)(c)(1)", 'CASE DATA'!E148="726.7(2)(c)(2)", 'CASE DATA'!E148="725.7(2)(d)", 'CASE DATA'!E148="726.2", 'CASE DATA'!E148="726.3", 'CASE DATA'!E148="726.5", 'CASE DATA'!E148="726.6(4)", 'CASE DATA'!E148="726.6(5)", 'CASE DATA'!E148="726.6(6)", 'CASE DATA'!E148="726.6A", 'CASE DATA'!E148="726.7(2)", 'CASE DATA'!E148="726.8(2)", 'CASE DATA'!E148="728.12(1)", 'CASE DATA'!E148="728.12(2)"),"felony","eligible"),"N/A")</f>
        <v>N/A</v>
      </c>
      <c r="M147" s="185" t="str">
        <f>IF(L147="eligible",IF(OR('CASE DATA'!E148="123.46",'CASE DATA'!E148="123.47",'CASE DATA'!E148="235B.20",'CASE DATA'!E148="321.218",'CASE DATA'!E148="321A.32",'CASE DATA'!E148="321J.21",'CASE DATA'!E148="321J.2",'CASE DATA'!E148="707.5",'CASE DATA'!E148="708.2(3)",'CASE DATA'!E148="708.2A",'CASE DATA'!E148="708.7",'CASE DATA'!E148="708.11",'CASE DATA'!E148="708.12",'CASE DATA'!E148="716.8(3)",'CASE DATA'!E148="716.8(4)", LEFT('CASE DATA'!E148,4)="717C", LEFT('CASE DATA'!E148, 3)="719", LEFT('CASE DATA'!E148,3)="720", 'CASE DATA'!E148="721.2", 'CASE DATA'!E148="721.10", 'CASE DATA'!E148="723.1", LEFT('CASE DATA'!E148,3)="724", LEFT('CASE DATA'!E148,3)="726", LEFT('CASE DATA'!E148,3)="728", LEFT('CASE DATA'!E148,4)="901A"),"ineligible misd", "eligible"),"N/A")</f>
        <v>N/A</v>
      </c>
      <c r="N147" s="185" t="str">
        <f>IF(L147="eligible",IF(COUNTIF('CASE DATA'!$C$4:$C$200, "")-COUNTIF('CASE DATA'!$A$4:$A$200, "")&gt;0, "YES","NO"),"N/A")</f>
        <v>N/A</v>
      </c>
      <c r="O147" s="185" t="str">
        <f xml:space="preserve"> IF(M147="eligible",'CASE DATA'!K148,"N/A")</f>
        <v>N/A</v>
      </c>
      <c r="P147" s="185" t="str">
        <f xml:space="preserve"> IF(M147="eligible",'CASE DATA'!I148+'CASE DATA'!J148+'CASE DATA'!L148+'CASE DATA'!M148+'CASE DATA'!N148+'CASE DATA'!O148+'CASE DATA'!M148+'CASE DATA'!Q148+'CASE DATA'!R148,"N/A")</f>
        <v>N/A</v>
      </c>
      <c r="Q147" s="11" t="str">
        <f>IF(M147="eligible",IF(C147+730.5&lt;'BASIC INFO'!$B$3, "YES", "NO"),"N/A")</f>
        <v>N/A</v>
      </c>
      <c r="R147" s="186" t="str">
        <f xml:space="preserve"> IF(OR('CASE DATA'!F148="DEF"), "YES", "NO")</f>
        <v>NO</v>
      </c>
      <c r="S147" s="162" t="str">
        <f>IF(R147="YES",'CASE DATA'!H148,"N/A")</f>
        <v>N/A</v>
      </c>
      <c r="T147" s="185" t="str">
        <f xml:space="preserve"> IF(R147="YES",'CASE DATA'!K148,"N/A")</f>
        <v>N/A</v>
      </c>
      <c r="U147" s="185" t="str">
        <f>IF(R147="YES",'CASE DATA'!I148+'CASE DATA'!J148+'CASE DATA'!L148+'CASE DATA'!M148+'CASE DATA'!N148+'CASE DATA'!O148+'CASE DATA'!P148+'CASE DATA'!Q148+'CASE DATA'!R148,"N/A")</f>
        <v>N/A</v>
      </c>
      <c r="V147" s="189" t="str">
        <f>IF(OR('CASE DATA'!E148="123.46",'CASE DATA'!E148="123.47"),"YES","NO")</f>
        <v>NO</v>
      </c>
      <c r="W147" s="189"/>
      <c r="X147" s="185" t="str">
        <f>IF(V147="YES",IF(C147+730.5&lt;'BASIC INFO'!$B$3, "YES","NO"), "N/A")</f>
        <v>N/A</v>
      </c>
      <c r="Y147" s="189" t="str">
        <f t="shared" si="2"/>
        <v>NO</v>
      </c>
      <c r="Z147" s="187" t="str">
        <f xml:space="preserve"> IF('BASIC INFO'!$B$6+6574.5&gt;C147, "YES", "NO")</f>
        <v>YES</v>
      </c>
    </row>
    <row r="148" spans="1:26" x14ac:dyDescent="0.25">
      <c r="A148" s="162">
        <f xml:space="preserve"> 'CASE DATA'!A149</f>
        <v>0</v>
      </c>
      <c r="B148" s="162">
        <f xml:space="preserve"> 'CASE DATA'!E149</f>
        <v>0</v>
      </c>
      <c r="C148" s="163">
        <f xml:space="preserve"> 'CASE DATA'!C149</f>
        <v>0</v>
      </c>
      <c r="D148" s="11" t="str">
        <f xml:space="preserve"> IF(OR('CASE DATA'!F149="JUV", 'CASE DATA'!F149="JWV"), "YES", "NO")</f>
        <v>NO</v>
      </c>
      <c r="E148" s="11"/>
      <c r="F148" s="11" t="str">
        <f>IF(D148="YES",IF(COUNTIF('CASE DATA'!$C$4:$C$200, "")-COUNTIF('CASE DATA'!$A$4:$A$200, "")&gt;0, "YES","NO"),"N/A")</f>
        <v>N/A</v>
      </c>
      <c r="G148" s="164" t="str">
        <f xml:space="preserve"> _xlfn.IFS(D148="NO", "N/A", AND('BASIC INFO'!$B$3&gt;'BASIC INFO'!$B$6+6574.5, C148+730.5&lt;'BASIC INFO'!$B$3), "YES", 'BASIC INFO'!$B$3&lt;('BASIC INFO'!$B$6+6574.5), "NOT YET 18", C148+730.5&gt;'BASIC INFO'!$B$3, "NOT YET 2 YEARS")</f>
        <v>N/A</v>
      </c>
      <c r="H148" s="186" t="str">
        <f xml:space="preserve"> IF(LEFT('CASE DATA'!E149,4)&lt;&gt;"321.",IF(OR('CASE DATA'!F149="DISM", 'CASE DATA'!F149="ACQ", 'CASE DATA'!F149="NOTF", 'CASE DATA'!F149="WTHD", 'CASE DATA'!F149="TNSF"), "YES", "NO"), "TRAFFIC")</f>
        <v>NO</v>
      </c>
      <c r="I148" s="185" t="str">
        <f xml:space="preserve"> IF(H148="YES",'CASE DATA'!K149,"N/A")</f>
        <v>N/A</v>
      </c>
      <c r="J148" s="185" t="str">
        <f>IF(H148="YES",'CASE DATA'!I149+'CASE DATA'!J149+'CASE DATA'!L149+'CASE DATA'!M149+'CASE DATA'!N149+'CASE DATA'!O149+'CASE DATA'!P149+'CASE DATA'!Q149+'CASE DATA'!R149,"N/A")</f>
        <v>N/A</v>
      </c>
      <c r="K148" s="162" t="str">
        <f xml:space="preserve"> IF(H148="YES",IF(C148+180&lt;'BASIC INFO'!$B$3, "YES", "NO"),"N/A")</f>
        <v>N/A</v>
      </c>
      <c r="L148" s="185" t="str">
        <f>IF(OR('CASE DATA'!F149="GTR", 'CASE DATA'!F149="GPL"),IF(OR('CASE DATA'!E149="81.6(2)", 'CASE DATA'!E149="99F.15(6)(b)(1)", 'CASE DATA'!E149= "124.401(1)(a)", 'CASE DATA'!E149= "124.401(1)(b)", 'CASE DATA'!E149= "124.401(1)(c)", 'CASE DATA'!E149= "124.401(1)(d)", 'CASE DATA'!E149="124.401(4)", 'CASE DATA'!E149="124.401(1)(b)", 'CASE DATA'!E149="124.401(1)(c)", 'CASE DATA'!E149="124.401D(2)(b)", 'CASE DATA'!E149="124.401D(2)(c)", 'CASE DATA'!E149="124.406(1)(a)", 'CASE DATA'!E149="124.406(1)(b) ", 'CASE DATA'!E149="124.406(2)(a)", 'CASE DATA'!E149="124.406(2)(b) ", 'CASE DATA'!E149="124.406(3)", 'CASE DATA'!E149="124.406A ", 'CASE DATA'!E149="124.407(2)(a)", 'CASE DATA'!E149="124B.9(1)", 'CASE DATA'!E149="124B.9(2)", 'CASE DATA'!E149="321J.2(2)(c)", 'CASE DATA'!E149="453B.12(2)", 'CASE DATA'!E149="453B.12(3)", 'CASE DATA'!E149="453B.12(4)", 'CASE DATA'!E149="462A.14(2)(c)", 'CASE DATA'!E149="462A.14(2)(d)", 'CASE DATA'!E149="462A.14(2)(e)", 'CASE DATA'!E149="705.1(2)", 'CASE DATA'!E149="706.3(1)", 'CASE DATA'!E149="706.3(2)", 'CASE DATA'!E149="706A.2(1)", 'CASE DATA'!E149="706A.2(2)", 'CASE DATA'!E149="706A.2(4)", 'CASE DATA'!E149="706B.2(1)(a)", 'CASE DATA'!E149="706B.2(1)(b)", 'CASE DATA'!E149="706B.2(1)(c)", 'CASE DATA'!E149="706B.2(1)(d)", 'CASE DATA'!E149="707.2", 'CASE DATA'!E149="707.3", 'CASE DATA'!E149="707.3A", 'CASE DATA'!E149="707.4", 'CASE DATA'!E149="707.5(1)(a)", 'CASE DATA'!E149="707.6A(1)", 'CASE DATA'!E149="707.6A(2)", 'CASE DATA'!E149="707.6A(3)", 'CASE DATA'!E149="707.6A(4)", 'CASE DATA'!E149="707.7(1)", 'CASE DATA'!E149="707.7(3)", 'CASE DATA'!E149="707.7(2)", 'CASE DATA'!E149="707.8(1)", 'CASE DATA'!E149="707.8(2)", 'CASE DATA'!E149="707.8(3)", 'CASE DATA'!E149="707.8(4)", 'CASE DATA'!E149="707.8(5)", 'CASE DATA'!E149="707.8(6)", 'CASE DATA'!E149="707.9", 'CASE DATA'!E149="707.11", 'CASE DATA'!E149="707A.2", 'CASE DATA'!E149="708.2(4)", 'CASE DATA'!E149="708.2(5)", 'CASE DATA'!E149="708.2A(4)", 'CASE DATA'!E149="708.2A(5)", 'CASE DATA'!E149="708.2C(2)", 'CASE DATA'!E149="708.2C(4)", 'CASE DATA'!E149="708.3(1)", 'CASE DATA'!E149="708.3(2)", 'CASE DATA'!E149="708.3A(1)", 'CASE DATA'!E149="708.3A(2)", 'CASE DATA'!E149="708.3B", 'CASE DATA'!E149="708.4(1)", 'CASE DATA'!E149="708.4(2)", 'CASE DATA'!E149="708.5", 'CASE DATA'!E149="708.8", 'CASE DATA'!E149="708.11(3)(a)", 'CASE DATA'!E149="708.11(3)(b)", 'CASE DATA'!E149="708.12(3)(f)", 'CASE DATA'!E149="708.13(3)", 'CASE DATA'!E149="708.14", 'CASE DATA'!E149="708A.2", 'CASE DATA'!E149="708A.4(1)", 'CASE DATA'!E149="708A.4(2)", 'CASE DATA'!E149="708A.5", 'CASE DATA'!E149="708A.6(1)", 'CASE DATA'!E149="708.A.6(2)", 'CASE DATA'!E149="709.2", 'CASE DATA'!E149="709.3", 'CASE DATA'!E149="709.4", 'CASE DATA'!E149="709.8(1)(a)", 'CASE DATA'!E149="709.8(1)(b)", 'CASE DATA'!E149="709.8(1)(c)", 'CASE DATA'!E149="709.8(1)(d)", 'CASE DATA'!E149="709.8(1)(e)", 'CASE DATA'!E149="709.11(1)", 'CASE DATA'!E149="709.11(2)", 'CASE DATA'!E149="709.15(2)(a)(1)", 'CASE DATA'!E149="709.15(3)(a)(1)", 'CASE DATA'!E149="709.18", 'CASE DATA'!E149="709A.6(2)", 'CASE DATA'!E149="709D.3(1)", 'CASE DATA'!E149="709D.3(2)", 'CASE DATA'!E149="709.D.3(3)", 'CASE DATA'!E149="710.2", 'CASE DATA'!E149="710.3", 'CASE DATA'!E149="710.4", 'CASE DATA'!E149="710.5", 'CASE DATA'!E149="710.10(1)", 'CASE DATA'!E149="710.10(2)", 'CASE DATA'!E149="710.10(3)", 'CASE DATA'!E149="710.11", 'CASE DATA'!E149="710A.2(1)", 'CASE DATA'!E149="710A.2(2)", 'CASE DATA'!E149="710A.2(3)", 'CASE DATA'!E149="710A.2(4)", 'CASE DATA'!E149="710A.2(5)", 'CASE DATA'!E149="710A.2(6)", 'CASE DATA'!E149="710A.2(7)", 'CASE DATA'!E149="710A.2A", 'CASE DATA'!E149="711.2", 'CASE DATA'!E149="711.3", 'CASE DATA'!E149="711.4", 'CASE DATA'!E149="712.2", 'CASE DATA'!E149="712.3", 'CASE DATA'!E149="712.6(1)", 'CASE DATA'!E149="712.7", 'CASE DATA'!E149="712.8", 'CASE DATA'!E149="", 'CASE DATA'!E149="713.3", 'CASE DATA'!E149="713.4", 'CASE DATA'!E149="713.5", 'CASE DATA'!E149="713.6", 'CASE DATA'!E149="713.6A(1)", 'CASE DATA'!E149="714.2(1)", 'CASE DATA'!E149="714.2(2)", 'CASE DATA'!E149="714.3A(2)(b)", 'CASE DATA'!E149="714.9", 'CASE DATA'!E149="714.10", 'CASE DATA'!E149="714.26(2)(a)", 'CASE DATA'!E149="714.26(2)(b)", 'CASE DATA'!E149="715A.2(2)(a)", 'CASE DATA'!E149="715A.6(2)(a)", 'CASE DATA'!E149="715A.6(2)(b)", 'CASE DATA'!E149="715A.8(3)(a)", 'CASE DATA'!E149="715A.8(3)(b)", 'CASE DATA'!E149="715A.10(1)", 'CASE DATA'!E149="715A.10(2)", 'CASE DATA'!E149="716.3", 'CASE DATA'!E149="716.4", 'CASE DATA'!E149="716.8(6)", 'CASE DATA'!E149="716.10(2)(a)", 'CASE DATA'!E149="716.10(2)(b)", 'CASE DATA'!E149="716.10(2)(c)", 'CASE DATA'!E149="716.10(2)(d)", 'CASE DATA'!E149="716.12", 'CASE DATA'!E149="719.1(1)(f)", 'CASE DATA'!E149="719.1(2)(e)", 'CASE DATA'!E149="719.1(2)(f)", 'CASE DATA'!E149="719.1(2)(g)", 'CASE DATA'!E149="719.4(1)", 'CASE DATA'!E149="719.4(4)", 'CASE DATA'!E149="719.5(1)", 'CASE DATA'!E149="719.5(2)", 'CASE DATA'!E149="719.6(1)", 'CASE DATA'!E149="719.6(2)", 'CASE DATA'!E149="719.7(4)(a)", 'CASE DATA'!E149="719.7(4)(b)", 'CASE DATA'!E149="719.7A(3)", 'CASE DATA'!E149="719.9", 'CASE DATA'!E149="719.8", 'CASE DATA'!E149="720.2", 'CASE DATA'!E149="720.3", 'CASE DATA'!E149="721.1", 'CASE DATA'!E149="722.1", 'CASE DATA'!E149="", 'CASE DATA'!E149="722.2", 'CASE DATA'!E149="722.10", 'CASE DATA'!E149="723(5)(3)(c)", 'CASE DATA'!E149="723A.2", 'CASE DATA'!E149="723A.3(1)", 'CASE DATA'!E149="723A.3(2)", 'CASE DATA'!E149="724.1B", 'CASE DATA'!E149="724.1C", 'CASE DATA'!E149="724.3", 'CASE DATA'!E149="724.4B", 'CASE DATA'!E149="724.10", 'CASE DATA'!E149="724.16(2)", 'CASE DATA'!E149="724.16A(1)(a)", 'CASE DATA'!E149="724.16A(1)(b)", 'CASE DATA'!E149="724.17", 'CASE DATA'!E149="724.21", 'CASE DATA'!E149="724.26(1)", 'CASE DATA'!E149="922(g)(8)", 'CASE DATA'!E149="724.29A(2)", 'CASE DATA'!E149="724.29A(3)", 'CASE DATA'!E149="724.30(1)", 'CASE DATA'!E149="724.30(2)", 'CASE DATA'!E149="725.1(2)(b)", 'CASE DATA'!E149="725.2(1)", 'CASE DATA'!E149="725.2(2)", 'CASE DATA'!E149="725.3(2)", 'CASE DATA'!E149="725.3(1)", 'CASE DATA'!E149="725.7(2)(a)(3)", 'CASE DATA'!E149="725.7(2)(a)(4)", 'CASE DATA'!E149="725.7(2)(b)(2)", 'CASE DATA'!E149="725.7(2)(b(3)", 'CASE DATA'!E149="726.7(2)(c)(1)", 'CASE DATA'!E149="726.7(2)(c)(2)", 'CASE DATA'!E149="725.7(2)(d)", 'CASE DATA'!E149="726.2", 'CASE DATA'!E149="726.3", 'CASE DATA'!E149="726.5", 'CASE DATA'!E149="726.6(4)", 'CASE DATA'!E149="726.6(5)", 'CASE DATA'!E149="726.6(6)", 'CASE DATA'!E149="726.6A", 'CASE DATA'!E149="726.7(2)", 'CASE DATA'!E149="726.8(2)", 'CASE DATA'!E149="728.12(1)", 'CASE DATA'!E149="728.12(2)"),"felony","eligible"),"N/A")</f>
        <v>N/A</v>
      </c>
      <c r="M148" s="185" t="str">
        <f>IF(L148="eligible",IF(OR('CASE DATA'!E149="123.46",'CASE DATA'!E149="123.47",'CASE DATA'!E149="235B.20",'CASE DATA'!E149="321.218",'CASE DATA'!E149="321A.32",'CASE DATA'!E149="321J.21",'CASE DATA'!E149="321J.2",'CASE DATA'!E149="707.5",'CASE DATA'!E149="708.2(3)",'CASE DATA'!E149="708.2A",'CASE DATA'!E149="708.7",'CASE DATA'!E149="708.11",'CASE DATA'!E149="708.12",'CASE DATA'!E149="716.8(3)",'CASE DATA'!E149="716.8(4)", LEFT('CASE DATA'!E149,4)="717C", LEFT('CASE DATA'!E149, 3)="719", LEFT('CASE DATA'!E149,3)="720", 'CASE DATA'!E149="721.2", 'CASE DATA'!E149="721.10", 'CASE DATA'!E149="723.1", LEFT('CASE DATA'!E149,3)="724", LEFT('CASE DATA'!E149,3)="726", LEFT('CASE DATA'!E149,3)="728", LEFT('CASE DATA'!E149,4)="901A"),"ineligible misd", "eligible"),"N/A")</f>
        <v>N/A</v>
      </c>
      <c r="N148" s="185" t="str">
        <f>IF(L148="eligible",IF(COUNTIF('CASE DATA'!$C$4:$C$200, "")-COUNTIF('CASE DATA'!$A$4:$A$200, "")&gt;0, "YES","NO"),"N/A")</f>
        <v>N/A</v>
      </c>
      <c r="O148" s="185" t="str">
        <f xml:space="preserve"> IF(M148="eligible",'CASE DATA'!K149,"N/A")</f>
        <v>N/A</v>
      </c>
      <c r="P148" s="185" t="str">
        <f xml:space="preserve"> IF(M148="eligible",'CASE DATA'!I149+'CASE DATA'!J149+'CASE DATA'!L149+'CASE DATA'!M149+'CASE DATA'!N149+'CASE DATA'!O149+'CASE DATA'!M149+'CASE DATA'!Q149+'CASE DATA'!R149,"N/A")</f>
        <v>N/A</v>
      </c>
      <c r="Q148" s="11" t="str">
        <f>IF(M148="eligible",IF(C148+730.5&lt;'BASIC INFO'!$B$3, "YES", "NO"),"N/A")</f>
        <v>N/A</v>
      </c>
      <c r="R148" s="186" t="str">
        <f xml:space="preserve"> IF(OR('CASE DATA'!F149="DEF"), "YES", "NO")</f>
        <v>NO</v>
      </c>
      <c r="S148" s="162" t="str">
        <f>IF(R148="YES",'CASE DATA'!H149,"N/A")</f>
        <v>N/A</v>
      </c>
      <c r="T148" s="185" t="str">
        <f xml:space="preserve"> IF(R148="YES",'CASE DATA'!K149,"N/A")</f>
        <v>N/A</v>
      </c>
      <c r="U148" s="185" t="str">
        <f>IF(R148="YES",'CASE DATA'!I149+'CASE DATA'!J149+'CASE DATA'!L149+'CASE DATA'!M149+'CASE DATA'!N149+'CASE DATA'!O149+'CASE DATA'!P149+'CASE DATA'!Q149+'CASE DATA'!R149,"N/A")</f>
        <v>N/A</v>
      </c>
      <c r="V148" s="189" t="str">
        <f>IF(OR('CASE DATA'!E149="123.46",'CASE DATA'!E149="123.47"),"YES","NO")</f>
        <v>NO</v>
      </c>
      <c r="W148" s="189"/>
      <c r="X148" s="185" t="str">
        <f>IF(V148="YES",IF(C148+730.5&lt;'BASIC INFO'!$B$3, "YES","NO"), "N/A")</f>
        <v>N/A</v>
      </c>
      <c r="Y148" s="189" t="str">
        <f t="shared" si="2"/>
        <v>NO</v>
      </c>
      <c r="Z148" s="187" t="str">
        <f xml:space="preserve"> IF('BASIC INFO'!$B$6+6574.5&gt;C148, "YES", "NO")</f>
        <v>YES</v>
      </c>
    </row>
    <row r="149" spans="1:26" x14ac:dyDescent="0.25">
      <c r="A149" s="162">
        <f xml:space="preserve"> 'CASE DATA'!A150</f>
        <v>0</v>
      </c>
      <c r="B149" s="162">
        <f xml:space="preserve"> 'CASE DATA'!E150</f>
        <v>0</v>
      </c>
      <c r="C149" s="163">
        <f xml:space="preserve"> 'CASE DATA'!C150</f>
        <v>0</v>
      </c>
      <c r="D149" s="11" t="str">
        <f xml:space="preserve"> IF(OR('CASE DATA'!F150="JUV", 'CASE DATA'!F150="JWV"), "YES", "NO")</f>
        <v>NO</v>
      </c>
      <c r="E149" s="11"/>
      <c r="F149" s="11" t="str">
        <f>IF(D149="YES",IF(COUNTIF('CASE DATA'!$C$4:$C$200, "")-COUNTIF('CASE DATA'!$A$4:$A$200, "")&gt;0, "YES","NO"),"N/A")</f>
        <v>N/A</v>
      </c>
      <c r="G149" s="164" t="str">
        <f xml:space="preserve"> _xlfn.IFS(D149="NO", "N/A", AND('BASIC INFO'!$B$3&gt;'BASIC INFO'!$B$6+6574.5, C149+730.5&lt;'BASIC INFO'!$B$3), "YES", 'BASIC INFO'!$B$3&lt;('BASIC INFO'!$B$6+6574.5), "NOT YET 18", C149+730.5&gt;'BASIC INFO'!$B$3, "NOT YET 2 YEARS")</f>
        <v>N/A</v>
      </c>
      <c r="H149" s="186" t="str">
        <f xml:space="preserve"> IF(LEFT('CASE DATA'!E150,4)&lt;&gt;"321.",IF(OR('CASE DATA'!F150="DISM", 'CASE DATA'!F150="ACQ", 'CASE DATA'!F150="NOTF", 'CASE DATA'!F150="WTHD", 'CASE DATA'!F150="TNSF"), "YES", "NO"), "TRAFFIC")</f>
        <v>NO</v>
      </c>
      <c r="I149" s="185" t="str">
        <f xml:space="preserve"> IF(H149="YES",'CASE DATA'!K150,"N/A")</f>
        <v>N/A</v>
      </c>
      <c r="J149" s="185" t="str">
        <f>IF(H149="YES",'CASE DATA'!I150+'CASE DATA'!J150+'CASE DATA'!L150+'CASE DATA'!M150+'CASE DATA'!N150+'CASE DATA'!O150+'CASE DATA'!P150+'CASE DATA'!Q150+'CASE DATA'!R150,"N/A")</f>
        <v>N/A</v>
      </c>
      <c r="K149" s="162" t="str">
        <f xml:space="preserve"> IF(H149="YES",IF(C149+180&lt;'BASIC INFO'!$B$3, "YES", "NO"),"N/A")</f>
        <v>N/A</v>
      </c>
      <c r="L149" s="185" t="str">
        <f>IF(OR('CASE DATA'!F150="GTR", 'CASE DATA'!F150="GPL"),IF(OR('CASE DATA'!E150="81.6(2)", 'CASE DATA'!E150="99F.15(6)(b)(1)", 'CASE DATA'!E150= "124.401(1)(a)", 'CASE DATA'!E150= "124.401(1)(b)", 'CASE DATA'!E150= "124.401(1)(c)", 'CASE DATA'!E150= "124.401(1)(d)", 'CASE DATA'!E150="124.401(4)", 'CASE DATA'!E150="124.401(1)(b)", 'CASE DATA'!E150="124.401(1)(c)", 'CASE DATA'!E150="124.401D(2)(b)", 'CASE DATA'!E150="124.401D(2)(c)", 'CASE DATA'!E150="124.406(1)(a)", 'CASE DATA'!E150="124.406(1)(b) ", 'CASE DATA'!E150="124.406(2)(a)", 'CASE DATA'!E150="124.406(2)(b) ", 'CASE DATA'!E150="124.406(3)", 'CASE DATA'!E150="124.406A ", 'CASE DATA'!E150="124.407(2)(a)", 'CASE DATA'!E150="124B.9(1)", 'CASE DATA'!E150="124B.9(2)", 'CASE DATA'!E150="321J.2(2)(c)", 'CASE DATA'!E150="453B.12(2)", 'CASE DATA'!E150="453B.12(3)", 'CASE DATA'!E150="453B.12(4)", 'CASE DATA'!E150="462A.14(2)(c)", 'CASE DATA'!E150="462A.14(2)(d)", 'CASE DATA'!E150="462A.14(2)(e)", 'CASE DATA'!E150="705.1(2)", 'CASE DATA'!E150="706.3(1)", 'CASE DATA'!E150="706.3(2)", 'CASE DATA'!E150="706A.2(1)", 'CASE DATA'!E150="706A.2(2)", 'CASE DATA'!E150="706A.2(4)", 'CASE DATA'!E150="706B.2(1)(a)", 'CASE DATA'!E150="706B.2(1)(b)", 'CASE DATA'!E150="706B.2(1)(c)", 'CASE DATA'!E150="706B.2(1)(d)", 'CASE DATA'!E150="707.2", 'CASE DATA'!E150="707.3", 'CASE DATA'!E150="707.3A", 'CASE DATA'!E150="707.4", 'CASE DATA'!E150="707.5(1)(a)", 'CASE DATA'!E150="707.6A(1)", 'CASE DATA'!E150="707.6A(2)", 'CASE DATA'!E150="707.6A(3)", 'CASE DATA'!E150="707.6A(4)", 'CASE DATA'!E150="707.7(1)", 'CASE DATA'!E150="707.7(3)", 'CASE DATA'!E150="707.7(2)", 'CASE DATA'!E150="707.8(1)", 'CASE DATA'!E150="707.8(2)", 'CASE DATA'!E150="707.8(3)", 'CASE DATA'!E150="707.8(4)", 'CASE DATA'!E150="707.8(5)", 'CASE DATA'!E150="707.8(6)", 'CASE DATA'!E150="707.9", 'CASE DATA'!E150="707.11", 'CASE DATA'!E150="707A.2", 'CASE DATA'!E150="708.2(4)", 'CASE DATA'!E150="708.2(5)", 'CASE DATA'!E150="708.2A(4)", 'CASE DATA'!E150="708.2A(5)", 'CASE DATA'!E150="708.2C(2)", 'CASE DATA'!E150="708.2C(4)", 'CASE DATA'!E150="708.3(1)", 'CASE DATA'!E150="708.3(2)", 'CASE DATA'!E150="708.3A(1)", 'CASE DATA'!E150="708.3A(2)", 'CASE DATA'!E150="708.3B", 'CASE DATA'!E150="708.4(1)", 'CASE DATA'!E150="708.4(2)", 'CASE DATA'!E150="708.5", 'CASE DATA'!E150="708.8", 'CASE DATA'!E150="708.11(3)(a)", 'CASE DATA'!E150="708.11(3)(b)", 'CASE DATA'!E150="708.12(3)(f)", 'CASE DATA'!E150="708.13(3)", 'CASE DATA'!E150="708.14", 'CASE DATA'!E150="708A.2", 'CASE DATA'!E150="708A.4(1)", 'CASE DATA'!E150="708A.4(2)", 'CASE DATA'!E150="708A.5", 'CASE DATA'!E150="708A.6(1)", 'CASE DATA'!E150="708.A.6(2)", 'CASE DATA'!E150="709.2", 'CASE DATA'!E150="709.3", 'CASE DATA'!E150="709.4", 'CASE DATA'!E150="709.8(1)(a)", 'CASE DATA'!E150="709.8(1)(b)", 'CASE DATA'!E150="709.8(1)(c)", 'CASE DATA'!E150="709.8(1)(d)", 'CASE DATA'!E150="709.8(1)(e)", 'CASE DATA'!E150="709.11(1)", 'CASE DATA'!E150="709.11(2)", 'CASE DATA'!E150="709.15(2)(a)(1)", 'CASE DATA'!E150="709.15(3)(a)(1)", 'CASE DATA'!E150="709.18", 'CASE DATA'!E150="709A.6(2)", 'CASE DATA'!E150="709D.3(1)", 'CASE DATA'!E150="709D.3(2)", 'CASE DATA'!E150="709.D.3(3)", 'CASE DATA'!E150="710.2", 'CASE DATA'!E150="710.3", 'CASE DATA'!E150="710.4", 'CASE DATA'!E150="710.5", 'CASE DATA'!E150="710.10(1)", 'CASE DATA'!E150="710.10(2)", 'CASE DATA'!E150="710.10(3)", 'CASE DATA'!E150="710.11", 'CASE DATA'!E150="710A.2(1)", 'CASE DATA'!E150="710A.2(2)", 'CASE DATA'!E150="710A.2(3)", 'CASE DATA'!E150="710A.2(4)", 'CASE DATA'!E150="710A.2(5)", 'CASE DATA'!E150="710A.2(6)", 'CASE DATA'!E150="710A.2(7)", 'CASE DATA'!E150="710A.2A", 'CASE DATA'!E150="711.2", 'CASE DATA'!E150="711.3", 'CASE DATA'!E150="711.4", 'CASE DATA'!E150="712.2", 'CASE DATA'!E150="712.3", 'CASE DATA'!E150="712.6(1)", 'CASE DATA'!E150="712.7", 'CASE DATA'!E150="712.8", 'CASE DATA'!E150="", 'CASE DATA'!E150="713.3", 'CASE DATA'!E150="713.4", 'CASE DATA'!E150="713.5", 'CASE DATA'!E150="713.6", 'CASE DATA'!E150="713.6A(1)", 'CASE DATA'!E150="714.2(1)", 'CASE DATA'!E150="714.2(2)", 'CASE DATA'!E150="714.3A(2)(b)", 'CASE DATA'!E150="714.9", 'CASE DATA'!E150="714.10", 'CASE DATA'!E150="714.26(2)(a)", 'CASE DATA'!E150="714.26(2)(b)", 'CASE DATA'!E150="715A.2(2)(a)", 'CASE DATA'!E150="715A.6(2)(a)", 'CASE DATA'!E150="715A.6(2)(b)", 'CASE DATA'!E150="715A.8(3)(a)", 'CASE DATA'!E150="715A.8(3)(b)", 'CASE DATA'!E150="715A.10(1)", 'CASE DATA'!E150="715A.10(2)", 'CASE DATA'!E150="716.3", 'CASE DATA'!E150="716.4", 'CASE DATA'!E150="716.8(6)", 'CASE DATA'!E150="716.10(2)(a)", 'CASE DATA'!E150="716.10(2)(b)", 'CASE DATA'!E150="716.10(2)(c)", 'CASE DATA'!E150="716.10(2)(d)", 'CASE DATA'!E150="716.12", 'CASE DATA'!E150="719.1(1)(f)", 'CASE DATA'!E150="719.1(2)(e)", 'CASE DATA'!E150="719.1(2)(f)", 'CASE DATA'!E150="719.1(2)(g)", 'CASE DATA'!E150="719.4(1)", 'CASE DATA'!E150="719.4(4)", 'CASE DATA'!E150="719.5(1)", 'CASE DATA'!E150="719.5(2)", 'CASE DATA'!E150="719.6(1)", 'CASE DATA'!E150="719.6(2)", 'CASE DATA'!E150="719.7(4)(a)", 'CASE DATA'!E150="719.7(4)(b)", 'CASE DATA'!E150="719.7A(3)", 'CASE DATA'!E150="719.9", 'CASE DATA'!E150="719.8", 'CASE DATA'!E150="720.2", 'CASE DATA'!E150="720.3", 'CASE DATA'!E150="721.1", 'CASE DATA'!E150="722.1", 'CASE DATA'!E150="", 'CASE DATA'!E150="722.2", 'CASE DATA'!E150="722.10", 'CASE DATA'!E150="723(5)(3)(c)", 'CASE DATA'!E150="723A.2", 'CASE DATA'!E150="723A.3(1)", 'CASE DATA'!E150="723A.3(2)", 'CASE DATA'!E150="724.1B", 'CASE DATA'!E150="724.1C", 'CASE DATA'!E150="724.3", 'CASE DATA'!E150="724.4B", 'CASE DATA'!E150="724.10", 'CASE DATA'!E150="724.16(2)", 'CASE DATA'!E150="724.16A(1)(a)", 'CASE DATA'!E150="724.16A(1)(b)", 'CASE DATA'!E150="724.17", 'CASE DATA'!E150="724.21", 'CASE DATA'!E150="724.26(1)", 'CASE DATA'!E150="922(g)(8)", 'CASE DATA'!E150="724.29A(2)", 'CASE DATA'!E150="724.29A(3)", 'CASE DATA'!E150="724.30(1)", 'CASE DATA'!E150="724.30(2)", 'CASE DATA'!E150="725.1(2)(b)", 'CASE DATA'!E150="725.2(1)", 'CASE DATA'!E150="725.2(2)", 'CASE DATA'!E150="725.3(2)", 'CASE DATA'!E150="725.3(1)", 'CASE DATA'!E150="725.7(2)(a)(3)", 'CASE DATA'!E150="725.7(2)(a)(4)", 'CASE DATA'!E150="725.7(2)(b)(2)", 'CASE DATA'!E150="725.7(2)(b(3)", 'CASE DATA'!E150="726.7(2)(c)(1)", 'CASE DATA'!E150="726.7(2)(c)(2)", 'CASE DATA'!E150="725.7(2)(d)", 'CASE DATA'!E150="726.2", 'CASE DATA'!E150="726.3", 'CASE DATA'!E150="726.5", 'CASE DATA'!E150="726.6(4)", 'CASE DATA'!E150="726.6(5)", 'CASE DATA'!E150="726.6(6)", 'CASE DATA'!E150="726.6A", 'CASE DATA'!E150="726.7(2)", 'CASE DATA'!E150="726.8(2)", 'CASE DATA'!E150="728.12(1)", 'CASE DATA'!E150="728.12(2)"),"felony","eligible"),"N/A")</f>
        <v>N/A</v>
      </c>
      <c r="M149" s="185" t="str">
        <f>IF(L149="eligible",IF(OR('CASE DATA'!E150="123.46",'CASE DATA'!E150="123.47",'CASE DATA'!E150="235B.20",'CASE DATA'!E150="321.218",'CASE DATA'!E150="321A.32",'CASE DATA'!E150="321J.21",'CASE DATA'!E150="321J.2",'CASE DATA'!E150="707.5",'CASE DATA'!E150="708.2(3)",'CASE DATA'!E150="708.2A",'CASE DATA'!E150="708.7",'CASE DATA'!E150="708.11",'CASE DATA'!E150="708.12",'CASE DATA'!E150="716.8(3)",'CASE DATA'!E150="716.8(4)", LEFT('CASE DATA'!E150,4)="717C", LEFT('CASE DATA'!E150, 3)="719", LEFT('CASE DATA'!E150,3)="720", 'CASE DATA'!E150="721.2", 'CASE DATA'!E150="721.10", 'CASE DATA'!E150="723.1", LEFT('CASE DATA'!E150,3)="724", LEFT('CASE DATA'!E150,3)="726", LEFT('CASE DATA'!E150,3)="728", LEFT('CASE DATA'!E150,4)="901A"),"ineligible misd", "eligible"),"N/A")</f>
        <v>N/A</v>
      </c>
      <c r="N149" s="185" t="str">
        <f>IF(L149="eligible",IF(COUNTIF('CASE DATA'!$C$4:$C$200, "")-COUNTIF('CASE DATA'!$A$4:$A$200, "")&gt;0, "YES","NO"),"N/A")</f>
        <v>N/A</v>
      </c>
      <c r="O149" s="185" t="str">
        <f xml:space="preserve"> IF(M149="eligible",'CASE DATA'!K150,"N/A")</f>
        <v>N/A</v>
      </c>
      <c r="P149" s="185" t="str">
        <f xml:space="preserve"> IF(M149="eligible",'CASE DATA'!I150+'CASE DATA'!J150+'CASE DATA'!L150+'CASE DATA'!M150+'CASE DATA'!N150+'CASE DATA'!O150+'CASE DATA'!M150+'CASE DATA'!Q150+'CASE DATA'!R150,"N/A")</f>
        <v>N/A</v>
      </c>
      <c r="Q149" s="11" t="str">
        <f>IF(M149="eligible",IF(C149+730.5&lt;'BASIC INFO'!$B$3, "YES", "NO"),"N/A")</f>
        <v>N/A</v>
      </c>
      <c r="R149" s="186" t="str">
        <f xml:space="preserve"> IF(OR('CASE DATA'!F150="DEF"), "YES", "NO")</f>
        <v>NO</v>
      </c>
      <c r="S149" s="162" t="str">
        <f>IF(R149="YES",'CASE DATA'!H150,"N/A")</f>
        <v>N/A</v>
      </c>
      <c r="T149" s="185" t="str">
        <f xml:space="preserve"> IF(R149="YES",'CASE DATA'!K150,"N/A")</f>
        <v>N/A</v>
      </c>
      <c r="U149" s="185" t="str">
        <f>IF(R149="YES",'CASE DATA'!I150+'CASE DATA'!J150+'CASE DATA'!L150+'CASE DATA'!M150+'CASE DATA'!N150+'CASE DATA'!O150+'CASE DATA'!P150+'CASE DATA'!Q150+'CASE DATA'!R150,"N/A")</f>
        <v>N/A</v>
      </c>
      <c r="V149" s="189" t="str">
        <f>IF(OR('CASE DATA'!E150="123.46",'CASE DATA'!E150="123.47"),"YES","NO")</f>
        <v>NO</v>
      </c>
      <c r="W149" s="189"/>
      <c r="X149" s="185" t="str">
        <f>IF(V149="YES",IF(C149+730.5&lt;'BASIC INFO'!$B$3, "YES","NO"), "N/A")</f>
        <v>N/A</v>
      </c>
      <c r="Y149" s="189" t="str">
        <f t="shared" si="2"/>
        <v>NO</v>
      </c>
      <c r="Z149" s="187" t="str">
        <f xml:space="preserve"> IF('BASIC INFO'!$B$6+6574.5&gt;C149, "YES", "NO")</f>
        <v>YES</v>
      </c>
    </row>
    <row r="150" spans="1:26" x14ac:dyDescent="0.25">
      <c r="A150" s="162">
        <f xml:space="preserve"> 'CASE DATA'!A151</f>
        <v>0</v>
      </c>
      <c r="B150" s="162">
        <f xml:space="preserve"> 'CASE DATA'!E151</f>
        <v>0</v>
      </c>
      <c r="C150" s="163">
        <f xml:space="preserve"> 'CASE DATA'!C151</f>
        <v>0</v>
      </c>
      <c r="D150" s="11" t="str">
        <f xml:space="preserve"> IF(OR('CASE DATA'!F151="JUV", 'CASE DATA'!F151="JWV"), "YES", "NO")</f>
        <v>NO</v>
      </c>
      <c r="E150" s="11"/>
      <c r="F150" s="11" t="str">
        <f>IF(D150="YES",IF(COUNTIF('CASE DATA'!$C$4:$C$200, "")-COUNTIF('CASE DATA'!$A$4:$A$200, "")&gt;0, "YES","NO"),"N/A")</f>
        <v>N/A</v>
      </c>
      <c r="G150" s="164" t="str">
        <f xml:space="preserve"> _xlfn.IFS(D150="NO", "N/A", AND('BASIC INFO'!$B$3&gt;'BASIC INFO'!$B$6+6574.5, C150+730.5&lt;'BASIC INFO'!$B$3), "YES", 'BASIC INFO'!$B$3&lt;('BASIC INFO'!$B$6+6574.5), "NOT YET 18", C150+730.5&gt;'BASIC INFO'!$B$3, "NOT YET 2 YEARS")</f>
        <v>N/A</v>
      </c>
      <c r="H150" s="186" t="str">
        <f xml:space="preserve"> IF(LEFT('CASE DATA'!E151,4)&lt;&gt;"321.",IF(OR('CASE DATA'!F151="DISM", 'CASE DATA'!F151="ACQ", 'CASE DATA'!F151="NOTF", 'CASE DATA'!F151="WTHD", 'CASE DATA'!F151="TNSF"), "YES", "NO"), "TRAFFIC")</f>
        <v>NO</v>
      </c>
      <c r="I150" s="185" t="str">
        <f xml:space="preserve"> IF(H150="YES",'CASE DATA'!K151,"N/A")</f>
        <v>N/A</v>
      </c>
      <c r="J150" s="185" t="str">
        <f>IF(H150="YES",'CASE DATA'!I151+'CASE DATA'!J151+'CASE DATA'!L151+'CASE DATA'!M151+'CASE DATA'!N151+'CASE DATA'!O151+'CASE DATA'!P151+'CASE DATA'!Q151+'CASE DATA'!R151,"N/A")</f>
        <v>N/A</v>
      </c>
      <c r="K150" s="162" t="str">
        <f xml:space="preserve"> IF(H150="YES",IF(C150+180&lt;'BASIC INFO'!$B$3, "YES", "NO"),"N/A")</f>
        <v>N/A</v>
      </c>
      <c r="L150" s="185" t="str">
        <f>IF(OR('CASE DATA'!F151="GTR", 'CASE DATA'!F151="GPL"),IF(OR('CASE DATA'!E151="81.6(2)", 'CASE DATA'!E151="99F.15(6)(b)(1)", 'CASE DATA'!E151= "124.401(1)(a)", 'CASE DATA'!E151= "124.401(1)(b)", 'CASE DATA'!E151= "124.401(1)(c)", 'CASE DATA'!E151= "124.401(1)(d)", 'CASE DATA'!E151="124.401(4)", 'CASE DATA'!E151="124.401(1)(b)", 'CASE DATA'!E151="124.401(1)(c)", 'CASE DATA'!E151="124.401D(2)(b)", 'CASE DATA'!E151="124.401D(2)(c)", 'CASE DATA'!E151="124.406(1)(a)", 'CASE DATA'!E151="124.406(1)(b) ", 'CASE DATA'!E151="124.406(2)(a)", 'CASE DATA'!E151="124.406(2)(b) ", 'CASE DATA'!E151="124.406(3)", 'CASE DATA'!E151="124.406A ", 'CASE DATA'!E151="124.407(2)(a)", 'CASE DATA'!E151="124B.9(1)", 'CASE DATA'!E151="124B.9(2)", 'CASE DATA'!E151="321J.2(2)(c)", 'CASE DATA'!E151="453B.12(2)", 'CASE DATA'!E151="453B.12(3)", 'CASE DATA'!E151="453B.12(4)", 'CASE DATA'!E151="462A.14(2)(c)", 'CASE DATA'!E151="462A.14(2)(d)", 'CASE DATA'!E151="462A.14(2)(e)", 'CASE DATA'!E151="705.1(2)", 'CASE DATA'!E151="706.3(1)", 'CASE DATA'!E151="706.3(2)", 'CASE DATA'!E151="706A.2(1)", 'CASE DATA'!E151="706A.2(2)", 'CASE DATA'!E151="706A.2(4)", 'CASE DATA'!E151="706B.2(1)(a)", 'CASE DATA'!E151="706B.2(1)(b)", 'CASE DATA'!E151="706B.2(1)(c)", 'CASE DATA'!E151="706B.2(1)(d)", 'CASE DATA'!E151="707.2", 'CASE DATA'!E151="707.3", 'CASE DATA'!E151="707.3A", 'CASE DATA'!E151="707.4", 'CASE DATA'!E151="707.5(1)(a)", 'CASE DATA'!E151="707.6A(1)", 'CASE DATA'!E151="707.6A(2)", 'CASE DATA'!E151="707.6A(3)", 'CASE DATA'!E151="707.6A(4)", 'CASE DATA'!E151="707.7(1)", 'CASE DATA'!E151="707.7(3)", 'CASE DATA'!E151="707.7(2)", 'CASE DATA'!E151="707.8(1)", 'CASE DATA'!E151="707.8(2)", 'CASE DATA'!E151="707.8(3)", 'CASE DATA'!E151="707.8(4)", 'CASE DATA'!E151="707.8(5)", 'CASE DATA'!E151="707.8(6)", 'CASE DATA'!E151="707.9", 'CASE DATA'!E151="707.11", 'CASE DATA'!E151="707A.2", 'CASE DATA'!E151="708.2(4)", 'CASE DATA'!E151="708.2(5)", 'CASE DATA'!E151="708.2A(4)", 'CASE DATA'!E151="708.2A(5)", 'CASE DATA'!E151="708.2C(2)", 'CASE DATA'!E151="708.2C(4)", 'CASE DATA'!E151="708.3(1)", 'CASE DATA'!E151="708.3(2)", 'CASE DATA'!E151="708.3A(1)", 'CASE DATA'!E151="708.3A(2)", 'CASE DATA'!E151="708.3B", 'CASE DATA'!E151="708.4(1)", 'CASE DATA'!E151="708.4(2)", 'CASE DATA'!E151="708.5", 'CASE DATA'!E151="708.8", 'CASE DATA'!E151="708.11(3)(a)", 'CASE DATA'!E151="708.11(3)(b)", 'CASE DATA'!E151="708.12(3)(f)", 'CASE DATA'!E151="708.13(3)", 'CASE DATA'!E151="708.14", 'CASE DATA'!E151="708A.2", 'CASE DATA'!E151="708A.4(1)", 'CASE DATA'!E151="708A.4(2)", 'CASE DATA'!E151="708A.5", 'CASE DATA'!E151="708A.6(1)", 'CASE DATA'!E151="708.A.6(2)", 'CASE DATA'!E151="709.2", 'CASE DATA'!E151="709.3", 'CASE DATA'!E151="709.4", 'CASE DATA'!E151="709.8(1)(a)", 'CASE DATA'!E151="709.8(1)(b)", 'CASE DATA'!E151="709.8(1)(c)", 'CASE DATA'!E151="709.8(1)(d)", 'CASE DATA'!E151="709.8(1)(e)", 'CASE DATA'!E151="709.11(1)", 'CASE DATA'!E151="709.11(2)", 'CASE DATA'!E151="709.15(2)(a)(1)", 'CASE DATA'!E151="709.15(3)(a)(1)", 'CASE DATA'!E151="709.18", 'CASE DATA'!E151="709A.6(2)", 'CASE DATA'!E151="709D.3(1)", 'CASE DATA'!E151="709D.3(2)", 'CASE DATA'!E151="709.D.3(3)", 'CASE DATA'!E151="710.2", 'CASE DATA'!E151="710.3", 'CASE DATA'!E151="710.4", 'CASE DATA'!E151="710.5", 'CASE DATA'!E151="710.10(1)", 'CASE DATA'!E151="710.10(2)", 'CASE DATA'!E151="710.10(3)", 'CASE DATA'!E151="710.11", 'CASE DATA'!E151="710A.2(1)", 'CASE DATA'!E151="710A.2(2)", 'CASE DATA'!E151="710A.2(3)", 'CASE DATA'!E151="710A.2(4)", 'CASE DATA'!E151="710A.2(5)", 'CASE DATA'!E151="710A.2(6)", 'CASE DATA'!E151="710A.2(7)", 'CASE DATA'!E151="710A.2A", 'CASE DATA'!E151="711.2", 'CASE DATA'!E151="711.3", 'CASE DATA'!E151="711.4", 'CASE DATA'!E151="712.2", 'CASE DATA'!E151="712.3", 'CASE DATA'!E151="712.6(1)", 'CASE DATA'!E151="712.7", 'CASE DATA'!E151="712.8", 'CASE DATA'!E151="", 'CASE DATA'!E151="713.3", 'CASE DATA'!E151="713.4", 'CASE DATA'!E151="713.5", 'CASE DATA'!E151="713.6", 'CASE DATA'!E151="713.6A(1)", 'CASE DATA'!E151="714.2(1)", 'CASE DATA'!E151="714.2(2)", 'CASE DATA'!E151="714.3A(2)(b)", 'CASE DATA'!E151="714.9", 'CASE DATA'!E151="714.10", 'CASE DATA'!E151="714.26(2)(a)", 'CASE DATA'!E151="714.26(2)(b)", 'CASE DATA'!E151="715A.2(2)(a)", 'CASE DATA'!E151="715A.6(2)(a)", 'CASE DATA'!E151="715A.6(2)(b)", 'CASE DATA'!E151="715A.8(3)(a)", 'CASE DATA'!E151="715A.8(3)(b)", 'CASE DATA'!E151="715A.10(1)", 'CASE DATA'!E151="715A.10(2)", 'CASE DATA'!E151="716.3", 'CASE DATA'!E151="716.4", 'CASE DATA'!E151="716.8(6)", 'CASE DATA'!E151="716.10(2)(a)", 'CASE DATA'!E151="716.10(2)(b)", 'CASE DATA'!E151="716.10(2)(c)", 'CASE DATA'!E151="716.10(2)(d)", 'CASE DATA'!E151="716.12", 'CASE DATA'!E151="719.1(1)(f)", 'CASE DATA'!E151="719.1(2)(e)", 'CASE DATA'!E151="719.1(2)(f)", 'CASE DATA'!E151="719.1(2)(g)", 'CASE DATA'!E151="719.4(1)", 'CASE DATA'!E151="719.4(4)", 'CASE DATA'!E151="719.5(1)", 'CASE DATA'!E151="719.5(2)", 'CASE DATA'!E151="719.6(1)", 'CASE DATA'!E151="719.6(2)", 'CASE DATA'!E151="719.7(4)(a)", 'CASE DATA'!E151="719.7(4)(b)", 'CASE DATA'!E151="719.7A(3)", 'CASE DATA'!E151="719.9", 'CASE DATA'!E151="719.8", 'CASE DATA'!E151="720.2", 'CASE DATA'!E151="720.3", 'CASE DATA'!E151="721.1", 'CASE DATA'!E151="722.1", 'CASE DATA'!E151="", 'CASE DATA'!E151="722.2", 'CASE DATA'!E151="722.10", 'CASE DATA'!E151="723(5)(3)(c)", 'CASE DATA'!E151="723A.2", 'CASE DATA'!E151="723A.3(1)", 'CASE DATA'!E151="723A.3(2)", 'CASE DATA'!E151="724.1B", 'CASE DATA'!E151="724.1C", 'CASE DATA'!E151="724.3", 'CASE DATA'!E151="724.4B", 'CASE DATA'!E151="724.10", 'CASE DATA'!E151="724.16(2)", 'CASE DATA'!E151="724.16A(1)(a)", 'CASE DATA'!E151="724.16A(1)(b)", 'CASE DATA'!E151="724.17", 'CASE DATA'!E151="724.21", 'CASE DATA'!E151="724.26(1)", 'CASE DATA'!E151="922(g)(8)", 'CASE DATA'!E151="724.29A(2)", 'CASE DATA'!E151="724.29A(3)", 'CASE DATA'!E151="724.30(1)", 'CASE DATA'!E151="724.30(2)", 'CASE DATA'!E151="725.1(2)(b)", 'CASE DATA'!E151="725.2(1)", 'CASE DATA'!E151="725.2(2)", 'CASE DATA'!E151="725.3(2)", 'CASE DATA'!E151="725.3(1)", 'CASE DATA'!E151="725.7(2)(a)(3)", 'CASE DATA'!E151="725.7(2)(a)(4)", 'CASE DATA'!E151="725.7(2)(b)(2)", 'CASE DATA'!E151="725.7(2)(b(3)", 'CASE DATA'!E151="726.7(2)(c)(1)", 'CASE DATA'!E151="726.7(2)(c)(2)", 'CASE DATA'!E151="725.7(2)(d)", 'CASE DATA'!E151="726.2", 'CASE DATA'!E151="726.3", 'CASE DATA'!E151="726.5", 'CASE DATA'!E151="726.6(4)", 'CASE DATA'!E151="726.6(5)", 'CASE DATA'!E151="726.6(6)", 'CASE DATA'!E151="726.6A", 'CASE DATA'!E151="726.7(2)", 'CASE DATA'!E151="726.8(2)", 'CASE DATA'!E151="728.12(1)", 'CASE DATA'!E151="728.12(2)"),"felony","eligible"),"N/A")</f>
        <v>N/A</v>
      </c>
      <c r="M150" s="185" t="str">
        <f>IF(L150="eligible",IF(OR('CASE DATA'!E151="123.46",'CASE DATA'!E151="123.47",'CASE DATA'!E151="235B.20",'CASE DATA'!E151="321.218",'CASE DATA'!E151="321A.32",'CASE DATA'!E151="321J.21",'CASE DATA'!E151="321J.2",'CASE DATA'!E151="707.5",'CASE DATA'!E151="708.2(3)",'CASE DATA'!E151="708.2A",'CASE DATA'!E151="708.7",'CASE DATA'!E151="708.11",'CASE DATA'!E151="708.12",'CASE DATA'!E151="716.8(3)",'CASE DATA'!E151="716.8(4)", LEFT('CASE DATA'!E151,4)="717C", LEFT('CASE DATA'!E151, 3)="719", LEFT('CASE DATA'!E151,3)="720", 'CASE DATA'!E151="721.2", 'CASE DATA'!E151="721.10", 'CASE DATA'!E151="723.1", LEFT('CASE DATA'!E151,3)="724", LEFT('CASE DATA'!E151,3)="726", LEFT('CASE DATA'!E151,3)="728", LEFT('CASE DATA'!E151,4)="901A"),"ineligible misd", "eligible"),"N/A")</f>
        <v>N/A</v>
      </c>
      <c r="N150" s="185" t="str">
        <f>IF(L150="eligible",IF(COUNTIF('CASE DATA'!$C$4:$C$200, "")-COUNTIF('CASE DATA'!$A$4:$A$200, "")&gt;0, "YES","NO"),"N/A")</f>
        <v>N/A</v>
      </c>
      <c r="O150" s="185" t="str">
        <f xml:space="preserve"> IF(M150="eligible",'CASE DATA'!K151,"N/A")</f>
        <v>N/A</v>
      </c>
      <c r="P150" s="185" t="str">
        <f xml:space="preserve"> IF(M150="eligible",'CASE DATA'!I151+'CASE DATA'!J151+'CASE DATA'!L151+'CASE DATA'!M151+'CASE DATA'!N151+'CASE DATA'!O151+'CASE DATA'!M151+'CASE DATA'!Q151+'CASE DATA'!R151,"N/A")</f>
        <v>N/A</v>
      </c>
      <c r="Q150" s="11" t="str">
        <f>IF(M150="eligible",IF(C150+730.5&lt;'BASIC INFO'!$B$3, "YES", "NO"),"N/A")</f>
        <v>N/A</v>
      </c>
      <c r="R150" s="186" t="str">
        <f xml:space="preserve"> IF(OR('CASE DATA'!F151="DEF"), "YES", "NO")</f>
        <v>NO</v>
      </c>
      <c r="S150" s="162" t="str">
        <f>IF(R150="YES",'CASE DATA'!H151,"N/A")</f>
        <v>N/A</v>
      </c>
      <c r="T150" s="185" t="str">
        <f xml:space="preserve"> IF(R150="YES",'CASE DATA'!K151,"N/A")</f>
        <v>N/A</v>
      </c>
      <c r="U150" s="185" t="str">
        <f>IF(R150="YES",'CASE DATA'!I151+'CASE DATA'!J151+'CASE DATA'!L151+'CASE DATA'!M151+'CASE DATA'!N151+'CASE DATA'!O151+'CASE DATA'!P151+'CASE DATA'!Q151+'CASE DATA'!R151,"N/A")</f>
        <v>N/A</v>
      </c>
      <c r="V150" s="189" t="str">
        <f>IF(OR('CASE DATA'!E151="123.46",'CASE DATA'!E151="123.47"),"YES","NO")</f>
        <v>NO</v>
      </c>
      <c r="W150" s="189"/>
      <c r="X150" s="185" t="str">
        <f>IF(V150="YES",IF(C150+730.5&lt;'BASIC INFO'!$B$3, "YES","NO"), "N/A")</f>
        <v>N/A</v>
      </c>
      <c r="Y150" s="189" t="str">
        <f t="shared" si="2"/>
        <v>NO</v>
      </c>
      <c r="Z150" s="187" t="str">
        <f xml:space="preserve"> IF('BASIC INFO'!$B$6+6574.5&gt;C150, "YES", "NO")</f>
        <v>YES</v>
      </c>
    </row>
    <row r="151" spans="1:26" x14ac:dyDescent="0.25">
      <c r="A151" s="162">
        <f xml:space="preserve"> 'CASE DATA'!A152</f>
        <v>0</v>
      </c>
      <c r="B151" s="162">
        <f xml:space="preserve"> 'CASE DATA'!E152</f>
        <v>0</v>
      </c>
      <c r="C151" s="163">
        <f xml:space="preserve"> 'CASE DATA'!C152</f>
        <v>0</v>
      </c>
      <c r="D151" s="11" t="str">
        <f xml:space="preserve"> IF(OR('CASE DATA'!F152="JUV", 'CASE DATA'!F152="JWV"), "YES", "NO")</f>
        <v>NO</v>
      </c>
      <c r="E151" s="11"/>
      <c r="F151" s="11" t="str">
        <f>IF(D151="YES",IF(COUNTIF('CASE DATA'!$C$4:$C$200, "")-COUNTIF('CASE DATA'!$A$4:$A$200, "")&gt;0, "YES","NO"),"N/A")</f>
        <v>N/A</v>
      </c>
      <c r="G151" s="164" t="str">
        <f xml:space="preserve"> _xlfn.IFS(D151="NO", "N/A", AND('BASIC INFO'!$B$3&gt;'BASIC INFO'!$B$6+6574.5, C151+730.5&lt;'BASIC INFO'!$B$3), "YES", 'BASIC INFO'!$B$3&lt;('BASIC INFO'!$B$6+6574.5), "NOT YET 18", C151+730.5&gt;'BASIC INFO'!$B$3, "NOT YET 2 YEARS")</f>
        <v>N/A</v>
      </c>
      <c r="H151" s="186" t="str">
        <f xml:space="preserve"> IF(LEFT('CASE DATA'!E152,4)&lt;&gt;"321.",IF(OR('CASE DATA'!F152="DISM", 'CASE DATA'!F152="ACQ", 'CASE DATA'!F152="NOTF", 'CASE DATA'!F152="WTHD", 'CASE DATA'!F152="TNSF"), "YES", "NO"), "TRAFFIC")</f>
        <v>NO</v>
      </c>
      <c r="I151" s="185" t="str">
        <f xml:space="preserve"> IF(H151="YES",'CASE DATA'!K152,"N/A")</f>
        <v>N/A</v>
      </c>
      <c r="J151" s="185" t="str">
        <f>IF(H151="YES",'CASE DATA'!I152+'CASE DATA'!J152+'CASE DATA'!L152+'CASE DATA'!M152+'CASE DATA'!N152+'CASE DATA'!O152+'CASE DATA'!P152+'CASE DATA'!Q152+'CASE DATA'!R152,"N/A")</f>
        <v>N/A</v>
      </c>
      <c r="K151" s="162" t="str">
        <f xml:space="preserve"> IF(H151="YES",IF(C151+180&lt;'BASIC INFO'!$B$3, "YES", "NO"),"N/A")</f>
        <v>N/A</v>
      </c>
      <c r="L151" s="185" t="str">
        <f>IF(OR('CASE DATA'!F152="GTR", 'CASE DATA'!F152="GPL"),IF(OR('CASE DATA'!E152="81.6(2)", 'CASE DATA'!E152="99F.15(6)(b)(1)", 'CASE DATA'!E152= "124.401(1)(a)", 'CASE DATA'!E152= "124.401(1)(b)", 'CASE DATA'!E152= "124.401(1)(c)", 'CASE DATA'!E152= "124.401(1)(d)", 'CASE DATA'!E152="124.401(4)", 'CASE DATA'!E152="124.401(1)(b)", 'CASE DATA'!E152="124.401(1)(c)", 'CASE DATA'!E152="124.401D(2)(b)", 'CASE DATA'!E152="124.401D(2)(c)", 'CASE DATA'!E152="124.406(1)(a)", 'CASE DATA'!E152="124.406(1)(b) ", 'CASE DATA'!E152="124.406(2)(a)", 'CASE DATA'!E152="124.406(2)(b) ", 'CASE DATA'!E152="124.406(3)", 'CASE DATA'!E152="124.406A ", 'CASE DATA'!E152="124.407(2)(a)", 'CASE DATA'!E152="124B.9(1)", 'CASE DATA'!E152="124B.9(2)", 'CASE DATA'!E152="321J.2(2)(c)", 'CASE DATA'!E152="453B.12(2)", 'CASE DATA'!E152="453B.12(3)", 'CASE DATA'!E152="453B.12(4)", 'CASE DATA'!E152="462A.14(2)(c)", 'CASE DATA'!E152="462A.14(2)(d)", 'CASE DATA'!E152="462A.14(2)(e)", 'CASE DATA'!E152="705.1(2)", 'CASE DATA'!E152="706.3(1)", 'CASE DATA'!E152="706.3(2)", 'CASE DATA'!E152="706A.2(1)", 'CASE DATA'!E152="706A.2(2)", 'CASE DATA'!E152="706A.2(4)", 'CASE DATA'!E152="706B.2(1)(a)", 'CASE DATA'!E152="706B.2(1)(b)", 'CASE DATA'!E152="706B.2(1)(c)", 'CASE DATA'!E152="706B.2(1)(d)", 'CASE DATA'!E152="707.2", 'CASE DATA'!E152="707.3", 'CASE DATA'!E152="707.3A", 'CASE DATA'!E152="707.4", 'CASE DATA'!E152="707.5(1)(a)", 'CASE DATA'!E152="707.6A(1)", 'CASE DATA'!E152="707.6A(2)", 'CASE DATA'!E152="707.6A(3)", 'CASE DATA'!E152="707.6A(4)", 'CASE DATA'!E152="707.7(1)", 'CASE DATA'!E152="707.7(3)", 'CASE DATA'!E152="707.7(2)", 'CASE DATA'!E152="707.8(1)", 'CASE DATA'!E152="707.8(2)", 'CASE DATA'!E152="707.8(3)", 'CASE DATA'!E152="707.8(4)", 'CASE DATA'!E152="707.8(5)", 'CASE DATA'!E152="707.8(6)", 'CASE DATA'!E152="707.9", 'CASE DATA'!E152="707.11", 'CASE DATA'!E152="707A.2", 'CASE DATA'!E152="708.2(4)", 'CASE DATA'!E152="708.2(5)", 'CASE DATA'!E152="708.2A(4)", 'CASE DATA'!E152="708.2A(5)", 'CASE DATA'!E152="708.2C(2)", 'CASE DATA'!E152="708.2C(4)", 'CASE DATA'!E152="708.3(1)", 'CASE DATA'!E152="708.3(2)", 'CASE DATA'!E152="708.3A(1)", 'CASE DATA'!E152="708.3A(2)", 'CASE DATA'!E152="708.3B", 'CASE DATA'!E152="708.4(1)", 'CASE DATA'!E152="708.4(2)", 'CASE DATA'!E152="708.5", 'CASE DATA'!E152="708.8", 'CASE DATA'!E152="708.11(3)(a)", 'CASE DATA'!E152="708.11(3)(b)", 'CASE DATA'!E152="708.12(3)(f)", 'CASE DATA'!E152="708.13(3)", 'CASE DATA'!E152="708.14", 'CASE DATA'!E152="708A.2", 'CASE DATA'!E152="708A.4(1)", 'CASE DATA'!E152="708A.4(2)", 'CASE DATA'!E152="708A.5", 'CASE DATA'!E152="708A.6(1)", 'CASE DATA'!E152="708.A.6(2)", 'CASE DATA'!E152="709.2", 'CASE DATA'!E152="709.3", 'CASE DATA'!E152="709.4", 'CASE DATA'!E152="709.8(1)(a)", 'CASE DATA'!E152="709.8(1)(b)", 'CASE DATA'!E152="709.8(1)(c)", 'CASE DATA'!E152="709.8(1)(d)", 'CASE DATA'!E152="709.8(1)(e)", 'CASE DATA'!E152="709.11(1)", 'CASE DATA'!E152="709.11(2)", 'CASE DATA'!E152="709.15(2)(a)(1)", 'CASE DATA'!E152="709.15(3)(a)(1)", 'CASE DATA'!E152="709.18", 'CASE DATA'!E152="709A.6(2)", 'CASE DATA'!E152="709D.3(1)", 'CASE DATA'!E152="709D.3(2)", 'CASE DATA'!E152="709.D.3(3)", 'CASE DATA'!E152="710.2", 'CASE DATA'!E152="710.3", 'CASE DATA'!E152="710.4", 'CASE DATA'!E152="710.5", 'CASE DATA'!E152="710.10(1)", 'CASE DATA'!E152="710.10(2)", 'CASE DATA'!E152="710.10(3)", 'CASE DATA'!E152="710.11", 'CASE DATA'!E152="710A.2(1)", 'CASE DATA'!E152="710A.2(2)", 'CASE DATA'!E152="710A.2(3)", 'CASE DATA'!E152="710A.2(4)", 'CASE DATA'!E152="710A.2(5)", 'CASE DATA'!E152="710A.2(6)", 'CASE DATA'!E152="710A.2(7)", 'CASE DATA'!E152="710A.2A", 'CASE DATA'!E152="711.2", 'CASE DATA'!E152="711.3", 'CASE DATA'!E152="711.4", 'CASE DATA'!E152="712.2", 'CASE DATA'!E152="712.3", 'CASE DATA'!E152="712.6(1)", 'CASE DATA'!E152="712.7", 'CASE DATA'!E152="712.8", 'CASE DATA'!E152="", 'CASE DATA'!E152="713.3", 'CASE DATA'!E152="713.4", 'CASE DATA'!E152="713.5", 'CASE DATA'!E152="713.6", 'CASE DATA'!E152="713.6A(1)", 'CASE DATA'!E152="714.2(1)", 'CASE DATA'!E152="714.2(2)", 'CASE DATA'!E152="714.3A(2)(b)", 'CASE DATA'!E152="714.9", 'CASE DATA'!E152="714.10", 'CASE DATA'!E152="714.26(2)(a)", 'CASE DATA'!E152="714.26(2)(b)", 'CASE DATA'!E152="715A.2(2)(a)", 'CASE DATA'!E152="715A.6(2)(a)", 'CASE DATA'!E152="715A.6(2)(b)", 'CASE DATA'!E152="715A.8(3)(a)", 'CASE DATA'!E152="715A.8(3)(b)", 'CASE DATA'!E152="715A.10(1)", 'CASE DATA'!E152="715A.10(2)", 'CASE DATA'!E152="716.3", 'CASE DATA'!E152="716.4", 'CASE DATA'!E152="716.8(6)", 'CASE DATA'!E152="716.10(2)(a)", 'CASE DATA'!E152="716.10(2)(b)", 'CASE DATA'!E152="716.10(2)(c)", 'CASE DATA'!E152="716.10(2)(d)", 'CASE DATA'!E152="716.12", 'CASE DATA'!E152="719.1(1)(f)", 'CASE DATA'!E152="719.1(2)(e)", 'CASE DATA'!E152="719.1(2)(f)", 'CASE DATA'!E152="719.1(2)(g)", 'CASE DATA'!E152="719.4(1)", 'CASE DATA'!E152="719.4(4)", 'CASE DATA'!E152="719.5(1)", 'CASE DATA'!E152="719.5(2)", 'CASE DATA'!E152="719.6(1)", 'CASE DATA'!E152="719.6(2)", 'CASE DATA'!E152="719.7(4)(a)", 'CASE DATA'!E152="719.7(4)(b)", 'CASE DATA'!E152="719.7A(3)", 'CASE DATA'!E152="719.9", 'CASE DATA'!E152="719.8", 'CASE DATA'!E152="720.2", 'CASE DATA'!E152="720.3", 'CASE DATA'!E152="721.1", 'CASE DATA'!E152="722.1", 'CASE DATA'!E152="", 'CASE DATA'!E152="722.2", 'CASE DATA'!E152="722.10", 'CASE DATA'!E152="723(5)(3)(c)", 'CASE DATA'!E152="723A.2", 'CASE DATA'!E152="723A.3(1)", 'CASE DATA'!E152="723A.3(2)", 'CASE DATA'!E152="724.1B", 'CASE DATA'!E152="724.1C", 'CASE DATA'!E152="724.3", 'CASE DATA'!E152="724.4B", 'CASE DATA'!E152="724.10", 'CASE DATA'!E152="724.16(2)", 'CASE DATA'!E152="724.16A(1)(a)", 'CASE DATA'!E152="724.16A(1)(b)", 'CASE DATA'!E152="724.17", 'CASE DATA'!E152="724.21", 'CASE DATA'!E152="724.26(1)", 'CASE DATA'!E152="922(g)(8)", 'CASE DATA'!E152="724.29A(2)", 'CASE DATA'!E152="724.29A(3)", 'CASE DATA'!E152="724.30(1)", 'CASE DATA'!E152="724.30(2)", 'CASE DATA'!E152="725.1(2)(b)", 'CASE DATA'!E152="725.2(1)", 'CASE DATA'!E152="725.2(2)", 'CASE DATA'!E152="725.3(2)", 'CASE DATA'!E152="725.3(1)", 'CASE DATA'!E152="725.7(2)(a)(3)", 'CASE DATA'!E152="725.7(2)(a)(4)", 'CASE DATA'!E152="725.7(2)(b)(2)", 'CASE DATA'!E152="725.7(2)(b(3)", 'CASE DATA'!E152="726.7(2)(c)(1)", 'CASE DATA'!E152="726.7(2)(c)(2)", 'CASE DATA'!E152="725.7(2)(d)", 'CASE DATA'!E152="726.2", 'CASE DATA'!E152="726.3", 'CASE DATA'!E152="726.5", 'CASE DATA'!E152="726.6(4)", 'CASE DATA'!E152="726.6(5)", 'CASE DATA'!E152="726.6(6)", 'CASE DATA'!E152="726.6A", 'CASE DATA'!E152="726.7(2)", 'CASE DATA'!E152="726.8(2)", 'CASE DATA'!E152="728.12(1)", 'CASE DATA'!E152="728.12(2)"),"felony","eligible"),"N/A")</f>
        <v>N/A</v>
      </c>
      <c r="M151" s="185" t="str">
        <f>IF(L151="eligible",IF(OR('CASE DATA'!E152="123.46",'CASE DATA'!E152="123.47",'CASE DATA'!E152="235B.20",'CASE DATA'!E152="321.218",'CASE DATA'!E152="321A.32",'CASE DATA'!E152="321J.21",'CASE DATA'!E152="321J.2",'CASE DATA'!E152="707.5",'CASE DATA'!E152="708.2(3)",'CASE DATA'!E152="708.2A",'CASE DATA'!E152="708.7",'CASE DATA'!E152="708.11",'CASE DATA'!E152="708.12",'CASE DATA'!E152="716.8(3)",'CASE DATA'!E152="716.8(4)", LEFT('CASE DATA'!E152,4)="717C", LEFT('CASE DATA'!E152, 3)="719", LEFT('CASE DATA'!E152,3)="720", 'CASE DATA'!E152="721.2", 'CASE DATA'!E152="721.10", 'CASE DATA'!E152="723.1", LEFT('CASE DATA'!E152,3)="724", LEFT('CASE DATA'!E152,3)="726", LEFT('CASE DATA'!E152,3)="728", LEFT('CASE DATA'!E152,4)="901A"),"ineligible misd", "eligible"),"N/A")</f>
        <v>N/A</v>
      </c>
      <c r="N151" s="185" t="str">
        <f>IF(L151="eligible",IF(COUNTIF('CASE DATA'!$C$4:$C$200, "")-COUNTIF('CASE DATA'!$A$4:$A$200, "")&gt;0, "YES","NO"),"N/A")</f>
        <v>N/A</v>
      </c>
      <c r="O151" s="185" t="str">
        <f xml:space="preserve"> IF(M151="eligible",'CASE DATA'!K152,"N/A")</f>
        <v>N/A</v>
      </c>
      <c r="P151" s="185" t="str">
        <f xml:space="preserve"> IF(M151="eligible",'CASE DATA'!I152+'CASE DATA'!J152+'CASE DATA'!L152+'CASE DATA'!M152+'CASE DATA'!N152+'CASE DATA'!O152+'CASE DATA'!M152+'CASE DATA'!Q152+'CASE DATA'!R152,"N/A")</f>
        <v>N/A</v>
      </c>
      <c r="Q151" s="11" t="str">
        <f>IF(M151="eligible",IF(C151+730.5&lt;'BASIC INFO'!$B$3, "YES", "NO"),"N/A")</f>
        <v>N/A</v>
      </c>
      <c r="R151" s="186" t="str">
        <f xml:space="preserve"> IF(OR('CASE DATA'!F152="DEF"), "YES", "NO")</f>
        <v>NO</v>
      </c>
      <c r="S151" s="162" t="str">
        <f>IF(R151="YES",'CASE DATA'!H152,"N/A")</f>
        <v>N/A</v>
      </c>
      <c r="T151" s="185" t="str">
        <f xml:space="preserve"> IF(R151="YES",'CASE DATA'!K152,"N/A")</f>
        <v>N/A</v>
      </c>
      <c r="U151" s="185" t="str">
        <f>IF(R151="YES",'CASE DATA'!I152+'CASE DATA'!J152+'CASE DATA'!L152+'CASE DATA'!M152+'CASE DATA'!N152+'CASE DATA'!O152+'CASE DATA'!P152+'CASE DATA'!Q152+'CASE DATA'!R152,"N/A")</f>
        <v>N/A</v>
      </c>
      <c r="V151" s="189" t="str">
        <f>IF(OR('CASE DATA'!E152="123.46",'CASE DATA'!E152="123.47"),"YES","NO")</f>
        <v>NO</v>
      </c>
      <c r="W151" s="189"/>
      <c r="X151" s="185" t="str">
        <f>IF(V151="YES",IF(C151+730.5&lt;'BASIC INFO'!$B$3, "YES","NO"), "N/A")</f>
        <v>N/A</v>
      </c>
      <c r="Y151" s="189" t="str">
        <f t="shared" si="2"/>
        <v>NO</v>
      </c>
      <c r="Z151" s="187" t="str">
        <f xml:space="preserve"> IF('BASIC INFO'!$B$6+6574.5&gt;C151, "YES", "NO")</f>
        <v>YES</v>
      </c>
    </row>
    <row r="152" spans="1:26" x14ac:dyDescent="0.25">
      <c r="A152" s="162">
        <f xml:space="preserve"> 'CASE DATA'!A153</f>
        <v>0</v>
      </c>
      <c r="B152" s="162">
        <f xml:space="preserve"> 'CASE DATA'!E153</f>
        <v>0</v>
      </c>
      <c r="C152" s="163">
        <f xml:space="preserve"> 'CASE DATA'!C153</f>
        <v>0</v>
      </c>
      <c r="D152" s="11" t="str">
        <f xml:space="preserve"> IF(OR('CASE DATA'!F153="JUV", 'CASE DATA'!F153="JWV"), "YES", "NO")</f>
        <v>NO</v>
      </c>
      <c r="E152" s="11"/>
      <c r="F152" s="11" t="str">
        <f>IF(D152="YES",IF(COUNTIF('CASE DATA'!$C$4:$C$200, "")-COUNTIF('CASE DATA'!$A$4:$A$200, "")&gt;0, "YES","NO"),"N/A")</f>
        <v>N/A</v>
      </c>
      <c r="G152" s="164" t="str">
        <f xml:space="preserve"> _xlfn.IFS(D152="NO", "N/A", AND('BASIC INFO'!$B$3&gt;'BASIC INFO'!$B$6+6574.5, C152+730.5&lt;'BASIC INFO'!$B$3), "YES", 'BASIC INFO'!$B$3&lt;('BASIC INFO'!$B$6+6574.5), "NOT YET 18", C152+730.5&gt;'BASIC INFO'!$B$3, "NOT YET 2 YEARS")</f>
        <v>N/A</v>
      </c>
      <c r="H152" s="186" t="str">
        <f xml:space="preserve"> IF(LEFT('CASE DATA'!E153,4)&lt;&gt;"321.",IF(OR('CASE DATA'!F153="DISM", 'CASE DATA'!F153="ACQ", 'CASE DATA'!F153="NOTF", 'CASE DATA'!F153="WTHD", 'CASE DATA'!F153="TNSF"), "YES", "NO"), "TRAFFIC")</f>
        <v>NO</v>
      </c>
      <c r="I152" s="185" t="str">
        <f xml:space="preserve"> IF(H152="YES",'CASE DATA'!K153,"N/A")</f>
        <v>N/A</v>
      </c>
      <c r="J152" s="185" t="str">
        <f>IF(H152="YES",'CASE DATA'!I153+'CASE DATA'!J153+'CASE DATA'!L153+'CASE DATA'!M153+'CASE DATA'!N153+'CASE DATA'!O153+'CASE DATA'!P153+'CASE DATA'!Q153+'CASE DATA'!R153,"N/A")</f>
        <v>N/A</v>
      </c>
      <c r="K152" s="162" t="str">
        <f xml:space="preserve"> IF(H152="YES",IF(C152+180&lt;'BASIC INFO'!$B$3, "YES", "NO"),"N/A")</f>
        <v>N/A</v>
      </c>
      <c r="L152" s="185" t="str">
        <f>IF(OR('CASE DATA'!F153="GTR", 'CASE DATA'!F153="GPL"),IF(OR('CASE DATA'!E153="81.6(2)", 'CASE DATA'!E153="99F.15(6)(b)(1)", 'CASE DATA'!E153= "124.401(1)(a)", 'CASE DATA'!E153= "124.401(1)(b)", 'CASE DATA'!E153= "124.401(1)(c)", 'CASE DATA'!E153= "124.401(1)(d)", 'CASE DATA'!E153="124.401(4)", 'CASE DATA'!E153="124.401(1)(b)", 'CASE DATA'!E153="124.401(1)(c)", 'CASE DATA'!E153="124.401D(2)(b)", 'CASE DATA'!E153="124.401D(2)(c)", 'CASE DATA'!E153="124.406(1)(a)", 'CASE DATA'!E153="124.406(1)(b) ", 'CASE DATA'!E153="124.406(2)(a)", 'CASE DATA'!E153="124.406(2)(b) ", 'CASE DATA'!E153="124.406(3)", 'CASE DATA'!E153="124.406A ", 'CASE DATA'!E153="124.407(2)(a)", 'CASE DATA'!E153="124B.9(1)", 'CASE DATA'!E153="124B.9(2)", 'CASE DATA'!E153="321J.2(2)(c)", 'CASE DATA'!E153="453B.12(2)", 'CASE DATA'!E153="453B.12(3)", 'CASE DATA'!E153="453B.12(4)", 'CASE DATA'!E153="462A.14(2)(c)", 'CASE DATA'!E153="462A.14(2)(d)", 'CASE DATA'!E153="462A.14(2)(e)", 'CASE DATA'!E153="705.1(2)", 'CASE DATA'!E153="706.3(1)", 'CASE DATA'!E153="706.3(2)", 'CASE DATA'!E153="706A.2(1)", 'CASE DATA'!E153="706A.2(2)", 'CASE DATA'!E153="706A.2(4)", 'CASE DATA'!E153="706B.2(1)(a)", 'CASE DATA'!E153="706B.2(1)(b)", 'CASE DATA'!E153="706B.2(1)(c)", 'CASE DATA'!E153="706B.2(1)(d)", 'CASE DATA'!E153="707.2", 'CASE DATA'!E153="707.3", 'CASE DATA'!E153="707.3A", 'CASE DATA'!E153="707.4", 'CASE DATA'!E153="707.5(1)(a)", 'CASE DATA'!E153="707.6A(1)", 'CASE DATA'!E153="707.6A(2)", 'CASE DATA'!E153="707.6A(3)", 'CASE DATA'!E153="707.6A(4)", 'CASE DATA'!E153="707.7(1)", 'CASE DATA'!E153="707.7(3)", 'CASE DATA'!E153="707.7(2)", 'CASE DATA'!E153="707.8(1)", 'CASE DATA'!E153="707.8(2)", 'CASE DATA'!E153="707.8(3)", 'CASE DATA'!E153="707.8(4)", 'CASE DATA'!E153="707.8(5)", 'CASE DATA'!E153="707.8(6)", 'CASE DATA'!E153="707.9", 'CASE DATA'!E153="707.11", 'CASE DATA'!E153="707A.2", 'CASE DATA'!E153="708.2(4)", 'CASE DATA'!E153="708.2(5)", 'CASE DATA'!E153="708.2A(4)", 'CASE DATA'!E153="708.2A(5)", 'CASE DATA'!E153="708.2C(2)", 'CASE DATA'!E153="708.2C(4)", 'CASE DATA'!E153="708.3(1)", 'CASE DATA'!E153="708.3(2)", 'CASE DATA'!E153="708.3A(1)", 'CASE DATA'!E153="708.3A(2)", 'CASE DATA'!E153="708.3B", 'CASE DATA'!E153="708.4(1)", 'CASE DATA'!E153="708.4(2)", 'CASE DATA'!E153="708.5", 'CASE DATA'!E153="708.8", 'CASE DATA'!E153="708.11(3)(a)", 'CASE DATA'!E153="708.11(3)(b)", 'CASE DATA'!E153="708.12(3)(f)", 'CASE DATA'!E153="708.13(3)", 'CASE DATA'!E153="708.14", 'CASE DATA'!E153="708A.2", 'CASE DATA'!E153="708A.4(1)", 'CASE DATA'!E153="708A.4(2)", 'CASE DATA'!E153="708A.5", 'CASE DATA'!E153="708A.6(1)", 'CASE DATA'!E153="708.A.6(2)", 'CASE DATA'!E153="709.2", 'CASE DATA'!E153="709.3", 'CASE DATA'!E153="709.4", 'CASE DATA'!E153="709.8(1)(a)", 'CASE DATA'!E153="709.8(1)(b)", 'CASE DATA'!E153="709.8(1)(c)", 'CASE DATA'!E153="709.8(1)(d)", 'CASE DATA'!E153="709.8(1)(e)", 'CASE DATA'!E153="709.11(1)", 'CASE DATA'!E153="709.11(2)", 'CASE DATA'!E153="709.15(2)(a)(1)", 'CASE DATA'!E153="709.15(3)(a)(1)", 'CASE DATA'!E153="709.18", 'CASE DATA'!E153="709A.6(2)", 'CASE DATA'!E153="709D.3(1)", 'CASE DATA'!E153="709D.3(2)", 'CASE DATA'!E153="709.D.3(3)", 'CASE DATA'!E153="710.2", 'CASE DATA'!E153="710.3", 'CASE DATA'!E153="710.4", 'CASE DATA'!E153="710.5", 'CASE DATA'!E153="710.10(1)", 'CASE DATA'!E153="710.10(2)", 'CASE DATA'!E153="710.10(3)", 'CASE DATA'!E153="710.11", 'CASE DATA'!E153="710A.2(1)", 'CASE DATA'!E153="710A.2(2)", 'CASE DATA'!E153="710A.2(3)", 'CASE DATA'!E153="710A.2(4)", 'CASE DATA'!E153="710A.2(5)", 'CASE DATA'!E153="710A.2(6)", 'CASE DATA'!E153="710A.2(7)", 'CASE DATA'!E153="710A.2A", 'CASE DATA'!E153="711.2", 'CASE DATA'!E153="711.3", 'CASE DATA'!E153="711.4", 'CASE DATA'!E153="712.2", 'CASE DATA'!E153="712.3", 'CASE DATA'!E153="712.6(1)", 'CASE DATA'!E153="712.7", 'CASE DATA'!E153="712.8", 'CASE DATA'!E153="", 'CASE DATA'!E153="713.3", 'CASE DATA'!E153="713.4", 'CASE DATA'!E153="713.5", 'CASE DATA'!E153="713.6", 'CASE DATA'!E153="713.6A(1)", 'CASE DATA'!E153="714.2(1)", 'CASE DATA'!E153="714.2(2)", 'CASE DATA'!E153="714.3A(2)(b)", 'CASE DATA'!E153="714.9", 'CASE DATA'!E153="714.10", 'CASE DATA'!E153="714.26(2)(a)", 'CASE DATA'!E153="714.26(2)(b)", 'CASE DATA'!E153="715A.2(2)(a)", 'CASE DATA'!E153="715A.6(2)(a)", 'CASE DATA'!E153="715A.6(2)(b)", 'CASE DATA'!E153="715A.8(3)(a)", 'CASE DATA'!E153="715A.8(3)(b)", 'CASE DATA'!E153="715A.10(1)", 'CASE DATA'!E153="715A.10(2)", 'CASE DATA'!E153="716.3", 'CASE DATA'!E153="716.4", 'CASE DATA'!E153="716.8(6)", 'CASE DATA'!E153="716.10(2)(a)", 'CASE DATA'!E153="716.10(2)(b)", 'CASE DATA'!E153="716.10(2)(c)", 'CASE DATA'!E153="716.10(2)(d)", 'CASE DATA'!E153="716.12", 'CASE DATA'!E153="719.1(1)(f)", 'CASE DATA'!E153="719.1(2)(e)", 'CASE DATA'!E153="719.1(2)(f)", 'CASE DATA'!E153="719.1(2)(g)", 'CASE DATA'!E153="719.4(1)", 'CASE DATA'!E153="719.4(4)", 'CASE DATA'!E153="719.5(1)", 'CASE DATA'!E153="719.5(2)", 'CASE DATA'!E153="719.6(1)", 'CASE DATA'!E153="719.6(2)", 'CASE DATA'!E153="719.7(4)(a)", 'CASE DATA'!E153="719.7(4)(b)", 'CASE DATA'!E153="719.7A(3)", 'CASE DATA'!E153="719.9", 'CASE DATA'!E153="719.8", 'CASE DATA'!E153="720.2", 'CASE DATA'!E153="720.3", 'CASE DATA'!E153="721.1", 'CASE DATA'!E153="722.1", 'CASE DATA'!E153="", 'CASE DATA'!E153="722.2", 'CASE DATA'!E153="722.10", 'CASE DATA'!E153="723(5)(3)(c)", 'CASE DATA'!E153="723A.2", 'CASE DATA'!E153="723A.3(1)", 'CASE DATA'!E153="723A.3(2)", 'CASE DATA'!E153="724.1B", 'CASE DATA'!E153="724.1C", 'CASE DATA'!E153="724.3", 'CASE DATA'!E153="724.4B", 'CASE DATA'!E153="724.10", 'CASE DATA'!E153="724.16(2)", 'CASE DATA'!E153="724.16A(1)(a)", 'CASE DATA'!E153="724.16A(1)(b)", 'CASE DATA'!E153="724.17", 'CASE DATA'!E153="724.21", 'CASE DATA'!E153="724.26(1)", 'CASE DATA'!E153="922(g)(8)", 'CASE DATA'!E153="724.29A(2)", 'CASE DATA'!E153="724.29A(3)", 'CASE DATA'!E153="724.30(1)", 'CASE DATA'!E153="724.30(2)", 'CASE DATA'!E153="725.1(2)(b)", 'CASE DATA'!E153="725.2(1)", 'CASE DATA'!E153="725.2(2)", 'CASE DATA'!E153="725.3(2)", 'CASE DATA'!E153="725.3(1)", 'CASE DATA'!E153="725.7(2)(a)(3)", 'CASE DATA'!E153="725.7(2)(a)(4)", 'CASE DATA'!E153="725.7(2)(b)(2)", 'CASE DATA'!E153="725.7(2)(b(3)", 'CASE DATA'!E153="726.7(2)(c)(1)", 'CASE DATA'!E153="726.7(2)(c)(2)", 'CASE DATA'!E153="725.7(2)(d)", 'CASE DATA'!E153="726.2", 'CASE DATA'!E153="726.3", 'CASE DATA'!E153="726.5", 'CASE DATA'!E153="726.6(4)", 'CASE DATA'!E153="726.6(5)", 'CASE DATA'!E153="726.6(6)", 'CASE DATA'!E153="726.6A", 'CASE DATA'!E153="726.7(2)", 'CASE DATA'!E153="726.8(2)", 'CASE DATA'!E153="728.12(1)", 'CASE DATA'!E153="728.12(2)"),"felony","eligible"),"N/A")</f>
        <v>N/A</v>
      </c>
      <c r="M152" s="185" t="str">
        <f>IF(L152="eligible",IF(OR('CASE DATA'!E153="123.46",'CASE DATA'!E153="123.47",'CASE DATA'!E153="235B.20",'CASE DATA'!E153="321.218",'CASE DATA'!E153="321A.32",'CASE DATA'!E153="321J.21",'CASE DATA'!E153="321J.2",'CASE DATA'!E153="707.5",'CASE DATA'!E153="708.2(3)",'CASE DATA'!E153="708.2A",'CASE DATA'!E153="708.7",'CASE DATA'!E153="708.11",'CASE DATA'!E153="708.12",'CASE DATA'!E153="716.8(3)",'CASE DATA'!E153="716.8(4)", LEFT('CASE DATA'!E153,4)="717C", LEFT('CASE DATA'!E153, 3)="719", LEFT('CASE DATA'!E153,3)="720", 'CASE DATA'!E153="721.2", 'CASE DATA'!E153="721.10", 'CASE DATA'!E153="723.1", LEFT('CASE DATA'!E153,3)="724", LEFT('CASE DATA'!E153,3)="726", LEFT('CASE DATA'!E153,3)="728", LEFT('CASE DATA'!E153,4)="901A"),"ineligible misd", "eligible"),"N/A")</f>
        <v>N/A</v>
      </c>
      <c r="N152" s="185" t="str">
        <f>IF(L152="eligible",IF(COUNTIF('CASE DATA'!$C$4:$C$200, "")-COUNTIF('CASE DATA'!$A$4:$A$200, "")&gt;0, "YES","NO"),"N/A")</f>
        <v>N/A</v>
      </c>
      <c r="O152" s="185" t="str">
        <f xml:space="preserve"> IF(M152="eligible",'CASE DATA'!K153,"N/A")</f>
        <v>N/A</v>
      </c>
      <c r="P152" s="185" t="str">
        <f xml:space="preserve"> IF(M152="eligible",'CASE DATA'!I153+'CASE DATA'!J153+'CASE DATA'!L153+'CASE DATA'!M153+'CASE DATA'!N153+'CASE DATA'!O153+'CASE DATA'!M153+'CASE DATA'!Q153+'CASE DATA'!R153,"N/A")</f>
        <v>N/A</v>
      </c>
      <c r="Q152" s="11" t="str">
        <f>IF(M152="eligible",IF(C152+730.5&lt;'BASIC INFO'!$B$3, "YES", "NO"),"N/A")</f>
        <v>N/A</v>
      </c>
      <c r="R152" s="186" t="str">
        <f xml:space="preserve"> IF(OR('CASE DATA'!F153="DEF"), "YES", "NO")</f>
        <v>NO</v>
      </c>
      <c r="S152" s="162" t="str">
        <f>IF(R152="YES",'CASE DATA'!H153,"N/A")</f>
        <v>N/A</v>
      </c>
      <c r="T152" s="185" t="str">
        <f xml:space="preserve"> IF(R152="YES",'CASE DATA'!K153,"N/A")</f>
        <v>N/A</v>
      </c>
      <c r="U152" s="185" t="str">
        <f>IF(R152="YES",'CASE DATA'!I153+'CASE DATA'!J153+'CASE DATA'!L153+'CASE DATA'!M153+'CASE DATA'!N153+'CASE DATA'!O153+'CASE DATA'!P153+'CASE DATA'!Q153+'CASE DATA'!R153,"N/A")</f>
        <v>N/A</v>
      </c>
      <c r="V152" s="189" t="str">
        <f>IF(OR('CASE DATA'!E153="123.46",'CASE DATA'!E153="123.47"),"YES","NO")</f>
        <v>NO</v>
      </c>
      <c r="W152" s="189"/>
      <c r="X152" s="185" t="str">
        <f>IF(V152="YES",IF(C152+730.5&lt;'BASIC INFO'!$B$3, "YES","NO"), "N/A")</f>
        <v>N/A</v>
      </c>
      <c r="Y152" s="189" t="str">
        <f t="shared" si="2"/>
        <v>NO</v>
      </c>
      <c r="Z152" s="187" t="str">
        <f xml:space="preserve"> IF('BASIC INFO'!$B$6+6574.5&gt;C152, "YES", "NO")</f>
        <v>YES</v>
      </c>
    </row>
    <row r="153" spans="1:26" x14ac:dyDescent="0.25">
      <c r="A153" s="162">
        <f xml:space="preserve"> 'CASE DATA'!A154</f>
        <v>0</v>
      </c>
      <c r="B153" s="162">
        <f xml:space="preserve"> 'CASE DATA'!E154</f>
        <v>0</v>
      </c>
      <c r="C153" s="163">
        <f xml:space="preserve"> 'CASE DATA'!C154</f>
        <v>0</v>
      </c>
      <c r="D153" s="11" t="str">
        <f xml:space="preserve"> IF(OR('CASE DATA'!F154="JUV", 'CASE DATA'!F154="JWV"), "YES", "NO")</f>
        <v>NO</v>
      </c>
      <c r="E153" s="11"/>
      <c r="F153" s="11" t="str">
        <f>IF(D153="YES",IF(COUNTIF('CASE DATA'!$C$4:$C$200, "")-COUNTIF('CASE DATA'!$A$4:$A$200, "")&gt;0, "YES","NO"),"N/A")</f>
        <v>N/A</v>
      </c>
      <c r="G153" s="164" t="str">
        <f xml:space="preserve"> _xlfn.IFS(D153="NO", "N/A", AND('BASIC INFO'!$B$3&gt;'BASIC INFO'!$B$6+6574.5, C153+730.5&lt;'BASIC INFO'!$B$3), "YES", 'BASIC INFO'!$B$3&lt;('BASIC INFO'!$B$6+6574.5), "NOT YET 18", C153+730.5&gt;'BASIC INFO'!$B$3, "NOT YET 2 YEARS")</f>
        <v>N/A</v>
      </c>
      <c r="H153" s="186" t="str">
        <f xml:space="preserve"> IF(LEFT('CASE DATA'!E154,4)&lt;&gt;"321.",IF(OR('CASE DATA'!F154="DISM", 'CASE DATA'!F154="ACQ", 'CASE DATA'!F154="NOTF", 'CASE DATA'!F154="WTHD", 'CASE DATA'!F154="TNSF"), "YES", "NO"), "TRAFFIC")</f>
        <v>NO</v>
      </c>
      <c r="I153" s="185" t="str">
        <f xml:space="preserve"> IF(H153="YES",'CASE DATA'!K154,"N/A")</f>
        <v>N/A</v>
      </c>
      <c r="J153" s="185" t="str">
        <f>IF(H153="YES",'CASE DATA'!I154+'CASE DATA'!J154+'CASE DATA'!L154+'CASE DATA'!M154+'CASE DATA'!N154+'CASE DATA'!O154+'CASE DATA'!P154+'CASE DATA'!Q154+'CASE DATA'!R154,"N/A")</f>
        <v>N/A</v>
      </c>
      <c r="K153" s="162" t="str">
        <f xml:space="preserve"> IF(H153="YES",IF(C153+180&lt;'BASIC INFO'!$B$3, "YES", "NO"),"N/A")</f>
        <v>N/A</v>
      </c>
      <c r="L153" s="185" t="str">
        <f>IF(OR('CASE DATA'!F154="GTR", 'CASE DATA'!F154="GPL"),IF(OR('CASE DATA'!E154="81.6(2)", 'CASE DATA'!E154="99F.15(6)(b)(1)", 'CASE DATA'!E154= "124.401(1)(a)", 'CASE DATA'!E154= "124.401(1)(b)", 'CASE DATA'!E154= "124.401(1)(c)", 'CASE DATA'!E154= "124.401(1)(d)", 'CASE DATA'!E154="124.401(4)", 'CASE DATA'!E154="124.401(1)(b)", 'CASE DATA'!E154="124.401(1)(c)", 'CASE DATA'!E154="124.401D(2)(b)", 'CASE DATA'!E154="124.401D(2)(c)", 'CASE DATA'!E154="124.406(1)(a)", 'CASE DATA'!E154="124.406(1)(b) ", 'CASE DATA'!E154="124.406(2)(a)", 'CASE DATA'!E154="124.406(2)(b) ", 'CASE DATA'!E154="124.406(3)", 'CASE DATA'!E154="124.406A ", 'CASE DATA'!E154="124.407(2)(a)", 'CASE DATA'!E154="124B.9(1)", 'CASE DATA'!E154="124B.9(2)", 'CASE DATA'!E154="321J.2(2)(c)", 'CASE DATA'!E154="453B.12(2)", 'CASE DATA'!E154="453B.12(3)", 'CASE DATA'!E154="453B.12(4)", 'CASE DATA'!E154="462A.14(2)(c)", 'CASE DATA'!E154="462A.14(2)(d)", 'CASE DATA'!E154="462A.14(2)(e)", 'CASE DATA'!E154="705.1(2)", 'CASE DATA'!E154="706.3(1)", 'CASE DATA'!E154="706.3(2)", 'CASE DATA'!E154="706A.2(1)", 'CASE DATA'!E154="706A.2(2)", 'CASE DATA'!E154="706A.2(4)", 'CASE DATA'!E154="706B.2(1)(a)", 'CASE DATA'!E154="706B.2(1)(b)", 'CASE DATA'!E154="706B.2(1)(c)", 'CASE DATA'!E154="706B.2(1)(d)", 'CASE DATA'!E154="707.2", 'CASE DATA'!E154="707.3", 'CASE DATA'!E154="707.3A", 'CASE DATA'!E154="707.4", 'CASE DATA'!E154="707.5(1)(a)", 'CASE DATA'!E154="707.6A(1)", 'CASE DATA'!E154="707.6A(2)", 'CASE DATA'!E154="707.6A(3)", 'CASE DATA'!E154="707.6A(4)", 'CASE DATA'!E154="707.7(1)", 'CASE DATA'!E154="707.7(3)", 'CASE DATA'!E154="707.7(2)", 'CASE DATA'!E154="707.8(1)", 'CASE DATA'!E154="707.8(2)", 'CASE DATA'!E154="707.8(3)", 'CASE DATA'!E154="707.8(4)", 'CASE DATA'!E154="707.8(5)", 'CASE DATA'!E154="707.8(6)", 'CASE DATA'!E154="707.9", 'CASE DATA'!E154="707.11", 'CASE DATA'!E154="707A.2", 'CASE DATA'!E154="708.2(4)", 'CASE DATA'!E154="708.2(5)", 'CASE DATA'!E154="708.2A(4)", 'CASE DATA'!E154="708.2A(5)", 'CASE DATA'!E154="708.2C(2)", 'CASE DATA'!E154="708.2C(4)", 'CASE DATA'!E154="708.3(1)", 'CASE DATA'!E154="708.3(2)", 'CASE DATA'!E154="708.3A(1)", 'CASE DATA'!E154="708.3A(2)", 'CASE DATA'!E154="708.3B", 'CASE DATA'!E154="708.4(1)", 'CASE DATA'!E154="708.4(2)", 'CASE DATA'!E154="708.5", 'CASE DATA'!E154="708.8", 'CASE DATA'!E154="708.11(3)(a)", 'CASE DATA'!E154="708.11(3)(b)", 'CASE DATA'!E154="708.12(3)(f)", 'CASE DATA'!E154="708.13(3)", 'CASE DATA'!E154="708.14", 'CASE DATA'!E154="708A.2", 'CASE DATA'!E154="708A.4(1)", 'CASE DATA'!E154="708A.4(2)", 'CASE DATA'!E154="708A.5", 'CASE DATA'!E154="708A.6(1)", 'CASE DATA'!E154="708.A.6(2)", 'CASE DATA'!E154="709.2", 'CASE DATA'!E154="709.3", 'CASE DATA'!E154="709.4", 'CASE DATA'!E154="709.8(1)(a)", 'CASE DATA'!E154="709.8(1)(b)", 'CASE DATA'!E154="709.8(1)(c)", 'CASE DATA'!E154="709.8(1)(d)", 'CASE DATA'!E154="709.8(1)(e)", 'CASE DATA'!E154="709.11(1)", 'CASE DATA'!E154="709.11(2)", 'CASE DATA'!E154="709.15(2)(a)(1)", 'CASE DATA'!E154="709.15(3)(a)(1)", 'CASE DATA'!E154="709.18", 'CASE DATA'!E154="709A.6(2)", 'CASE DATA'!E154="709D.3(1)", 'CASE DATA'!E154="709D.3(2)", 'CASE DATA'!E154="709.D.3(3)", 'CASE DATA'!E154="710.2", 'CASE DATA'!E154="710.3", 'CASE DATA'!E154="710.4", 'CASE DATA'!E154="710.5", 'CASE DATA'!E154="710.10(1)", 'CASE DATA'!E154="710.10(2)", 'CASE DATA'!E154="710.10(3)", 'CASE DATA'!E154="710.11", 'CASE DATA'!E154="710A.2(1)", 'CASE DATA'!E154="710A.2(2)", 'CASE DATA'!E154="710A.2(3)", 'CASE DATA'!E154="710A.2(4)", 'CASE DATA'!E154="710A.2(5)", 'CASE DATA'!E154="710A.2(6)", 'CASE DATA'!E154="710A.2(7)", 'CASE DATA'!E154="710A.2A", 'CASE DATA'!E154="711.2", 'CASE DATA'!E154="711.3", 'CASE DATA'!E154="711.4", 'CASE DATA'!E154="712.2", 'CASE DATA'!E154="712.3", 'CASE DATA'!E154="712.6(1)", 'CASE DATA'!E154="712.7", 'CASE DATA'!E154="712.8", 'CASE DATA'!E154="", 'CASE DATA'!E154="713.3", 'CASE DATA'!E154="713.4", 'CASE DATA'!E154="713.5", 'CASE DATA'!E154="713.6", 'CASE DATA'!E154="713.6A(1)", 'CASE DATA'!E154="714.2(1)", 'CASE DATA'!E154="714.2(2)", 'CASE DATA'!E154="714.3A(2)(b)", 'CASE DATA'!E154="714.9", 'CASE DATA'!E154="714.10", 'CASE DATA'!E154="714.26(2)(a)", 'CASE DATA'!E154="714.26(2)(b)", 'CASE DATA'!E154="715A.2(2)(a)", 'CASE DATA'!E154="715A.6(2)(a)", 'CASE DATA'!E154="715A.6(2)(b)", 'CASE DATA'!E154="715A.8(3)(a)", 'CASE DATA'!E154="715A.8(3)(b)", 'CASE DATA'!E154="715A.10(1)", 'CASE DATA'!E154="715A.10(2)", 'CASE DATA'!E154="716.3", 'CASE DATA'!E154="716.4", 'CASE DATA'!E154="716.8(6)", 'CASE DATA'!E154="716.10(2)(a)", 'CASE DATA'!E154="716.10(2)(b)", 'CASE DATA'!E154="716.10(2)(c)", 'CASE DATA'!E154="716.10(2)(d)", 'CASE DATA'!E154="716.12", 'CASE DATA'!E154="719.1(1)(f)", 'CASE DATA'!E154="719.1(2)(e)", 'CASE DATA'!E154="719.1(2)(f)", 'CASE DATA'!E154="719.1(2)(g)", 'CASE DATA'!E154="719.4(1)", 'CASE DATA'!E154="719.4(4)", 'CASE DATA'!E154="719.5(1)", 'CASE DATA'!E154="719.5(2)", 'CASE DATA'!E154="719.6(1)", 'CASE DATA'!E154="719.6(2)", 'CASE DATA'!E154="719.7(4)(a)", 'CASE DATA'!E154="719.7(4)(b)", 'CASE DATA'!E154="719.7A(3)", 'CASE DATA'!E154="719.9", 'CASE DATA'!E154="719.8", 'CASE DATA'!E154="720.2", 'CASE DATA'!E154="720.3", 'CASE DATA'!E154="721.1", 'CASE DATA'!E154="722.1", 'CASE DATA'!E154="", 'CASE DATA'!E154="722.2", 'CASE DATA'!E154="722.10", 'CASE DATA'!E154="723(5)(3)(c)", 'CASE DATA'!E154="723A.2", 'CASE DATA'!E154="723A.3(1)", 'CASE DATA'!E154="723A.3(2)", 'CASE DATA'!E154="724.1B", 'CASE DATA'!E154="724.1C", 'CASE DATA'!E154="724.3", 'CASE DATA'!E154="724.4B", 'CASE DATA'!E154="724.10", 'CASE DATA'!E154="724.16(2)", 'CASE DATA'!E154="724.16A(1)(a)", 'CASE DATA'!E154="724.16A(1)(b)", 'CASE DATA'!E154="724.17", 'CASE DATA'!E154="724.21", 'CASE DATA'!E154="724.26(1)", 'CASE DATA'!E154="922(g)(8)", 'CASE DATA'!E154="724.29A(2)", 'CASE DATA'!E154="724.29A(3)", 'CASE DATA'!E154="724.30(1)", 'CASE DATA'!E154="724.30(2)", 'CASE DATA'!E154="725.1(2)(b)", 'CASE DATA'!E154="725.2(1)", 'CASE DATA'!E154="725.2(2)", 'CASE DATA'!E154="725.3(2)", 'CASE DATA'!E154="725.3(1)", 'CASE DATA'!E154="725.7(2)(a)(3)", 'CASE DATA'!E154="725.7(2)(a)(4)", 'CASE DATA'!E154="725.7(2)(b)(2)", 'CASE DATA'!E154="725.7(2)(b(3)", 'CASE DATA'!E154="726.7(2)(c)(1)", 'CASE DATA'!E154="726.7(2)(c)(2)", 'CASE DATA'!E154="725.7(2)(d)", 'CASE DATA'!E154="726.2", 'CASE DATA'!E154="726.3", 'CASE DATA'!E154="726.5", 'CASE DATA'!E154="726.6(4)", 'CASE DATA'!E154="726.6(5)", 'CASE DATA'!E154="726.6(6)", 'CASE DATA'!E154="726.6A", 'CASE DATA'!E154="726.7(2)", 'CASE DATA'!E154="726.8(2)", 'CASE DATA'!E154="728.12(1)", 'CASE DATA'!E154="728.12(2)"),"felony","eligible"),"N/A")</f>
        <v>N/A</v>
      </c>
      <c r="M153" s="185" t="str">
        <f>IF(L153="eligible",IF(OR('CASE DATA'!E154="123.46",'CASE DATA'!E154="123.47",'CASE DATA'!E154="235B.20",'CASE DATA'!E154="321.218",'CASE DATA'!E154="321A.32",'CASE DATA'!E154="321J.21",'CASE DATA'!E154="321J.2",'CASE DATA'!E154="707.5",'CASE DATA'!E154="708.2(3)",'CASE DATA'!E154="708.2A",'CASE DATA'!E154="708.7",'CASE DATA'!E154="708.11",'CASE DATA'!E154="708.12",'CASE DATA'!E154="716.8(3)",'CASE DATA'!E154="716.8(4)", LEFT('CASE DATA'!E154,4)="717C", LEFT('CASE DATA'!E154, 3)="719", LEFT('CASE DATA'!E154,3)="720", 'CASE DATA'!E154="721.2", 'CASE DATA'!E154="721.10", 'CASE DATA'!E154="723.1", LEFT('CASE DATA'!E154,3)="724", LEFT('CASE DATA'!E154,3)="726", LEFT('CASE DATA'!E154,3)="728", LEFT('CASE DATA'!E154,4)="901A"),"ineligible misd", "eligible"),"N/A")</f>
        <v>N/A</v>
      </c>
      <c r="N153" s="185" t="str">
        <f>IF(L153="eligible",IF(COUNTIF('CASE DATA'!$C$4:$C$200, "")-COUNTIF('CASE DATA'!$A$4:$A$200, "")&gt;0, "YES","NO"),"N/A")</f>
        <v>N/A</v>
      </c>
      <c r="O153" s="185" t="str">
        <f xml:space="preserve"> IF(M153="eligible",'CASE DATA'!K154,"N/A")</f>
        <v>N/A</v>
      </c>
      <c r="P153" s="185" t="str">
        <f xml:space="preserve"> IF(M153="eligible",'CASE DATA'!I154+'CASE DATA'!J154+'CASE DATA'!L154+'CASE DATA'!M154+'CASE DATA'!N154+'CASE DATA'!O154+'CASE DATA'!M154+'CASE DATA'!Q154+'CASE DATA'!R154,"N/A")</f>
        <v>N/A</v>
      </c>
      <c r="Q153" s="11" t="str">
        <f>IF(M153="eligible",IF(C153+730.5&lt;'BASIC INFO'!$B$3, "YES", "NO"),"N/A")</f>
        <v>N/A</v>
      </c>
      <c r="R153" s="186" t="str">
        <f xml:space="preserve"> IF(OR('CASE DATA'!F154="DEF"), "YES", "NO")</f>
        <v>NO</v>
      </c>
      <c r="S153" s="162" t="str">
        <f>IF(R153="YES",'CASE DATA'!H154,"N/A")</f>
        <v>N/A</v>
      </c>
      <c r="T153" s="185" t="str">
        <f xml:space="preserve"> IF(R153="YES",'CASE DATA'!K154,"N/A")</f>
        <v>N/A</v>
      </c>
      <c r="U153" s="185" t="str">
        <f>IF(R153="YES",'CASE DATA'!I154+'CASE DATA'!J154+'CASE DATA'!L154+'CASE DATA'!M154+'CASE DATA'!N154+'CASE DATA'!O154+'CASE DATA'!P154+'CASE DATA'!Q154+'CASE DATA'!R154,"N/A")</f>
        <v>N/A</v>
      </c>
      <c r="V153" s="189" t="str">
        <f>IF(OR('CASE DATA'!E154="123.46",'CASE DATA'!E154="123.47"),"YES","NO")</f>
        <v>NO</v>
      </c>
      <c r="W153" s="189"/>
      <c r="X153" s="185" t="str">
        <f>IF(V153="YES",IF(C153+730.5&lt;'BASIC INFO'!$B$3, "YES","NO"), "N/A")</f>
        <v>N/A</v>
      </c>
      <c r="Y153" s="189" t="str">
        <f t="shared" si="2"/>
        <v>NO</v>
      </c>
      <c r="Z153" s="187" t="str">
        <f xml:space="preserve"> IF('BASIC INFO'!$B$6+6574.5&gt;C153, "YES", "NO")</f>
        <v>YES</v>
      </c>
    </row>
    <row r="154" spans="1:26" x14ac:dyDescent="0.25">
      <c r="A154" s="162">
        <f xml:space="preserve"> 'CASE DATA'!A155</f>
        <v>0</v>
      </c>
      <c r="B154" s="162">
        <f xml:space="preserve"> 'CASE DATA'!E155</f>
        <v>0</v>
      </c>
      <c r="C154" s="163">
        <f xml:space="preserve"> 'CASE DATA'!C155</f>
        <v>0</v>
      </c>
      <c r="D154" s="11" t="str">
        <f xml:space="preserve"> IF(OR('CASE DATA'!F155="JUV", 'CASE DATA'!F155="JWV"), "YES", "NO")</f>
        <v>NO</v>
      </c>
      <c r="E154" s="11"/>
      <c r="F154" s="11" t="str">
        <f>IF(D154="YES",IF(COUNTIF('CASE DATA'!$C$4:$C$200, "")-COUNTIF('CASE DATA'!$A$4:$A$200, "")&gt;0, "YES","NO"),"N/A")</f>
        <v>N/A</v>
      </c>
      <c r="G154" s="164" t="str">
        <f xml:space="preserve"> _xlfn.IFS(D154="NO", "N/A", AND('BASIC INFO'!$B$3&gt;'BASIC INFO'!$B$6+6574.5, C154+730.5&lt;'BASIC INFO'!$B$3), "YES", 'BASIC INFO'!$B$3&lt;('BASIC INFO'!$B$6+6574.5), "NOT YET 18", C154+730.5&gt;'BASIC INFO'!$B$3, "NOT YET 2 YEARS")</f>
        <v>N/A</v>
      </c>
      <c r="H154" s="186" t="str">
        <f xml:space="preserve"> IF(LEFT('CASE DATA'!E155,4)&lt;&gt;"321.",IF(OR('CASE DATA'!F155="DISM", 'CASE DATA'!F155="ACQ", 'CASE DATA'!F155="NOTF", 'CASE DATA'!F155="WTHD", 'CASE DATA'!F155="TNSF"), "YES", "NO"), "TRAFFIC")</f>
        <v>NO</v>
      </c>
      <c r="I154" s="185" t="str">
        <f xml:space="preserve"> IF(H154="YES",'CASE DATA'!K155,"N/A")</f>
        <v>N/A</v>
      </c>
      <c r="J154" s="185" t="str">
        <f>IF(H154="YES",'CASE DATA'!I155+'CASE DATA'!J155+'CASE DATA'!L155+'CASE DATA'!M155+'CASE DATA'!N155+'CASE DATA'!O155+'CASE DATA'!P155+'CASE DATA'!Q155+'CASE DATA'!R155,"N/A")</f>
        <v>N/A</v>
      </c>
      <c r="K154" s="162" t="str">
        <f xml:space="preserve"> IF(H154="YES",IF(C154+180&lt;'BASIC INFO'!$B$3, "YES", "NO"),"N/A")</f>
        <v>N/A</v>
      </c>
      <c r="L154" s="185" t="str">
        <f>IF(OR('CASE DATA'!F155="GTR", 'CASE DATA'!F155="GPL"),IF(OR('CASE DATA'!E155="81.6(2)", 'CASE DATA'!E155="99F.15(6)(b)(1)", 'CASE DATA'!E155= "124.401(1)(a)", 'CASE DATA'!E155= "124.401(1)(b)", 'CASE DATA'!E155= "124.401(1)(c)", 'CASE DATA'!E155= "124.401(1)(d)", 'CASE DATA'!E155="124.401(4)", 'CASE DATA'!E155="124.401(1)(b)", 'CASE DATA'!E155="124.401(1)(c)", 'CASE DATA'!E155="124.401D(2)(b)", 'CASE DATA'!E155="124.401D(2)(c)", 'CASE DATA'!E155="124.406(1)(a)", 'CASE DATA'!E155="124.406(1)(b) ", 'CASE DATA'!E155="124.406(2)(a)", 'CASE DATA'!E155="124.406(2)(b) ", 'CASE DATA'!E155="124.406(3)", 'CASE DATA'!E155="124.406A ", 'CASE DATA'!E155="124.407(2)(a)", 'CASE DATA'!E155="124B.9(1)", 'CASE DATA'!E155="124B.9(2)", 'CASE DATA'!E155="321J.2(2)(c)", 'CASE DATA'!E155="453B.12(2)", 'CASE DATA'!E155="453B.12(3)", 'CASE DATA'!E155="453B.12(4)", 'CASE DATA'!E155="462A.14(2)(c)", 'CASE DATA'!E155="462A.14(2)(d)", 'CASE DATA'!E155="462A.14(2)(e)", 'CASE DATA'!E155="705.1(2)", 'CASE DATA'!E155="706.3(1)", 'CASE DATA'!E155="706.3(2)", 'CASE DATA'!E155="706A.2(1)", 'CASE DATA'!E155="706A.2(2)", 'CASE DATA'!E155="706A.2(4)", 'CASE DATA'!E155="706B.2(1)(a)", 'CASE DATA'!E155="706B.2(1)(b)", 'CASE DATA'!E155="706B.2(1)(c)", 'CASE DATA'!E155="706B.2(1)(d)", 'CASE DATA'!E155="707.2", 'CASE DATA'!E155="707.3", 'CASE DATA'!E155="707.3A", 'CASE DATA'!E155="707.4", 'CASE DATA'!E155="707.5(1)(a)", 'CASE DATA'!E155="707.6A(1)", 'CASE DATA'!E155="707.6A(2)", 'CASE DATA'!E155="707.6A(3)", 'CASE DATA'!E155="707.6A(4)", 'CASE DATA'!E155="707.7(1)", 'CASE DATA'!E155="707.7(3)", 'CASE DATA'!E155="707.7(2)", 'CASE DATA'!E155="707.8(1)", 'CASE DATA'!E155="707.8(2)", 'CASE DATA'!E155="707.8(3)", 'CASE DATA'!E155="707.8(4)", 'CASE DATA'!E155="707.8(5)", 'CASE DATA'!E155="707.8(6)", 'CASE DATA'!E155="707.9", 'CASE DATA'!E155="707.11", 'CASE DATA'!E155="707A.2", 'CASE DATA'!E155="708.2(4)", 'CASE DATA'!E155="708.2(5)", 'CASE DATA'!E155="708.2A(4)", 'CASE DATA'!E155="708.2A(5)", 'CASE DATA'!E155="708.2C(2)", 'CASE DATA'!E155="708.2C(4)", 'CASE DATA'!E155="708.3(1)", 'CASE DATA'!E155="708.3(2)", 'CASE DATA'!E155="708.3A(1)", 'CASE DATA'!E155="708.3A(2)", 'CASE DATA'!E155="708.3B", 'CASE DATA'!E155="708.4(1)", 'CASE DATA'!E155="708.4(2)", 'CASE DATA'!E155="708.5", 'CASE DATA'!E155="708.8", 'CASE DATA'!E155="708.11(3)(a)", 'CASE DATA'!E155="708.11(3)(b)", 'CASE DATA'!E155="708.12(3)(f)", 'CASE DATA'!E155="708.13(3)", 'CASE DATA'!E155="708.14", 'CASE DATA'!E155="708A.2", 'CASE DATA'!E155="708A.4(1)", 'CASE DATA'!E155="708A.4(2)", 'CASE DATA'!E155="708A.5", 'CASE DATA'!E155="708A.6(1)", 'CASE DATA'!E155="708.A.6(2)", 'CASE DATA'!E155="709.2", 'CASE DATA'!E155="709.3", 'CASE DATA'!E155="709.4", 'CASE DATA'!E155="709.8(1)(a)", 'CASE DATA'!E155="709.8(1)(b)", 'CASE DATA'!E155="709.8(1)(c)", 'CASE DATA'!E155="709.8(1)(d)", 'CASE DATA'!E155="709.8(1)(e)", 'CASE DATA'!E155="709.11(1)", 'CASE DATA'!E155="709.11(2)", 'CASE DATA'!E155="709.15(2)(a)(1)", 'CASE DATA'!E155="709.15(3)(a)(1)", 'CASE DATA'!E155="709.18", 'CASE DATA'!E155="709A.6(2)", 'CASE DATA'!E155="709D.3(1)", 'CASE DATA'!E155="709D.3(2)", 'CASE DATA'!E155="709.D.3(3)", 'CASE DATA'!E155="710.2", 'CASE DATA'!E155="710.3", 'CASE DATA'!E155="710.4", 'CASE DATA'!E155="710.5", 'CASE DATA'!E155="710.10(1)", 'CASE DATA'!E155="710.10(2)", 'CASE DATA'!E155="710.10(3)", 'CASE DATA'!E155="710.11", 'CASE DATA'!E155="710A.2(1)", 'CASE DATA'!E155="710A.2(2)", 'CASE DATA'!E155="710A.2(3)", 'CASE DATA'!E155="710A.2(4)", 'CASE DATA'!E155="710A.2(5)", 'CASE DATA'!E155="710A.2(6)", 'CASE DATA'!E155="710A.2(7)", 'CASE DATA'!E155="710A.2A", 'CASE DATA'!E155="711.2", 'CASE DATA'!E155="711.3", 'CASE DATA'!E155="711.4", 'CASE DATA'!E155="712.2", 'CASE DATA'!E155="712.3", 'CASE DATA'!E155="712.6(1)", 'CASE DATA'!E155="712.7", 'CASE DATA'!E155="712.8", 'CASE DATA'!E155="", 'CASE DATA'!E155="713.3", 'CASE DATA'!E155="713.4", 'CASE DATA'!E155="713.5", 'CASE DATA'!E155="713.6", 'CASE DATA'!E155="713.6A(1)", 'CASE DATA'!E155="714.2(1)", 'CASE DATA'!E155="714.2(2)", 'CASE DATA'!E155="714.3A(2)(b)", 'CASE DATA'!E155="714.9", 'CASE DATA'!E155="714.10", 'CASE DATA'!E155="714.26(2)(a)", 'CASE DATA'!E155="714.26(2)(b)", 'CASE DATA'!E155="715A.2(2)(a)", 'CASE DATA'!E155="715A.6(2)(a)", 'CASE DATA'!E155="715A.6(2)(b)", 'CASE DATA'!E155="715A.8(3)(a)", 'CASE DATA'!E155="715A.8(3)(b)", 'CASE DATA'!E155="715A.10(1)", 'CASE DATA'!E155="715A.10(2)", 'CASE DATA'!E155="716.3", 'CASE DATA'!E155="716.4", 'CASE DATA'!E155="716.8(6)", 'CASE DATA'!E155="716.10(2)(a)", 'CASE DATA'!E155="716.10(2)(b)", 'CASE DATA'!E155="716.10(2)(c)", 'CASE DATA'!E155="716.10(2)(d)", 'CASE DATA'!E155="716.12", 'CASE DATA'!E155="719.1(1)(f)", 'CASE DATA'!E155="719.1(2)(e)", 'CASE DATA'!E155="719.1(2)(f)", 'CASE DATA'!E155="719.1(2)(g)", 'CASE DATA'!E155="719.4(1)", 'CASE DATA'!E155="719.4(4)", 'CASE DATA'!E155="719.5(1)", 'CASE DATA'!E155="719.5(2)", 'CASE DATA'!E155="719.6(1)", 'CASE DATA'!E155="719.6(2)", 'CASE DATA'!E155="719.7(4)(a)", 'CASE DATA'!E155="719.7(4)(b)", 'CASE DATA'!E155="719.7A(3)", 'CASE DATA'!E155="719.9", 'CASE DATA'!E155="719.8", 'CASE DATA'!E155="720.2", 'CASE DATA'!E155="720.3", 'CASE DATA'!E155="721.1", 'CASE DATA'!E155="722.1", 'CASE DATA'!E155="", 'CASE DATA'!E155="722.2", 'CASE DATA'!E155="722.10", 'CASE DATA'!E155="723(5)(3)(c)", 'CASE DATA'!E155="723A.2", 'CASE DATA'!E155="723A.3(1)", 'CASE DATA'!E155="723A.3(2)", 'CASE DATA'!E155="724.1B", 'CASE DATA'!E155="724.1C", 'CASE DATA'!E155="724.3", 'CASE DATA'!E155="724.4B", 'CASE DATA'!E155="724.10", 'CASE DATA'!E155="724.16(2)", 'CASE DATA'!E155="724.16A(1)(a)", 'CASE DATA'!E155="724.16A(1)(b)", 'CASE DATA'!E155="724.17", 'CASE DATA'!E155="724.21", 'CASE DATA'!E155="724.26(1)", 'CASE DATA'!E155="922(g)(8)", 'CASE DATA'!E155="724.29A(2)", 'CASE DATA'!E155="724.29A(3)", 'CASE DATA'!E155="724.30(1)", 'CASE DATA'!E155="724.30(2)", 'CASE DATA'!E155="725.1(2)(b)", 'CASE DATA'!E155="725.2(1)", 'CASE DATA'!E155="725.2(2)", 'CASE DATA'!E155="725.3(2)", 'CASE DATA'!E155="725.3(1)", 'CASE DATA'!E155="725.7(2)(a)(3)", 'CASE DATA'!E155="725.7(2)(a)(4)", 'CASE DATA'!E155="725.7(2)(b)(2)", 'CASE DATA'!E155="725.7(2)(b(3)", 'CASE DATA'!E155="726.7(2)(c)(1)", 'CASE DATA'!E155="726.7(2)(c)(2)", 'CASE DATA'!E155="725.7(2)(d)", 'CASE DATA'!E155="726.2", 'CASE DATA'!E155="726.3", 'CASE DATA'!E155="726.5", 'CASE DATA'!E155="726.6(4)", 'CASE DATA'!E155="726.6(5)", 'CASE DATA'!E155="726.6(6)", 'CASE DATA'!E155="726.6A", 'CASE DATA'!E155="726.7(2)", 'CASE DATA'!E155="726.8(2)", 'CASE DATA'!E155="728.12(1)", 'CASE DATA'!E155="728.12(2)"),"felony","eligible"),"N/A")</f>
        <v>N/A</v>
      </c>
      <c r="M154" s="185" t="str">
        <f>IF(L154="eligible",IF(OR('CASE DATA'!E155="123.46",'CASE DATA'!E155="123.47",'CASE DATA'!E155="235B.20",'CASE DATA'!E155="321.218",'CASE DATA'!E155="321A.32",'CASE DATA'!E155="321J.21",'CASE DATA'!E155="321J.2",'CASE DATA'!E155="707.5",'CASE DATA'!E155="708.2(3)",'CASE DATA'!E155="708.2A",'CASE DATA'!E155="708.7",'CASE DATA'!E155="708.11",'CASE DATA'!E155="708.12",'CASE DATA'!E155="716.8(3)",'CASE DATA'!E155="716.8(4)", LEFT('CASE DATA'!E155,4)="717C", LEFT('CASE DATA'!E155, 3)="719", LEFT('CASE DATA'!E155,3)="720", 'CASE DATA'!E155="721.2", 'CASE DATA'!E155="721.10", 'CASE DATA'!E155="723.1", LEFT('CASE DATA'!E155,3)="724", LEFT('CASE DATA'!E155,3)="726", LEFT('CASE DATA'!E155,3)="728", LEFT('CASE DATA'!E155,4)="901A"),"ineligible misd", "eligible"),"N/A")</f>
        <v>N/A</v>
      </c>
      <c r="N154" s="185" t="str">
        <f>IF(L154="eligible",IF(COUNTIF('CASE DATA'!$C$4:$C$200, "")-COUNTIF('CASE DATA'!$A$4:$A$200, "")&gt;0, "YES","NO"),"N/A")</f>
        <v>N/A</v>
      </c>
      <c r="O154" s="185" t="str">
        <f xml:space="preserve"> IF(M154="eligible",'CASE DATA'!K155,"N/A")</f>
        <v>N/A</v>
      </c>
      <c r="P154" s="185" t="str">
        <f xml:space="preserve"> IF(M154="eligible",'CASE DATA'!I155+'CASE DATA'!J155+'CASE DATA'!L155+'CASE DATA'!M155+'CASE DATA'!N155+'CASE DATA'!O155+'CASE DATA'!M155+'CASE DATA'!Q155+'CASE DATA'!R155,"N/A")</f>
        <v>N/A</v>
      </c>
      <c r="Q154" s="11" t="str">
        <f>IF(M154="eligible",IF(C154+730.5&lt;'BASIC INFO'!$B$3, "YES", "NO"),"N/A")</f>
        <v>N/A</v>
      </c>
      <c r="R154" s="186" t="str">
        <f xml:space="preserve"> IF(OR('CASE DATA'!F155="DEF"), "YES", "NO")</f>
        <v>NO</v>
      </c>
      <c r="S154" s="162" t="str">
        <f>IF(R154="YES",'CASE DATA'!H155,"N/A")</f>
        <v>N/A</v>
      </c>
      <c r="T154" s="185" t="str">
        <f xml:space="preserve"> IF(R154="YES",'CASE DATA'!K155,"N/A")</f>
        <v>N/A</v>
      </c>
      <c r="U154" s="185" t="str">
        <f>IF(R154="YES",'CASE DATA'!I155+'CASE DATA'!J155+'CASE DATA'!L155+'CASE DATA'!M155+'CASE DATA'!N155+'CASE DATA'!O155+'CASE DATA'!P155+'CASE DATA'!Q155+'CASE DATA'!R155,"N/A")</f>
        <v>N/A</v>
      </c>
      <c r="V154" s="189" t="str">
        <f>IF(OR('CASE DATA'!E155="123.46",'CASE DATA'!E155="123.47"),"YES","NO")</f>
        <v>NO</v>
      </c>
      <c r="W154" s="189"/>
      <c r="X154" s="185" t="str">
        <f>IF(V154="YES",IF(C154+730.5&lt;'BASIC INFO'!$B$3, "YES","NO"), "N/A")</f>
        <v>N/A</v>
      </c>
      <c r="Y154" s="189" t="str">
        <f t="shared" si="2"/>
        <v>NO</v>
      </c>
      <c r="Z154" s="187" t="str">
        <f xml:space="preserve"> IF('BASIC INFO'!$B$6+6574.5&gt;C154, "YES", "NO")</f>
        <v>YES</v>
      </c>
    </row>
    <row r="155" spans="1:26" x14ac:dyDescent="0.25">
      <c r="A155" s="162">
        <f xml:space="preserve"> 'CASE DATA'!A156</f>
        <v>0</v>
      </c>
      <c r="B155" s="162">
        <f xml:space="preserve"> 'CASE DATA'!E156</f>
        <v>0</v>
      </c>
      <c r="C155" s="163">
        <f xml:space="preserve"> 'CASE DATA'!C156</f>
        <v>0</v>
      </c>
      <c r="D155" s="11" t="str">
        <f xml:space="preserve"> IF(OR('CASE DATA'!F156="JUV", 'CASE DATA'!F156="JWV"), "YES", "NO")</f>
        <v>NO</v>
      </c>
      <c r="E155" s="11"/>
      <c r="F155" s="11" t="str">
        <f>IF(D155="YES",IF(COUNTIF('CASE DATA'!$C$4:$C$200, "")-COUNTIF('CASE DATA'!$A$4:$A$200, "")&gt;0, "YES","NO"),"N/A")</f>
        <v>N/A</v>
      </c>
      <c r="G155" s="164" t="str">
        <f xml:space="preserve"> _xlfn.IFS(D155="NO", "N/A", AND('BASIC INFO'!$B$3&gt;'BASIC INFO'!$B$6+6574.5, C155+730.5&lt;'BASIC INFO'!$B$3), "YES", 'BASIC INFO'!$B$3&lt;('BASIC INFO'!$B$6+6574.5), "NOT YET 18", C155+730.5&gt;'BASIC INFO'!$B$3, "NOT YET 2 YEARS")</f>
        <v>N/A</v>
      </c>
      <c r="H155" s="186" t="str">
        <f xml:space="preserve"> IF(LEFT('CASE DATA'!E156,4)&lt;&gt;"321.",IF(OR('CASE DATA'!F156="DISM", 'CASE DATA'!F156="ACQ", 'CASE DATA'!F156="NOTF", 'CASE DATA'!F156="WTHD", 'CASE DATA'!F156="TNSF"), "YES", "NO"), "TRAFFIC")</f>
        <v>NO</v>
      </c>
      <c r="I155" s="185" t="str">
        <f xml:space="preserve"> IF(H155="YES",'CASE DATA'!K156,"N/A")</f>
        <v>N/A</v>
      </c>
      <c r="J155" s="185" t="str">
        <f>IF(H155="YES",'CASE DATA'!I156+'CASE DATA'!J156+'CASE DATA'!L156+'CASE DATA'!M156+'CASE DATA'!N156+'CASE DATA'!O156+'CASE DATA'!P156+'CASE DATA'!Q156+'CASE DATA'!R156,"N/A")</f>
        <v>N/A</v>
      </c>
      <c r="K155" s="162" t="str">
        <f xml:space="preserve"> IF(H155="YES",IF(C155+180&lt;'BASIC INFO'!$B$3, "YES", "NO"),"N/A")</f>
        <v>N/A</v>
      </c>
      <c r="L155" s="185" t="str">
        <f>IF(OR('CASE DATA'!F156="GTR", 'CASE DATA'!F156="GPL"),IF(OR('CASE DATA'!E156="81.6(2)", 'CASE DATA'!E156="99F.15(6)(b)(1)", 'CASE DATA'!E156= "124.401(1)(a)", 'CASE DATA'!E156= "124.401(1)(b)", 'CASE DATA'!E156= "124.401(1)(c)", 'CASE DATA'!E156= "124.401(1)(d)", 'CASE DATA'!E156="124.401(4)", 'CASE DATA'!E156="124.401(1)(b)", 'CASE DATA'!E156="124.401(1)(c)", 'CASE DATA'!E156="124.401D(2)(b)", 'CASE DATA'!E156="124.401D(2)(c)", 'CASE DATA'!E156="124.406(1)(a)", 'CASE DATA'!E156="124.406(1)(b) ", 'CASE DATA'!E156="124.406(2)(a)", 'CASE DATA'!E156="124.406(2)(b) ", 'CASE DATA'!E156="124.406(3)", 'CASE DATA'!E156="124.406A ", 'CASE DATA'!E156="124.407(2)(a)", 'CASE DATA'!E156="124B.9(1)", 'CASE DATA'!E156="124B.9(2)", 'CASE DATA'!E156="321J.2(2)(c)", 'CASE DATA'!E156="453B.12(2)", 'CASE DATA'!E156="453B.12(3)", 'CASE DATA'!E156="453B.12(4)", 'CASE DATA'!E156="462A.14(2)(c)", 'CASE DATA'!E156="462A.14(2)(d)", 'CASE DATA'!E156="462A.14(2)(e)", 'CASE DATA'!E156="705.1(2)", 'CASE DATA'!E156="706.3(1)", 'CASE DATA'!E156="706.3(2)", 'CASE DATA'!E156="706A.2(1)", 'CASE DATA'!E156="706A.2(2)", 'CASE DATA'!E156="706A.2(4)", 'CASE DATA'!E156="706B.2(1)(a)", 'CASE DATA'!E156="706B.2(1)(b)", 'CASE DATA'!E156="706B.2(1)(c)", 'CASE DATA'!E156="706B.2(1)(d)", 'CASE DATA'!E156="707.2", 'CASE DATA'!E156="707.3", 'CASE DATA'!E156="707.3A", 'CASE DATA'!E156="707.4", 'CASE DATA'!E156="707.5(1)(a)", 'CASE DATA'!E156="707.6A(1)", 'CASE DATA'!E156="707.6A(2)", 'CASE DATA'!E156="707.6A(3)", 'CASE DATA'!E156="707.6A(4)", 'CASE DATA'!E156="707.7(1)", 'CASE DATA'!E156="707.7(3)", 'CASE DATA'!E156="707.7(2)", 'CASE DATA'!E156="707.8(1)", 'CASE DATA'!E156="707.8(2)", 'CASE DATA'!E156="707.8(3)", 'CASE DATA'!E156="707.8(4)", 'CASE DATA'!E156="707.8(5)", 'CASE DATA'!E156="707.8(6)", 'CASE DATA'!E156="707.9", 'CASE DATA'!E156="707.11", 'CASE DATA'!E156="707A.2", 'CASE DATA'!E156="708.2(4)", 'CASE DATA'!E156="708.2(5)", 'CASE DATA'!E156="708.2A(4)", 'CASE DATA'!E156="708.2A(5)", 'CASE DATA'!E156="708.2C(2)", 'CASE DATA'!E156="708.2C(4)", 'CASE DATA'!E156="708.3(1)", 'CASE DATA'!E156="708.3(2)", 'CASE DATA'!E156="708.3A(1)", 'CASE DATA'!E156="708.3A(2)", 'CASE DATA'!E156="708.3B", 'CASE DATA'!E156="708.4(1)", 'CASE DATA'!E156="708.4(2)", 'CASE DATA'!E156="708.5", 'CASE DATA'!E156="708.8", 'CASE DATA'!E156="708.11(3)(a)", 'CASE DATA'!E156="708.11(3)(b)", 'CASE DATA'!E156="708.12(3)(f)", 'CASE DATA'!E156="708.13(3)", 'CASE DATA'!E156="708.14", 'CASE DATA'!E156="708A.2", 'CASE DATA'!E156="708A.4(1)", 'CASE DATA'!E156="708A.4(2)", 'CASE DATA'!E156="708A.5", 'CASE DATA'!E156="708A.6(1)", 'CASE DATA'!E156="708.A.6(2)", 'CASE DATA'!E156="709.2", 'CASE DATA'!E156="709.3", 'CASE DATA'!E156="709.4", 'CASE DATA'!E156="709.8(1)(a)", 'CASE DATA'!E156="709.8(1)(b)", 'CASE DATA'!E156="709.8(1)(c)", 'CASE DATA'!E156="709.8(1)(d)", 'CASE DATA'!E156="709.8(1)(e)", 'CASE DATA'!E156="709.11(1)", 'CASE DATA'!E156="709.11(2)", 'CASE DATA'!E156="709.15(2)(a)(1)", 'CASE DATA'!E156="709.15(3)(a)(1)", 'CASE DATA'!E156="709.18", 'CASE DATA'!E156="709A.6(2)", 'CASE DATA'!E156="709D.3(1)", 'CASE DATA'!E156="709D.3(2)", 'CASE DATA'!E156="709.D.3(3)", 'CASE DATA'!E156="710.2", 'CASE DATA'!E156="710.3", 'CASE DATA'!E156="710.4", 'CASE DATA'!E156="710.5", 'CASE DATA'!E156="710.10(1)", 'CASE DATA'!E156="710.10(2)", 'CASE DATA'!E156="710.10(3)", 'CASE DATA'!E156="710.11", 'CASE DATA'!E156="710A.2(1)", 'CASE DATA'!E156="710A.2(2)", 'CASE DATA'!E156="710A.2(3)", 'CASE DATA'!E156="710A.2(4)", 'CASE DATA'!E156="710A.2(5)", 'CASE DATA'!E156="710A.2(6)", 'CASE DATA'!E156="710A.2(7)", 'CASE DATA'!E156="710A.2A", 'CASE DATA'!E156="711.2", 'CASE DATA'!E156="711.3", 'CASE DATA'!E156="711.4", 'CASE DATA'!E156="712.2", 'CASE DATA'!E156="712.3", 'CASE DATA'!E156="712.6(1)", 'CASE DATA'!E156="712.7", 'CASE DATA'!E156="712.8", 'CASE DATA'!E156="", 'CASE DATA'!E156="713.3", 'CASE DATA'!E156="713.4", 'CASE DATA'!E156="713.5", 'CASE DATA'!E156="713.6", 'CASE DATA'!E156="713.6A(1)", 'CASE DATA'!E156="714.2(1)", 'CASE DATA'!E156="714.2(2)", 'CASE DATA'!E156="714.3A(2)(b)", 'CASE DATA'!E156="714.9", 'CASE DATA'!E156="714.10", 'CASE DATA'!E156="714.26(2)(a)", 'CASE DATA'!E156="714.26(2)(b)", 'CASE DATA'!E156="715A.2(2)(a)", 'CASE DATA'!E156="715A.6(2)(a)", 'CASE DATA'!E156="715A.6(2)(b)", 'CASE DATA'!E156="715A.8(3)(a)", 'CASE DATA'!E156="715A.8(3)(b)", 'CASE DATA'!E156="715A.10(1)", 'CASE DATA'!E156="715A.10(2)", 'CASE DATA'!E156="716.3", 'CASE DATA'!E156="716.4", 'CASE DATA'!E156="716.8(6)", 'CASE DATA'!E156="716.10(2)(a)", 'CASE DATA'!E156="716.10(2)(b)", 'CASE DATA'!E156="716.10(2)(c)", 'CASE DATA'!E156="716.10(2)(d)", 'CASE DATA'!E156="716.12", 'CASE DATA'!E156="719.1(1)(f)", 'CASE DATA'!E156="719.1(2)(e)", 'CASE DATA'!E156="719.1(2)(f)", 'CASE DATA'!E156="719.1(2)(g)", 'CASE DATA'!E156="719.4(1)", 'CASE DATA'!E156="719.4(4)", 'CASE DATA'!E156="719.5(1)", 'CASE DATA'!E156="719.5(2)", 'CASE DATA'!E156="719.6(1)", 'CASE DATA'!E156="719.6(2)", 'CASE DATA'!E156="719.7(4)(a)", 'CASE DATA'!E156="719.7(4)(b)", 'CASE DATA'!E156="719.7A(3)", 'CASE DATA'!E156="719.9", 'CASE DATA'!E156="719.8", 'CASE DATA'!E156="720.2", 'CASE DATA'!E156="720.3", 'CASE DATA'!E156="721.1", 'CASE DATA'!E156="722.1", 'CASE DATA'!E156="", 'CASE DATA'!E156="722.2", 'CASE DATA'!E156="722.10", 'CASE DATA'!E156="723(5)(3)(c)", 'CASE DATA'!E156="723A.2", 'CASE DATA'!E156="723A.3(1)", 'CASE DATA'!E156="723A.3(2)", 'CASE DATA'!E156="724.1B", 'CASE DATA'!E156="724.1C", 'CASE DATA'!E156="724.3", 'CASE DATA'!E156="724.4B", 'CASE DATA'!E156="724.10", 'CASE DATA'!E156="724.16(2)", 'CASE DATA'!E156="724.16A(1)(a)", 'CASE DATA'!E156="724.16A(1)(b)", 'CASE DATA'!E156="724.17", 'CASE DATA'!E156="724.21", 'CASE DATA'!E156="724.26(1)", 'CASE DATA'!E156="922(g)(8)", 'CASE DATA'!E156="724.29A(2)", 'CASE DATA'!E156="724.29A(3)", 'CASE DATA'!E156="724.30(1)", 'CASE DATA'!E156="724.30(2)", 'CASE DATA'!E156="725.1(2)(b)", 'CASE DATA'!E156="725.2(1)", 'CASE DATA'!E156="725.2(2)", 'CASE DATA'!E156="725.3(2)", 'CASE DATA'!E156="725.3(1)", 'CASE DATA'!E156="725.7(2)(a)(3)", 'CASE DATA'!E156="725.7(2)(a)(4)", 'CASE DATA'!E156="725.7(2)(b)(2)", 'CASE DATA'!E156="725.7(2)(b(3)", 'CASE DATA'!E156="726.7(2)(c)(1)", 'CASE DATA'!E156="726.7(2)(c)(2)", 'CASE DATA'!E156="725.7(2)(d)", 'CASE DATA'!E156="726.2", 'CASE DATA'!E156="726.3", 'CASE DATA'!E156="726.5", 'CASE DATA'!E156="726.6(4)", 'CASE DATA'!E156="726.6(5)", 'CASE DATA'!E156="726.6(6)", 'CASE DATA'!E156="726.6A", 'CASE DATA'!E156="726.7(2)", 'CASE DATA'!E156="726.8(2)", 'CASE DATA'!E156="728.12(1)", 'CASE DATA'!E156="728.12(2)"),"felony","eligible"),"N/A")</f>
        <v>N/A</v>
      </c>
      <c r="M155" s="185" t="str">
        <f>IF(L155="eligible",IF(OR('CASE DATA'!E156="123.46",'CASE DATA'!E156="123.47",'CASE DATA'!E156="235B.20",'CASE DATA'!E156="321.218",'CASE DATA'!E156="321A.32",'CASE DATA'!E156="321J.21",'CASE DATA'!E156="321J.2",'CASE DATA'!E156="707.5",'CASE DATA'!E156="708.2(3)",'CASE DATA'!E156="708.2A",'CASE DATA'!E156="708.7",'CASE DATA'!E156="708.11",'CASE DATA'!E156="708.12",'CASE DATA'!E156="716.8(3)",'CASE DATA'!E156="716.8(4)", LEFT('CASE DATA'!E156,4)="717C", LEFT('CASE DATA'!E156, 3)="719", LEFT('CASE DATA'!E156,3)="720", 'CASE DATA'!E156="721.2", 'CASE DATA'!E156="721.10", 'CASE DATA'!E156="723.1", LEFT('CASE DATA'!E156,3)="724", LEFT('CASE DATA'!E156,3)="726", LEFT('CASE DATA'!E156,3)="728", LEFT('CASE DATA'!E156,4)="901A"),"ineligible misd", "eligible"),"N/A")</f>
        <v>N/A</v>
      </c>
      <c r="N155" s="185" t="str">
        <f>IF(L155="eligible",IF(COUNTIF('CASE DATA'!$C$4:$C$200, "")-COUNTIF('CASE DATA'!$A$4:$A$200, "")&gt;0, "YES","NO"),"N/A")</f>
        <v>N/A</v>
      </c>
      <c r="O155" s="185" t="str">
        <f xml:space="preserve"> IF(M155="eligible",'CASE DATA'!K156,"N/A")</f>
        <v>N/A</v>
      </c>
      <c r="P155" s="185" t="str">
        <f xml:space="preserve"> IF(M155="eligible",'CASE DATA'!I156+'CASE DATA'!J156+'CASE DATA'!L156+'CASE DATA'!M156+'CASE DATA'!N156+'CASE DATA'!O156+'CASE DATA'!M156+'CASE DATA'!Q156+'CASE DATA'!R156,"N/A")</f>
        <v>N/A</v>
      </c>
      <c r="Q155" s="11" t="str">
        <f>IF(M155="eligible",IF(C155+730.5&lt;'BASIC INFO'!$B$3, "YES", "NO"),"N/A")</f>
        <v>N/A</v>
      </c>
      <c r="R155" s="186" t="str">
        <f xml:space="preserve"> IF(OR('CASE DATA'!F156="DEF"), "YES", "NO")</f>
        <v>NO</v>
      </c>
      <c r="S155" s="162" t="str">
        <f>IF(R155="YES",'CASE DATA'!H156,"N/A")</f>
        <v>N/A</v>
      </c>
      <c r="T155" s="185" t="str">
        <f xml:space="preserve"> IF(R155="YES",'CASE DATA'!K156,"N/A")</f>
        <v>N/A</v>
      </c>
      <c r="U155" s="185" t="str">
        <f>IF(R155="YES",'CASE DATA'!I156+'CASE DATA'!J156+'CASE DATA'!L156+'CASE DATA'!M156+'CASE DATA'!N156+'CASE DATA'!O156+'CASE DATA'!P156+'CASE DATA'!Q156+'CASE DATA'!R156,"N/A")</f>
        <v>N/A</v>
      </c>
      <c r="V155" s="189" t="str">
        <f>IF(OR('CASE DATA'!E156="123.46",'CASE DATA'!E156="123.47"),"YES","NO")</f>
        <v>NO</v>
      </c>
      <c r="W155" s="189"/>
      <c r="X155" s="185" t="str">
        <f>IF(V155="YES",IF(C155+730.5&lt;'BASIC INFO'!$B$3, "YES","NO"), "N/A")</f>
        <v>N/A</v>
      </c>
      <c r="Y155" s="189" t="str">
        <f t="shared" si="2"/>
        <v>NO</v>
      </c>
      <c r="Z155" s="187" t="str">
        <f xml:space="preserve"> IF('BASIC INFO'!$B$6+6574.5&gt;C155, "YES", "NO")</f>
        <v>YES</v>
      </c>
    </row>
    <row r="156" spans="1:26" x14ac:dyDescent="0.25">
      <c r="A156" s="162">
        <f xml:space="preserve"> 'CASE DATA'!A157</f>
        <v>0</v>
      </c>
      <c r="B156" s="162">
        <f xml:space="preserve"> 'CASE DATA'!E157</f>
        <v>0</v>
      </c>
      <c r="C156" s="163">
        <f xml:space="preserve"> 'CASE DATA'!C157</f>
        <v>0</v>
      </c>
      <c r="D156" s="11" t="str">
        <f xml:space="preserve"> IF(OR('CASE DATA'!F157="JUV", 'CASE DATA'!F157="JWV"), "YES", "NO")</f>
        <v>NO</v>
      </c>
      <c r="E156" s="11"/>
      <c r="F156" s="11" t="str">
        <f>IF(D156="YES",IF(COUNTIF('CASE DATA'!$C$4:$C$200, "")-COUNTIF('CASE DATA'!$A$4:$A$200, "")&gt;0, "YES","NO"),"N/A")</f>
        <v>N/A</v>
      </c>
      <c r="G156" s="164" t="str">
        <f xml:space="preserve"> _xlfn.IFS(D156="NO", "N/A", AND('BASIC INFO'!$B$3&gt;'BASIC INFO'!$B$6+6574.5, C156+730.5&lt;'BASIC INFO'!$B$3), "YES", 'BASIC INFO'!$B$3&lt;('BASIC INFO'!$B$6+6574.5), "NOT YET 18", C156+730.5&gt;'BASIC INFO'!$B$3, "NOT YET 2 YEARS")</f>
        <v>N/A</v>
      </c>
      <c r="H156" s="186" t="str">
        <f xml:space="preserve"> IF(LEFT('CASE DATA'!E157,4)&lt;&gt;"321.",IF(OR('CASE DATA'!F157="DISM", 'CASE DATA'!F157="ACQ", 'CASE DATA'!F157="NOTF", 'CASE DATA'!F157="WTHD", 'CASE DATA'!F157="TNSF"), "YES", "NO"), "TRAFFIC")</f>
        <v>NO</v>
      </c>
      <c r="I156" s="185" t="str">
        <f xml:space="preserve"> IF(H156="YES",'CASE DATA'!K157,"N/A")</f>
        <v>N/A</v>
      </c>
      <c r="J156" s="185" t="str">
        <f>IF(H156="YES",'CASE DATA'!I157+'CASE DATA'!J157+'CASE DATA'!L157+'CASE DATA'!M157+'CASE DATA'!N157+'CASE DATA'!O157+'CASE DATA'!P157+'CASE DATA'!Q157+'CASE DATA'!R157,"N/A")</f>
        <v>N/A</v>
      </c>
      <c r="K156" s="162" t="str">
        <f xml:space="preserve"> IF(H156="YES",IF(C156+180&lt;'BASIC INFO'!$B$3, "YES", "NO"),"N/A")</f>
        <v>N/A</v>
      </c>
      <c r="L156" s="185" t="str">
        <f>IF(OR('CASE DATA'!F157="GTR", 'CASE DATA'!F157="GPL"),IF(OR('CASE DATA'!E157="81.6(2)", 'CASE DATA'!E157="99F.15(6)(b)(1)", 'CASE DATA'!E157= "124.401(1)(a)", 'CASE DATA'!E157= "124.401(1)(b)", 'CASE DATA'!E157= "124.401(1)(c)", 'CASE DATA'!E157= "124.401(1)(d)", 'CASE DATA'!E157="124.401(4)", 'CASE DATA'!E157="124.401(1)(b)", 'CASE DATA'!E157="124.401(1)(c)", 'CASE DATA'!E157="124.401D(2)(b)", 'CASE DATA'!E157="124.401D(2)(c)", 'CASE DATA'!E157="124.406(1)(a)", 'CASE DATA'!E157="124.406(1)(b) ", 'CASE DATA'!E157="124.406(2)(a)", 'CASE DATA'!E157="124.406(2)(b) ", 'CASE DATA'!E157="124.406(3)", 'CASE DATA'!E157="124.406A ", 'CASE DATA'!E157="124.407(2)(a)", 'CASE DATA'!E157="124B.9(1)", 'CASE DATA'!E157="124B.9(2)", 'CASE DATA'!E157="321J.2(2)(c)", 'CASE DATA'!E157="453B.12(2)", 'CASE DATA'!E157="453B.12(3)", 'CASE DATA'!E157="453B.12(4)", 'CASE DATA'!E157="462A.14(2)(c)", 'CASE DATA'!E157="462A.14(2)(d)", 'CASE DATA'!E157="462A.14(2)(e)", 'CASE DATA'!E157="705.1(2)", 'CASE DATA'!E157="706.3(1)", 'CASE DATA'!E157="706.3(2)", 'CASE DATA'!E157="706A.2(1)", 'CASE DATA'!E157="706A.2(2)", 'CASE DATA'!E157="706A.2(4)", 'CASE DATA'!E157="706B.2(1)(a)", 'CASE DATA'!E157="706B.2(1)(b)", 'CASE DATA'!E157="706B.2(1)(c)", 'CASE DATA'!E157="706B.2(1)(d)", 'CASE DATA'!E157="707.2", 'CASE DATA'!E157="707.3", 'CASE DATA'!E157="707.3A", 'CASE DATA'!E157="707.4", 'CASE DATA'!E157="707.5(1)(a)", 'CASE DATA'!E157="707.6A(1)", 'CASE DATA'!E157="707.6A(2)", 'CASE DATA'!E157="707.6A(3)", 'CASE DATA'!E157="707.6A(4)", 'CASE DATA'!E157="707.7(1)", 'CASE DATA'!E157="707.7(3)", 'CASE DATA'!E157="707.7(2)", 'CASE DATA'!E157="707.8(1)", 'CASE DATA'!E157="707.8(2)", 'CASE DATA'!E157="707.8(3)", 'CASE DATA'!E157="707.8(4)", 'CASE DATA'!E157="707.8(5)", 'CASE DATA'!E157="707.8(6)", 'CASE DATA'!E157="707.9", 'CASE DATA'!E157="707.11", 'CASE DATA'!E157="707A.2", 'CASE DATA'!E157="708.2(4)", 'CASE DATA'!E157="708.2(5)", 'CASE DATA'!E157="708.2A(4)", 'CASE DATA'!E157="708.2A(5)", 'CASE DATA'!E157="708.2C(2)", 'CASE DATA'!E157="708.2C(4)", 'CASE DATA'!E157="708.3(1)", 'CASE DATA'!E157="708.3(2)", 'CASE DATA'!E157="708.3A(1)", 'CASE DATA'!E157="708.3A(2)", 'CASE DATA'!E157="708.3B", 'CASE DATA'!E157="708.4(1)", 'CASE DATA'!E157="708.4(2)", 'CASE DATA'!E157="708.5", 'CASE DATA'!E157="708.8", 'CASE DATA'!E157="708.11(3)(a)", 'CASE DATA'!E157="708.11(3)(b)", 'CASE DATA'!E157="708.12(3)(f)", 'CASE DATA'!E157="708.13(3)", 'CASE DATA'!E157="708.14", 'CASE DATA'!E157="708A.2", 'CASE DATA'!E157="708A.4(1)", 'CASE DATA'!E157="708A.4(2)", 'CASE DATA'!E157="708A.5", 'CASE DATA'!E157="708A.6(1)", 'CASE DATA'!E157="708.A.6(2)", 'CASE DATA'!E157="709.2", 'CASE DATA'!E157="709.3", 'CASE DATA'!E157="709.4", 'CASE DATA'!E157="709.8(1)(a)", 'CASE DATA'!E157="709.8(1)(b)", 'CASE DATA'!E157="709.8(1)(c)", 'CASE DATA'!E157="709.8(1)(d)", 'CASE DATA'!E157="709.8(1)(e)", 'CASE DATA'!E157="709.11(1)", 'CASE DATA'!E157="709.11(2)", 'CASE DATA'!E157="709.15(2)(a)(1)", 'CASE DATA'!E157="709.15(3)(a)(1)", 'CASE DATA'!E157="709.18", 'CASE DATA'!E157="709A.6(2)", 'CASE DATA'!E157="709D.3(1)", 'CASE DATA'!E157="709D.3(2)", 'CASE DATA'!E157="709.D.3(3)", 'CASE DATA'!E157="710.2", 'CASE DATA'!E157="710.3", 'CASE DATA'!E157="710.4", 'CASE DATA'!E157="710.5", 'CASE DATA'!E157="710.10(1)", 'CASE DATA'!E157="710.10(2)", 'CASE DATA'!E157="710.10(3)", 'CASE DATA'!E157="710.11", 'CASE DATA'!E157="710A.2(1)", 'CASE DATA'!E157="710A.2(2)", 'CASE DATA'!E157="710A.2(3)", 'CASE DATA'!E157="710A.2(4)", 'CASE DATA'!E157="710A.2(5)", 'CASE DATA'!E157="710A.2(6)", 'CASE DATA'!E157="710A.2(7)", 'CASE DATA'!E157="710A.2A", 'CASE DATA'!E157="711.2", 'CASE DATA'!E157="711.3", 'CASE DATA'!E157="711.4", 'CASE DATA'!E157="712.2", 'CASE DATA'!E157="712.3", 'CASE DATA'!E157="712.6(1)", 'CASE DATA'!E157="712.7", 'CASE DATA'!E157="712.8", 'CASE DATA'!E157="", 'CASE DATA'!E157="713.3", 'CASE DATA'!E157="713.4", 'CASE DATA'!E157="713.5", 'CASE DATA'!E157="713.6", 'CASE DATA'!E157="713.6A(1)", 'CASE DATA'!E157="714.2(1)", 'CASE DATA'!E157="714.2(2)", 'CASE DATA'!E157="714.3A(2)(b)", 'CASE DATA'!E157="714.9", 'CASE DATA'!E157="714.10", 'CASE DATA'!E157="714.26(2)(a)", 'CASE DATA'!E157="714.26(2)(b)", 'CASE DATA'!E157="715A.2(2)(a)", 'CASE DATA'!E157="715A.6(2)(a)", 'CASE DATA'!E157="715A.6(2)(b)", 'CASE DATA'!E157="715A.8(3)(a)", 'CASE DATA'!E157="715A.8(3)(b)", 'CASE DATA'!E157="715A.10(1)", 'CASE DATA'!E157="715A.10(2)", 'CASE DATA'!E157="716.3", 'CASE DATA'!E157="716.4", 'CASE DATA'!E157="716.8(6)", 'CASE DATA'!E157="716.10(2)(a)", 'CASE DATA'!E157="716.10(2)(b)", 'CASE DATA'!E157="716.10(2)(c)", 'CASE DATA'!E157="716.10(2)(d)", 'CASE DATA'!E157="716.12", 'CASE DATA'!E157="719.1(1)(f)", 'CASE DATA'!E157="719.1(2)(e)", 'CASE DATA'!E157="719.1(2)(f)", 'CASE DATA'!E157="719.1(2)(g)", 'CASE DATA'!E157="719.4(1)", 'CASE DATA'!E157="719.4(4)", 'CASE DATA'!E157="719.5(1)", 'CASE DATA'!E157="719.5(2)", 'CASE DATA'!E157="719.6(1)", 'CASE DATA'!E157="719.6(2)", 'CASE DATA'!E157="719.7(4)(a)", 'CASE DATA'!E157="719.7(4)(b)", 'CASE DATA'!E157="719.7A(3)", 'CASE DATA'!E157="719.9", 'CASE DATA'!E157="719.8", 'CASE DATA'!E157="720.2", 'CASE DATA'!E157="720.3", 'CASE DATA'!E157="721.1", 'CASE DATA'!E157="722.1", 'CASE DATA'!E157="", 'CASE DATA'!E157="722.2", 'CASE DATA'!E157="722.10", 'CASE DATA'!E157="723(5)(3)(c)", 'CASE DATA'!E157="723A.2", 'CASE DATA'!E157="723A.3(1)", 'CASE DATA'!E157="723A.3(2)", 'CASE DATA'!E157="724.1B", 'CASE DATA'!E157="724.1C", 'CASE DATA'!E157="724.3", 'CASE DATA'!E157="724.4B", 'CASE DATA'!E157="724.10", 'CASE DATA'!E157="724.16(2)", 'CASE DATA'!E157="724.16A(1)(a)", 'CASE DATA'!E157="724.16A(1)(b)", 'CASE DATA'!E157="724.17", 'CASE DATA'!E157="724.21", 'CASE DATA'!E157="724.26(1)", 'CASE DATA'!E157="922(g)(8)", 'CASE DATA'!E157="724.29A(2)", 'CASE DATA'!E157="724.29A(3)", 'CASE DATA'!E157="724.30(1)", 'CASE DATA'!E157="724.30(2)", 'CASE DATA'!E157="725.1(2)(b)", 'CASE DATA'!E157="725.2(1)", 'CASE DATA'!E157="725.2(2)", 'CASE DATA'!E157="725.3(2)", 'CASE DATA'!E157="725.3(1)", 'CASE DATA'!E157="725.7(2)(a)(3)", 'CASE DATA'!E157="725.7(2)(a)(4)", 'CASE DATA'!E157="725.7(2)(b)(2)", 'CASE DATA'!E157="725.7(2)(b(3)", 'CASE DATA'!E157="726.7(2)(c)(1)", 'CASE DATA'!E157="726.7(2)(c)(2)", 'CASE DATA'!E157="725.7(2)(d)", 'CASE DATA'!E157="726.2", 'CASE DATA'!E157="726.3", 'CASE DATA'!E157="726.5", 'CASE DATA'!E157="726.6(4)", 'CASE DATA'!E157="726.6(5)", 'CASE DATA'!E157="726.6(6)", 'CASE DATA'!E157="726.6A", 'CASE DATA'!E157="726.7(2)", 'CASE DATA'!E157="726.8(2)", 'CASE DATA'!E157="728.12(1)", 'CASE DATA'!E157="728.12(2)"),"felony","eligible"),"N/A")</f>
        <v>N/A</v>
      </c>
      <c r="M156" s="185" t="str">
        <f>IF(L156="eligible",IF(OR('CASE DATA'!E157="123.46",'CASE DATA'!E157="123.47",'CASE DATA'!E157="235B.20",'CASE DATA'!E157="321.218",'CASE DATA'!E157="321A.32",'CASE DATA'!E157="321J.21",'CASE DATA'!E157="321J.2",'CASE DATA'!E157="707.5",'CASE DATA'!E157="708.2(3)",'CASE DATA'!E157="708.2A",'CASE DATA'!E157="708.7",'CASE DATA'!E157="708.11",'CASE DATA'!E157="708.12",'CASE DATA'!E157="716.8(3)",'CASE DATA'!E157="716.8(4)", LEFT('CASE DATA'!E157,4)="717C", LEFT('CASE DATA'!E157, 3)="719", LEFT('CASE DATA'!E157,3)="720", 'CASE DATA'!E157="721.2", 'CASE DATA'!E157="721.10", 'CASE DATA'!E157="723.1", LEFT('CASE DATA'!E157,3)="724", LEFT('CASE DATA'!E157,3)="726", LEFT('CASE DATA'!E157,3)="728", LEFT('CASE DATA'!E157,4)="901A"),"ineligible misd", "eligible"),"N/A")</f>
        <v>N/A</v>
      </c>
      <c r="N156" s="185" t="str">
        <f>IF(L156="eligible",IF(COUNTIF('CASE DATA'!$C$4:$C$200, "")-COUNTIF('CASE DATA'!$A$4:$A$200, "")&gt;0, "YES","NO"),"N/A")</f>
        <v>N/A</v>
      </c>
      <c r="O156" s="185" t="str">
        <f xml:space="preserve"> IF(M156="eligible",'CASE DATA'!K157,"N/A")</f>
        <v>N/A</v>
      </c>
      <c r="P156" s="185" t="str">
        <f xml:space="preserve"> IF(M156="eligible",'CASE DATA'!I157+'CASE DATA'!J157+'CASE DATA'!L157+'CASE DATA'!M157+'CASE DATA'!N157+'CASE DATA'!O157+'CASE DATA'!M157+'CASE DATA'!Q157+'CASE DATA'!R157,"N/A")</f>
        <v>N/A</v>
      </c>
      <c r="Q156" s="11" t="str">
        <f>IF(M156="eligible",IF(C156+730.5&lt;'BASIC INFO'!$B$3, "YES", "NO"),"N/A")</f>
        <v>N/A</v>
      </c>
      <c r="R156" s="186" t="str">
        <f xml:space="preserve"> IF(OR('CASE DATA'!F157="DEF"), "YES", "NO")</f>
        <v>NO</v>
      </c>
      <c r="S156" s="162" t="str">
        <f>IF(R156="YES",'CASE DATA'!H157,"N/A")</f>
        <v>N/A</v>
      </c>
      <c r="T156" s="185" t="str">
        <f xml:space="preserve"> IF(R156="YES",'CASE DATA'!K157,"N/A")</f>
        <v>N/A</v>
      </c>
      <c r="U156" s="185" t="str">
        <f>IF(R156="YES",'CASE DATA'!I157+'CASE DATA'!J157+'CASE DATA'!L157+'CASE DATA'!M157+'CASE DATA'!N157+'CASE DATA'!O157+'CASE DATA'!P157+'CASE DATA'!Q157+'CASE DATA'!R157,"N/A")</f>
        <v>N/A</v>
      </c>
      <c r="V156" s="189" t="str">
        <f>IF(OR('CASE DATA'!E157="123.46",'CASE DATA'!E157="123.47"),"YES","NO")</f>
        <v>NO</v>
      </c>
      <c r="W156" s="189"/>
      <c r="X156" s="185" t="str">
        <f>IF(V156="YES",IF(C156+730.5&lt;'BASIC INFO'!$B$3, "YES","NO"), "N/A")</f>
        <v>N/A</v>
      </c>
      <c r="Y156" s="189" t="str">
        <f t="shared" si="2"/>
        <v>NO</v>
      </c>
      <c r="Z156" s="187" t="str">
        <f xml:space="preserve"> IF('BASIC INFO'!$B$6+6574.5&gt;C156, "YES", "NO")</f>
        <v>YES</v>
      </c>
    </row>
    <row r="157" spans="1:26" x14ac:dyDescent="0.25">
      <c r="A157" s="162">
        <f xml:space="preserve"> 'CASE DATA'!A158</f>
        <v>0</v>
      </c>
      <c r="B157" s="162">
        <f xml:space="preserve"> 'CASE DATA'!E158</f>
        <v>0</v>
      </c>
      <c r="C157" s="163">
        <f xml:space="preserve"> 'CASE DATA'!C158</f>
        <v>0</v>
      </c>
      <c r="D157" s="11" t="str">
        <f xml:space="preserve"> IF(OR('CASE DATA'!F158="JUV", 'CASE DATA'!F158="JWV"), "YES", "NO")</f>
        <v>NO</v>
      </c>
      <c r="E157" s="11"/>
      <c r="F157" s="11" t="str">
        <f>IF(D157="YES",IF(COUNTIF('CASE DATA'!$C$4:$C$200, "")-COUNTIF('CASE DATA'!$A$4:$A$200, "")&gt;0, "YES","NO"),"N/A")</f>
        <v>N/A</v>
      </c>
      <c r="G157" s="164" t="str">
        <f xml:space="preserve"> _xlfn.IFS(D157="NO", "N/A", AND('BASIC INFO'!$B$3&gt;'BASIC INFO'!$B$6+6574.5, C157+730.5&lt;'BASIC INFO'!$B$3), "YES", 'BASIC INFO'!$B$3&lt;('BASIC INFO'!$B$6+6574.5), "NOT YET 18", C157+730.5&gt;'BASIC INFO'!$B$3, "NOT YET 2 YEARS")</f>
        <v>N/A</v>
      </c>
      <c r="H157" s="186" t="str">
        <f xml:space="preserve"> IF(LEFT('CASE DATA'!E158,4)&lt;&gt;"321.",IF(OR('CASE DATA'!F158="DISM", 'CASE DATA'!F158="ACQ", 'CASE DATA'!F158="NOTF", 'CASE DATA'!F158="WTHD", 'CASE DATA'!F158="TNSF"), "YES", "NO"), "TRAFFIC")</f>
        <v>NO</v>
      </c>
      <c r="I157" s="185" t="str">
        <f xml:space="preserve"> IF(H157="YES",'CASE DATA'!K158,"N/A")</f>
        <v>N/A</v>
      </c>
      <c r="J157" s="185" t="str">
        <f>IF(H157="YES",'CASE DATA'!I158+'CASE DATA'!J158+'CASE DATA'!L158+'CASE DATA'!M158+'CASE DATA'!N158+'CASE DATA'!O158+'CASE DATA'!P158+'CASE DATA'!Q158+'CASE DATA'!R158,"N/A")</f>
        <v>N/A</v>
      </c>
      <c r="K157" s="162" t="str">
        <f xml:space="preserve"> IF(H157="YES",IF(C157+180&lt;'BASIC INFO'!$B$3, "YES", "NO"),"N/A")</f>
        <v>N/A</v>
      </c>
      <c r="L157" s="185" t="str">
        <f>IF(OR('CASE DATA'!F158="GTR", 'CASE DATA'!F158="GPL"),IF(OR('CASE DATA'!E158="81.6(2)", 'CASE DATA'!E158="99F.15(6)(b)(1)", 'CASE DATA'!E158= "124.401(1)(a)", 'CASE DATA'!E158= "124.401(1)(b)", 'CASE DATA'!E158= "124.401(1)(c)", 'CASE DATA'!E158= "124.401(1)(d)", 'CASE DATA'!E158="124.401(4)", 'CASE DATA'!E158="124.401(1)(b)", 'CASE DATA'!E158="124.401(1)(c)", 'CASE DATA'!E158="124.401D(2)(b)", 'CASE DATA'!E158="124.401D(2)(c)", 'CASE DATA'!E158="124.406(1)(a)", 'CASE DATA'!E158="124.406(1)(b) ", 'CASE DATA'!E158="124.406(2)(a)", 'CASE DATA'!E158="124.406(2)(b) ", 'CASE DATA'!E158="124.406(3)", 'CASE DATA'!E158="124.406A ", 'CASE DATA'!E158="124.407(2)(a)", 'CASE DATA'!E158="124B.9(1)", 'CASE DATA'!E158="124B.9(2)", 'CASE DATA'!E158="321J.2(2)(c)", 'CASE DATA'!E158="453B.12(2)", 'CASE DATA'!E158="453B.12(3)", 'CASE DATA'!E158="453B.12(4)", 'CASE DATA'!E158="462A.14(2)(c)", 'CASE DATA'!E158="462A.14(2)(d)", 'CASE DATA'!E158="462A.14(2)(e)", 'CASE DATA'!E158="705.1(2)", 'CASE DATA'!E158="706.3(1)", 'CASE DATA'!E158="706.3(2)", 'CASE DATA'!E158="706A.2(1)", 'CASE DATA'!E158="706A.2(2)", 'CASE DATA'!E158="706A.2(4)", 'CASE DATA'!E158="706B.2(1)(a)", 'CASE DATA'!E158="706B.2(1)(b)", 'CASE DATA'!E158="706B.2(1)(c)", 'CASE DATA'!E158="706B.2(1)(d)", 'CASE DATA'!E158="707.2", 'CASE DATA'!E158="707.3", 'CASE DATA'!E158="707.3A", 'CASE DATA'!E158="707.4", 'CASE DATA'!E158="707.5(1)(a)", 'CASE DATA'!E158="707.6A(1)", 'CASE DATA'!E158="707.6A(2)", 'CASE DATA'!E158="707.6A(3)", 'CASE DATA'!E158="707.6A(4)", 'CASE DATA'!E158="707.7(1)", 'CASE DATA'!E158="707.7(3)", 'CASE DATA'!E158="707.7(2)", 'CASE DATA'!E158="707.8(1)", 'CASE DATA'!E158="707.8(2)", 'CASE DATA'!E158="707.8(3)", 'CASE DATA'!E158="707.8(4)", 'CASE DATA'!E158="707.8(5)", 'CASE DATA'!E158="707.8(6)", 'CASE DATA'!E158="707.9", 'CASE DATA'!E158="707.11", 'CASE DATA'!E158="707A.2", 'CASE DATA'!E158="708.2(4)", 'CASE DATA'!E158="708.2(5)", 'CASE DATA'!E158="708.2A(4)", 'CASE DATA'!E158="708.2A(5)", 'CASE DATA'!E158="708.2C(2)", 'CASE DATA'!E158="708.2C(4)", 'CASE DATA'!E158="708.3(1)", 'CASE DATA'!E158="708.3(2)", 'CASE DATA'!E158="708.3A(1)", 'CASE DATA'!E158="708.3A(2)", 'CASE DATA'!E158="708.3B", 'CASE DATA'!E158="708.4(1)", 'CASE DATA'!E158="708.4(2)", 'CASE DATA'!E158="708.5", 'CASE DATA'!E158="708.8", 'CASE DATA'!E158="708.11(3)(a)", 'CASE DATA'!E158="708.11(3)(b)", 'CASE DATA'!E158="708.12(3)(f)", 'CASE DATA'!E158="708.13(3)", 'CASE DATA'!E158="708.14", 'CASE DATA'!E158="708A.2", 'CASE DATA'!E158="708A.4(1)", 'CASE DATA'!E158="708A.4(2)", 'CASE DATA'!E158="708A.5", 'CASE DATA'!E158="708A.6(1)", 'CASE DATA'!E158="708.A.6(2)", 'CASE DATA'!E158="709.2", 'CASE DATA'!E158="709.3", 'CASE DATA'!E158="709.4", 'CASE DATA'!E158="709.8(1)(a)", 'CASE DATA'!E158="709.8(1)(b)", 'CASE DATA'!E158="709.8(1)(c)", 'CASE DATA'!E158="709.8(1)(d)", 'CASE DATA'!E158="709.8(1)(e)", 'CASE DATA'!E158="709.11(1)", 'CASE DATA'!E158="709.11(2)", 'CASE DATA'!E158="709.15(2)(a)(1)", 'CASE DATA'!E158="709.15(3)(a)(1)", 'CASE DATA'!E158="709.18", 'CASE DATA'!E158="709A.6(2)", 'CASE DATA'!E158="709D.3(1)", 'CASE DATA'!E158="709D.3(2)", 'CASE DATA'!E158="709.D.3(3)", 'CASE DATA'!E158="710.2", 'CASE DATA'!E158="710.3", 'CASE DATA'!E158="710.4", 'CASE DATA'!E158="710.5", 'CASE DATA'!E158="710.10(1)", 'CASE DATA'!E158="710.10(2)", 'CASE DATA'!E158="710.10(3)", 'CASE DATA'!E158="710.11", 'CASE DATA'!E158="710A.2(1)", 'CASE DATA'!E158="710A.2(2)", 'CASE DATA'!E158="710A.2(3)", 'CASE DATA'!E158="710A.2(4)", 'CASE DATA'!E158="710A.2(5)", 'CASE DATA'!E158="710A.2(6)", 'CASE DATA'!E158="710A.2(7)", 'CASE DATA'!E158="710A.2A", 'CASE DATA'!E158="711.2", 'CASE DATA'!E158="711.3", 'CASE DATA'!E158="711.4", 'CASE DATA'!E158="712.2", 'CASE DATA'!E158="712.3", 'CASE DATA'!E158="712.6(1)", 'CASE DATA'!E158="712.7", 'CASE DATA'!E158="712.8", 'CASE DATA'!E158="", 'CASE DATA'!E158="713.3", 'CASE DATA'!E158="713.4", 'CASE DATA'!E158="713.5", 'CASE DATA'!E158="713.6", 'CASE DATA'!E158="713.6A(1)", 'CASE DATA'!E158="714.2(1)", 'CASE DATA'!E158="714.2(2)", 'CASE DATA'!E158="714.3A(2)(b)", 'CASE DATA'!E158="714.9", 'CASE DATA'!E158="714.10", 'CASE DATA'!E158="714.26(2)(a)", 'CASE DATA'!E158="714.26(2)(b)", 'CASE DATA'!E158="715A.2(2)(a)", 'CASE DATA'!E158="715A.6(2)(a)", 'CASE DATA'!E158="715A.6(2)(b)", 'CASE DATA'!E158="715A.8(3)(a)", 'CASE DATA'!E158="715A.8(3)(b)", 'CASE DATA'!E158="715A.10(1)", 'CASE DATA'!E158="715A.10(2)", 'CASE DATA'!E158="716.3", 'CASE DATA'!E158="716.4", 'CASE DATA'!E158="716.8(6)", 'CASE DATA'!E158="716.10(2)(a)", 'CASE DATA'!E158="716.10(2)(b)", 'CASE DATA'!E158="716.10(2)(c)", 'CASE DATA'!E158="716.10(2)(d)", 'CASE DATA'!E158="716.12", 'CASE DATA'!E158="719.1(1)(f)", 'CASE DATA'!E158="719.1(2)(e)", 'CASE DATA'!E158="719.1(2)(f)", 'CASE DATA'!E158="719.1(2)(g)", 'CASE DATA'!E158="719.4(1)", 'CASE DATA'!E158="719.4(4)", 'CASE DATA'!E158="719.5(1)", 'CASE DATA'!E158="719.5(2)", 'CASE DATA'!E158="719.6(1)", 'CASE DATA'!E158="719.6(2)", 'CASE DATA'!E158="719.7(4)(a)", 'CASE DATA'!E158="719.7(4)(b)", 'CASE DATA'!E158="719.7A(3)", 'CASE DATA'!E158="719.9", 'CASE DATA'!E158="719.8", 'CASE DATA'!E158="720.2", 'CASE DATA'!E158="720.3", 'CASE DATA'!E158="721.1", 'CASE DATA'!E158="722.1", 'CASE DATA'!E158="", 'CASE DATA'!E158="722.2", 'CASE DATA'!E158="722.10", 'CASE DATA'!E158="723(5)(3)(c)", 'CASE DATA'!E158="723A.2", 'CASE DATA'!E158="723A.3(1)", 'CASE DATA'!E158="723A.3(2)", 'CASE DATA'!E158="724.1B", 'CASE DATA'!E158="724.1C", 'CASE DATA'!E158="724.3", 'CASE DATA'!E158="724.4B", 'CASE DATA'!E158="724.10", 'CASE DATA'!E158="724.16(2)", 'CASE DATA'!E158="724.16A(1)(a)", 'CASE DATA'!E158="724.16A(1)(b)", 'CASE DATA'!E158="724.17", 'CASE DATA'!E158="724.21", 'CASE DATA'!E158="724.26(1)", 'CASE DATA'!E158="922(g)(8)", 'CASE DATA'!E158="724.29A(2)", 'CASE DATA'!E158="724.29A(3)", 'CASE DATA'!E158="724.30(1)", 'CASE DATA'!E158="724.30(2)", 'CASE DATA'!E158="725.1(2)(b)", 'CASE DATA'!E158="725.2(1)", 'CASE DATA'!E158="725.2(2)", 'CASE DATA'!E158="725.3(2)", 'CASE DATA'!E158="725.3(1)", 'CASE DATA'!E158="725.7(2)(a)(3)", 'CASE DATA'!E158="725.7(2)(a)(4)", 'CASE DATA'!E158="725.7(2)(b)(2)", 'CASE DATA'!E158="725.7(2)(b(3)", 'CASE DATA'!E158="726.7(2)(c)(1)", 'CASE DATA'!E158="726.7(2)(c)(2)", 'CASE DATA'!E158="725.7(2)(d)", 'CASE DATA'!E158="726.2", 'CASE DATA'!E158="726.3", 'CASE DATA'!E158="726.5", 'CASE DATA'!E158="726.6(4)", 'CASE DATA'!E158="726.6(5)", 'CASE DATA'!E158="726.6(6)", 'CASE DATA'!E158="726.6A", 'CASE DATA'!E158="726.7(2)", 'CASE DATA'!E158="726.8(2)", 'CASE DATA'!E158="728.12(1)", 'CASE DATA'!E158="728.12(2)"),"felony","eligible"),"N/A")</f>
        <v>N/A</v>
      </c>
      <c r="M157" s="185" t="str">
        <f>IF(L157="eligible",IF(OR('CASE DATA'!E158="123.46",'CASE DATA'!E158="123.47",'CASE DATA'!E158="235B.20",'CASE DATA'!E158="321.218",'CASE DATA'!E158="321A.32",'CASE DATA'!E158="321J.21",'CASE DATA'!E158="321J.2",'CASE DATA'!E158="707.5",'CASE DATA'!E158="708.2(3)",'CASE DATA'!E158="708.2A",'CASE DATA'!E158="708.7",'CASE DATA'!E158="708.11",'CASE DATA'!E158="708.12",'CASE DATA'!E158="716.8(3)",'CASE DATA'!E158="716.8(4)", LEFT('CASE DATA'!E158,4)="717C", LEFT('CASE DATA'!E158, 3)="719", LEFT('CASE DATA'!E158,3)="720", 'CASE DATA'!E158="721.2", 'CASE DATA'!E158="721.10", 'CASE DATA'!E158="723.1", LEFT('CASE DATA'!E158,3)="724", LEFT('CASE DATA'!E158,3)="726", LEFT('CASE DATA'!E158,3)="728", LEFT('CASE DATA'!E158,4)="901A"),"ineligible misd", "eligible"),"N/A")</f>
        <v>N/A</v>
      </c>
      <c r="N157" s="185" t="str">
        <f>IF(L157="eligible",IF(COUNTIF('CASE DATA'!$C$4:$C$200, "")-COUNTIF('CASE DATA'!$A$4:$A$200, "")&gt;0, "YES","NO"),"N/A")</f>
        <v>N/A</v>
      </c>
      <c r="O157" s="185" t="str">
        <f xml:space="preserve"> IF(M157="eligible",'CASE DATA'!K158,"N/A")</f>
        <v>N/A</v>
      </c>
      <c r="P157" s="185" t="str">
        <f xml:space="preserve"> IF(M157="eligible",'CASE DATA'!I158+'CASE DATA'!J158+'CASE DATA'!L158+'CASE DATA'!M158+'CASE DATA'!N158+'CASE DATA'!O158+'CASE DATA'!M158+'CASE DATA'!Q158+'CASE DATA'!R158,"N/A")</f>
        <v>N/A</v>
      </c>
      <c r="Q157" s="11" t="str">
        <f>IF(M157="eligible",IF(C157+730.5&lt;'BASIC INFO'!$B$3, "YES", "NO"),"N/A")</f>
        <v>N/A</v>
      </c>
      <c r="R157" s="186" t="str">
        <f xml:space="preserve"> IF(OR('CASE DATA'!F158="DEF"), "YES", "NO")</f>
        <v>NO</v>
      </c>
      <c r="S157" s="162" t="str">
        <f>IF(R157="YES",'CASE DATA'!H158,"N/A")</f>
        <v>N/A</v>
      </c>
      <c r="T157" s="185" t="str">
        <f xml:space="preserve"> IF(R157="YES",'CASE DATA'!K158,"N/A")</f>
        <v>N/A</v>
      </c>
      <c r="U157" s="185" t="str">
        <f>IF(R157="YES",'CASE DATA'!I158+'CASE DATA'!J158+'CASE DATA'!L158+'CASE DATA'!M158+'CASE DATA'!N158+'CASE DATA'!O158+'CASE DATA'!P158+'CASE DATA'!Q158+'CASE DATA'!R158,"N/A")</f>
        <v>N/A</v>
      </c>
      <c r="V157" s="189" t="str">
        <f>IF(OR('CASE DATA'!E158="123.46",'CASE DATA'!E158="123.47"),"YES","NO")</f>
        <v>NO</v>
      </c>
      <c r="W157" s="189"/>
      <c r="X157" s="185" t="str">
        <f>IF(V157="YES",IF(C157+730.5&lt;'BASIC INFO'!$B$3, "YES","NO"), "N/A")</f>
        <v>N/A</v>
      </c>
      <c r="Y157" s="189" t="str">
        <f t="shared" si="2"/>
        <v>NO</v>
      </c>
      <c r="Z157" s="187" t="str">
        <f xml:space="preserve"> IF('BASIC INFO'!$B$6+6574.5&gt;C157, "YES", "NO")</f>
        <v>YES</v>
      </c>
    </row>
    <row r="158" spans="1:26" x14ac:dyDescent="0.25">
      <c r="A158" s="162">
        <f xml:space="preserve"> 'CASE DATA'!A159</f>
        <v>0</v>
      </c>
      <c r="B158" s="162">
        <f xml:space="preserve"> 'CASE DATA'!E159</f>
        <v>0</v>
      </c>
      <c r="C158" s="163">
        <f xml:space="preserve"> 'CASE DATA'!C159</f>
        <v>0</v>
      </c>
      <c r="D158" s="11" t="str">
        <f xml:space="preserve"> IF(OR('CASE DATA'!F159="JUV", 'CASE DATA'!F159="JWV"), "YES", "NO")</f>
        <v>NO</v>
      </c>
      <c r="E158" s="11"/>
      <c r="F158" s="11" t="str">
        <f>IF(D158="YES",IF(COUNTIF('CASE DATA'!$C$4:$C$200, "")-COUNTIF('CASE DATA'!$A$4:$A$200, "")&gt;0, "YES","NO"),"N/A")</f>
        <v>N/A</v>
      </c>
      <c r="G158" s="164" t="str">
        <f xml:space="preserve"> _xlfn.IFS(D158="NO", "N/A", AND('BASIC INFO'!$B$3&gt;'BASIC INFO'!$B$6+6574.5, C158+730.5&lt;'BASIC INFO'!$B$3), "YES", 'BASIC INFO'!$B$3&lt;('BASIC INFO'!$B$6+6574.5), "NOT YET 18", C158+730.5&gt;'BASIC INFO'!$B$3, "NOT YET 2 YEARS")</f>
        <v>N/A</v>
      </c>
      <c r="H158" s="186" t="str">
        <f xml:space="preserve"> IF(LEFT('CASE DATA'!E159,4)&lt;&gt;"321.",IF(OR('CASE DATA'!F159="DISM", 'CASE DATA'!F159="ACQ", 'CASE DATA'!F159="NOTF", 'CASE DATA'!F159="WTHD", 'CASE DATA'!F159="TNSF"), "YES", "NO"), "TRAFFIC")</f>
        <v>NO</v>
      </c>
      <c r="I158" s="185" t="str">
        <f xml:space="preserve"> IF(H158="YES",'CASE DATA'!K159,"N/A")</f>
        <v>N/A</v>
      </c>
      <c r="J158" s="185" t="str">
        <f>IF(H158="YES",'CASE DATA'!I159+'CASE DATA'!J159+'CASE DATA'!L159+'CASE DATA'!M159+'CASE DATA'!N159+'CASE DATA'!O159+'CASE DATA'!P159+'CASE DATA'!Q159+'CASE DATA'!R159,"N/A")</f>
        <v>N/A</v>
      </c>
      <c r="K158" s="162" t="str">
        <f xml:space="preserve"> IF(H158="YES",IF(C158+180&lt;'BASIC INFO'!$B$3, "YES", "NO"),"N/A")</f>
        <v>N/A</v>
      </c>
      <c r="L158" s="185" t="str">
        <f>IF(OR('CASE DATA'!F159="GTR", 'CASE DATA'!F159="GPL"),IF(OR('CASE DATA'!E159="81.6(2)", 'CASE DATA'!E159="99F.15(6)(b)(1)", 'CASE DATA'!E159= "124.401(1)(a)", 'CASE DATA'!E159= "124.401(1)(b)", 'CASE DATA'!E159= "124.401(1)(c)", 'CASE DATA'!E159= "124.401(1)(d)", 'CASE DATA'!E159="124.401(4)", 'CASE DATA'!E159="124.401(1)(b)", 'CASE DATA'!E159="124.401(1)(c)", 'CASE DATA'!E159="124.401D(2)(b)", 'CASE DATA'!E159="124.401D(2)(c)", 'CASE DATA'!E159="124.406(1)(a)", 'CASE DATA'!E159="124.406(1)(b) ", 'CASE DATA'!E159="124.406(2)(a)", 'CASE DATA'!E159="124.406(2)(b) ", 'CASE DATA'!E159="124.406(3)", 'CASE DATA'!E159="124.406A ", 'CASE DATA'!E159="124.407(2)(a)", 'CASE DATA'!E159="124B.9(1)", 'CASE DATA'!E159="124B.9(2)", 'CASE DATA'!E159="321J.2(2)(c)", 'CASE DATA'!E159="453B.12(2)", 'CASE DATA'!E159="453B.12(3)", 'CASE DATA'!E159="453B.12(4)", 'CASE DATA'!E159="462A.14(2)(c)", 'CASE DATA'!E159="462A.14(2)(d)", 'CASE DATA'!E159="462A.14(2)(e)", 'CASE DATA'!E159="705.1(2)", 'CASE DATA'!E159="706.3(1)", 'CASE DATA'!E159="706.3(2)", 'CASE DATA'!E159="706A.2(1)", 'CASE DATA'!E159="706A.2(2)", 'CASE DATA'!E159="706A.2(4)", 'CASE DATA'!E159="706B.2(1)(a)", 'CASE DATA'!E159="706B.2(1)(b)", 'CASE DATA'!E159="706B.2(1)(c)", 'CASE DATA'!E159="706B.2(1)(d)", 'CASE DATA'!E159="707.2", 'CASE DATA'!E159="707.3", 'CASE DATA'!E159="707.3A", 'CASE DATA'!E159="707.4", 'CASE DATA'!E159="707.5(1)(a)", 'CASE DATA'!E159="707.6A(1)", 'CASE DATA'!E159="707.6A(2)", 'CASE DATA'!E159="707.6A(3)", 'CASE DATA'!E159="707.6A(4)", 'CASE DATA'!E159="707.7(1)", 'CASE DATA'!E159="707.7(3)", 'CASE DATA'!E159="707.7(2)", 'CASE DATA'!E159="707.8(1)", 'CASE DATA'!E159="707.8(2)", 'CASE DATA'!E159="707.8(3)", 'CASE DATA'!E159="707.8(4)", 'CASE DATA'!E159="707.8(5)", 'CASE DATA'!E159="707.8(6)", 'CASE DATA'!E159="707.9", 'CASE DATA'!E159="707.11", 'CASE DATA'!E159="707A.2", 'CASE DATA'!E159="708.2(4)", 'CASE DATA'!E159="708.2(5)", 'CASE DATA'!E159="708.2A(4)", 'CASE DATA'!E159="708.2A(5)", 'CASE DATA'!E159="708.2C(2)", 'CASE DATA'!E159="708.2C(4)", 'CASE DATA'!E159="708.3(1)", 'CASE DATA'!E159="708.3(2)", 'CASE DATA'!E159="708.3A(1)", 'CASE DATA'!E159="708.3A(2)", 'CASE DATA'!E159="708.3B", 'CASE DATA'!E159="708.4(1)", 'CASE DATA'!E159="708.4(2)", 'CASE DATA'!E159="708.5", 'CASE DATA'!E159="708.8", 'CASE DATA'!E159="708.11(3)(a)", 'CASE DATA'!E159="708.11(3)(b)", 'CASE DATA'!E159="708.12(3)(f)", 'CASE DATA'!E159="708.13(3)", 'CASE DATA'!E159="708.14", 'CASE DATA'!E159="708A.2", 'CASE DATA'!E159="708A.4(1)", 'CASE DATA'!E159="708A.4(2)", 'CASE DATA'!E159="708A.5", 'CASE DATA'!E159="708A.6(1)", 'CASE DATA'!E159="708.A.6(2)", 'CASE DATA'!E159="709.2", 'CASE DATA'!E159="709.3", 'CASE DATA'!E159="709.4", 'CASE DATA'!E159="709.8(1)(a)", 'CASE DATA'!E159="709.8(1)(b)", 'CASE DATA'!E159="709.8(1)(c)", 'CASE DATA'!E159="709.8(1)(d)", 'CASE DATA'!E159="709.8(1)(e)", 'CASE DATA'!E159="709.11(1)", 'CASE DATA'!E159="709.11(2)", 'CASE DATA'!E159="709.15(2)(a)(1)", 'CASE DATA'!E159="709.15(3)(a)(1)", 'CASE DATA'!E159="709.18", 'CASE DATA'!E159="709A.6(2)", 'CASE DATA'!E159="709D.3(1)", 'CASE DATA'!E159="709D.3(2)", 'CASE DATA'!E159="709.D.3(3)", 'CASE DATA'!E159="710.2", 'CASE DATA'!E159="710.3", 'CASE DATA'!E159="710.4", 'CASE DATA'!E159="710.5", 'CASE DATA'!E159="710.10(1)", 'CASE DATA'!E159="710.10(2)", 'CASE DATA'!E159="710.10(3)", 'CASE DATA'!E159="710.11", 'CASE DATA'!E159="710A.2(1)", 'CASE DATA'!E159="710A.2(2)", 'CASE DATA'!E159="710A.2(3)", 'CASE DATA'!E159="710A.2(4)", 'CASE DATA'!E159="710A.2(5)", 'CASE DATA'!E159="710A.2(6)", 'CASE DATA'!E159="710A.2(7)", 'CASE DATA'!E159="710A.2A", 'CASE DATA'!E159="711.2", 'CASE DATA'!E159="711.3", 'CASE DATA'!E159="711.4", 'CASE DATA'!E159="712.2", 'CASE DATA'!E159="712.3", 'CASE DATA'!E159="712.6(1)", 'CASE DATA'!E159="712.7", 'CASE DATA'!E159="712.8", 'CASE DATA'!E159="", 'CASE DATA'!E159="713.3", 'CASE DATA'!E159="713.4", 'CASE DATA'!E159="713.5", 'CASE DATA'!E159="713.6", 'CASE DATA'!E159="713.6A(1)", 'CASE DATA'!E159="714.2(1)", 'CASE DATA'!E159="714.2(2)", 'CASE DATA'!E159="714.3A(2)(b)", 'CASE DATA'!E159="714.9", 'CASE DATA'!E159="714.10", 'CASE DATA'!E159="714.26(2)(a)", 'CASE DATA'!E159="714.26(2)(b)", 'CASE DATA'!E159="715A.2(2)(a)", 'CASE DATA'!E159="715A.6(2)(a)", 'CASE DATA'!E159="715A.6(2)(b)", 'CASE DATA'!E159="715A.8(3)(a)", 'CASE DATA'!E159="715A.8(3)(b)", 'CASE DATA'!E159="715A.10(1)", 'CASE DATA'!E159="715A.10(2)", 'CASE DATA'!E159="716.3", 'CASE DATA'!E159="716.4", 'CASE DATA'!E159="716.8(6)", 'CASE DATA'!E159="716.10(2)(a)", 'CASE DATA'!E159="716.10(2)(b)", 'CASE DATA'!E159="716.10(2)(c)", 'CASE DATA'!E159="716.10(2)(d)", 'CASE DATA'!E159="716.12", 'CASE DATA'!E159="719.1(1)(f)", 'CASE DATA'!E159="719.1(2)(e)", 'CASE DATA'!E159="719.1(2)(f)", 'CASE DATA'!E159="719.1(2)(g)", 'CASE DATA'!E159="719.4(1)", 'CASE DATA'!E159="719.4(4)", 'CASE DATA'!E159="719.5(1)", 'CASE DATA'!E159="719.5(2)", 'CASE DATA'!E159="719.6(1)", 'CASE DATA'!E159="719.6(2)", 'CASE DATA'!E159="719.7(4)(a)", 'CASE DATA'!E159="719.7(4)(b)", 'CASE DATA'!E159="719.7A(3)", 'CASE DATA'!E159="719.9", 'CASE DATA'!E159="719.8", 'CASE DATA'!E159="720.2", 'CASE DATA'!E159="720.3", 'CASE DATA'!E159="721.1", 'CASE DATA'!E159="722.1", 'CASE DATA'!E159="", 'CASE DATA'!E159="722.2", 'CASE DATA'!E159="722.10", 'CASE DATA'!E159="723(5)(3)(c)", 'CASE DATA'!E159="723A.2", 'CASE DATA'!E159="723A.3(1)", 'CASE DATA'!E159="723A.3(2)", 'CASE DATA'!E159="724.1B", 'CASE DATA'!E159="724.1C", 'CASE DATA'!E159="724.3", 'CASE DATA'!E159="724.4B", 'CASE DATA'!E159="724.10", 'CASE DATA'!E159="724.16(2)", 'CASE DATA'!E159="724.16A(1)(a)", 'CASE DATA'!E159="724.16A(1)(b)", 'CASE DATA'!E159="724.17", 'CASE DATA'!E159="724.21", 'CASE DATA'!E159="724.26(1)", 'CASE DATA'!E159="922(g)(8)", 'CASE DATA'!E159="724.29A(2)", 'CASE DATA'!E159="724.29A(3)", 'CASE DATA'!E159="724.30(1)", 'CASE DATA'!E159="724.30(2)", 'CASE DATA'!E159="725.1(2)(b)", 'CASE DATA'!E159="725.2(1)", 'CASE DATA'!E159="725.2(2)", 'CASE DATA'!E159="725.3(2)", 'CASE DATA'!E159="725.3(1)", 'CASE DATA'!E159="725.7(2)(a)(3)", 'CASE DATA'!E159="725.7(2)(a)(4)", 'CASE DATA'!E159="725.7(2)(b)(2)", 'CASE DATA'!E159="725.7(2)(b(3)", 'CASE DATA'!E159="726.7(2)(c)(1)", 'CASE DATA'!E159="726.7(2)(c)(2)", 'CASE DATA'!E159="725.7(2)(d)", 'CASE DATA'!E159="726.2", 'CASE DATA'!E159="726.3", 'CASE DATA'!E159="726.5", 'CASE DATA'!E159="726.6(4)", 'CASE DATA'!E159="726.6(5)", 'CASE DATA'!E159="726.6(6)", 'CASE DATA'!E159="726.6A", 'CASE DATA'!E159="726.7(2)", 'CASE DATA'!E159="726.8(2)", 'CASE DATA'!E159="728.12(1)", 'CASE DATA'!E159="728.12(2)"),"felony","eligible"),"N/A")</f>
        <v>N/A</v>
      </c>
      <c r="M158" s="185" t="str">
        <f>IF(L158="eligible",IF(OR('CASE DATA'!E159="123.46",'CASE DATA'!E159="123.47",'CASE DATA'!E159="235B.20",'CASE DATA'!E159="321.218",'CASE DATA'!E159="321A.32",'CASE DATA'!E159="321J.21",'CASE DATA'!E159="321J.2",'CASE DATA'!E159="707.5",'CASE DATA'!E159="708.2(3)",'CASE DATA'!E159="708.2A",'CASE DATA'!E159="708.7",'CASE DATA'!E159="708.11",'CASE DATA'!E159="708.12",'CASE DATA'!E159="716.8(3)",'CASE DATA'!E159="716.8(4)", LEFT('CASE DATA'!E159,4)="717C", LEFT('CASE DATA'!E159, 3)="719", LEFT('CASE DATA'!E159,3)="720", 'CASE DATA'!E159="721.2", 'CASE DATA'!E159="721.10", 'CASE DATA'!E159="723.1", LEFT('CASE DATA'!E159,3)="724", LEFT('CASE DATA'!E159,3)="726", LEFT('CASE DATA'!E159,3)="728", LEFT('CASE DATA'!E159,4)="901A"),"ineligible misd", "eligible"),"N/A")</f>
        <v>N/A</v>
      </c>
      <c r="N158" s="185" t="str">
        <f>IF(L158="eligible",IF(COUNTIF('CASE DATA'!$C$4:$C$200, "")-COUNTIF('CASE DATA'!$A$4:$A$200, "")&gt;0, "YES","NO"),"N/A")</f>
        <v>N/A</v>
      </c>
      <c r="O158" s="185" t="str">
        <f xml:space="preserve"> IF(M158="eligible",'CASE DATA'!K159,"N/A")</f>
        <v>N/A</v>
      </c>
      <c r="P158" s="185" t="str">
        <f xml:space="preserve"> IF(M158="eligible",'CASE DATA'!I159+'CASE DATA'!J159+'CASE DATA'!L159+'CASE DATA'!M159+'CASE DATA'!N159+'CASE DATA'!O159+'CASE DATA'!M159+'CASE DATA'!Q159+'CASE DATA'!R159,"N/A")</f>
        <v>N/A</v>
      </c>
      <c r="Q158" s="11" t="str">
        <f>IF(M158="eligible",IF(C158+730.5&lt;'BASIC INFO'!$B$3, "YES", "NO"),"N/A")</f>
        <v>N/A</v>
      </c>
      <c r="R158" s="186" t="str">
        <f xml:space="preserve"> IF(OR('CASE DATA'!F159="DEF"), "YES", "NO")</f>
        <v>NO</v>
      </c>
      <c r="S158" s="162" t="str">
        <f>IF(R158="YES",'CASE DATA'!H159,"N/A")</f>
        <v>N/A</v>
      </c>
      <c r="T158" s="185" t="str">
        <f xml:space="preserve"> IF(R158="YES",'CASE DATA'!K159,"N/A")</f>
        <v>N/A</v>
      </c>
      <c r="U158" s="185" t="str">
        <f>IF(R158="YES",'CASE DATA'!I159+'CASE DATA'!J159+'CASE DATA'!L159+'CASE DATA'!M159+'CASE DATA'!N159+'CASE DATA'!O159+'CASE DATA'!P159+'CASE DATA'!Q159+'CASE DATA'!R159,"N/A")</f>
        <v>N/A</v>
      </c>
      <c r="V158" s="189" t="str">
        <f>IF(OR('CASE DATA'!E159="123.46",'CASE DATA'!E159="123.47"),"YES","NO")</f>
        <v>NO</v>
      </c>
      <c r="W158" s="189"/>
      <c r="X158" s="185" t="str">
        <f>IF(V158="YES",IF(C158+730.5&lt;'BASIC INFO'!$B$3, "YES","NO"), "N/A")</f>
        <v>N/A</v>
      </c>
      <c r="Y158" s="189" t="str">
        <f t="shared" si="2"/>
        <v>NO</v>
      </c>
      <c r="Z158" s="187" t="str">
        <f xml:space="preserve"> IF('BASIC INFO'!$B$6+6574.5&gt;C158, "YES", "NO")</f>
        <v>YES</v>
      </c>
    </row>
    <row r="159" spans="1:26" x14ac:dyDescent="0.25">
      <c r="A159" s="162">
        <f xml:space="preserve"> 'CASE DATA'!A160</f>
        <v>0</v>
      </c>
      <c r="B159" s="162">
        <f xml:space="preserve"> 'CASE DATA'!E160</f>
        <v>0</v>
      </c>
      <c r="C159" s="163">
        <f xml:space="preserve"> 'CASE DATA'!C160</f>
        <v>0</v>
      </c>
      <c r="D159" s="11" t="str">
        <f xml:space="preserve"> IF(OR('CASE DATA'!F160="JUV", 'CASE DATA'!F160="JWV"), "YES", "NO")</f>
        <v>NO</v>
      </c>
      <c r="E159" s="11"/>
      <c r="F159" s="11" t="str">
        <f>IF(D159="YES",IF(COUNTIF('CASE DATA'!$C$4:$C$200, "")-COUNTIF('CASE DATA'!$A$4:$A$200, "")&gt;0, "YES","NO"),"N/A")</f>
        <v>N/A</v>
      </c>
      <c r="G159" s="164" t="str">
        <f xml:space="preserve"> _xlfn.IFS(D159="NO", "N/A", AND('BASIC INFO'!$B$3&gt;'BASIC INFO'!$B$6+6574.5, C159+730.5&lt;'BASIC INFO'!$B$3), "YES", 'BASIC INFO'!$B$3&lt;('BASIC INFO'!$B$6+6574.5), "NOT YET 18", C159+730.5&gt;'BASIC INFO'!$B$3, "NOT YET 2 YEARS")</f>
        <v>N/A</v>
      </c>
      <c r="H159" s="186" t="str">
        <f xml:space="preserve"> IF(LEFT('CASE DATA'!E160,4)&lt;&gt;"321.",IF(OR('CASE DATA'!F160="DISM", 'CASE DATA'!F160="ACQ", 'CASE DATA'!F160="NOTF", 'CASE DATA'!F160="WTHD", 'CASE DATA'!F160="TNSF"), "YES", "NO"), "TRAFFIC")</f>
        <v>NO</v>
      </c>
      <c r="I159" s="185" t="str">
        <f xml:space="preserve"> IF(H159="YES",'CASE DATA'!K160,"N/A")</f>
        <v>N/A</v>
      </c>
      <c r="J159" s="185" t="str">
        <f>IF(H159="YES",'CASE DATA'!I160+'CASE DATA'!J160+'CASE DATA'!L160+'CASE DATA'!M160+'CASE DATA'!N160+'CASE DATA'!O160+'CASE DATA'!P160+'CASE DATA'!Q160+'CASE DATA'!R160,"N/A")</f>
        <v>N/A</v>
      </c>
      <c r="K159" s="162" t="str">
        <f xml:space="preserve"> IF(H159="YES",IF(C159+180&lt;'BASIC INFO'!$B$3, "YES", "NO"),"N/A")</f>
        <v>N/A</v>
      </c>
      <c r="L159" s="185" t="str">
        <f>IF(OR('CASE DATA'!F160="GTR", 'CASE DATA'!F160="GPL"),IF(OR('CASE DATA'!E160="81.6(2)", 'CASE DATA'!E160="99F.15(6)(b)(1)", 'CASE DATA'!E160= "124.401(1)(a)", 'CASE DATA'!E160= "124.401(1)(b)", 'CASE DATA'!E160= "124.401(1)(c)", 'CASE DATA'!E160= "124.401(1)(d)", 'CASE DATA'!E160="124.401(4)", 'CASE DATA'!E160="124.401(1)(b)", 'CASE DATA'!E160="124.401(1)(c)", 'CASE DATA'!E160="124.401D(2)(b)", 'CASE DATA'!E160="124.401D(2)(c)", 'CASE DATA'!E160="124.406(1)(a)", 'CASE DATA'!E160="124.406(1)(b) ", 'CASE DATA'!E160="124.406(2)(a)", 'CASE DATA'!E160="124.406(2)(b) ", 'CASE DATA'!E160="124.406(3)", 'CASE DATA'!E160="124.406A ", 'CASE DATA'!E160="124.407(2)(a)", 'CASE DATA'!E160="124B.9(1)", 'CASE DATA'!E160="124B.9(2)", 'CASE DATA'!E160="321J.2(2)(c)", 'CASE DATA'!E160="453B.12(2)", 'CASE DATA'!E160="453B.12(3)", 'CASE DATA'!E160="453B.12(4)", 'CASE DATA'!E160="462A.14(2)(c)", 'CASE DATA'!E160="462A.14(2)(d)", 'CASE DATA'!E160="462A.14(2)(e)", 'CASE DATA'!E160="705.1(2)", 'CASE DATA'!E160="706.3(1)", 'CASE DATA'!E160="706.3(2)", 'CASE DATA'!E160="706A.2(1)", 'CASE DATA'!E160="706A.2(2)", 'CASE DATA'!E160="706A.2(4)", 'CASE DATA'!E160="706B.2(1)(a)", 'CASE DATA'!E160="706B.2(1)(b)", 'CASE DATA'!E160="706B.2(1)(c)", 'CASE DATA'!E160="706B.2(1)(d)", 'CASE DATA'!E160="707.2", 'CASE DATA'!E160="707.3", 'CASE DATA'!E160="707.3A", 'CASE DATA'!E160="707.4", 'CASE DATA'!E160="707.5(1)(a)", 'CASE DATA'!E160="707.6A(1)", 'CASE DATA'!E160="707.6A(2)", 'CASE DATA'!E160="707.6A(3)", 'CASE DATA'!E160="707.6A(4)", 'CASE DATA'!E160="707.7(1)", 'CASE DATA'!E160="707.7(3)", 'CASE DATA'!E160="707.7(2)", 'CASE DATA'!E160="707.8(1)", 'CASE DATA'!E160="707.8(2)", 'CASE DATA'!E160="707.8(3)", 'CASE DATA'!E160="707.8(4)", 'CASE DATA'!E160="707.8(5)", 'CASE DATA'!E160="707.8(6)", 'CASE DATA'!E160="707.9", 'CASE DATA'!E160="707.11", 'CASE DATA'!E160="707A.2", 'CASE DATA'!E160="708.2(4)", 'CASE DATA'!E160="708.2(5)", 'CASE DATA'!E160="708.2A(4)", 'CASE DATA'!E160="708.2A(5)", 'CASE DATA'!E160="708.2C(2)", 'CASE DATA'!E160="708.2C(4)", 'CASE DATA'!E160="708.3(1)", 'CASE DATA'!E160="708.3(2)", 'CASE DATA'!E160="708.3A(1)", 'CASE DATA'!E160="708.3A(2)", 'CASE DATA'!E160="708.3B", 'CASE DATA'!E160="708.4(1)", 'CASE DATA'!E160="708.4(2)", 'CASE DATA'!E160="708.5", 'CASE DATA'!E160="708.8", 'CASE DATA'!E160="708.11(3)(a)", 'CASE DATA'!E160="708.11(3)(b)", 'CASE DATA'!E160="708.12(3)(f)", 'CASE DATA'!E160="708.13(3)", 'CASE DATA'!E160="708.14", 'CASE DATA'!E160="708A.2", 'CASE DATA'!E160="708A.4(1)", 'CASE DATA'!E160="708A.4(2)", 'CASE DATA'!E160="708A.5", 'CASE DATA'!E160="708A.6(1)", 'CASE DATA'!E160="708.A.6(2)", 'CASE DATA'!E160="709.2", 'CASE DATA'!E160="709.3", 'CASE DATA'!E160="709.4", 'CASE DATA'!E160="709.8(1)(a)", 'CASE DATA'!E160="709.8(1)(b)", 'CASE DATA'!E160="709.8(1)(c)", 'CASE DATA'!E160="709.8(1)(d)", 'CASE DATA'!E160="709.8(1)(e)", 'CASE DATA'!E160="709.11(1)", 'CASE DATA'!E160="709.11(2)", 'CASE DATA'!E160="709.15(2)(a)(1)", 'CASE DATA'!E160="709.15(3)(a)(1)", 'CASE DATA'!E160="709.18", 'CASE DATA'!E160="709A.6(2)", 'CASE DATA'!E160="709D.3(1)", 'CASE DATA'!E160="709D.3(2)", 'CASE DATA'!E160="709.D.3(3)", 'CASE DATA'!E160="710.2", 'CASE DATA'!E160="710.3", 'CASE DATA'!E160="710.4", 'CASE DATA'!E160="710.5", 'CASE DATA'!E160="710.10(1)", 'CASE DATA'!E160="710.10(2)", 'CASE DATA'!E160="710.10(3)", 'CASE DATA'!E160="710.11", 'CASE DATA'!E160="710A.2(1)", 'CASE DATA'!E160="710A.2(2)", 'CASE DATA'!E160="710A.2(3)", 'CASE DATA'!E160="710A.2(4)", 'CASE DATA'!E160="710A.2(5)", 'CASE DATA'!E160="710A.2(6)", 'CASE DATA'!E160="710A.2(7)", 'CASE DATA'!E160="710A.2A", 'CASE DATA'!E160="711.2", 'CASE DATA'!E160="711.3", 'CASE DATA'!E160="711.4", 'CASE DATA'!E160="712.2", 'CASE DATA'!E160="712.3", 'CASE DATA'!E160="712.6(1)", 'CASE DATA'!E160="712.7", 'CASE DATA'!E160="712.8", 'CASE DATA'!E160="", 'CASE DATA'!E160="713.3", 'CASE DATA'!E160="713.4", 'CASE DATA'!E160="713.5", 'CASE DATA'!E160="713.6", 'CASE DATA'!E160="713.6A(1)", 'CASE DATA'!E160="714.2(1)", 'CASE DATA'!E160="714.2(2)", 'CASE DATA'!E160="714.3A(2)(b)", 'CASE DATA'!E160="714.9", 'CASE DATA'!E160="714.10", 'CASE DATA'!E160="714.26(2)(a)", 'CASE DATA'!E160="714.26(2)(b)", 'CASE DATA'!E160="715A.2(2)(a)", 'CASE DATA'!E160="715A.6(2)(a)", 'CASE DATA'!E160="715A.6(2)(b)", 'CASE DATA'!E160="715A.8(3)(a)", 'CASE DATA'!E160="715A.8(3)(b)", 'CASE DATA'!E160="715A.10(1)", 'CASE DATA'!E160="715A.10(2)", 'CASE DATA'!E160="716.3", 'CASE DATA'!E160="716.4", 'CASE DATA'!E160="716.8(6)", 'CASE DATA'!E160="716.10(2)(a)", 'CASE DATA'!E160="716.10(2)(b)", 'CASE DATA'!E160="716.10(2)(c)", 'CASE DATA'!E160="716.10(2)(d)", 'CASE DATA'!E160="716.12", 'CASE DATA'!E160="719.1(1)(f)", 'CASE DATA'!E160="719.1(2)(e)", 'CASE DATA'!E160="719.1(2)(f)", 'CASE DATA'!E160="719.1(2)(g)", 'CASE DATA'!E160="719.4(1)", 'CASE DATA'!E160="719.4(4)", 'CASE DATA'!E160="719.5(1)", 'CASE DATA'!E160="719.5(2)", 'CASE DATA'!E160="719.6(1)", 'CASE DATA'!E160="719.6(2)", 'CASE DATA'!E160="719.7(4)(a)", 'CASE DATA'!E160="719.7(4)(b)", 'CASE DATA'!E160="719.7A(3)", 'CASE DATA'!E160="719.9", 'CASE DATA'!E160="719.8", 'CASE DATA'!E160="720.2", 'CASE DATA'!E160="720.3", 'CASE DATA'!E160="721.1", 'CASE DATA'!E160="722.1", 'CASE DATA'!E160="", 'CASE DATA'!E160="722.2", 'CASE DATA'!E160="722.10", 'CASE DATA'!E160="723(5)(3)(c)", 'CASE DATA'!E160="723A.2", 'CASE DATA'!E160="723A.3(1)", 'CASE DATA'!E160="723A.3(2)", 'CASE DATA'!E160="724.1B", 'CASE DATA'!E160="724.1C", 'CASE DATA'!E160="724.3", 'CASE DATA'!E160="724.4B", 'CASE DATA'!E160="724.10", 'CASE DATA'!E160="724.16(2)", 'CASE DATA'!E160="724.16A(1)(a)", 'CASE DATA'!E160="724.16A(1)(b)", 'CASE DATA'!E160="724.17", 'CASE DATA'!E160="724.21", 'CASE DATA'!E160="724.26(1)", 'CASE DATA'!E160="922(g)(8)", 'CASE DATA'!E160="724.29A(2)", 'CASE DATA'!E160="724.29A(3)", 'CASE DATA'!E160="724.30(1)", 'CASE DATA'!E160="724.30(2)", 'CASE DATA'!E160="725.1(2)(b)", 'CASE DATA'!E160="725.2(1)", 'CASE DATA'!E160="725.2(2)", 'CASE DATA'!E160="725.3(2)", 'CASE DATA'!E160="725.3(1)", 'CASE DATA'!E160="725.7(2)(a)(3)", 'CASE DATA'!E160="725.7(2)(a)(4)", 'CASE DATA'!E160="725.7(2)(b)(2)", 'CASE DATA'!E160="725.7(2)(b(3)", 'CASE DATA'!E160="726.7(2)(c)(1)", 'CASE DATA'!E160="726.7(2)(c)(2)", 'CASE DATA'!E160="725.7(2)(d)", 'CASE DATA'!E160="726.2", 'CASE DATA'!E160="726.3", 'CASE DATA'!E160="726.5", 'CASE DATA'!E160="726.6(4)", 'CASE DATA'!E160="726.6(5)", 'CASE DATA'!E160="726.6(6)", 'CASE DATA'!E160="726.6A", 'CASE DATA'!E160="726.7(2)", 'CASE DATA'!E160="726.8(2)", 'CASE DATA'!E160="728.12(1)", 'CASE DATA'!E160="728.12(2)"),"felony","eligible"),"N/A")</f>
        <v>N/A</v>
      </c>
      <c r="M159" s="185" t="str">
        <f>IF(L159="eligible",IF(OR('CASE DATA'!E160="123.46",'CASE DATA'!E160="123.47",'CASE DATA'!E160="235B.20",'CASE DATA'!E160="321.218",'CASE DATA'!E160="321A.32",'CASE DATA'!E160="321J.21",'CASE DATA'!E160="321J.2",'CASE DATA'!E160="707.5",'CASE DATA'!E160="708.2(3)",'CASE DATA'!E160="708.2A",'CASE DATA'!E160="708.7",'CASE DATA'!E160="708.11",'CASE DATA'!E160="708.12",'CASE DATA'!E160="716.8(3)",'CASE DATA'!E160="716.8(4)", LEFT('CASE DATA'!E160,4)="717C", LEFT('CASE DATA'!E160, 3)="719", LEFT('CASE DATA'!E160,3)="720", 'CASE DATA'!E160="721.2", 'CASE DATA'!E160="721.10", 'CASE DATA'!E160="723.1", LEFT('CASE DATA'!E160,3)="724", LEFT('CASE DATA'!E160,3)="726", LEFT('CASE DATA'!E160,3)="728", LEFT('CASE DATA'!E160,4)="901A"),"ineligible misd", "eligible"),"N/A")</f>
        <v>N/A</v>
      </c>
      <c r="N159" s="185" t="str">
        <f>IF(L159="eligible",IF(COUNTIF('CASE DATA'!$C$4:$C$200, "")-COUNTIF('CASE DATA'!$A$4:$A$200, "")&gt;0, "YES","NO"),"N/A")</f>
        <v>N/A</v>
      </c>
      <c r="O159" s="185" t="str">
        <f xml:space="preserve"> IF(M159="eligible",'CASE DATA'!K160,"N/A")</f>
        <v>N/A</v>
      </c>
      <c r="P159" s="185" t="str">
        <f xml:space="preserve"> IF(M159="eligible",'CASE DATA'!I160+'CASE DATA'!J160+'CASE DATA'!L160+'CASE DATA'!M160+'CASE DATA'!N160+'CASE DATA'!O160+'CASE DATA'!M160+'CASE DATA'!Q160+'CASE DATA'!R160,"N/A")</f>
        <v>N/A</v>
      </c>
      <c r="Q159" s="11" t="str">
        <f>IF(M159="eligible",IF(C159+730.5&lt;'BASIC INFO'!$B$3, "YES", "NO"),"N/A")</f>
        <v>N/A</v>
      </c>
      <c r="R159" s="186" t="str">
        <f xml:space="preserve"> IF(OR('CASE DATA'!F160="DEF"), "YES", "NO")</f>
        <v>NO</v>
      </c>
      <c r="S159" s="162" t="str">
        <f>IF(R159="YES",'CASE DATA'!H160,"N/A")</f>
        <v>N/A</v>
      </c>
      <c r="T159" s="185" t="str">
        <f xml:space="preserve"> IF(R159="YES",'CASE DATA'!K160,"N/A")</f>
        <v>N/A</v>
      </c>
      <c r="U159" s="185" t="str">
        <f>IF(R159="YES",'CASE DATA'!I160+'CASE DATA'!J160+'CASE DATA'!L160+'CASE DATA'!M160+'CASE DATA'!N160+'CASE DATA'!O160+'CASE DATA'!P160+'CASE DATA'!Q160+'CASE DATA'!R160,"N/A")</f>
        <v>N/A</v>
      </c>
      <c r="V159" s="189" t="str">
        <f>IF(OR('CASE DATA'!E160="123.46",'CASE DATA'!E160="123.47"),"YES","NO")</f>
        <v>NO</v>
      </c>
      <c r="W159" s="189"/>
      <c r="X159" s="185" t="str">
        <f>IF(V159="YES",IF(C159+730.5&lt;'BASIC INFO'!$B$3, "YES","NO"), "N/A")</f>
        <v>N/A</v>
      </c>
      <c r="Y159" s="189" t="str">
        <f t="shared" si="2"/>
        <v>NO</v>
      </c>
      <c r="Z159" s="187" t="str">
        <f xml:space="preserve"> IF('BASIC INFO'!$B$6+6574.5&gt;C159, "YES", "NO")</f>
        <v>YES</v>
      </c>
    </row>
    <row r="160" spans="1:26" x14ac:dyDescent="0.25">
      <c r="A160" s="162">
        <f xml:space="preserve"> 'CASE DATA'!A161</f>
        <v>0</v>
      </c>
      <c r="B160" s="162">
        <f xml:space="preserve"> 'CASE DATA'!E161</f>
        <v>0</v>
      </c>
      <c r="C160" s="163">
        <f xml:space="preserve"> 'CASE DATA'!C161</f>
        <v>0</v>
      </c>
      <c r="D160" s="11" t="str">
        <f xml:space="preserve"> IF(OR('CASE DATA'!F161="JUV", 'CASE DATA'!F161="JWV"), "YES", "NO")</f>
        <v>NO</v>
      </c>
      <c r="E160" s="11"/>
      <c r="F160" s="11" t="str">
        <f>IF(D160="YES",IF(COUNTIF('CASE DATA'!$C$4:$C$200, "")-COUNTIF('CASE DATA'!$A$4:$A$200, "")&gt;0, "YES","NO"),"N/A")</f>
        <v>N/A</v>
      </c>
      <c r="G160" s="164" t="str">
        <f xml:space="preserve"> _xlfn.IFS(D160="NO", "N/A", AND('BASIC INFO'!$B$3&gt;'BASIC INFO'!$B$6+6574.5, C160+730.5&lt;'BASIC INFO'!$B$3), "YES", 'BASIC INFO'!$B$3&lt;('BASIC INFO'!$B$6+6574.5), "NOT YET 18", C160+730.5&gt;'BASIC INFO'!$B$3, "NOT YET 2 YEARS")</f>
        <v>N/A</v>
      </c>
      <c r="H160" s="186" t="str">
        <f xml:space="preserve"> IF(LEFT('CASE DATA'!E161,4)&lt;&gt;"321.",IF(OR('CASE DATA'!F161="DISM", 'CASE DATA'!F161="ACQ", 'CASE DATA'!F161="NOTF", 'CASE DATA'!F161="WTHD", 'CASE DATA'!F161="TNSF"), "YES", "NO"), "TRAFFIC")</f>
        <v>NO</v>
      </c>
      <c r="I160" s="185" t="str">
        <f xml:space="preserve"> IF(H160="YES",'CASE DATA'!K161,"N/A")</f>
        <v>N/A</v>
      </c>
      <c r="J160" s="185" t="str">
        <f>IF(H160="YES",'CASE DATA'!I161+'CASE DATA'!J161+'CASE DATA'!L161+'CASE DATA'!M161+'CASE DATA'!N161+'CASE DATA'!O161+'CASE DATA'!P161+'CASE DATA'!Q161+'CASE DATA'!R161,"N/A")</f>
        <v>N/A</v>
      </c>
      <c r="K160" s="162" t="str">
        <f xml:space="preserve"> IF(H160="YES",IF(C160+180&lt;'BASIC INFO'!$B$3, "YES", "NO"),"N/A")</f>
        <v>N/A</v>
      </c>
      <c r="L160" s="185" t="str">
        <f>IF(OR('CASE DATA'!F161="GTR", 'CASE DATA'!F161="GPL"),IF(OR('CASE DATA'!E161="81.6(2)", 'CASE DATA'!E161="99F.15(6)(b)(1)", 'CASE DATA'!E161= "124.401(1)(a)", 'CASE DATA'!E161= "124.401(1)(b)", 'CASE DATA'!E161= "124.401(1)(c)", 'CASE DATA'!E161= "124.401(1)(d)", 'CASE DATA'!E161="124.401(4)", 'CASE DATA'!E161="124.401(1)(b)", 'CASE DATA'!E161="124.401(1)(c)", 'CASE DATA'!E161="124.401D(2)(b)", 'CASE DATA'!E161="124.401D(2)(c)", 'CASE DATA'!E161="124.406(1)(a)", 'CASE DATA'!E161="124.406(1)(b) ", 'CASE DATA'!E161="124.406(2)(a)", 'CASE DATA'!E161="124.406(2)(b) ", 'CASE DATA'!E161="124.406(3)", 'CASE DATA'!E161="124.406A ", 'CASE DATA'!E161="124.407(2)(a)", 'CASE DATA'!E161="124B.9(1)", 'CASE DATA'!E161="124B.9(2)", 'CASE DATA'!E161="321J.2(2)(c)", 'CASE DATA'!E161="453B.12(2)", 'CASE DATA'!E161="453B.12(3)", 'CASE DATA'!E161="453B.12(4)", 'CASE DATA'!E161="462A.14(2)(c)", 'CASE DATA'!E161="462A.14(2)(d)", 'CASE DATA'!E161="462A.14(2)(e)", 'CASE DATA'!E161="705.1(2)", 'CASE DATA'!E161="706.3(1)", 'CASE DATA'!E161="706.3(2)", 'CASE DATA'!E161="706A.2(1)", 'CASE DATA'!E161="706A.2(2)", 'CASE DATA'!E161="706A.2(4)", 'CASE DATA'!E161="706B.2(1)(a)", 'CASE DATA'!E161="706B.2(1)(b)", 'CASE DATA'!E161="706B.2(1)(c)", 'CASE DATA'!E161="706B.2(1)(d)", 'CASE DATA'!E161="707.2", 'CASE DATA'!E161="707.3", 'CASE DATA'!E161="707.3A", 'CASE DATA'!E161="707.4", 'CASE DATA'!E161="707.5(1)(a)", 'CASE DATA'!E161="707.6A(1)", 'CASE DATA'!E161="707.6A(2)", 'CASE DATA'!E161="707.6A(3)", 'CASE DATA'!E161="707.6A(4)", 'CASE DATA'!E161="707.7(1)", 'CASE DATA'!E161="707.7(3)", 'CASE DATA'!E161="707.7(2)", 'CASE DATA'!E161="707.8(1)", 'CASE DATA'!E161="707.8(2)", 'CASE DATA'!E161="707.8(3)", 'CASE DATA'!E161="707.8(4)", 'CASE DATA'!E161="707.8(5)", 'CASE DATA'!E161="707.8(6)", 'CASE DATA'!E161="707.9", 'CASE DATA'!E161="707.11", 'CASE DATA'!E161="707A.2", 'CASE DATA'!E161="708.2(4)", 'CASE DATA'!E161="708.2(5)", 'CASE DATA'!E161="708.2A(4)", 'CASE DATA'!E161="708.2A(5)", 'CASE DATA'!E161="708.2C(2)", 'CASE DATA'!E161="708.2C(4)", 'CASE DATA'!E161="708.3(1)", 'CASE DATA'!E161="708.3(2)", 'CASE DATA'!E161="708.3A(1)", 'CASE DATA'!E161="708.3A(2)", 'CASE DATA'!E161="708.3B", 'CASE DATA'!E161="708.4(1)", 'CASE DATA'!E161="708.4(2)", 'CASE DATA'!E161="708.5", 'CASE DATA'!E161="708.8", 'CASE DATA'!E161="708.11(3)(a)", 'CASE DATA'!E161="708.11(3)(b)", 'CASE DATA'!E161="708.12(3)(f)", 'CASE DATA'!E161="708.13(3)", 'CASE DATA'!E161="708.14", 'CASE DATA'!E161="708A.2", 'CASE DATA'!E161="708A.4(1)", 'CASE DATA'!E161="708A.4(2)", 'CASE DATA'!E161="708A.5", 'CASE DATA'!E161="708A.6(1)", 'CASE DATA'!E161="708.A.6(2)", 'CASE DATA'!E161="709.2", 'CASE DATA'!E161="709.3", 'CASE DATA'!E161="709.4", 'CASE DATA'!E161="709.8(1)(a)", 'CASE DATA'!E161="709.8(1)(b)", 'CASE DATA'!E161="709.8(1)(c)", 'CASE DATA'!E161="709.8(1)(d)", 'CASE DATA'!E161="709.8(1)(e)", 'CASE DATA'!E161="709.11(1)", 'CASE DATA'!E161="709.11(2)", 'CASE DATA'!E161="709.15(2)(a)(1)", 'CASE DATA'!E161="709.15(3)(a)(1)", 'CASE DATA'!E161="709.18", 'CASE DATA'!E161="709A.6(2)", 'CASE DATA'!E161="709D.3(1)", 'CASE DATA'!E161="709D.3(2)", 'CASE DATA'!E161="709.D.3(3)", 'CASE DATA'!E161="710.2", 'CASE DATA'!E161="710.3", 'CASE DATA'!E161="710.4", 'CASE DATA'!E161="710.5", 'CASE DATA'!E161="710.10(1)", 'CASE DATA'!E161="710.10(2)", 'CASE DATA'!E161="710.10(3)", 'CASE DATA'!E161="710.11", 'CASE DATA'!E161="710A.2(1)", 'CASE DATA'!E161="710A.2(2)", 'CASE DATA'!E161="710A.2(3)", 'CASE DATA'!E161="710A.2(4)", 'CASE DATA'!E161="710A.2(5)", 'CASE DATA'!E161="710A.2(6)", 'CASE DATA'!E161="710A.2(7)", 'CASE DATA'!E161="710A.2A", 'CASE DATA'!E161="711.2", 'CASE DATA'!E161="711.3", 'CASE DATA'!E161="711.4", 'CASE DATA'!E161="712.2", 'CASE DATA'!E161="712.3", 'CASE DATA'!E161="712.6(1)", 'CASE DATA'!E161="712.7", 'CASE DATA'!E161="712.8", 'CASE DATA'!E161="", 'CASE DATA'!E161="713.3", 'CASE DATA'!E161="713.4", 'CASE DATA'!E161="713.5", 'CASE DATA'!E161="713.6", 'CASE DATA'!E161="713.6A(1)", 'CASE DATA'!E161="714.2(1)", 'CASE DATA'!E161="714.2(2)", 'CASE DATA'!E161="714.3A(2)(b)", 'CASE DATA'!E161="714.9", 'CASE DATA'!E161="714.10", 'CASE DATA'!E161="714.26(2)(a)", 'CASE DATA'!E161="714.26(2)(b)", 'CASE DATA'!E161="715A.2(2)(a)", 'CASE DATA'!E161="715A.6(2)(a)", 'CASE DATA'!E161="715A.6(2)(b)", 'CASE DATA'!E161="715A.8(3)(a)", 'CASE DATA'!E161="715A.8(3)(b)", 'CASE DATA'!E161="715A.10(1)", 'CASE DATA'!E161="715A.10(2)", 'CASE DATA'!E161="716.3", 'CASE DATA'!E161="716.4", 'CASE DATA'!E161="716.8(6)", 'CASE DATA'!E161="716.10(2)(a)", 'CASE DATA'!E161="716.10(2)(b)", 'CASE DATA'!E161="716.10(2)(c)", 'CASE DATA'!E161="716.10(2)(d)", 'CASE DATA'!E161="716.12", 'CASE DATA'!E161="719.1(1)(f)", 'CASE DATA'!E161="719.1(2)(e)", 'CASE DATA'!E161="719.1(2)(f)", 'CASE DATA'!E161="719.1(2)(g)", 'CASE DATA'!E161="719.4(1)", 'CASE DATA'!E161="719.4(4)", 'CASE DATA'!E161="719.5(1)", 'CASE DATA'!E161="719.5(2)", 'CASE DATA'!E161="719.6(1)", 'CASE DATA'!E161="719.6(2)", 'CASE DATA'!E161="719.7(4)(a)", 'CASE DATA'!E161="719.7(4)(b)", 'CASE DATA'!E161="719.7A(3)", 'CASE DATA'!E161="719.9", 'CASE DATA'!E161="719.8", 'CASE DATA'!E161="720.2", 'CASE DATA'!E161="720.3", 'CASE DATA'!E161="721.1", 'CASE DATA'!E161="722.1", 'CASE DATA'!E161="", 'CASE DATA'!E161="722.2", 'CASE DATA'!E161="722.10", 'CASE DATA'!E161="723(5)(3)(c)", 'CASE DATA'!E161="723A.2", 'CASE DATA'!E161="723A.3(1)", 'CASE DATA'!E161="723A.3(2)", 'CASE DATA'!E161="724.1B", 'CASE DATA'!E161="724.1C", 'CASE DATA'!E161="724.3", 'CASE DATA'!E161="724.4B", 'CASE DATA'!E161="724.10", 'CASE DATA'!E161="724.16(2)", 'CASE DATA'!E161="724.16A(1)(a)", 'CASE DATA'!E161="724.16A(1)(b)", 'CASE DATA'!E161="724.17", 'CASE DATA'!E161="724.21", 'CASE DATA'!E161="724.26(1)", 'CASE DATA'!E161="922(g)(8)", 'CASE DATA'!E161="724.29A(2)", 'CASE DATA'!E161="724.29A(3)", 'CASE DATA'!E161="724.30(1)", 'CASE DATA'!E161="724.30(2)", 'CASE DATA'!E161="725.1(2)(b)", 'CASE DATA'!E161="725.2(1)", 'CASE DATA'!E161="725.2(2)", 'CASE DATA'!E161="725.3(2)", 'CASE DATA'!E161="725.3(1)", 'CASE DATA'!E161="725.7(2)(a)(3)", 'CASE DATA'!E161="725.7(2)(a)(4)", 'CASE DATA'!E161="725.7(2)(b)(2)", 'CASE DATA'!E161="725.7(2)(b(3)", 'CASE DATA'!E161="726.7(2)(c)(1)", 'CASE DATA'!E161="726.7(2)(c)(2)", 'CASE DATA'!E161="725.7(2)(d)", 'CASE DATA'!E161="726.2", 'CASE DATA'!E161="726.3", 'CASE DATA'!E161="726.5", 'CASE DATA'!E161="726.6(4)", 'CASE DATA'!E161="726.6(5)", 'CASE DATA'!E161="726.6(6)", 'CASE DATA'!E161="726.6A", 'CASE DATA'!E161="726.7(2)", 'CASE DATA'!E161="726.8(2)", 'CASE DATA'!E161="728.12(1)", 'CASE DATA'!E161="728.12(2)"),"felony","eligible"),"N/A")</f>
        <v>N/A</v>
      </c>
      <c r="M160" s="185" t="str">
        <f>IF(L160="eligible",IF(OR('CASE DATA'!E161="123.46",'CASE DATA'!E161="123.47",'CASE DATA'!E161="235B.20",'CASE DATA'!E161="321.218",'CASE DATA'!E161="321A.32",'CASE DATA'!E161="321J.21",'CASE DATA'!E161="321J.2",'CASE DATA'!E161="707.5",'CASE DATA'!E161="708.2(3)",'CASE DATA'!E161="708.2A",'CASE DATA'!E161="708.7",'CASE DATA'!E161="708.11",'CASE DATA'!E161="708.12",'CASE DATA'!E161="716.8(3)",'CASE DATA'!E161="716.8(4)", LEFT('CASE DATA'!E161,4)="717C", LEFT('CASE DATA'!E161, 3)="719", LEFT('CASE DATA'!E161,3)="720", 'CASE DATA'!E161="721.2", 'CASE DATA'!E161="721.10", 'CASE DATA'!E161="723.1", LEFT('CASE DATA'!E161,3)="724", LEFT('CASE DATA'!E161,3)="726", LEFT('CASE DATA'!E161,3)="728", LEFT('CASE DATA'!E161,4)="901A"),"ineligible misd", "eligible"),"N/A")</f>
        <v>N/A</v>
      </c>
      <c r="N160" s="185" t="str">
        <f>IF(L160="eligible",IF(COUNTIF('CASE DATA'!$C$4:$C$200, "")-COUNTIF('CASE DATA'!$A$4:$A$200, "")&gt;0, "YES","NO"),"N/A")</f>
        <v>N/A</v>
      </c>
      <c r="O160" s="185" t="str">
        <f xml:space="preserve"> IF(M160="eligible",'CASE DATA'!K161,"N/A")</f>
        <v>N/A</v>
      </c>
      <c r="P160" s="185" t="str">
        <f xml:space="preserve"> IF(M160="eligible",'CASE DATA'!I161+'CASE DATA'!J161+'CASE DATA'!L161+'CASE DATA'!M161+'CASE DATA'!N161+'CASE DATA'!O161+'CASE DATA'!M161+'CASE DATA'!Q161+'CASE DATA'!R161,"N/A")</f>
        <v>N/A</v>
      </c>
      <c r="Q160" s="11" t="str">
        <f>IF(M160="eligible",IF(C160+730.5&lt;'BASIC INFO'!$B$3, "YES", "NO"),"N/A")</f>
        <v>N/A</v>
      </c>
      <c r="R160" s="186" t="str">
        <f xml:space="preserve"> IF(OR('CASE DATA'!F161="DEF"), "YES", "NO")</f>
        <v>NO</v>
      </c>
      <c r="S160" s="162" t="str">
        <f>IF(R160="YES",'CASE DATA'!H161,"N/A")</f>
        <v>N/A</v>
      </c>
      <c r="T160" s="185" t="str">
        <f xml:space="preserve"> IF(R160="YES",'CASE DATA'!K161,"N/A")</f>
        <v>N/A</v>
      </c>
      <c r="U160" s="185" t="str">
        <f>IF(R160="YES",'CASE DATA'!I161+'CASE DATA'!J161+'CASE DATA'!L161+'CASE DATA'!M161+'CASE DATA'!N161+'CASE DATA'!O161+'CASE DATA'!P161+'CASE DATA'!Q161+'CASE DATA'!R161,"N/A")</f>
        <v>N/A</v>
      </c>
      <c r="V160" s="189" t="str">
        <f>IF(OR('CASE DATA'!E161="123.46",'CASE DATA'!E161="123.47"),"YES","NO")</f>
        <v>NO</v>
      </c>
      <c r="W160" s="189"/>
      <c r="X160" s="185" t="str">
        <f>IF(V160="YES",IF(C160+730.5&lt;'BASIC INFO'!$B$3, "YES","NO"), "N/A")</f>
        <v>N/A</v>
      </c>
      <c r="Y160" s="189" t="str">
        <f t="shared" si="2"/>
        <v>NO</v>
      </c>
      <c r="Z160" s="187" t="str">
        <f xml:space="preserve"> IF('BASIC INFO'!$B$6+6574.5&gt;C160, "YES", "NO")</f>
        <v>YES</v>
      </c>
    </row>
    <row r="161" spans="1:26" x14ac:dyDescent="0.25">
      <c r="A161" s="162">
        <f xml:space="preserve"> 'CASE DATA'!A162</f>
        <v>0</v>
      </c>
      <c r="B161" s="162">
        <f xml:space="preserve"> 'CASE DATA'!E162</f>
        <v>0</v>
      </c>
      <c r="C161" s="163">
        <f xml:space="preserve"> 'CASE DATA'!C162</f>
        <v>0</v>
      </c>
      <c r="D161" s="11" t="str">
        <f xml:space="preserve"> IF(OR('CASE DATA'!F162="JUV", 'CASE DATA'!F162="JWV"), "YES", "NO")</f>
        <v>NO</v>
      </c>
      <c r="E161" s="11"/>
      <c r="F161" s="11" t="str">
        <f>IF(D161="YES",IF(COUNTIF('CASE DATA'!$C$4:$C$200, "")-COUNTIF('CASE DATA'!$A$4:$A$200, "")&gt;0, "YES","NO"),"N/A")</f>
        <v>N/A</v>
      </c>
      <c r="G161" s="164" t="str">
        <f xml:space="preserve"> _xlfn.IFS(D161="NO", "N/A", AND('BASIC INFO'!$B$3&gt;'BASIC INFO'!$B$6+6574.5, C161+730.5&lt;'BASIC INFO'!$B$3), "YES", 'BASIC INFO'!$B$3&lt;('BASIC INFO'!$B$6+6574.5), "NOT YET 18", C161+730.5&gt;'BASIC INFO'!$B$3, "NOT YET 2 YEARS")</f>
        <v>N/A</v>
      </c>
      <c r="H161" s="186" t="str">
        <f xml:space="preserve"> IF(LEFT('CASE DATA'!E162,4)&lt;&gt;"321.",IF(OR('CASE DATA'!F162="DISM", 'CASE DATA'!F162="ACQ", 'CASE DATA'!F162="NOTF", 'CASE DATA'!F162="WTHD", 'CASE DATA'!F162="TNSF"), "YES", "NO"), "TRAFFIC")</f>
        <v>NO</v>
      </c>
      <c r="I161" s="185" t="str">
        <f xml:space="preserve"> IF(H161="YES",'CASE DATA'!K162,"N/A")</f>
        <v>N/A</v>
      </c>
      <c r="J161" s="185" t="str">
        <f>IF(H161="YES",'CASE DATA'!I162+'CASE DATA'!J162+'CASE DATA'!L162+'CASE DATA'!M162+'CASE DATA'!N162+'CASE DATA'!O162+'CASE DATA'!P162+'CASE DATA'!Q162+'CASE DATA'!R162,"N/A")</f>
        <v>N/A</v>
      </c>
      <c r="K161" s="162" t="str">
        <f xml:space="preserve"> IF(H161="YES",IF(C161+180&lt;'BASIC INFO'!$B$3, "YES", "NO"),"N/A")</f>
        <v>N/A</v>
      </c>
      <c r="L161" s="185" t="str">
        <f>IF(OR('CASE DATA'!F162="GTR", 'CASE DATA'!F162="GPL"),IF(OR('CASE DATA'!E162="81.6(2)", 'CASE DATA'!E162="99F.15(6)(b)(1)", 'CASE DATA'!E162= "124.401(1)(a)", 'CASE DATA'!E162= "124.401(1)(b)", 'CASE DATA'!E162= "124.401(1)(c)", 'CASE DATA'!E162= "124.401(1)(d)", 'CASE DATA'!E162="124.401(4)", 'CASE DATA'!E162="124.401(1)(b)", 'CASE DATA'!E162="124.401(1)(c)", 'CASE DATA'!E162="124.401D(2)(b)", 'CASE DATA'!E162="124.401D(2)(c)", 'CASE DATA'!E162="124.406(1)(a)", 'CASE DATA'!E162="124.406(1)(b) ", 'CASE DATA'!E162="124.406(2)(a)", 'CASE DATA'!E162="124.406(2)(b) ", 'CASE DATA'!E162="124.406(3)", 'CASE DATA'!E162="124.406A ", 'CASE DATA'!E162="124.407(2)(a)", 'CASE DATA'!E162="124B.9(1)", 'CASE DATA'!E162="124B.9(2)", 'CASE DATA'!E162="321J.2(2)(c)", 'CASE DATA'!E162="453B.12(2)", 'CASE DATA'!E162="453B.12(3)", 'CASE DATA'!E162="453B.12(4)", 'CASE DATA'!E162="462A.14(2)(c)", 'CASE DATA'!E162="462A.14(2)(d)", 'CASE DATA'!E162="462A.14(2)(e)", 'CASE DATA'!E162="705.1(2)", 'CASE DATA'!E162="706.3(1)", 'CASE DATA'!E162="706.3(2)", 'CASE DATA'!E162="706A.2(1)", 'CASE DATA'!E162="706A.2(2)", 'CASE DATA'!E162="706A.2(4)", 'CASE DATA'!E162="706B.2(1)(a)", 'CASE DATA'!E162="706B.2(1)(b)", 'CASE DATA'!E162="706B.2(1)(c)", 'CASE DATA'!E162="706B.2(1)(d)", 'CASE DATA'!E162="707.2", 'CASE DATA'!E162="707.3", 'CASE DATA'!E162="707.3A", 'CASE DATA'!E162="707.4", 'CASE DATA'!E162="707.5(1)(a)", 'CASE DATA'!E162="707.6A(1)", 'CASE DATA'!E162="707.6A(2)", 'CASE DATA'!E162="707.6A(3)", 'CASE DATA'!E162="707.6A(4)", 'CASE DATA'!E162="707.7(1)", 'CASE DATA'!E162="707.7(3)", 'CASE DATA'!E162="707.7(2)", 'CASE DATA'!E162="707.8(1)", 'CASE DATA'!E162="707.8(2)", 'CASE DATA'!E162="707.8(3)", 'CASE DATA'!E162="707.8(4)", 'CASE DATA'!E162="707.8(5)", 'CASE DATA'!E162="707.8(6)", 'CASE DATA'!E162="707.9", 'CASE DATA'!E162="707.11", 'CASE DATA'!E162="707A.2", 'CASE DATA'!E162="708.2(4)", 'CASE DATA'!E162="708.2(5)", 'CASE DATA'!E162="708.2A(4)", 'CASE DATA'!E162="708.2A(5)", 'CASE DATA'!E162="708.2C(2)", 'CASE DATA'!E162="708.2C(4)", 'CASE DATA'!E162="708.3(1)", 'CASE DATA'!E162="708.3(2)", 'CASE DATA'!E162="708.3A(1)", 'CASE DATA'!E162="708.3A(2)", 'CASE DATA'!E162="708.3B", 'CASE DATA'!E162="708.4(1)", 'CASE DATA'!E162="708.4(2)", 'CASE DATA'!E162="708.5", 'CASE DATA'!E162="708.8", 'CASE DATA'!E162="708.11(3)(a)", 'CASE DATA'!E162="708.11(3)(b)", 'CASE DATA'!E162="708.12(3)(f)", 'CASE DATA'!E162="708.13(3)", 'CASE DATA'!E162="708.14", 'CASE DATA'!E162="708A.2", 'CASE DATA'!E162="708A.4(1)", 'CASE DATA'!E162="708A.4(2)", 'CASE DATA'!E162="708A.5", 'CASE DATA'!E162="708A.6(1)", 'CASE DATA'!E162="708.A.6(2)", 'CASE DATA'!E162="709.2", 'CASE DATA'!E162="709.3", 'CASE DATA'!E162="709.4", 'CASE DATA'!E162="709.8(1)(a)", 'CASE DATA'!E162="709.8(1)(b)", 'CASE DATA'!E162="709.8(1)(c)", 'CASE DATA'!E162="709.8(1)(d)", 'CASE DATA'!E162="709.8(1)(e)", 'CASE DATA'!E162="709.11(1)", 'CASE DATA'!E162="709.11(2)", 'CASE DATA'!E162="709.15(2)(a)(1)", 'CASE DATA'!E162="709.15(3)(a)(1)", 'CASE DATA'!E162="709.18", 'CASE DATA'!E162="709A.6(2)", 'CASE DATA'!E162="709D.3(1)", 'CASE DATA'!E162="709D.3(2)", 'CASE DATA'!E162="709.D.3(3)", 'CASE DATA'!E162="710.2", 'CASE DATA'!E162="710.3", 'CASE DATA'!E162="710.4", 'CASE DATA'!E162="710.5", 'CASE DATA'!E162="710.10(1)", 'CASE DATA'!E162="710.10(2)", 'CASE DATA'!E162="710.10(3)", 'CASE DATA'!E162="710.11", 'CASE DATA'!E162="710A.2(1)", 'CASE DATA'!E162="710A.2(2)", 'CASE DATA'!E162="710A.2(3)", 'CASE DATA'!E162="710A.2(4)", 'CASE DATA'!E162="710A.2(5)", 'CASE DATA'!E162="710A.2(6)", 'CASE DATA'!E162="710A.2(7)", 'CASE DATA'!E162="710A.2A", 'CASE DATA'!E162="711.2", 'CASE DATA'!E162="711.3", 'CASE DATA'!E162="711.4", 'CASE DATA'!E162="712.2", 'CASE DATA'!E162="712.3", 'CASE DATA'!E162="712.6(1)", 'CASE DATA'!E162="712.7", 'CASE DATA'!E162="712.8", 'CASE DATA'!E162="", 'CASE DATA'!E162="713.3", 'CASE DATA'!E162="713.4", 'CASE DATA'!E162="713.5", 'CASE DATA'!E162="713.6", 'CASE DATA'!E162="713.6A(1)", 'CASE DATA'!E162="714.2(1)", 'CASE DATA'!E162="714.2(2)", 'CASE DATA'!E162="714.3A(2)(b)", 'CASE DATA'!E162="714.9", 'CASE DATA'!E162="714.10", 'CASE DATA'!E162="714.26(2)(a)", 'CASE DATA'!E162="714.26(2)(b)", 'CASE DATA'!E162="715A.2(2)(a)", 'CASE DATA'!E162="715A.6(2)(a)", 'CASE DATA'!E162="715A.6(2)(b)", 'CASE DATA'!E162="715A.8(3)(a)", 'CASE DATA'!E162="715A.8(3)(b)", 'CASE DATA'!E162="715A.10(1)", 'CASE DATA'!E162="715A.10(2)", 'CASE DATA'!E162="716.3", 'CASE DATA'!E162="716.4", 'CASE DATA'!E162="716.8(6)", 'CASE DATA'!E162="716.10(2)(a)", 'CASE DATA'!E162="716.10(2)(b)", 'CASE DATA'!E162="716.10(2)(c)", 'CASE DATA'!E162="716.10(2)(d)", 'CASE DATA'!E162="716.12", 'CASE DATA'!E162="719.1(1)(f)", 'CASE DATA'!E162="719.1(2)(e)", 'CASE DATA'!E162="719.1(2)(f)", 'CASE DATA'!E162="719.1(2)(g)", 'CASE DATA'!E162="719.4(1)", 'CASE DATA'!E162="719.4(4)", 'CASE DATA'!E162="719.5(1)", 'CASE DATA'!E162="719.5(2)", 'CASE DATA'!E162="719.6(1)", 'CASE DATA'!E162="719.6(2)", 'CASE DATA'!E162="719.7(4)(a)", 'CASE DATA'!E162="719.7(4)(b)", 'CASE DATA'!E162="719.7A(3)", 'CASE DATA'!E162="719.9", 'CASE DATA'!E162="719.8", 'CASE DATA'!E162="720.2", 'CASE DATA'!E162="720.3", 'CASE DATA'!E162="721.1", 'CASE DATA'!E162="722.1", 'CASE DATA'!E162="", 'CASE DATA'!E162="722.2", 'CASE DATA'!E162="722.10", 'CASE DATA'!E162="723(5)(3)(c)", 'CASE DATA'!E162="723A.2", 'CASE DATA'!E162="723A.3(1)", 'CASE DATA'!E162="723A.3(2)", 'CASE DATA'!E162="724.1B", 'CASE DATA'!E162="724.1C", 'CASE DATA'!E162="724.3", 'CASE DATA'!E162="724.4B", 'CASE DATA'!E162="724.10", 'CASE DATA'!E162="724.16(2)", 'CASE DATA'!E162="724.16A(1)(a)", 'CASE DATA'!E162="724.16A(1)(b)", 'CASE DATA'!E162="724.17", 'CASE DATA'!E162="724.21", 'CASE DATA'!E162="724.26(1)", 'CASE DATA'!E162="922(g)(8)", 'CASE DATA'!E162="724.29A(2)", 'CASE DATA'!E162="724.29A(3)", 'CASE DATA'!E162="724.30(1)", 'CASE DATA'!E162="724.30(2)", 'CASE DATA'!E162="725.1(2)(b)", 'CASE DATA'!E162="725.2(1)", 'CASE DATA'!E162="725.2(2)", 'CASE DATA'!E162="725.3(2)", 'CASE DATA'!E162="725.3(1)", 'CASE DATA'!E162="725.7(2)(a)(3)", 'CASE DATA'!E162="725.7(2)(a)(4)", 'CASE DATA'!E162="725.7(2)(b)(2)", 'CASE DATA'!E162="725.7(2)(b(3)", 'CASE DATA'!E162="726.7(2)(c)(1)", 'CASE DATA'!E162="726.7(2)(c)(2)", 'CASE DATA'!E162="725.7(2)(d)", 'CASE DATA'!E162="726.2", 'CASE DATA'!E162="726.3", 'CASE DATA'!E162="726.5", 'CASE DATA'!E162="726.6(4)", 'CASE DATA'!E162="726.6(5)", 'CASE DATA'!E162="726.6(6)", 'CASE DATA'!E162="726.6A", 'CASE DATA'!E162="726.7(2)", 'CASE DATA'!E162="726.8(2)", 'CASE DATA'!E162="728.12(1)", 'CASE DATA'!E162="728.12(2)"),"felony","eligible"),"N/A")</f>
        <v>N/A</v>
      </c>
      <c r="M161" s="185" t="str">
        <f>IF(L161="eligible",IF(OR('CASE DATA'!E162="123.46",'CASE DATA'!E162="123.47",'CASE DATA'!E162="235B.20",'CASE DATA'!E162="321.218",'CASE DATA'!E162="321A.32",'CASE DATA'!E162="321J.21",'CASE DATA'!E162="321J.2",'CASE DATA'!E162="707.5",'CASE DATA'!E162="708.2(3)",'CASE DATA'!E162="708.2A",'CASE DATA'!E162="708.7",'CASE DATA'!E162="708.11",'CASE DATA'!E162="708.12",'CASE DATA'!E162="716.8(3)",'CASE DATA'!E162="716.8(4)", LEFT('CASE DATA'!E162,4)="717C", LEFT('CASE DATA'!E162, 3)="719", LEFT('CASE DATA'!E162,3)="720", 'CASE DATA'!E162="721.2", 'CASE DATA'!E162="721.10", 'CASE DATA'!E162="723.1", LEFT('CASE DATA'!E162,3)="724", LEFT('CASE DATA'!E162,3)="726", LEFT('CASE DATA'!E162,3)="728", LEFT('CASE DATA'!E162,4)="901A"),"ineligible misd", "eligible"),"N/A")</f>
        <v>N/A</v>
      </c>
      <c r="N161" s="185" t="str">
        <f>IF(L161="eligible",IF(COUNTIF('CASE DATA'!$C$4:$C$200, "")-COUNTIF('CASE DATA'!$A$4:$A$200, "")&gt;0, "YES","NO"),"N/A")</f>
        <v>N/A</v>
      </c>
      <c r="O161" s="185" t="str">
        <f xml:space="preserve"> IF(M161="eligible",'CASE DATA'!K162,"N/A")</f>
        <v>N/A</v>
      </c>
      <c r="P161" s="185" t="str">
        <f xml:space="preserve"> IF(M161="eligible",'CASE DATA'!I162+'CASE DATA'!J162+'CASE DATA'!L162+'CASE DATA'!M162+'CASE DATA'!N162+'CASE DATA'!O162+'CASE DATA'!M162+'CASE DATA'!Q162+'CASE DATA'!R162,"N/A")</f>
        <v>N/A</v>
      </c>
      <c r="Q161" s="11" t="str">
        <f>IF(M161="eligible",IF(C161+730.5&lt;'BASIC INFO'!$B$3, "YES", "NO"),"N/A")</f>
        <v>N/A</v>
      </c>
      <c r="R161" s="186" t="str">
        <f xml:space="preserve"> IF(OR('CASE DATA'!F162="DEF"), "YES", "NO")</f>
        <v>NO</v>
      </c>
      <c r="S161" s="162" t="str">
        <f>IF(R161="YES",'CASE DATA'!H162,"N/A")</f>
        <v>N/A</v>
      </c>
      <c r="T161" s="185" t="str">
        <f xml:space="preserve"> IF(R161="YES",'CASE DATA'!K162,"N/A")</f>
        <v>N/A</v>
      </c>
      <c r="U161" s="185" t="str">
        <f>IF(R161="YES",'CASE DATA'!I162+'CASE DATA'!J162+'CASE DATA'!L162+'CASE DATA'!M162+'CASE DATA'!N162+'CASE DATA'!O162+'CASE DATA'!P162+'CASE DATA'!Q162+'CASE DATA'!R162,"N/A")</f>
        <v>N/A</v>
      </c>
      <c r="V161" s="189" t="str">
        <f>IF(OR('CASE DATA'!E162="123.46",'CASE DATA'!E162="123.47"),"YES","NO")</f>
        <v>NO</v>
      </c>
      <c r="W161" s="189"/>
      <c r="X161" s="185" t="str">
        <f>IF(V161="YES",IF(C161+730.5&lt;'BASIC INFO'!$B$3, "YES","NO"), "N/A")</f>
        <v>N/A</v>
      </c>
      <c r="Y161" s="189" t="str">
        <f t="shared" si="2"/>
        <v>NO</v>
      </c>
      <c r="Z161" s="187" t="str">
        <f xml:space="preserve"> IF('BASIC INFO'!$B$6+6574.5&gt;C161, "YES", "NO")</f>
        <v>YES</v>
      </c>
    </row>
    <row r="162" spans="1:26" x14ac:dyDescent="0.25">
      <c r="A162" s="162">
        <f xml:space="preserve"> 'CASE DATA'!A163</f>
        <v>0</v>
      </c>
      <c r="B162" s="162">
        <f xml:space="preserve"> 'CASE DATA'!E163</f>
        <v>0</v>
      </c>
      <c r="C162" s="163">
        <f xml:space="preserve"> 'CASE DATA'!C163</f>
        <v>0</v>
      </c>
      <c r="D162" s="11" t="str">
        <f xml:space="preserve"> IF(OR('CASE DATA'!F163="JUV", 'CASE DATA'!F163="JWV"), "YES", "NO")</f>
        <v>NO</v>
      </c>
      <c r="E162" s="11"/>
      <c r="F162" s="11" t="str">
        <f>IF(D162="YES",IF(COUNTIF('CASE DATA'!$C$4:$C$200, "")-COUNTIF('CASE DATA'!$A$4:$A$200, "")&gt;0, "YES","NO"),"N/A")</f>
        <v>N/A</v>
      </c>
      <c r="G162" s="164" t="str">
        <f xml:space="preserve"> _xlfn.IFS(D162="NO", "N/A", AND('BASIC INFO'!$B$3&gt;'BASIC INFO'!$B$6+6574.5, C162+730.5&lt;'BASIC INFO'!$B$3), "YES", 'BASIC INFO'!$B$3&lt;('BASIC INFO'!$B$6+6574.5), "NOT YET 18", C162+730.5&gt;'BASIC INFO'!$B$3, "NOT YET 2 YEARS")</f>
        <v>N/A</v>
      </c>
      <c r="H162" s="186" t="str">
        <f xml:space="preserve"> IF(LEFT('CASE DATA'!E163,4)&lt;&gt;"321.",IF(OR('CASE DATA'!F163="DISM", 'CASE DATA'!F163="ACQ", 'CASE DATA'!F163="NOTF", 'CASE DATA'!F163="WTHD", 'CASE DATA'!F163="TNSF"), "YES", "NO"), "TRAFFIC")</f>
        <v>NO</v>
      </c>
      <c r="I162" s="185" t="str">
        <f xml:space="preserve"> IF(H162="YES",'CASE DATA'!K163,"N/A")</f>
        <v>N/A</v>
      </c>
      <c r="J162" s="185" t="str">
        <f>IF(H162="YES",'CASE DATA'!I163+'CASE DATA'!J163+'CASE DATA'!L163+'CASE DATA'!M163+'CASE DATA'!N163+'CASE DATA'!O163+'CASE DATA'!P163+'CASE DATA'!Q163+'CASE DATA'!R163,"N/A")</f>
        <v>N/A</v>
      </c>
      <c r="K162" s="162" t="str">
        <f xml:space="preserve"> IF(H162="YES",IF(C162+180&lt;'BASIC INFO'!$B$3, "YES", "NO"),"N/A")</f>
        <v>N/A</v>
      </c>
      <c r="L162" s="185" t="str">
        <f>IF(OR('CASE DATA'!F163="GTR", 'CASE DATA'!F163="GPL"),IF(OR('CASE DATA'!E163="81.6(2)", 'CASE DATA'!E163="99F.15(6)(b)(1)", 'CASE DATA'!E163= "124.401(1)(a)", 'CASE DATA'!E163= "124.401(1)(b)", 'CASE DATA'!E163= "124.401(1)(c)", 'CASE DATA'!E163= "124.401(1)(d)", 'CASE DATA'!E163="124.401(4)", 'CASE DATA'!E163="124.401(1)(b)", 'CASE DATA'!E163="124.401(1)(c)", 'CASE DATA'!E163="124.401D(2)(b)", 'CASE DATA'!E163="124.401D(2)(c)", 'CASE DATA'!E163="124.406(1)(a)", 'CASE DATA'!E163="124.406(1)(b) ", 'CASE DATA'!E163="124.406(2)(a)", 'CASE DATA'!E163="124.406(2)(b) ", 'CASE DATA'!E163="124.406(3)", 'CASE DATA'!E163="124.406A ", 'CASE DATA'!E163="124.407(2)(a)", 'CASE DATA'!E163="124B.9(1)", 'CASE DATA'!E163="124B.9(2)", 'CASE DATA'!E163="321J.2(2)(c)", 'CASE DATA'!E163="453B.12(2)", 'CASE DATA'!E163="453B.12(3)", 'CASE DATA'!E163="453B.12(4)", 'CASE DATA'!E163="462A.14(2)(c)", 'CASE DATA'!E163="462A.14(2)(d)", 'CASE DATA'!E163="462A.14(2)(e)", 'CASE DATA'!E163="705.1(2)", 'CASE DATA'!E163="706.3(1)", 'CASE DATA'!E163="706.3(2)", 'CASE DATA'!E163="706A.2(1)", 'CASE DATA'!E163="706A.2(2)", 'CASE DATA'!E163="706A.2(4)", 'CASE DATA'!E163="706B.2(1)(a)", 'CASE DATA'!E163="706B.2(1)(b)", 'CASE DATA'!E163="706B.2(1)(c)", 'CASE DATA'!E163="706B.2(1)(d)", 'CASE DATA'!E163="707.2", 'CASE DATA'!E163="707.3", 'CASE DATA'!E163="707.3A", 'CASE DATA'!E163="707.4", 'CASE DATA'!E163="707.5(1)(a)", 'CASE DATA'!E163="707.6A(1)", 'CASE DATA'!E163="707.6A(2)", 'CASE DATA'!E163="707.6A(3)", 'CASE DATA'!E163="707.6A(4)", 'CASE DATA'!E163="707.7(1)", 'CASE DATA'!E163="707.7(3)", 'CASE DATA'!E163="707.7(2)", 'CASE DATA'!E163="707.8(1)", 'CASE DATA'!E163="707.8(2)", 'CASE DATA'!E163="707.8(3)", 'CASE DATA'!E163="707.8(4)", 'CASE DATA'!E163="707.8(5)", 'CASE DATA'!E163="707.8(6)", 'CASE DATA'!E163="707.9", 'CASE DATA'!E163="707.11", 'CASE DATA'!E163="707A.2", 'CASE DATA'!E163="708.2(4)", 'CASE DATA'!E163="708.2(5)", 'CASE DATA'!E163="708.2A(4)", 'CASE DATA'!E163="708.2A(5)", 'CASE DATA'!E163="708.2C(2)", 'CASE DATA'!E163="708.2C(4)", 'CASE DATA'!E163="708.3(1)", 'CASE DATA'!E163="708.3(2)", 'CASE DATA'!E163="708.3A(1)", 'CASE DATA'!E163="708.3A(2)", 'CASE DATA'!E163="708.3B", 'CASE DATA'!E163="708.4(1)", 'CASE DATA'!E163="708.4(2)", 'CASE DATA'!E163="708.5", 'CASE DATA'!E163="708.8", 'CASE DATA'!E163="708.11(3)(a)", 'CASE DATA'!E163="708.11(3)(b)", 'CASE DATA'!E163="708.12(3)(f)", 'CASE DATA'!E163="708.13(3)", 'CASE DATA'!E163="708.14", 'CASE DATA'!E163="708A.2", 'CASE DATA'!E163="708A.4(1)", 'CASE DATA'!E163="708A.4(2)", 'CASE DATA'!E163="708A.5", 'CASE DATA'!E163="708A.6(1)", 'CASE DATA'!E163="708.A.6(2)", 'CASE DATA'!E163="709.2", 'CASE DATA'!E163="709.3", 'CASE DATA'!E163="709.4", 'CASE DATA'!E163="709.8(1)(a)", 'CASE DATA'!E163="709.8(1)(b)", 'CASE DATA'!E163="709.8(1)(c)", 'CASE DATA'!E163="709.8(1)(d)", 'CASE DATA'!E163="709.8(1)(e)", 'CASE DATA'!E163="709.11(1)", 'CASE DATA'!E163="709.11(2)", 'CASE DATA'!E163="709.15(2)(a)(1)", 'CASE DATA'!E163="709.15(3)(a)(1)", 'CASE DATA'!E163="709.18", 'CASE DATA'!E163="709A.6(2)", 'CASE DATA'!E163="709D.3(1)", 'CASE DATA'!E163="709D.3(2)", 'CASE DATA'!E163="709.D.3(3)", 'CASE DATA'!E163="710.2", 'CASE DATA'!E163="710.3", 'CASE DATA'!E163="710.4", 'CASE DATA'!E163="710.5", 'CASE DATA'!E163="710.10(1)", 'CASE DATA'!E163="710.10(2)", 'CASE DATA'!E163="710.10(3)", 'CASE DATA'!E163="710.11", 'CASE DATA'!E163="710A.2(1)", 'CASE DATA'!E163="710A.2(2)", 'CASE DATA'!E163="710A.2(3)", 'CASE DATA'!E163="710A.2(4)", 'CASE DATA'!E163="710A.2(5)", 'CASE DATA'!E163="710A.2(6)", 'CASE DATA'!E163="710A.2(7)", 'CASE DATA'!E163="710A.2A", 'CASE DATA'!E163="711.2", 'CASE DATA'!E163="711.3", 'CASE DATA'!E163="711.4", 'CASE DATA'!E163="712.2", 'CASE DATA'!E163="712.3", 'CASE DATA'!E163="712.6(1)", 'CASE DATA'!E163="712.7", 'CASE DATA'!E163="712.8", 'CASE DATA'!E163="", 'CASE DATA'!E163="713.3", 'CASE DATA'!E163="713.4", 'CASE DATA'!E163="713.5", 'CASE DATA'!E163="713.6", 'CASE DATA'!E163="713.6A(1)", 'CASE DATA'!E163="714.2(1)", 'CASE DATA'!E163="714.2(2)", 'CASE DATA'!E163="714.3A(2)(b)", 'CASE DATA'!E163="714.9", 'CASE DATA'!E163="714.10", 'CASE DATA'!E163="714.26(2)(a)", 'CASE DATA'!E163="714.26(2)(b)", 'CASE DATA'!E163="715A.2(2)(a)", 'CASE DATA'!E163="715A.6(2)(a)", 'CASE DATA'!E163="715A.6(2)(b)", 'CASE DATA'!E163="715A.8(3)(a)", 'CASE DATA'!E163="715A.8(3)(b)", 'CASE DATA'!E163="715A.10(1)", 'CASE DATA'!E163="715A.10(2)", 'CASE DATA'!E163="716.3", 'CASE DATA'!E163="716.4", 'CASE DATA'!E163="716.8(6)", 'CASE DATA'!E163="716.10(2)(a)", 'CASE DATA'!E163="716.10(2)(b)", 'CASE DATA'!E163="716.10(2)(c)", 'CASE DATA'!E163="716.10(2)(d)", 'CASE DATA'!E163="716.12", 'CASE DATA'!E163="719.1(1)(f)", 'CASE DATA'!E163="719.1(2)(e)", 'CASE DATA'!E163="719.1(2)(f)", 'CASE DATA'!E163="719.1(2)(g)", 'CASE DATA'!E163="719.4(1)", 'CASE DATA'!E163="719.4(4)", 'CASE DATA'!E163="719.5(1)", 'CASE DATA'!E163="719.5(2)", 'CASE DATA'!E163="719.6(1)", 'CASE DATA'!E163="719.6(2)", 'CASE DATA'!E163="719.7(4)(a)", 'CASE DATA'!E163="719.7(4)(b)", 'CASE DATA'!E163="719.7A(3)", 'CASE DATA'!E163="719.9", 'CASE DATA'!E163="719.8", 'CASE DATA'!E163="720.2", 'CASE DATA'!E163="720.3", 'CASE DATA'!E163="721.1", 'CASE DATA'!E163="722.1", 'CASE DATA'!E163="", 'CASE DATA'!E163="722.2", 'CASE DATA'!E163="722.10", 'CASE DATA'!E163="723(5)(3)(c)", 'CASE DATA'!E163="723A.2", 'CASE DATA'!E163="723A.3(1)", 'CASE DATA'!E163="723A.3(2)", 'CASE DATA'!E163="724.1B", 'CASE DATA'!E163="724.1C", 'CASE DATA'!E163="724.3", 'CASE DATA'!E163="724.4B", 'CASE DATA'!E163="724.10", 'CASE DATA'!E163="724.16(2)", 'CASE DATA'!E163="724.16A(1)(a)", 'CASE DATA'!E163="724.16A(1)(b)", 'CASE DATA'!E163="724.17", 'CASE DATA'!E163="724.21", 'CASE DATA'!E163="724.26(1)", 'CASE DATA'!E163="922(g)(8)", 'CASE DATA'!E163="724.29A(2)", 'CASE DATA'!E163="724.29A(3)", 'CASE DATA'!E163="724.30(1)", 'CASE DATA'!E163="724.30(2)", 'CASE DATA'!E163="725.1(2)(b)", 'CASE DATA'!E163="725.2(1)", 'CASE DATA'!E163="725.2(2)", 'CASE DATA'!E163="725.3(2)", 'CASE DATA'!E163="725.3(1)", 'CASE DATA'!E163="725.7(2)(a)(3)", 'CASE DATA'!E163="725.7(2)(a)(4)", 'CASE DATA'!E163="725.7(2)(b)(2)", 'CASE DATA'!E163="725.7(2)(b(3)", 'CASE DATA'!E163="726.7(2)(c)(1)", 'CASE DATA'!E163="726.7(2)(c)(2)", 'CASE DATA'!E163="725.7(2)(d)", 'CASE DATA'!E163="726.2", 'CASE DATA'!E163="726.3", 'CASE DATA'!E163="726.5", 'CASE DATA'!E163="726.6(4)", 'CASE DATA'!E163="726.6(5)", 'CASE DATA'!E163="726.6(6)", 'CASE DATA'!E163="726.6A", 'CASE DATA'!E163="726.7(2)", 'CASE DATA'!E163="726.8(2)", 'CASE DATA'!E163="728.12(1)", 'CASE DATA'!E163="728.12(2)"),"felony","eligible"),"N/A")</f>
        <v>N/A</v>
      </c>
      <c r="M162" s="185" t="str">
        <f>IF(L162="eligible",IF(OR('CASE DATA'!E163="123.46",'CASE DATA'!E163="123.47",'CASE DATA'!E163="235B.20",'CASE DATA'!E163="321.218",'CASE DATA'!E163="321A.32",'CASE DATA'!E163="321J.21",'CASE DATA'!E163="321J.2",'CASE DATA'!E163="707.5",'CASE DATA'!E163="708.2(3)",'CASE DATA'!E163="708.2A",'CASE DATA'!E163="708.7",'CASE DATA'!E163="708.11",'CASE DATA'!E163="708.12",'CASE DATA'!E163="716.8(3)",'CASE DATA'!E163="716.8(4)", LEFT('CASE DATA'!E163,4)="717C", LEFT('CASE DATA'!E163, 3)="719", LEFT('CASE DATA'!E163,3)="720", 'CASE DATA'!E163="721.2", 'CASE DATA'!E163="721.10", 'CASE DATA'!E163="723.1", LEFT('CASE DATA'!E163,3)="724", LEFT('CASE DATA'!E163,3)="726", LEFT('CASE DATA'!E163,3)="728", LEFT('CASE DATA'!E163,4)="901A"),"ineligible misd", "eligible"),"N/A")</f>
        <v>N/A</v>
      </c>
      <c r="N162" s="185" t="str">
        <f>IF(L162="eligible",IF(COUNTIF('CASE DATA'!$C$4:$C$200, "")-COUNTIF('CASE DATA'!$A$4:$A$200, "")&gt;0, "YES","NO"),"N/A")</f>
        <v>N/A</v>
      </c>
      <c r="O162" s="185" t="str">
        <f xml:space="preserve"> IF(M162="eligible",'CASE DATA'!K163,"N/A")</f>
        <v>N/A</v>
      </c>
      <c r="P162" s="185" t="str">
        <f xml:space="preserve"> IF(M162="eligible",'CASE DATA'!I163+'CASE DATA'!J163+'CASE DATA'!L163+'CASE DATA'!M163+'CASE DATA'!N163+'CASE DATA'!O163+'CASE DATA'!M163+'CASE DATA'!Q163+'CASE DATA'!R163,"N/A")</f>
        <v>N/A</v>
      </c>
      <c r="Q162" s="11" t="str">
        <f>IF(M162="eligible",IF(C162+730.5&lt;'BASIC INFO'!$B$3, "YES", "NO"),"N/A")</f>
        <v>N/A</v>
      </c>
      <c r="R162" s="186" t="str">
        <f xml:space="preserve"> IF(OR('CASE DATA'!F163="DEF"), "YES", "NO")</f>
        <v>NO</v>
      </c>
      <c r="S162" s="162" t="str">
        <f>IF(R162="YES",'CASE DATA'!H163,"N/A")</f>
        <v>N/A</v>
      </c>
      <c r="T162" s="185" t="str">
        <f xml:space="preserve"> IF(R162="YES",'CASE DATA'!K163,"N/A")</f>
        <v>N/A</v>
      </c>
      <c r="U162" s="185" t="str">
        <f>IF(R162="YES",'CASE DATA'!I163+'CASE DATA'!J163+'CASE DATA'!L163+'CASE DATA'!M163+'CASE DATA'!N163+'CASE DATA'!O163+'CASE DATA'!P163+'CASE DATA'!Q163+'CASE DATA'!R163,"N/A")</f>
        <v>N/A</v>
      </c>
      <c r="V162" s="189" t="str">
        <f>IF(OR('CASE DATA'!E163="123.46",'CASE DATA'!E163="123.47"),"YES","NO")</f>
        <v>NO</v>
      </c>
      <c r="W162" s="189"/>
      <c r="X162" s="185" t="str">
        <f>IF(V162="YES",IF(C162+730.5&lt;'BASIC INFO'!$B$3, "YES","NO"), "N/A")</f>
        <v>N/A</v>
      </c>
      <c r="Y162" s="189" t="str">
        <f t="shared" si="2"/>
        <v>NO</v>
      </c>
      <c r="Z162" s="187" t="str">
        <f xml:space="preserve"> IF('BASIC INFO'!$B$6+6574.5&gt;C162, "YES", "NO")</f>
        <v>YES</v>
      </c>
    </row>
    <row r="163" spans="1:26" x14ac:dyDescent="0.25">
      <c r="A163" s="162">
        <f xml:space="preserve"> 'CASE DATA'!A164</f>
        <v>0</v>
      </c>
      <c r="B163" s="162">
        <f xml:space="preserve"> 'CASE DATA'!E164</f>
        <v>0</v>
      </c>
      <c r="C163" s="163">
        <f xml:space="preserve"> 'CASE DATA'!C164</f>
        <v>0</v>
      </c>
      <c r="D163" s="11" t="str">
        <f xml:space="preserve"> IF(OR('CASE DATA'!F164="JUV", 'CASE DATA'!F164="JWV"), "YES", "NO")</f>
        <v>NO</v>
      </c>
      <c r="E163" s="11"/>
      <c r="F163" s="11" t="str">
        <f>IF(D163="YES",IF(COUNTIF('CASE DATA'!$C$4:$C$200, "")-COUNTIF('CASE DATA'!$A$4:$A$200, "")&gt;0, "YES","NO"),"N/A")</f>
        <v>N/A</v>
      </c>
      <c r="G163" s="164" t="str">
        <f xml:space="preserve"> _xlfn.IFS(D163="NO", "N/A", AND('BASIC INFO'!$B$3&gt;'BASIC INFO'!$B$6+6574.5, C163+730.5&lt;'BASIC INFO'!$B$3), "YES", 'BASIC INFO'!$B$3&lt;('BASIC INFO'!$B$6+6574.5), "NOT YET 18", C163+730.5&gt;'BASIC INFO'!$B$3, "NOT YET 2 YEARS")</f>
        <v>N/A</v>
      </c>
      <c r="H163" s="186" t="str">
        <f xml:space="preserve"> IF(LEFT('CASE DATA'!E164,4)&lt;&gt;"321.",IF(OR('CASE DATA'!F164="DISM", 'CASE DATA'!F164="ACQ", 'CASE DATA'!F164="NOTF", 'CASE DATA'!F164="WTHD", 'CASE DATA'!F164="TNSF"), "YES", "NO"), "TRAFFIC")</f>
        <v>NO</v>
      </c>
      <c r="I163" s="185" t="str">
        <f xml:space="preserve"> IF(H163="YES",'CASE DATA'!K164,"N/A")</f>
        <v>N/A</v>
      </c>
      <c r="J163" s="185" t="str">
        <f>IF(H163="YES",'CASE DATA'!I164+'CASE DATA'!J164+'CASE DATA'!L164+'CASE DATA'!M164+'CASE DATA'!N164+'CASE DATA'!O164+'CASE DATA'!P164+'CASE DATA'!Q164+'CASE DATA'!R164,"N/A")</f>
        <v>N/A</v>
      </c>
      <c r="K163" s="162" t="str">
        <f xml:space="preserve"> IF(H163="YES",IF(C163+180&lt;'BASIC INFO'!$B$3, "YES", "NO"),"N/A")</f>
        <v>N/A</v>
      </c>
      <c r="L163" s="185" t="str">
        <f>IF(OR('CASE DATA'!F164="GTR", 'CASE DATA'!F164="GPL"),IF(OR('CASE DATA'!E164="81.6(2)", 'CASE DATA'!E164="99F.15(6)(b)(1)", 'CASE DATA'!E164= "124.401(1)(a)", 'CASE DATA'!E164= "124.401(1)(b)", 'CASE DATA'!E164= "124.401(1)(c)", 'CASE DATA'!E164= "124.401(1)(d)", 'CASE DATA'!E164="124.401(4)", 'CASE DATA'!E164="124.401(1)(b)", 'CASE DATA'!E164="124.401(1)(c)", 'CASE DATA'!E164="124.401D(2)(b)", 'CASE DATA'!E164="124.401D(2)(c)", 'CASE DATA'!E164="124.406(1)(a)", 'CASE DATA'!E164="124.406(1)(b) ", 'CASE DATA'!E164="124.406(2)(a)", 'CASE DATA'!E164="124.406(2)(b) ", 'CASE DATA'!E164="124.406(3)", 'CASE DATA'!E164="124.406A ", 'CASE DATA'!E164="124.407(2)(a)", 'CASE DATA'!E164="124B.9(1)", 'CASE DATA'!E164="124B.9(2)", 'CASE DATA'!E164="321J.2(2)(c)", 'CASE DATA'!E164="453B.12(2)", 'CASE DATA'!E164="453B.12(3)", 'CASE DATA'!E164="453B.12(4)", 'CASE DATA'!E164="462A.14(2)(c)", 'CASE DATA'!E164="462A.14(2)(d)", 'CASE DATA'!E164="462A.14(2)(e)", 'CASE DATA'!E164="705.1(2)", 'CASE DATA'!E164="706.3(1)", 'CASE DATA'!E164="706.3(2)", 'CASE DATA'!E164="706A.2(1)", 'CASE DATA'!E164="706A.2(2)", 'CASE DATA'!E164="706A.2(4)", 'CASE DATA'!E164="706B.2(1)(a)", 'CASE DATA'!E164="706B.2(1)(b)", 'CASE DATA'!E164="706B.2(1)(c)", 'CASE DATA'!E164="706B.2(1)(d)", 'CASE DATA'!E164="707.2", 'CASE DATA'!E164="707.3", 'CASE DATA'!E164="707.3A", 'CASE DATA'!E164="707.4", 'CASE DATA'!E164="707.5(1)(a)", 'CASE DATA'!E164="707.6A(1)", 'CASE DATA'!E164="707.6A(2)", 'CASE DATA'!E164="707.6A(3)", 'CASE DATA'!E164="707.6A(4)", 'CASE DATA'!E164="707.7(1)", 'CASE DATA'!E164="707.7(3)", 'CASE DATA'!E164="707.7(2)", 'CASE DATA'!E164="707.8(1)", 'CASE DATA'!E164="707.8(2)", 'CASE DATA'!E164="707.8(3)", 'CASE DATA'!E164="707.8(4)", 'CASE DATA'!E164="707.8(5)", 'CASE DATA'!E164="707.8(6)", 'CASE DATA'!E164="707.9", 'CASE DATA'!E164="707.11", 'CASE DATA'!E164="707A.2", 'CASE DATA'!E164="708.2(4)", 'CASE DATA'!E164="708.2(5)", 'CASE DATA'!E164="708.2A(4)", 'CASE DATA'!E164="708.2A(5)", 'CASE DATA'!E164="708.2C(2)", 'CASE DATA'!E164="708.2C(4)", 'CASE DATA'!E164="708.3(1)", 'CASE DATA'!E164="708.3(2)", 'CASE DATA'!E164="708.3A(1)", 'CASE DATA'!E164="708.3A(2)", 'CASE DATA'!E164="708.3B", 'CASE DATA'!E164="708.4(1)", 'CASE DATA'!E164="708.4(2)", 'CASE DATA'!E164="708.5", 'CASE DATA'!E164="708.8", 'CASE DATA'!E164="708.11(3)(a)", 'CASE DATA'!E164="708.11(3)(b)", 'CASE DATA'!E164="708.12(3)(f)", 'CASE DATA'!E164="708.13(3)", 'CASE DATA'!E164="708.14", 'CASE DATA'!E164="708A.2", 'CASE DATA'!E164="708A.4(1)", 'CASE DATA'!E164="708A.4(2)", 'CASE DATA'!E164="708A.5", 'CASE DATA'!E164="708A.6(1)", 'CASE DATA'!E164="708.A.6(2)", 'CASE DATA'!E164="709.2", 'CASE DATA'!E164="709.3", 'CASE DATA'!E164="709.4", 'CASE DATA'!E164="709.8(1)(a)", 'CASE DATA'!E164="709.8(1)(b)", 'CASE DATA'!E164="709.8(1)(c)", 'CASE DATA'!E164="709.8(1)(d)", 'CASE DATA'!E164="709.8(1)(e)", 'CASE DATA'!E164="709.11(1)", 'CASE DATA'!E164="709.11(2)", 'CASE DATA'!E164="709.15(2)(a)(1)", 'CASE DATA'!E164="709.15(3)(a)(1)", 'CASE DATA'!E164="709.18", 'CASE DATA'!E164="709A.6(2)", 'CASE DATA'!E164="709D.3(1)", 'CASE DATA'!E164="709D.3(2)", 'CASE DATA'!E164="709.D.3(3)", 'CASE DATA'!E164="710.2", 'CASE DATA'!E164="710.3", 'CASE DATA'!E164="710.4", 'CASE DATA'!E164="710.5", 'CASE DATA'!E164="710.10(1)", 'CASE DATA'!E164="710.10(2)", 'CASE DATA'!E164="710.10(3)", 'CASE DATA'!E164="710.11", 'CASE DATA'!E164="710A.2(1)", 'CASE DATA'!E164="710A.2(2)", 'CASE DATA'!E164="710A.2(3)", 'CASE DATA'!E164="710A.2(4)", 'CASE DATA'!E164="710A.2(5)", 'CASE DATA'!E164="710A.2(6)", 'CASE DATA'!E164="710A.2(7)", 'CASE DATA'!E164="710A.2A", 'CASE DATA'!E164="711.2", 'CASE DATA'!E164="711.3", 'CASE DATA'!E164="711.4", 'CASE DATA'!E164="712.2", 'CASE DATA'!E164="712.3", 'CASE DATA'!E164="712.6(1)", 'CASE DATA'!E164="712.7", 'CASE DATA'!E164="712.8", 'CASE DATA'!E164="", 'CASE DATA'!E164="713.3", 'CASE DATA'!E164="713.4", 'CASE DATA'!E164="713.5", 'CASE DATA'!E164="713.6", 'CASE DATA'!E164="713.6A(1)", 'CASE DATA'!E164="714.2(1)", 'CASE DATA'!E164="714.2(2)", 'CASE DATA'!E164="714.3A(2)(b)", 'CASE DATA'!E164="714.9", 'CASE DATA'!E164="714.10", 'CASE DATA'!E164="714.26(2)(a)", 'CASE DATA'!E164="714.26(2)(b)", 'CASE DATA'!E164="715A.2(2)(a)", 'CASE DATA'!E164="715A.6(2)(a)", 'CASE DATA'!E164="715A.6(2)(b)", 'CASE DATA'!E164="715A.8(3)(a)", 'CASE DATA'!E164="715A.8(3)(b)", 'CASE DATA'!E164="715A.10(1)", 'CASE DATA'!E164="715A.10(2)", 'CASE DATA'!E164="716.3", 'CASE DATA'!E164="716.4", 'CASE DATA'!E164="716.8(6)", 'CASE DATA'!E164="716.10(2)(a)", 'CASE DATA'!E164="716.10(2)(b)", 'CASE DATA'!E164="716.10(2)(c)", 'CASE DATA'!E164="716.10(2)(d)", 'CASE DATA'!E164="716.12", 'CASE DATA'!E164="719.1(1)(f)", 'CASE DATA'!E164="719.1(2)(e)", 'CASE DATA'!E164="719.1(2)(f)", 'CASE DATA'!E164="719.1(2)(g)", 'CASE DATA'!E164="719.4(1)", 'CASE DATA'!E164="719.4(4)", 'CASE DATA'!E164="719.5(1)", 'CASE DATA'!E164="719.5(2)", 'CASE DATA'!E164="719.6(1)", 'CASE DATA'!E164="719.6(2)", 'CASE DATA'!E164="719.7(4)(a)", 'CASE DATA'!E164="719.7(4)(b)", 'CASE DATA'!E164="719.7A(3)", 'CASE DATA'!E164="719.9", 'CASE DATA'!E164="719.8", 'CASE DATA'!E164="720.2", 'CASE DATA'!E164="720.3", 'CASE DATA'!E164="721.1", 'CASE DATA'!E164="722.1", 'CASE DATA'!E164="", 'CASE DATA'!E164="722.2", 'CASE DATA'!E164="722.10", 'CASE DATA'!E164="723(5)(3)(c)", 'CASE DATA'!E164="723A.2", 'CASE DATA'!E164="723A.3(1)", 'CASE DATA'!E164="723A.3(2)", 'CASE DATA'!E164="724.1B", 'CASE DATA'!E164="724.1C", 'CASE DATA'!E164="724.3", 'CASE DATA'!E164="724.4B", 'CASE DATA'!E164="724.10", 'CASE DATA'!E164="724.16(2)", 'CASE DATA'!E164="724.16A(1)(a)", 'CASE DATA'!E164="724.16A(1)(b)", 'CASE DATA'!E164="724.17", 'CASE DATA'!E164="724.21", 'CASE DATA'!E164="724.26(1)", 'CASE DATA'!E164="922(g)(8)", 'CASE DATA'!E164="724.29A(2)", 'CASE DATA'!E164="724.29A(3)", 'CASE DATA'!E164="724.30(1)", 'CASE DATA'!E164="724.30(2)", 'CASE DATA'!E164="725.1(2)(b)", 'CASE DATA'!E164="725.2(1)", 'CASE DATA'!E164="725.2(2)", 'CASE DATA'!E164="725.3(2)", 'CASE DATA'!E164="725.3(1)", 'CASE DATA'!E164="725.7(2)(a)(3)", 'CASE DATA'!E164="725.7(2)(a)(4)", 'CASE DATA'!E164="725.7(2)(b)(2)", 'CASE DATA'!E164="725.7(2)(b(3)", 'CASE DATA'!E164="726.7(2)(c)(1)", 'CASE DATA'!E164="726.7(2)(c)(2)", 'CASE DATA'!E164="725.7(2)(d)", 'CASE DATA'!E164="726.2", 'CASE DATA'!E164="726.3", 'CASE DATA'!E164="726.5", 'CASE DATA'!E164="726.6(4)", 'CASE DATA'!E164="726.6(5)", 'CASE DATA'!E164="726.6(6)", 'CASE DATA'!E164="726.6A", 'CASE DATA'!E164="726.7(2)", 'CASE DATA'!E164="726.8(2)", 'CASE DATA'!E164="728.12(1)", 'CASE DATA'!E164="728.12(2)"),"felony","eligible"),"N/A")</f>
        <v>N/A</v>
      </c>
      <c r="M163" s="185" t="str">
        <f>IF(L163="eligible",IF(OR('CASE DATA'!E164="123.46",'CASE DATA'!E164="123.47",'CASE DATA'!E164="235B.20",'CASE DATA'!E164="321.218",'CASE DATA'!E164="321A.32",'CASE DATA'!E164="321J.21",'CASE DATA'!E164="321J.2",'CASE DATA'!E164="707.5",'CASE DATA'!E164="708.2(3)",'CASE DATA'!E164="708.2A",'CASE DATA'!E164="708.7",'CASE DATA'!E164="708.11",'CASE DATA'!E164="708.12",'CASE DATA'!E164="716.8(3)",'CASE DATA'!E164="716.8(4)", LEFT('CASE DATA'!E164,4)="717C", LEFT('CASE DATA'!E164, 3)="719", LEFT('CASE DATA'!E164,3)="720", 'CASE DATA'!E164="721.2", 'CASE DATA'!E164="721.10", 'CASE DATA'!E164="723.1", LEFT('CASE DATA'!E164,3)="724", LEFT('CASE DATA'!E164,3)="726", LEFT('CASE DATA'!E164,3)="728", LEFT('CASE DATA'!E164,4)="901A"),"ineligible misd", "eligible"),"N/A")</f>
        <v>N/A</v>
      </c>
      <c r="N163" s="185" t="str">
        <f>IF(L163="eligible",IF(COUNTIF('CASE DATA'!$C$4:$C$200, "")-COUNTIF('CASE DATA'!$A$4:$A$200, "")&gt;0, "YES","NO"),"N/A")</f>
        <v>N/A</v>
      </c>
      <c r="O163" s="185" t="str">
        <f xml:space="preserve"> IF(M163="eligible",'CASE DATA'!K164,"N/A")</f>
        <v>N/A</v>
      </c>
      <c r="P163" s="185" t="str">
        <f xml:space="preserve"> IF(M163="eligible",'CASE DATA'!I164+'CASE DATA'!J164+'CASE DATA'!L164+'CASE DATA'!M164+'CASE DATA'!N164+'CASE DATA'!O164+'CASE DATA'!M164+'CASE DATA'!Q164+'CASE DATA'!R164,"N/A")</f>
        <v>N/A</v>
      </c>
      <c r="Q163" s="11" t="str">
        <f>IF(M163="eligible",IF(C163+730.5&lt;'BASIC INFO'!$B$3, "YES", "NO"),"N/A")</f>
        <v>N/A</v>
      </c>
      <c r="R163" s="186" t="str">
        <f xml:space="preserve"> IF(OR('CASE DATA'!F164="DEF"), "YES", "NO")</f>
        <v>NO</v>
      </c>
      <c r="S163" s="162" t="str">
        <f>IF(R163="YES",'CASE DATA'!H164,"N/A")</f>
        <v>N/A</v>
      </c>
      <c r="T163" s="185" t="str">
        <f xml:space="preserve"> IF(R163="YES",'CASE DATA'!K164,"N/A")</f>
        <v>N/A</v>
      </c>
      <c r="U163" s="185" t="str">
        <f>IF(R163="YES",'CASE DATA'!I164+'CASE DATA'!J164+'CASE DATA'!L164+'CASE DATA'!M164+'CASE DATA'!N164+'CASE DATA'!O164+'CASE DATA'!P164+'CASE DATA'!Q164+'CASE DATA'!R164,"N/A")</f>
        <v>N/A</v>
      </c>
      <c r="V163" s="189" t="str">
        <f>IF(OR('CASE DATA'!E164="123.46",'CASE DATA'!E164="123.47"),"YES","NO")</f>
        <v>NO</v>
      </c>
      <c r="W163" s="189"/>
      <c r="X163" s="185" t="str">
        <f>IF(V163="YES",IF(C163+730.5&lt;'BASIC INFO'!$B$3, "YES","NO"), "N/A")</f>
        <v>N/A</v>
      </c>
      <c r="Y163" s="189" t="str">
        <f t="shared" si="2"/>
        <v>NO</v>
      </c>
      <c r="Z163" s="187" t="str">
        <f xml:space="preserve"> IF('BASIC INFO'!$B$6+6574.5&gt;C163, "YES", "NO")</f>
        <v>YES</v>
      </c>
    </row>
    <row r="164" spans="1:26" x14ac:dyDescent="0.25">
      <c r="A164" s="162">
        <f xml:space="preserve"> 'CASE DATA'!A165</f>
        <v>0</v>
      </c>
      <c r="B164" s="162">
        <f xml:space="preserve"> 'CASE DATA'!E165</f>
        <v>0</v>
      </c>
      <c r="C164" s="163">
        <f xml:space="preserve"> 'CASE DATA'!C165</f>
        <v>0</v>
      </c>
      <c r="D164" s="11" t="str">
        <f xml:space="preserve"> IF(OR('CASE DATA'!F165="JUV", 'CASE DATA'!F165="JWV"), "YES", "NO")</f>
        <v>NO</v>
      </c>
      <c r="E164" s="11"/>
      <c r="F164" s="11" t="str">
        <f>IF(D164="YES",IF(COUNTIF('CASE DATA'!$C$4:$C$200, "")-COUNTIF('CASE DATA'!$A$4:$A$200, "")&gt;0, "YES","NO"),"N/A")</f>
        <v>N/A</v>
      </c>
      <c r="G164" s="164" t="str">
        <f xml:space="preserve"> _xlfn.IFS(D164="NO", "N/A", AND('BASIC INFO'!$B$3&gt;'BASIC INFO'!$B$6+6574.5, C164+730.5&lt;'BASIC INFO'!$B$3), "YES", 'BASIC INFO'!$B$3&lt;('BASIC INFO'!$B$6+6574.5), "NOT YET 18", C164+730.5&gt;'BASIC INFO'!$B$3, "NOT YET 2 YEARS")</f>
        <v>N/A</v>
      </c>
      <c r="H164" s="186" t="str">
        <f xml:space="preserve"> IF(LEFT('CASE DATA'!E165,4)&lt;&gt;"321.",IF(OR('CASE DATA'!F165="DISM", 'CASE DATA'!F165="ACQ", 'CASE DATA'!F165="NOTF", 'CASE DATA'!F165="WTHD", 'CASE DATA'!F165="TNSF"), "YES", "NO"), "TRAFFIC")</f>
        <v>NO</v>
      </c>
      <c r="I164" s="185" t="str">
        <f xml:space="preserve"> IF(H164="YES",'CASE DATA'!K165,"N/A")</f>
        <v>N/A</v>
      </c>
      <c r="J164" s="185" t="str">
        <f>IF(H164="YES",'CASE DATA'!I165+'CASE DATA'!J165+'CASE DATA'!L165+'CASE DATA'!M165+'CASE DATA'!N165+'CASE DATA'!O165+'CASE DATA'!P165+'CASE DATA'!Q165+'CASE DATA'!R165,"N/A")</f>
        <v>N/A</v>
      </c>
      <c r="K164" s="162" t="str">
        <f xml:space="preserve"> IF(H164="YES",IF(C164+180&lt;'BASIC INFO'!$B$3, "YES", "NO"),"N/A")</f>
        <v>N/A</v>
      </c>
      <c r="L164" s="185" t="str">
        <f>IF(OR('CASE DATA'!F165="GTR", 'CASE DATA'!F165="GPL"),IF(OR('CASE DATA'!E165="81.6(2)", 'CASE DATA'!E165="99F.15(6)(b)(1)", 'CASE DATA'!E165= "124.401(1)(a)", 'CASE DATA'!E165= "124.401(1)(b)", 'CASE DATA'!E165= "124.401(1)(c)", 'CASE DATA'!E165= "124.401(1)(d)", 'CASE DATA'!E165="124.401(4)", 'CASE DATA'!E165="124.401(1)(b)", 'CASE DATA'!E165="124.401(1)(c)", 'CASE DATA'!E165="124.401D(2)(b)", 'CASE DATA'!E165="124.401D(2)(c)", 'CASE DATA'!E165="124.406(1)(a)", 'CASE DATA'!E165="124.406(1)(b) ", 'CASE DATA'!E165="124.406(2)(a)", 'CASE DATA'!E165="124.406(2)(b) ", 'CASE DATA'!E165="124.406(3)", 'CASE DATA'!E165="124.406A ", 'CASE DATA'!E165="124.407(2)(a)", 'CASE DATA'!E165="124B.9(1)", 'CASE DATA'!E165="124B.9(2)", 'CASE DATA'!E165="321J.2(2)(c)", 'CASE DATA'!E165="453B.12(2)", 'CASE DATA'!E165="453B.12(3)", 'CASE DATA'!E165="453B.12(4)", 'CASE DATA'!E165="462A.14(2)(c)", 'CASE DATA'!E165="462A.14(2)(d)", 'CASE DATA'!E165="462A.14(2)(e)", 'CASE DATA'!E165="705.1(2)", 'CASE DATA'!E165="706.3(1)", 'CASE DATA'!E165="706.3(2)", 'CASE DATA'!E165="706A.2(1)", 'CASE DATA'!E165="706A.2(2)", 'CASE DATA'!E165="706A.2(4)", 'CASE DATA'!E165="706B.2(1)(a)", 'CASE DATA'!E165="706B.2(1)(b)", 'CASE DATA'!E165="706B.2(1)(c)", 'CASE DATA'!E165="706B.2(1)(d)", 'CASE DATA'!E165="707.2", 'CASE DATA'!E165="707.3", 'CASE DATA'!E165="707.3A", 'CASE DATA'!E165="707.4", 'CASE DATA'!E165="707.5(1)(a)", 'CASE DATA'!E165="707.6A(1)", 'CASE DATA'!E165="707.6A(2)", 'CASE DATA'!E165="707.6A(3)", 'CASE DATA'!E165="707.6A(4)", 'CASE DATA'!E165="707.7(1)", 'CASE DATA'!E165="707.7(3)", 'CASE DATA'!E165="707.7(2)", 'CASE DATA'!E165="707.8(1)", 'CASE DATA'!E165="707.8(2)", 'CASE DATA'!E165="707.8(3)", 'CASE DATA'!E165="707.8(4)", 'CASE DATA'!E165="707.8(5)", 'CASE DATA'!E165="707.8(6)", 'CASE DATA'!E165="707.9", 'CASE DATA'!E165="707.11", 'CASE DATA'!E165="707A.2", 'CASE DATA'!E165="708.2(4)", 'CASE DATA'!E165="708.2(5)", 'CASE DATA'!E165="708.2A(4)", 'CASE DATA'!E165="708.2A(5)", 'CASE DATA'!E165="708.2C(2)", 'CASE DATA'!E165="708.2C(4)", 'CASE DATA'!E165="708.3(1)", 'CASE DATA'!E165="708.3(2)", 'CASE DATA'!E165="708.3A(1)", 'CASE DATA'!E165="708.3A(2)", 'CASE DATA'!E165="708.3B", 'CASE DATA'!E165="708.4(1)", 'CASE DATA'!E165="708.4(2)", 'CASE DATA'!E165="708.5", 'CASE DATA'!E165="708.8", 'CASE DATA'!E165="708.11(3)(a)", 'CASE DATA'!E165="708.11(3)(b)", 'CASE DATA'!E165="708.12(3)(f)", 'CASE DATA'!E165="708.13(3)", 'CASE DATA'!E165="708.14", 'CASE DATA'!E165="708A.2", 'CASE DATA'!E165="708A.4(1)", 'CASE DATA'!E165="708A.4(2)", 'CASE DATA'!E165="708A.5", 'CASE DATA'!E165="708A.6(1)", 'CASE DATA'!E165="708.A.6(2)", 'CASE DATA'!E165="709.2", 'CASE DATA'!E165="709.3", 'CASE DATA'!E165="709.4", 'CASE DATA'!E165="709.8(1)(a)", 'CASE DATA'!E165="709.8(1)(b)", 'CASE DATA'!E165="709.8(1)(c)", 'CASE DATA'!E165="709.8(1)(d)", 'CASE DATA'!E165="709.8(1)(e)", 'CASE DATA'!E165="709.11(1)", 'CASE DATA'!E165="709.11(2)", 'CASE DATA'!E165="709.15(2)(a)(1)", 'CASE DATA'!E165="709.15(3)(a)(1)", 'CASE DATA'!E165="709.18", 'CASE DATA'!E165="709A.6(2)", 'CASE DATA'!E165="709D.3(1)", 'CASE DATA'!E165="709D.3(2)", 'CASE DATA'!E165="709.D.3(3)", 'CASE DATA'!E165="710.2", 'CASE DATA'!E165="710.3", 'CASE DATA'!E165="710.4", 'CASE DATA'!E165="710.5", 'CASE DATA'!E165="710.10(1)", 'CASE DATA'!E165="710.10(2)", 'CASE DATA'!E165="710.10(3)", 'CASE DATA'!E165="710.11", 'CASE DATA'!E165="710A.2(1)", 'CASE DATA'!E165="710A.2(2)", 'CASE DATA'!E165="710A.2(3)", 'CASE DATA'!E165="710A.2(4)", 'CASE DATA'!E165="710A.2(5)", 'CASE DATA'!E165="710A.2(6)", 'CASE DATA'!E165="710A.2(7)", 'CASE DATA'!E165="710A.2A", 'CASE DATA'!E165="711.2", 'CASE DATA'!E165="711.3", 'CASE DATA'!E165="711.4", 'CASE DATA'!E165="712.2", 'CASE DATA'!E165="712.3", 'CASE DATA'!E165="712.6(1)", 'CASE DATA'!E165="712.7", 'CASE DATA'!E165="712.8", 'CASE DATA'!E165="", 'CASE DATA'!E165="713.3", 'CASE DATA'!E165="713.4", 'CASE DATA'!E165="713.5", 'CASE DATA'!E165="713.6", 'CASE DATA'!E165="713.6A(1)", 'CASE DATA'!E165="714.2(1)", 'CASE DATA'!E165="714.2(2)", 'CASE DATA'!E165="714.3A(2)(b)", 'CASE DATA'!E165="714.9", 'CASE DATA'!E165="714.10", 'CASE DATA'!E165="714.26(2)(a)", 'CASE DATA'!E165="714.26(2)(b)", 'CASE DATA'!E165="715A.2(2)(a)", 'CASE DATA'!E165="715A.6(2)(a)", 'CASE DATA'!E165="715A.6(2)(b)", 'CASE DATA'!E165="715A.8(3)(a)", 'CASE DATA'!E165="715A.8(3)(b)", 'CASE DATA'!E165="715A.10(1)", 'CASE DATA'!E165="715A.10(2)", 'CASE DATA'!E165="716.3", 'CASE DATA'!E165="716.4", 'CASE DATA'!E165="716.8(6)", 'CASE DATA'!E165="716.10(2)(a)", 'CASE DATA'!E165="716.10(2)(b)", 'CASE DATA'!E165="716.10(2)(c)", 'CASE DATA'!E165="716.10(2)(d)", 'CASE DATA'!E165="716.12", 'CASE DATA'!E165="719.1(1)(f)", 'CASE DATA'!E165="719.1(2)(e)", 'CASE DATA'!E165="719.1(2)(f)", 'CASE DATA'!E165="719.1(2)(g)", 'CASE DATA'!E165="719.4(1)", 'CASE DATA'!E165="719.4(4)", 'CASE DATA'!E165="719.5(1)", 'CASE DATA'!E165="719.5(2)", 'CASE DATA'!E165="719.6(1)", 'CASE DATA'!E165="719.6(2)", 'CASE DATA'!E165="719.7(4)(a)", 'CASE DATA'!E165="719.7(4)(b)", 'CASE DATA'!E165="719.7A(3)", 'CASE DATA'!E165="719.9", 'CASE DATA'!E165="719.8", 'CASE DATA'!E165="720.2", 'CASE DATA'!E165="720.3", 'CASE DATA'!E165="721.1", 'CASE DATA'!E165="722.1", 'CASE DATA'!E165="", 'CASE DATA'!E165="722.2", 'CASE DATA'!E165="722.10", 'CASE DATA'!E165="723(5)(3)(c)", 'CASE DATA'!E165="723A.2", 'CASE DATA'!E165="723A.3(1)", 'CASE DATA'!E165="723A.3(2)", 'CASE DATA'!E165="724.1B", 'CASE DATA'!E165="724.1C", 'CASE DATA'!E165="724.3", 'CASE DATA'!E165="724.4B", 'CASE DATA'!E165="724.10", 'CASE DATA'!E165="724.16(2)", 'CASE DATA'!E165="724.16A(1)(a)", 'CASE DATA'!E165="724.16A(1)(b)", 'CASE DATA'!E165="724.17", 'CASE DATA'!E165="724.21", 'CASE DATA'!E165="724.26(1)", 'CASE DATA'!E165="922(g)(8)", 'CASE DATA'!E165="724.29A(2)", 'CASE DATA'!E165="724.29A(3)", 'CASE DATA'!E165="724.30(1)", 'CASE DATA'!E165="724.30(2)", 'CASE DATA'!E165="725.1(2)(b)", 'CASE DATA'!E165="725.2(1)", 'CASE DATA'!E165="725.2(2)", 'CASE DATA'!E165="725.3(2)", 'CASE DATA'!E165="725.3(1)", 'CASE DATA'!E165="725.7(2)(a)(3)", 'CASE DATA'!E165="725.7(2)(a)(4)", 'CASE DATA'!E165="725.7(2)(b)(2)", 'CASE DATA'!E165="725.7(2)(b(3)", 'CASE DATA'!E165="726.7(2)(c)(1)", 'CASE DATA'!E165="726.7(2)(c)(2)", 'CASE DATA'!E165="725.7(2)(d)", 'CASE DATA'!E165="726.2", 'CASE DATA'!E165="726.3", 'CASE DATA'!E165="726.5", 'CASE DATA'!E165="726.6(4)", 'CASE DATA'!E165="726.6(5)", 'CASE DATA'!E165="726.6(6)", 'CASE DATA'!E165="726.6A", 'CASE DATA'!E165="726.7(2)", 'CASE DATA'!E165="726.8(2)", 'CASE DATA'!E165="728.12(1)", 'CASE DATA'!E165="728.12(2)"),"felony","eligible"),"N/A")</f>
        <v>N/A</v>
      </c>
      <c r="M164" s="185" t="str">
        <f>IF(L164="eligible",IF(OR('CASE DATA'!E165="123.46",'CASE DATA'!E165="123.47",'CASE DATA'!E165="235B.20",'CASE DATA'!E165="321.218",'CASE DATA'!E165="321A.32",'CASE DATA'!E165="321J.21",'CASE DATA'!E165="321J.2",'CASE DATA'!E165="707.5",'CASE DATA'!E165="708.2(3)",'CASE DATA'!E165="708.2A",'CASE DATA'!E165="708.7",'CASE DATA'!E165="708.11",'CASE DATA'!E165="708.12",'CASE DATA'!E165="716.8(3)",'CASE DATA'!E165="716.8(4)", LEFT('CASE DATA'!E165,4)="717C", LEFT('CASE DATA'!E165, 3)="719", LEFT('CASE DATA'!E165,3)="720", 'CASE DATA'!E165="721.2", 'CASE DATA'!E165="721.10", 'CASE DATA'!E165="723.1", LEFT('CASE DATA'!E165,3)="724", LEFT('CASE DATA'!E165,3)="726", LEFT('CASE DATA'!E165,3)="728", LEFT('CASE DATA'!E165,4)="901A"),"ineligible misd", "eligible"),"N/A")</f>
        <v>N/A</v>
      </c>
      <c r="N164" s="185" t="str">
        <f>IF(L164="eligible",IF(COUNTIF('CASE DATA'!$C$4:$C$200, "")-COUNTIF('CASE DATA'!$A$4:$A$200, "")&gt;0, "YES","NO"),"N/A")</f>
        <v>N/A</v>
      </c>
      <c r="O164" s="185" t="str">
        <f xml:space="preserve"> IF(M164="eligible",'CASE DATA'!K165,"N/A")</f>
        <v>N/A</v>
      </c>
      <c r="P164" s="185" t="str">
        <f xml:space="preserve"> IF(M164="eligible",'CASE DATA'!I165+'CASE DATA'!J165+'CASE DATA'!L165+'CASE DATA'!M165+'CASE DATA'!N165+'CASE DATA'!O165+'CASE DATA'!M165+'CASE DATA'!Q165+'CASE DATA'!R165,"N/A")</f>
        <v>N/A</v>
      </c>
      <c r="Q164" s="11" t="str">
        <f>IF(M164="eligible",IF(C164+730.5&lt;'BASIC INFO'!$B$3, "YES", "NO"),"N/A")</f>
        <v>N/A</v>
      </c>
      <c r="R164" s="186" t="str">
        <f xml:space="preserve"> IF(OR('CASE DATA'!F165="DEF"), "YES", "NO")</f>
        <v>NO</v>
      </c>
      <c r="S164" s="162" t="str">
        <f>IF(R164="YES",'CASE DATA'!H165,"N/A")</f>
        <v>N/A</v>
      </c>
      <c r="T164" s="185" t="str">
        <f xml:space="preserve"> IF(R164="YES",'CASE DATA'!K165,"N/A")</f>
        <v>N/A</v>
      </c>
      <c r="U164" s="185" t="str">
        <f>IF(R164="YES",'CASE DATA'!I165+'CASE DATA'!J165+'CASE DATA'!L165+'CASE DATA'!M165+'CASE DATA'!N165+'CASE DATA'!O165+'CASE DATA'!P165+'CASE DATA'!Q165+'CASE DATA'!R165,"N/A")</f>
        <v>N/A</v>
      </c>
      <c r="V164" s="189" t="str">
        <f>IF(OR('CASE DATA'!E165="123.46",'CASE DATA'!E165="123.47"),"YES","NO")</f>
        <v>NO</v>
      </c>
      <c r="W164" s="189"/>
      <c r="X164" s="185" t="str">
        <f>IF(V164="YES",IF(C164+730.5&lt;'BASIC INFO'!$B$3, "YES","NO"), "N/A")</f>
        <v>N/A</v>
      </c>
      <c r="Y164" s="189" t="str">
        <f t="shared" si="2"/>
        <v>NO</v>
      </c>
      <c r="Z164" s="187" t="str">
        <f xml:space="preserve"> IF('BASIC INFO'!$B$6+6574.5&gt;C164, "YES", "NO")</f>
        <v>YES</v>
      </c>
    </row>
    <row r="165" spans="1:26" x14ac:dyDescent="0.25">
      <c r="A165" s="162">
        <f xml:space="preserve"> 'CASE DATA'!A166</f>
        <v>0</v>
      </c>
      <c r="B165" s="162">
        <f xml:space="preserve"> 'CASE DATA'!E166</f>
        <v>0</v>
      </c>
      <c r="C165" s="163">
        <f xml:space="preserve"> 'CASE DATA'!C166</f>
        <v>0</v>
      </c>
      <c r="D165" s="11" t="str">
        <f xml:space="preserve"> IF(OR('CASE DATA'!F166="JUV", 'CASE DATA'!F166="JWV"), "YES", "NO")</f>
        <v>NO</v>
      </c>
      <c r="E165" s="11"/>
      <c r="F165" s="11" t="str">
        <f>IF(D165="YES",IF(COUNTIF('CASE DATA'!$C$4:$C$200, "")-COUNTIF('CASE DATA'!$A$4:$A$200, "")&gt;0, "YES","NO"),"N/A")</f>
        <v>N/A</v>
      </c>
      <c r="G165" s="164" t="str">
        <f xml:space="preserve"> _xlfn.IFS(D165="NO", "N/A", AND('BASIC INFO'!$B$3&gt;'BASIC INFO'!$B$6+6574.5, C165+730.5&lt;'BASIC INFO'!$B$3), "YES", 'BASIC INFO'!$B$3&lt;('BASIC INFO'!$B$6+6574.5), "NOT YET 18", C165+730.5&gt;'BASIC INFO'!$B$3, "NOT YET 2 YEARS")</f>
        <v>N/A</v>
      </c>
      <c r="H165" s="186" t="str">
        <f xml:space="preserve"> IF(LEFT('CASE DATA'!E166,4)&lt;&gt;"321.",IF(OR('CASE DATA'!F166="DISM", 'CASE DATA'!F166="ACQ", 'CASE DATA'!F166="NOTF", 'CASE DATA'!F166="WTHD", 'CASE DATA'!F166="TNSF"), "YES", "NO"), "TRAFFIC")</f>
        <v>NO</v>
      </c>
      <c r="I165" s="185" t="str">
        <f xml:space="preserve"> IF(H165="YES",'CASE DATA'!K166,"N/A")</f>
        <v>N/A</v>
      </c>
      <c r="J165" s="185" t="str">
        <f>IF(H165="YES",'CASE DATA'!I166+'CASE DATA'!J166+'CASE DATA'!L166+'CASE DATA'!M166+'CASE DATA'!N166+'CASE DATA'!O166+'CASE DATA'!P166+'CASE DATA'!Q166+'CASE DATA'!R166,"N/A")</f>
        <v>N/A</v>
      </c>
      <c r="K165" s="162" t="str">
        <f xml:space="preserve"> IF(H165="YES",IF(C165+180&lt;'BASIC INFO'!$B$3, "YES", "NO"),"N/A")</f>
        <v>N/A</v>
      </c>
      <c r="L165" s="185" t="str">
        <f>IF(OR('CASE DATA'!F166="GTR", 'CASE DATA'!F166="GPL"),IF(OR('CASE DATA'!E166="81.6(2)", 'CASE DATA'!E166="99F.15(6)(b)(1)", 'CASE DATA'!E166= "124.401(1)(a)", 'CASE DATA'!E166= "124.401(1)(b)", 'CASE DATA'!E166= "124.401(1)(c)", 'CASE DATA'!E166= "124.401(1)(d)", 'CASE DATA'!E166="124.401(4)", 'CASE DATA'!E166="124.401(1)(b)", 'CASE DATA'!E166="124.401(1)(c)", 'CASE DATA'!E166="124.401D(2)(b)", 'CASE DATA'!E166="124.401D(2)(c)", 'CASE DATA'!E166="124.406(1)(a)", 'CASE DATA'!E166="124.406(1)(b) ", 'CASE DATA'!E166="124.406(2)(a)", 'CASE DATA'!E166="124.406(2)(b) ", 'CASE DATA'!E166="124.406(3)", 'CASE DATA'!E166="124.406A ", 'CASE DATA'!E166="124.407(2)(a)", 'CASE DATA'!E166="124B.9(1)", 'CASE DATA'!E166="124B.9(2)", 'CASE DATA'!E166="321J.2(2)(c)", 'CASE DATA'!E166="453B.12(2)", 'CASE DATA'!E166="453B.12(3)", 'CASE DATA'!E166="453B.12(4)", 'CASE DATA'!E166="462A.14(2)(c)", 'CASE DATA'!E166="462A.14(2)(d)", 'CASE DATA'!E166="462A.14(2)(e)", 'CASE DATA'!E166="705.1(2)", 'CASE DATA'!E166="706.3(1)", 'CASE DATA'!E166="706.3(2)", 'CASE DATA'!E166="706A.2(1)", 'CASE DATA'!E166="706A.2(2)", 'CASE DATA'!E166="706A.2(4)", 'CASE DATA'!E166="706B.2(1)(a)", 'CASE DATA'!E166="706B.2(1)(b)", 'CASE DATA'!E166="706B.2(1)(c)", 'CASE DATA'!E166="706B.2(1)(d)", 'CASE DATA'!E166="707.2", 'CASE DATA'!E166="707.3", 'CASE DATA'!E166="707.3A", 'CASE DATA'!E166="707.4", 'CASE DATA'!E166="707.5(1)(a)", 'CASE DATA'!E166="707.6A(1)", 'CASE DATA'!E166="707.6A(2)", 'CASE DATA'!E166="707.6A(3)", 'CASE DATA'!E166="707.6A(4)", 'CASE DATA'!E166="707.7(1)", 'CASE DATA'!E166="707.7(3)", 'CASE DATA'!E166="707.7(2)", 'CASE DATA'!E166="707.8(1)", 'CASE DATA'!E166="707.8(2)", 'CASE DATA'!E166="707.8(3)", 'CASE DATA'!E166="707.8(4)", 'CASE DATA'!E166="707.8(5)", 'CASE DATA'!E166="707.8(6)", 'CASE DATA'!E166="707.9", 'CASE DATA'!E166="707.11", 'CASE DATA'!E166="707A.2", 'CASE DATA'!E166="708.2(4)", 'CASE DATA'!E166="708.2(5)", 'CASE DATA'!E166="708.2A(4)", 'CASE DATA'!E166="708.2A(5)", 'CASE DATA'!E166="708.2C(2)", 'CASE DATA'!E166="708.2C(4)", 'CASE DATA'!E166="708.3(1)", 'CASE DATA'!E166="708.3(2)", 'CASE DATA'!E166="708.3A(1)", 'CASE DATA'!E166="708.3A(2)", 'CASE DATA'!E166="708.3B", 'CASE DATA'!E166="708.4(1)", 'CASE DATA'!E166="708.4(2)", 'CASE DATA'!E166="708.5", 'CASE DATA'!E166="708.8", 'CASE DATA'!E166="708.11(3)(a)", 'CASE DATA'!E166="708.11(3)(b)", 'CASE DATA'!E166="708.12(3)(f)", 'CASE DATA'!E166="708.13(3)", 'CASE DATA'!E166="708.14", 'CASE DATA'!E166="708A.2", 'CASE DATA'!E166="708A.4(1)", 'CASE DATA'!E166="708A.4(2)", 'CASE DATA'!E166="708A.5", 'CASE DATA'!E166="708A.6(1)", 'CASE DATA'!E166="708.A.6(2)", 'CASE DATA'!E166="709.2", 'CASE DATA'!E166="709.3", 'CASE DATA'!E166="709.4", 'CASE DATA'!E166="709.8(1)(a)", 'CASE DATA'!E166="709.8(1)(b)", 'CASE DATA'!E166="709.8(1)(c)", 'CASE DATA'!E166="709.8(1)(d)", 'CASE DATA'!E166="709.8(1)(e)", 'CASE DATA'!E166="709.11(1)", 'CASE DATA'!E166="709.11(2)", 'CASE DATA'!E166="709.15(2)(a)(1)", 'CASE DATA'!E166="709.15(3)(a)(1)", 'CASE DATA'!E166="709.18", 'CASE DATA'!E166="709A.6(2)", 'CASE DATA'!E166="709D.3(1)", 'CASE DATA'!E166="709D.3(2)", 'CASE DATA'!E166="709.D.3(3)", 'CASE DATA'!E166="710.2", 'CASE DATA'!E166="710.3", 'CASE DATA'!E166="710.4", 'CASE DATA'!E166="710.5", 'CASE DATA'!E166="710.10(1)", 'CASE DATA'!E166="710.10(2)", 'CASE DATA'!E166="710.10(3)", 'CASE DATA'!E166="710.11", 'CASE DATA'!E166="710A.2(1)", 'CASE DATA'!E166="710A.2(2)", 'CASE DATA'!E166="710A.2(3)", 'CASE DATA'!E166="710A.2(4)", 'CASE DATA'!E166="710A.2(5)", 'CASE DATA'!E166="710A.2(6)", 'CASE DATA'!E166="710A.2(7)", 'CASE DATA'!E166="710A.2A", 'CASE DATA'!E166="711.2", 'CASE DATA'!E166="711.3", 'CASE DATA'!E166="711.4", 'CASE DATA'!E166="712.2", 'CASE DATA'!E166="712.3", 'CASE DATA'!E166="712.6(1)", 'CASE DATA'!E166="712.7", 'CASE DATA'!E166="712.8", 'CASE DATA'!E166="", 'CASE DATA'!E166="713.3", 'CASE DATA'!E166="713.4", 'CASE DATA'!E166="713.5", 'CASE DATA'!E166="713.6", 'CASE DATA'!E166="713.6A(1)", 'CASE DATA'!E166="714.2(1)", 'CASE DATA'!E166="714.2(2)", 'CASE DATA'!E166="714.3A(2)(b)", 'CASE DATA'!E166="714.9", 'CASE DATA'!E166="714.10", 'CASE DATA'!E166="714.26(2)(a)", 'CASE DATA'!E166="714.26(2)(b)", 'CASE DATA'!E166="715A.2(2)(a)", 'CASE DATA'!E166="715A.6(2)(a)", 'CASE DATA'!E166="715A.6(2)(b)", 'CASE DATA'!E166="715A.8(3)(a)", 'CASE DATA'!E166="715A.8(3)(b)", 'CASE DATA'!E166="715A.10(1)", 'CASE DATA'!E166="715A.10(2)", 'CASE DATA'!E166="716.3", 'CASE DATA'!E166="716.4", 'CASE DATA'!E166="716.8(6)", 'CASE DATA'!E166="716.10(2)(a)", 'CASE DATA'!E166="716.10(2)(b)", 'CASE DATA'!E166="716.10(2)(c)", 'CASE DATA'!E166="716.10(2)(d)", 'CASE DATA'!E166="716.12", 'CASE DATA'!E166="719.1(1)(f)", 'CASE DATA'!E166="719.1(2)(e)", 'CASE DATA'!E166="719.1(2)(f)", 'CASE DATA'!E166="719.1(2)(g)", 'CASE DATA'!E166="719.4(1)", 'CASE DATA'!E166="719.4(4)", 'CASE DATA'!E166="719.5(1)", 'CASE DATA'!E166="719.5(2)", 'CASE DATA'!E166="719.6(1)", 'CASE DATA'!E166="719.6(2)", 'CASE DATA'!E166="719.7(4)(a)", 'CASE DATA'!E166="719.7(4)(b)", 'CASE DATA'!E166="719.7A(3)", 'CASE DATA'!E166="719.9", 'CASE DATA'!E166="719.8", 'CASE DATA'!E166="720.2", 'CASE DATA'!E166="720.3", 'CASE DATA'!E166="721.1", 'CASE DATA'!E166="722.1", 'CASE DATA'!E166="", 'CASE DATA'!E166="722.2", 'CASE DATA'!E166="722.10", 'CASE DATA'!E166="723(5)(3)(c)", 'CASE DATA'!E166="723A.2", 'CASE DATA'!E166="723A.3(1)", 'CASE DATA'!E166="723A.3(2)", 'CASE DATA'!E166="724.1B", 'CASE DATA'!E166="724.1C", 'CASE DATA'!E166="724.3", 'CASE DATA'!E166="724.4B", 'CASE DATA'!E166="724.10", 'CASE DATA'!E166="724.16(2)", 'CASE DATA'!E166="724.16A(1)(a)", 'CASE DATA'!E166="724.16A(1)(b)", 'CASE DATA'!E166="724.17", 'CASE DATA'!E166="724.21", 'CASE DATA'!E166="724.26(1)", 'CASE DATA'!E166="922(g)(8)", 'CASE DATA'!E166="724.29A(2)", 'CASE DATA'!E166="724.29A(3)", 'CASE DATA'!E166="724.30(1)", 'CASE DATA'!E166="724.30(2)", 'CASE DATA'!E166="725.1(2)(b)", 'CASE DATA'!E166="725.2(1)", 'CASE DATA'!E166="725.2(2)", 'CASE DATA'!E166="725.3(2)", 'CASE DATA'!E166="725.3(1)", 'CASE DATA'!E166="725.7(2)(a)(3)", 'CASE DATA'!E166="725.7(2)(a)(4)", 'CASE DATA'!E166="725.7(2)(b)(2)", 'CASE DATA'!E166="725.7(2)(b(3)", 'CASE DATA'!E166="726.7(2)(c)(1)", 'CASE DATA'!E166="726.7(2)(c)(2)", 'CASE DATA'!E166="725.7(2)(d)", 'CASE DATA'!E166="726.2", 'CASE DATA'!E166="726.3", 'CASE DATA'!E166="726.5", 'CASE DATA'!E166="726.6(4)", 'CASE DATA'!E166="726.6(5)", 'CASE DATA'!E166="726.6(6)", 'CASE DATA'!E166="726.6A", 'CASE DATA'!E166="726.7(2)", 'CASE DATA'!E166="726.8(2)", 'CASE DATA'!E166="728.12(1)", 'CASE DATA'!E166="728.12(2)"),"felony","eligible"),"N/A")</f>
        <v>N/A</v>
      </c>
      <c r="M165" s="185" t="str">
        <f>IF(L165="eligible",IF(OR('CASE DATA'!E166="123.46",'CASE DATA'!E166="123.47",'CASE DATA'!E166="235B.20",'CASE DATA'!E166="321.218",'CASE DATA'!E166="321A.32",'CASE DATA'!E166="321J.21",'CASE DATA'!E166="321J.2",'CASE DATA'!E166="707.5",'CASE DATA'!E166="708.2(3)",'CASE DATA'!E166="708.2A",'CASE DATA'!E166="708.7",'CASE DATA'!E166="708.11",'CASE DATA'!E166="708.12",'CASE DATA'!E166="716.8(3)",'CASE DATA'!E166="716.8(4)", LEFT('CASE DATA'!E166,4)="717C", LEFT('CASE DATA'!E166, 3)="719", LEFT('CASE DATA'!E166,3)="720", 'CASE DATA'!E166="721.2", 'CASE DATA'!E166="721.10", 'CASE DATA'!E166="723.1", LEFT('CASE DATA'!E166,3)="724", LEFT('CASE DATA'!E166,3)="726", LEFT('CASE DATA'!E166,3)="728", LEFT('CASE DATA'!E166,4)="901A"),"ineligible misd", "eligible"),"N/A")</f>
        <v>N/A</v>
      </c>
      <c r="N165" s="185" t="str">
        <f>IF(L165="eligible",IF(COUNTIF('CASE DATA'!$C$4:$C$200, "")-COUNTIF('CASE DATA'!$A$4:$A$200, "")&gt;0, "YES","NO"),"N/A")</f>
        <v>N/A</v>
      </c>
      <c r="O165" s="185" t="str">
        <f xml:space="preserve"> IF(M165="eligible",'CASE DATA'!K166,"N/A")</f>
        <v>N/A</v>
      </c>
      <c r="P165" s="185" t="str">
        <f xml:space="preserve"> IF(M165="eligible",'CASE DATA'!I166+'CASE DATA'!J166+'CASE DATA'!L166+'CASE DATA'!M166+'CASE DATA'!N166+'CASE DATA'!O166+'CASE DATA'!M166+'CASE DATA'!Q166+'CASE DATA'!R166,"N/A")</f>
        <v>N/A</v>
      </c>
      <c r="Q165" s="11" t="str">
        <f>IF(M165="eligible",IF(C165+730.5&lt;'BASIC INFO'!$B$3, "YES", "NO"),"N/A")</f>
        <v>N/A</v>
      </c>
      <c r="R165" s="186" t="str">
        <f xml:space="preserve"> IF(OR('CASE DATA'!F166="DEF"), "YES", "NO")</f>
        <v>NO</v>
      </c>
      <c r="S165" s="162" t="str">
        <f>IF(R165="YES",'CASE DATA'!H166,"N/A")</f>
        <v>N/A</v>
      </c>
      <c r="T165" s="185" t="str">
        <f xml:space="preserve"> IF(R165="YES",'CASE DATA'!K166,"N/A")</f>
        <v>N/A</v>
      </c>
      <c r="U165" s="185" t="str">
        <f>IF(R165="YES",'CASE DATA'!I166+'CASE DATA'!J166+'CASE DATA'!L166+'CASE DATA'!M166+'CASE DATA'!N166+'CASE DATA'!O166+'CASE DATA'!P166+'CASE DATA'!Q166+'CASE DATA'!R166,"N/A")</f>
        <v>N/A</v>
      </c>
      <c r="V165" s="189" t="str">
        <f>IF(OR('CASE DATA'!E166="123.46",'CASE DATA'!E166="123.47"),"YES","NO")</f>
        <v>NO</v>
      </c>
      <c r="W165" s="189"/>
      <c r="X165" s="185" t="str">
        <f>IF(V165="YES",IF(C165+730.5&lt;'BASIC INFO'!$B$3, "YES","NO"), "N/A")</f>
        <v>N/A</v>
      </c>
      <c r="Y165" s="189" t="str">
        <f t="shared" ref="Y165:Y200" si="3">V165</f>
        <v>NO</v>
      </c>
      <c r="Z165" s="187" t="str">
        <f xml:space="preserve"> IF('BASIC INFO'!$B$6+6574.5&gt;C165, "YES", "NO")</f>
        <v>YES</v>
      </c>
    </row>
    <row r="166" spans="1:26" x14ac:dyDescent="0.25">
      <c r="A166" s="162">
        <f xml:space="preserve"> 'CASE DATA'!A167</f>
        <v>0</v>
      </c>
      <c r="B166" s="162">
        <f xml:space="preserve"> 'CASE DATA'!E167</f>
        <v>0</v>
      </c>
      <c r="C166" s="163">
        <f xml:space="preserve"> 'CASE DATA'!C167</f>
        <v>0</v>
      </c>
      <c r="D166" s="11" t="str">
        <f xml:space="preserve"> IF(OR('CASE DATA'!F167="JUV", 'CASE DATA'!F167="JWV"), "YES", "NO")</f>
        <v>NO</v>
      </c>
      <c r="E166" s="11"/>
      <c r="F166" s="11" t="str">
        <f>IF(D166="YES",IF(COUNTIF('CASE DATA'!$C$4:$C$200, "")-COUNTIF('CASE DATA'!$A$4:$A$200, "")&gt;0, "YES","NO"),"N/A")</f>
        <v>N/A</v>
      </c>
      <c r="G166" s="164" t="str">
        <f xml:space="preserve"> _xlfn.IFS(D166="NO", "N/A", AND('BASIC INFO'!$B$3&gt;'BASIC INFO'!$B$6+6574.5, C166+730.5&lt;'BASIC INFO'!$B$3), "YES", 'BASIC INFO'!$B$3&lt;('BASIC INFO'!$B$6+6574.5), "NOT YET 18", C166+730.5&gt;'BASIC INFO'!$B$3, "NOT YET 2 YEARS")</f>
        <v>N/A</v>
      </c>
      <c r="H166" s="186" t="str">
        <f xml:space="preserve"> IF(LEFT('CASE DATA'!E167,4)&lt;&gt;"321.",IF(OR('CASE DATA'!F167="DISM", 'CASE DATA'!F167="ACQ", 'CASE DATA'!F167="NOTF", 'CASE DATA'!F167="WTHD", 'CASE DATA'!F167="TNSF"), "YES", "NO"), "TRAFFIC")</f>
        <v>NO</v>
      </c>
      <c r="I166" s="185" t="str">
        <f xml:space="preserve"> IF(H166="YES",'CASE DATA'!K167,"N/A")</f>
        <v>N/A</v>
      </c>
      <c r="J166" s="185" t="str">
        <f>IF(H166="YES",'CASE DATA'!I167+'CASE DATA'!J167+'CASE DATA'!L167+'CASE DATA'!M167+'CASE DATA'!N167+'CASE DATA'!O167+'CASE DATA'!P167+'CASE DATA'!Q167+'CASE DATA'!R167,"N/A")</f>
        <v>N/A</v>
      </c>
      <c r="K166" s="162" t="str">
        <f xml:space="preserve"> IF(H166="YES",IF(C166+180&lt;'BASIC INFO'!$B$3, "YES", "NO"),"N/A")</f>
        <v>N/A</v>
      </c>
      <c r="L166" s="185" t="str">
        <f>IF(OR('CASE DATA'!F167="GTR", 'CASE DATA'!F167="GPL"),IF(OR('CASE DATA'!E167="81.6(2)", 'CASE DATA'!E167="99F.15(6)(b)(1)", 'CASE DATA'!E167= "124.401(1)(a)", 'CASE DATA'!E167= "124.401(1)(b)", 'CASE DATA'!E167= "124.401(1)(c)", 'CASE DATA'!E167= "124.401(1)(d)", 'CASE DATA'!E167="124.401(4)", 'CASE DATA'!E167="124.401(1)(b)", 'CASE DATA'!E167="124.401(1)(c)", 'CASE DATA'!E167="124.401D(2)(b)", 'CASE DATA'!E167="124.401D(2)(c)", 'CASE DATA'!E167="124.406(1)(a)", 'CASE DATA'!E167="124.406(1)(b) ", 'CASE DATA'!E167="124.406(2)(a)", 'CASE DATA'!E167="124.406(2)(b) ", 'CASE DATA'!E167="124.406(3)", 'CASE DATA'!E167="124.406A ", 'CASE DATA'!E167="124.407(2)(a)", 'CASE DATA'!E167="124B.9(1)", 'CASE DATA'!E167="124B.9(2)", 'CASE DATA'!E167="321J.2(2)(c)", 'CASE DATA'!E167="453B.12(2)", 'CASE DATA'!E167="453B.12(3)", 'CASE DATA'!E167="453B.12(4)", 'CASE DATA'!E167="462A.14(2)(c)", 'CASE DATA'!E167="462A.14(2)(d)", 'CASE DATA'!E167="462A.14(2)(e)", 'CASE DATA'!E167="705.1(2)", 'CASE DATA'!E167="706.3(1)", 'CASE DATA'!E167="706.3(2)", 'CASE DATA'!E167="706A.2(1)", 'CASE DATA'!E167="706A.2(2)", 'CASE DATA'!E167="706A.2(4)", 'CASE DATA'!E167="706B.2(1)(a)", 'CASE DATA'!E167="706B.2(1)(b)", 'CASE DATA'!E167="706B.2(1)(c)", 'CASE DATA'!E167="706B.2(1)(d)", 'CASE DATA'!E167="707.2", 'CASE DATA'!E167="707.3", 'CASE DATA'!E167="707.3A", 'CASE DATA'!E167="707.4", 'CASE DATA'!E167="707.5(1)(a)", 'CASE DATA'!E167="707.6A(1)", 'CASE DATA'!E167="707.6A(2)", 'CASE DATA'!E167="707.6A(3)", 'CASE DATA'!E167="707.6A(4)", 'CASE DATA'!E167="707.7(1)", 'CASE DATA'!E167="707.7(3)", 'CASE DATA'!E167="707.7(2)", 'CASE DATA'!E167="707.8(1)", 'CASE DATA'!E167="707.8(2)", 'CASE DATA'!E167="707.8(3)", 'CASE DATA'!E167="707.8(4)", 'CASE DATA'!E167="707.8(5)", 'CASE DATA'!E167="707.8(6)", 'CASE DATA'!E167="707.9", 'CASE DATA'!E167="707.11", 'CASE DATA'!E167="707A.2", 'CASE DATA'!E167="708.2(4)", 'CASE DATA'!E167="708.2(5)", 'CASE DATA'!E167="708.2A(4)", 'CASE DATA'!E167="708.2A(5)", 'CASE DATA'!E167="708.2C(2)", 'CASE DATA'!E167="708.2C(4)", 'CASE DATA'!E167="708.3(1)", 'CASE DATA'!E167="708.3(2)", 'CASE DATA'!E167="708.3A(1)", 'CASE DATA'!E167="708.3A(2)", 'CASE DATA'!E167="708.3B", 'CASE DATA'!E167="708.4(1)", 'CASE DATA'!E167="708.4(2)", 'CASE DATA'!E167="708.5", 'CASE DATA'!E167="708.8", 'CASE DATA'!E167="708.11(3)(a)", 'CASE DATA'!E167="708.11(3)(b)", 'CASE DATA'!E167="708.12(3)(f)", 'CASE DATA'!E167="708.13(3)", 'CASE DATA'!E167="708.14", 'CASE DATA'!E167="708A.2", 'CASE DATA'!E167="708A.4(1)", 'CASE DATA'!E167="708A.4(2)", 'CASE DATA'!E167="708A.5", 'CASE DATA'!E167="708A.6(1)", 'CASE DATA'!E167="708.A.6(2)", 'CASE DATA'!E167="709.2", 'CASE DATA'!E167="709.3", 'CASE DATA'!E167="709.4", 'CASE DATA'!E167="709.8(1)(a)", 'CASE DATA'!E167="709.8(1)(b)", 'CASE DATA'!E167="709.8(1)(c)", 'CASE DATA'!E167="709.8(1)(d)", 'CASE DATA'!E167="709.8(1)(e)", 'CASE DATA'!E167="709.11(1)", 'CASE DATA'!E167="709.11(2)", 'CASE DATA'!E167="709.15(2)(a)(1)", 'CASE DATA'!E167="709.15(3)(a)(1)", 'CASE DATA'!E167="709.18", 'CASE DATA'!E167="709A.6(2)", 'CASE DATA'!E167="709D.3(1)", 'CASE DATA'!E167="709D.3(2)", 'CASE DATA'!E167="709.D.3(3)", 'CASE DATA'!E167="710.2", 'CASE DATA'!E167="710.3", 'CASE DATA'!E167="710.4", 'CASE DATA'!E167="710.5", 'CASE DATA'!E167="710.10(1)", 'CASE DATA'!E167="710.10(2)", 'CASE DATA'!E167="710.10(3)", 'CASE DATA'!E167="710.11", 'CASE DATA'!E167="710A.2(1)", 'CASE DATA'!E167="710A.2(2)", 'CASE DATA'!E167="710A.2(3)", 'CASE DATA'!E167="710A.2(4)", 'CASE DATA'!E167="710A.2(5)", 'CASE DATA'!E167="710A.2(6)", 'CASE DATA'!E167="710A.2(7)", 'CASE DATA'!E167="710A.2A", 'CASE DATA'!E167="711.2", 'CASE DATA'!E167="711.3", 'CASE DATA'!E167="711.4", 'CASE DATA'!E167="712.2", 'CASE DATA'!E167="712.3", 'CASE DATA'!E167="712.6(1)", 'CASE DATA'!E167="712.7", 'CASE DATA'!E167="712.8", 'CASE DATA'!E167="", 'CASE DATA'!E167="713.3", 'CASE DATA'!E167="713.4", 'CASE DATA'!E167="713.5", 'CASE DATA'!E167="713.6", 'CASE DATA'!E167="713.6A(1)", 'CASE DATA'!E167="714.2(1)", 'CASE DATA'!E167="714.2(2)", 'CASE DATA'!E167="714.3A(2)(b)", 'CASE DATA'!E167="714.9", 'CASE DATA'!E167="714.10", 'CASE DATA'!E167="714.26(2)(a)", 'CASE DATA'!E167="714.26(2)(b)", 'CASE DATA'!E167="715A.2(2)(a)", 'CASE DATA'!E167="715A.6(2)(a)", 'CASE DATA'!E167="715A.6(2)(b)", 'CASE DATA'!E167="715A.8(3)(a)", 'CASE DATA'!E167="715A.8(3)(b)", 'CASE DATA'!E167="715A.10(1)", 'CASE DATA'!E167="715A.10(2)", 'CASE DATA'!E167="716.3", 'CASE DATA'!E167="716.4", 'CASE DATA'!E167="716.8(6)", 'CASE DATA'!E167="716.10(2)(a)", 'CASE DATA'!E167="716.10(2)(b)", 'CASE DATA'!E167="716.10(2)(c)", 'CASE DATA'!E167="716.10(2)(d)", 'CASE DATA'!E167="716.12", 'CASE DATA'!E167="719.1(1)(f)", 'CASE DATA'!E167="719.1(2)(e)", 'CASE DATA'!E167="719.1(2)(f)", 'CASE DATA'!E167="719.1(2)(g)", 'CASE DATA'!E167="719.4(1)", 'CASE DATA'!E167="719.4(4)", 'CASE DATA'!E167="719.5(1)", 'CASE DATA'!E167="719.5(2)", 'CASE DATA'!E167="719.6(1)", 'CASE DATA'!E167="719.6(2)", 'CASE DATA'!E167="719.7(4)(a)", 'CASE DATA'!E167="719.7(4)(b)", 'CASE DATA'!E167="719.7A(3)", 'CASE DATA'!E167="719.9", 'CASE DATA'!E167="719.8", 'CASE DATA'!E167="720.2", 'CASE DATA'!E167="720.3", 'CASE DATA'!E167="721.1", 'CASE DATA'!E167="722.1", 'CASE DATA'!E167="", 'CASE DATA'!E167="722.2", 'CASE DATA'!E167="722.10", 'CASE DATA'!E167="723(5)(3)(c)", 'CASE DATA'!E167="723A.2", 'CASE DATA'!E167="723A.3(1)", 'CASE DATA'!E167="723A.3(2)", 'CASE DATA'!E167="724.1B", 'CASE DATA'!E167="724.1C", 'CASE DATA'!E167="724.3", 'CASE DATA'!E167="724.4B", 'CASE DATA'!E167="724.10", 'CASE DATA'!E167="724.16(2)", 'CASE DATA'!E167="724.16A(1)(a)", 'CASE DATA'!E167="724.16A(1)(b)", 'CASE DATA'!E167="724.17", 'CASE DATA'!E167="724.21", 'CASE DATA'!E167="724.26(1)", 'CASE DATA'!E167="922(g)(8)", 'CASE DATA'!E167="724.29A(2)", 'CASE DATA'!E167="724.29A(3)", 'CASE DATA'!E167="724.30(1)", 'CASE DATA'!E167="724.30(2)", 'CASE DATA'!E167="725.1(2)(b)", 'CASE DATA'!E167="725.2(1)", 'CASE DATA'!E167="725.2(2)", 'CASE DATA'!E167="725.3(2)", 'CASE DATA'!E167="725.3(1)", 'CASE DATA'!E167="725.7(2)(a)(3)", 'CASE DATA'!E167="725.7(2)(a)(4)", 'CASE DATA'!E167="725.7(2)(b)(2)", 'CASE DATA'!E167="725.7(2)(b(3)", 'CASE DATA'!E167="726.7(2)(c)(1)", 'CASE DATA'!E167="726.7(2)(c)(2)", 'CASE DATA'!E167="725.7(2)(d)", 'CASE DATA'!E167="726.2", 'CASE DATA'!E167="726.3", 'CASE DATA'!E167="726.5", 'CASE DATA'!E167="726.6(4)", 'CASE DATA'!E167="726.6(5)", 'CASE DATA'!E167="726.6(6)", 'CASE DATA'!E167="726.6A", 'CASE DATA'!E167="726.7(2)", 'CASE DATA'!E167="726.8(2)", 'CASE DATA'!E167="728.12(1)", 'CASE DATA'!E167="728.12(2)"),"felony","eligible"),"N/A")</f>
        <v>N/A</v>
      </c>
      <c r="M166" s="185" t="str">
        <f>IF(L166="eligible",IF(OR('CASE DATA'!E167="123.46",'CASE DATA'!E167="123.47",'CASE DATA'!E167="235B.20",'CASE DATA'!E167="321.218",'CASE DATA'!E167="321A.32",'CASE DATA'!E167="321J.21",'CASE DATA'!E167="321J.2",'CASE DATA'!E167="707.5",'CASE DATA'!E167="708.2(3)",'CASE DATA'!E167="708.2A",'CASE DATA'!E167="708.7",'CASE DATA'!E167="708.11",'CASE DATA'!E167="708.12",'CASE DATA'!E167="716.8(3)",'CASE DATA'!E167="716.8(4)", LEFT('CASE DATA'!E167,4)="717C", LEFT('CASE DATA'!E167, 3)="719", LEFT('CASE DATA'!E167,3)="720", 'CASE DATA'!E167="721.2", 'CASE DATA'!E167="721.10", 'CASE DATA'!E167="723.1", LEFT('CASE DATA'!E167,3)="724", LEFT('CASE DATA'!E167,3)="726", LEFT('CASE DATA'!E167,3)="728", LEFT('CASE DATA'!E167,4)="901A"),"ineligible misd", "eligible"),"N/A")</f>
        <v>N/A</v>
      </c>
      <c r="N166" s="185" t="str">
        <f>IF(L166="eligible",IF(COUNTIF('CASE DATA'!$C$4:$C$200, "")-COUNTIF('CASE DATA'!$A$4:$A$200, "")&gt;0, "YES","NO"),"N/A")</f>
        <v>N/A</v>
      </c>
      <c r="O166" s="185" t="str">
        <f xml:space="preserve"> IF(M166="eligible",'CASE DATA'!K167,"N/A")</f>
        <v>N/A</v>
      </c>
      <c r="P166" s="185" t="str">
        <f xml:space="preserve"> IF(M166="eligible",'CASE DATA'!I167+'CASE DATA'!J167+'CASE DATA'!L167+'CASE DATA'!M167+'CASE DATA'!N167+'CASE DATA'!O167+'CASE DATA'!M167+'CASE DATA'!Q167+'CASE DATA'!R167,"N/A")</f>
        <v>N/A</v>
      </c>
      <c r="Q166" s="11" t="str">
        <f>IF(M166="eligible",IF(C166+730.5&lt;'BASIC INFO'!$B$3, "YES", "NO"),"N/A")</f>
        <v>N/A</v>
      </c>
      <c r="R166" s="186" t="str">
        <f xml:space="preserve"> IF(OR('CASE DATA'!F167="DEF"), "YES", "NO")</f>
        <v>NO</v>
      </c>
      <c r="S166" s="162" t="str">
        <f>IF(R166="YES",'CASE DATA'!H167,"N/A")</f>
        <v>N/A</v>
      </c>
      <c r="T166" s="185" t="str">
        <f xml:space="preserve"> IF(R166="YES",'CASE DATA'!K167,"N/A")</f>
        <v>N/A</v>
      </c>
      <c r="U166" s="185" t="str">
        <f>IF(R166="YES",'CASE DATA'!I167+'CASE DATA'!J167+'CASE DATA'!L167+'CASE DATA'!M167+'CASE DATA'!N167+'CASE DATA'!O167+'CASE DATA'!P167+'CASE DATA'!Q167+'CASE DATA'!R167,"N/A")</f>
        <v>N/A</v>
      </c>
      <c r="V166" s="189" t="str">
        <f>IF(OR('CASE DATA'!E167="123.46",'CASE DATA'!E167="123.47"),"YES","NO")</f>
        <v>NO</v>
      </c>
      <c r="W166" s="189"/>
      <c r="X166" s="185" t="str">
        <f>IF(V166="YES",IF(C166+730.5&lt;'BASIC INFO'!$B$3, "YES","NO"), "N/A")</f>
        <v>N/A</v>
      </c>
      <c r="Y166" s="189" t="str">
        <f t="shared" si="3"/>
        <v>NO</v>
      </c>
      <c r="Z166" s="187" t="str">
        <f xml:space="preserve"> IF('BASIC INFO'!$B$6+6574.5&gt;C166, "YES", "NO")</f>
        <v>YES</v>
      </c>
    </row>
    <row r="167" spans="1:26" x14ac:dyDescent="0.25">
      <c r="A167" s="162">
        <f xml:space="preserve"> 'CASE DATA'!A168</f>
        <v>0</v>
      </c>
      <c r="B167" s="162">
        <f xml:space="preserve"> 'CASE DATA'!E168</f>
        <v>0</v>
      </c>
      <c r="C167" s="163">
        <f xml:space="preserve"> 'CASE DATA'!C168</f>
        <v>0</v>
      </c>
      <c r="D167" s="11" t="str">
        <f xml:space="preserve"> IF(OR('CASE DATA'!F168="JUV", 'CASE DATA'!F168="JWV"), "YES", "NO")</f>
        <v>NO</v>
      </c>
      <c r="E167" s="11"/>
      <c r="F167" s="11" t="str">
        <f>IF(D167="YES",IF(COUNTIF('CASE DATA'!$C$4:$C$200, "")-COUNTIF('CASE DATA'!$A$4:$A$200, "")&gt;0, "YES","NO"),"N/A")</f>
        <v>N/A</v>
      </c>
      <c r="G167" s="164" t="str">
        <f xml:space="preserve"> _xlfn.IFS(D167="NO", "N/A", AND('BASIC INFO'!$B$3&gt;'BASIC INFO'!$B$6+6574.5, C167+730.5&lt;'BASIC INFO'!$B$3), "YES", 'BASIC INFO'!$B$3&lt;('BASIC INFO'!$B$6+6574.5), "NOT YET 18", C167+730.5&gt;'BASIC INFO'!$B$3, "NOT YET 2 YEARS")</f>
        <v>N/A</v>
      </c>
      <c r="H167" s="186" t="str">
        <f xml:space="preserve"> IF(LEFT('CASE DATA'!E168,4)&lt;&gt;"321.",IF(OR('CASE DATA'!F168="DISM", 'CASE DATA'!F168="ACQ", 'CASE DATA'!F168="NOTF", 'CASE DATA'!F168="WTHD", 'CASE DATA'!F168="TNSF"), "YES", "NO"), "TRAFFIC")</f>
        <v>NO</v>
      </c>
      <c r="I167" s="185" t="str">
        <f xml:space="preserve"> IF(H167="YES",'CASE DATA'!K168,"N/A")</f>
        <v>N/A</v>
      </c>
      <c r="J167" s="185" t="str">
        <f>IF(H167="YES",'CASE DATA'!I168+'CASE DATA'!J168+'CASE DATA'!L168+'CASE DATA'!M168+'CASE DATA'!N168+'CASE DATA'!O168+'CASE DATA'!P168+'CASE DATA'!Q168+'CASE DATA'!R168,"N/A")</f>
        <v>N/A</v>
      </c>
      <c r="K167" s="162" t="str">
        <f xml:space="preserve"> IF(H167="YES",IF(C167+180&lt;'BASIC INFO'!$B$3, "YES", "NO"),"N/A")</f>
        <v>N/A</v>
      </c>
      <c r="L167" s="185" t="str">
        <f>IF(OR('CASE DATA'!F168="GTR", 'CASE DATA'!F168="GPL"),IF(OR('CASE DATA'!E168="81.6(2)", 'CASE DATA'!E168="99F.15(6)(b)(1)", 'CASE DATA'!E168= "124.401(1)(a)", 'CASE DATA'!E168= "124.401(1)(b)", 'CASE DATA'!E168= "124.401(1)(c)", 'CASE DATA'!E168= "124.401(1)(d)", 'CASE DATA'!E168="124.401(4)", 'CASE DATA'!E168="124.401(1)(b)", 'CASE DATA'!E168="124.401(1)(c)", 'CASE DATA'!E168="124.401D(2)(b)", 'CASE DATA'!E168="124.401D(2)(c)", 'CASE DATA'!E168="124.406(1)(a)", 'CASE DATA'!E168="124.406(1)(b) ", 'CASE DATA'!E168="124.406(2)(a)", 'CASE DATA'!E168="124.406(2)(b) ", 'CASE DATA'!E168="124.406(3)", 'CASE DATA'!E168="124.406A ", 'CASE DATA'!E168="124.407(2)(a)", 'CASE DATA'!E168="124B.9(1)", 'CASE DATA'!E168="124B.9(2)", 'CASE DATA'!E168="321J.2(2)(c)", 'CASE DATA'!E168="453B.12(2)", 'CASE DATA'!E168="453B.12(3)", 'CASE DATA'!E168="453B.12(4)", 'CASE DATA'!E168="462A.14(2)(c)", 'CASE DATA'!E168="462A.14(2)(d)", 'CASE DATA'!E168="462A.14(2)(e)", 'CASE DATA'!E168="705.1(2)", 'CASE DATA'!E168="706.3(1)", 'CASE DATA'!E168="706.3(2)", 'CASE DATA'!E168="706A.2(1)", 'CASE DATA'!E168="706A.2(2)", 'CASE DATA'!E168="706A.2(4)", 'CASE DATA'!E168="706B.2(1)(a)", 'CASE DATA'!E168="706B.2(1)(b)", 'CASE DATA'!E168="706B.2(1)(c)", 'CASE DATA'!E168="706B.2(1)(d)", 'CASE DATA'!E168="707.2", 'CASE DATA'!E168="707.3", 'CASE DATA'!E168="707.3A", 'CASE DATA'!E168="707.4", 'CASE DATA'!E168="707.5(1)(a)", 'CASE DATA'!E168="707.6A(1)", 'CASE DATA'!E168="707.6A(2)", 'CASE DATA'!E168="707.6A(3)", 'CASE DATA'!E168="707.6A(4)", 'CASE DATA'!E168="707.7(1)", 'CASE DATA'!E168="707.7(3)", 'CASE DATA'!E168="707.7(2)", 'CASE DATA'!E168="707.8(1)", 'CASE DATA'!E168="707.8(2)", 'CASE DATA'!E168="707.8(3)", 'CASE DATA'!E168="707.8(4)", 'CASE DATA'!E168="707.8(5)", 'CASE DATA'!E168="707.8(6)", 'CASE DATA'!E168="707.9", 'CASE DATA'!E168="707.11", 'CASE DATA'!E168="707A.2", 'CASE DATA'!E168="708.2(4)", 'CASE DATA'!E168="708.2(5)", 'CASE DATA'!E168="708.2A(4)", 'CASE DATA'!E168="708.2A(5)", 'CASE DATA'!E168="708.2C(2)", 'CASE DATA'!E168="708.2C(4)", 'CASE DATA'!E168="708.3(1)", 'CASE DATA'!E168="708.3(2)", 'CASE DATA'!E168="708.3A(1)", 'CASE DATA'!E168="708.3A(2)", 'CASE DATA'!E168="708.3B", 'CASE DATA'!E168="708.4(1)", 'CASE DATA'!E168="708.4(2)", 'CASE DATA'!E168="708.5", 'CASE DATA'!E168="708.8", 'CASE DATA'!E168="708.11(3)(a)", 'CASE DATA'!E168="708.11(3)(b)", 'CASE DATA'!E168="708.12(3)(f)", 'CASE DATA'!E168="708.13(3)", 'CASE DATA'!E168="708.14", 'CASE DATA'!E168="708A.2", 'CASE DATA'!E168="708A.4(1)", 'CASE DATA'!E168="708A.4(2)", 'CASE DATA'!E168="708A.5", 'CASE DATA'!E168="708A.6(1)", 'CASE DATA'!E168="708.A.6(2)", 'CASE DATA'!E168="709.2", 'CASE DATA'!E168="709.3", 'CASE DATA'!E168="709.4", 'CASE DATA'!E168="709.8(1)(a)", 'CASE DATA'!E168="709.8(1)(b)", 'CASE DATA'!E168="709.8(1)(c)", 'CASE DATA'!E168="709.8(1)(d)", 'CASE DATA'!E168="709.8(1)(e)", 'CASE DATA'!E168="709.11(1)", 'CASE DATA'!E168="709.11(2)", 'CASE DATA'!E168="709.15(2)(a)(1)", 'CASE DATA'!E168="709.15(3)(a)(1)", 'CASE DATA'!E168="709.18", 'CASE DATA'!E168="709A.6(2)", 'CASE DATA'!E168="709D.3(1)", 'CASE DATA'!E168="709D.3(2)", 'CASE DATA'!E168="709.D.3(3)", 'CASE DATA'!E168="710.2", 'CASE DATA'!E168="710.3", 'CASE DATA'!E168="710.4", 'CASE DATA'!E168="710.5", 'CASE DATA'!E168="710.10(1)", 'CASE DATA'!E168="710.10(2)", 'CASE DATA'!E168="710.10(3)", 'CASE DATA'!E168="710.11", 'CASE DATA'!E168="710A.2(1)", 'CASE DATA'!E168="710A.2(2)", 'CASE DATA'!E168="710A.2(3)", 'CASE DATA'!E168="710A.2(4)", 'CASE DATA'!E168="710A.2(5)", 'CASE DATA'!E168="710A.2(6)", 'CASE DATA'!E168="710A.2(7)", 'CASE DATA'!E168="710A.2A", 'CASE DATA'!E168="711.2", 'CASE DATA'!E168="711.3", 'CASE DATA'!E168="711.4", 'CASE DATA'!E168="712.2", 'CASE DATA'!E168="712.3", 'CASE DATA'!E168="712.6(1)", 'CASE DATA'!E168="712.7", 'CASE DATA'!E168="712.8", 'CASE DATA'!E168="", 'CASE DATA'!E168="713.3", 'CASE DATA'!E168="713.4", 'CASE DATA'!E168="713.5", 'CASE DATA'!E168="713.6", 'CASE DATA'!E168="713.6A(1)", 'CASE DATA'!E168="714.2(1)", 'CASE DATA'!E168="714.2(2)", 'CASE DATA'!E168="714.3A(2)(b)", 'CASE DATA'!E168="714.9", 'CASE DATA'!E168="714.10", 'CASE DATA'!E168="714.26(2)(a)", 'CASE DATA'!E168="714.26(2)(b)", 'CASE DATA'!E168="715A.2(2)(a)", 'CASE DATA'!E168="715A.6(2)(a)", 'CASE DATA'!E168="715A.6(2)(b)", 'CASE DATA'!E168="715A.8(3)(a)", 'CASE DATA'!E168="715A.8(3)(b)", 'CASE DATA'!E168="715A.10(1)", 'CASE DATA'!E168="715A.10(2)", 'CASE DATA'!E168="716.3", 'CASE DATA'!E168="716.4", 'CASE DATA'!E168="716.8(6)", 'CASE DATA'!E168="716.10(2)(a)", 'CASE DATA'!E168="716.10(2)(b)", 'CASE DATA'!E168="716.10(2)(c)", 'CASE DATA'!E168="716.10(2)(d)", 'CASE DATA'!E168="716.12", 'CASE DATA'!E168="719.1(1)(f)", 'CASE DATA'!E168="719.1(2)(e)", 'CASE DATA'!E168="719.1(2)(f)", 'CASE DATA'!E168="719.1(2)(g)", 'CASE DATA'!E168="719.4(1)", 'CASE DATA'!E168="719.4(4)", 'CASE DATA'!E168="719.5(1)", 'CASE DATA'!E168="719.5(2)", 'CASE DATA'!E168="719.6(1)", 'CASE DATA'!E168="719.6(2)", 'CASE DATA'!E168="719.7(4)(a)", 'CASE DATA'!E168="719.7(4)(b)", 'CASE DATA'!E168="719.7A(3)", 'CASE DATA'!E168="719.9", 'CASE DATA'!E168="719.8", 'CASE DATA'!E168="720.2", 'CASE DATA'!E168="720.3", 'CASE DATA'!E168="721.1", 'CASE DATA'!E168="722.1", 'CASE DATA'!E168="", 'CASE DATA'!E168="722.2", 'CASE DATA'!E168="722.10", 'CASE DATA'!E168="723(5)(3)(c)", 'CASE DATA'!E168="723A.2", 'CASE DATA'!E168="723A.3(1)", 'CASE DATA'!E168="723A.3(2)", 'CASE DATA'!E168="724.1B", 'CASE DATA'!E168="724.1C", 'CASE DATA'!E168="724.3", 'CASE DATA'!E168="724.4B", 'CASE DATA'!E168="724.10", 'CASE DATA'!E168="724.16(2)", 'CASE DATA'!E168="724.16A(1)(a)", 'CASE DATA'!E168="724.16A(1)(b)", 'CASE DATA'!E168="724.17", 'CASE DATA'!E168="724.21", 'CASE DATA'!E168="724.26(1)", 'CASE DATA'!E168="922(g)(8)", 'CASE DATA'!E168="724.29A(2)", 'CASE DATA'!E168="724.29A(3)", 'CASE DATA'!E168="724.30(1)", 'CASE DATA'!E168="724.30(2)", 'CASE DATA'!E168="725.1(2)(b)", 'CASE DATA'!E168="725.2(1)", 'CASE DATA'!E168="725.2(2)", 'CASE DATA'!E168="725.3(2)", 'CASE DATA'!E168="725.3(1)", 'CASE DATA'!E168="725.7(2)(a)(3)", 'CASE DATA'!E168="725.7(2)(a)(4)", 'CASE DATA'!E168="725.7(2)(b)(2)", 'CASE DATA'!E168="725.7(2)(b(3)", 'CASE DATA'!E168="726.7(2)(c)(1)", 'CASE DATA'!E168="726.7(2)(c)(2)", 'CASE DATA'!E168="725.7(2)(d)", 'CASE DATA'!E168="726.2", 'CASE DATA'!E168="726.3", 'CASE DATA'!E168="726.5", 'CASE DATA'!E168="726.6(4)", 'CASE DATA'!E168="726.6(5)", 'CASE DATA'!E168="726.6(6)", 'CASE DATA'!E168="726.6A", 'CASE DATA'!E168="726.7(2)", 'CASE DATA'!E168="726.8(2)", 'CASE DATA'!E168="728.12(1)", 'CASE DATA'!E168="728.12(2)"),"felony","eligible"),"N/A")</f>
        <v>N/A</v>
      </c>
      <c r="M167" s="185" t="str">
        <f>IF(L167="eligible",IF(OR('CASE DATA'!E168="123.46",'CASE DATA'!E168="123.47",'CASE DATA'!E168="235B.20",'CASE DATA'!E168="321.218",'CASE DATA'!E168="321A.32",'CASE DATA'!E168="321J.21",'CASE DATA'!E168="321J.2",'CASE DATA'!E168="707.5",'CASE DATA'!E168="708.2(3)",'CASE DATA'!E168="708.2A",'CASE DATA'!E168="708.7",'CASE DATA'!E168="708.11",'CASE DATA'!E168="708.12",'CASE DATA'!E168="716.8(3)",'CASE DATA'!E168="716.8(4)", LEFT('CASE DATA'!E168,4)="717C", LEFT('CASE DATA'!E168, 3)="719", LEFT('CASE DATA'!E168,3)="720", 'CASE DATA'!E168="721.2", 'CASE DATA'!E168="721.10", 'CASE DATA'!E168="723.1", LEFT('CASE DATA'!E168,3)="724", LEFT('CASE DATA'!E168,3)="726", LEFT('CASE DATA'!E168,3)="728", LEFT('CASE DATA'!E168,4)="901A"),"ineligible misd", "eligible"),"N/A")</f>
        <v>N/A</v>
      </c>
      <c r="N167" s="185" t="str">
        <f>IF(L167="eligible",IF(COUNTIF('CASE DATA'!$C$4:$C$200, "")-COUNTIF('CASE DATA'!$A$4:$A$200, "")&gt;0, "YES","NO"),"N/A")</f>
        <v>N/A</v>
      </c>
      <c r="O167" s="185" t="str">
        <f xml:space="preserve"> IF(M167="eligible",'CASE DATA'!K168,"N/A")</f>
        <v>N/A</v>
      </c>
      <c r="P167" s="185" t="str">
        <f xml:space="preserve"> IF(M167="eligible",'CASE DATA'!I168+'CASE DATA'!J168+'CASE DATA'!L168+'CASE DATA'!M168+'CASE DATA'!N168+'CASE DATA'!O168+'CASE DATA'!M168+'CASE DATA'!Q168+'CASE DATA'!R168,"N/A")</f>
        <v>N/A</v>
      </c>
      <c r="Q167" s="11" t="str">
        <f>IF(M167="eligible",IF(C167+730.5&lt;'BASIC INFO'!$B$3, "YES", "NO"),"N/A")</f>
        <v>N/A</v>
      </c>
      <c r="R167" s="186" t="str">
        <f xml:space="preserve"> IF(OR('CASE DATA'!F168="DEF"), "YES", "NO")</f>
        <v>NO</v>
      </c>
      <c r="S167" s="162" t="str">
        <f>IF(R167="YES",'CASE DATA'!H168,"N/A")</f>
        <v>N/A</v>
      </c>
      <c r="T167" s="185" t="str">
        <f xml:space="preserve"> IF(R167="YES",'CASE DATA'!K168,"N/A")</f>
        <v>N/A</v>
      </c>
      <c r="U167" s="185" t="str">
        <f>IF(R167="YES",'CASE DATA'!I168+'CASE DATA'!J168+'CASE DATA'!L168+'CASE DATA'!M168+'CASE DATA'!N168+'CASE DATA'!O168+'CASE DATA'!P168+'CASE DATA'!Q168+'CASE DATA'!R168,"N/A")</f>
        <v>N/A</v>
      </c>
      <c r="V167" s="189" t="str">
        <f>IF(OR('CASE DATA'!E168="123.46",'CASE DATA'!E168="123.47"),"YES","NO")</f>
        <v>NO</v>
      </c>
      <c r="W167" s="189"/>
      <c r="X167" s="185" t="str">
        <f>IF(V167="YES",IF(C167+730.5&lt;'BASIC INFO'!$B$3, "YES","NO"), "N/A")</f>
        <v>N/A</v>
      </c>
      <c r="Y167" s="189" t="str">
        <f t="shared" si="3"/>
        <v>NO</v>
      </c>
      <c r="Z167" s="187" t="str">
        <f xml:space="preserve"> IF('BASIC INFO'!$B$6+6574.5&gt;C167, "YES", "NO")</f>
        <v>YES</v>
      </c>
    </row>
    <row r="168" spans="1:26" x14ac:dyDescent="0.25">
      <c r="A168" s="162">
        <f xml:space="preserve"> 'CASE DATA'!A169</f>
        <v>0</v>
      </c>
      <c r="B168" s="162">
        <f xml:space="preserve"> 'CASE DATA'!E169</f>
        <v>0</v>
      </c>
      <c r="C168" s="163">
        <f xml:space="preserve"> 'CASE DATA'!C169</f>
        <v>0</v>
      </c>
      <c r="D168" s="11" t="str">
        <f xml:space="preserve"> IF(OR('CASE DATA'!F169="JUV", 'CASE DATA'!F169="JWV"), "YES", "NO")</f>
        <v>NO</v>
      </c>
      <c r="E168" s="11"/>
      <c r="F168" s="11" t="str">
        <f>IF(D168="YES",IF(COUNTIF('CASE DATA'!$C$4:$C$200, "")-COUNTIF('CASE DATA'!$A$4:$A$200, "")&gt;0, "YES","NO"),"N/A")</f>
        <v>N/A</v>
      </c>
      <c r="G168" s="164" t="str">
        <f xml:space="preserve"> _xlfn.IFS(D168="NO", "N/A", AND('BASIC INFO'!$B$3&gt;'BASIC INFO'!$B$6+6574.5, C168+730.5&lt;'BASIC INFO'!$B$3), "YES", 'BASIC INFO'!$B$3&lt;('BASIC INFO'!$B$6+6574.5), "NOT YET 18", C168+730.5&gt;'BASIC INFO'!$B$3, "NOT YET 2 YEARS")</f>
        <v>N/A</v>
      </c>
      <c r="H168" s="186" t="str">
        <f xml:space="preserve"> IF(LEFT('CASE DATA'!E169,4)&lt;&gt;"321.",IF(OR('CASE DATA'!F169="DISM", 'CASE DATA'!F169="ACQ", 'CASE DATA'!F169="NOTF", 'CASE DATA'!F169="WTHD", 'CASE DATA'!F169="TNSF"), "YES", "NO"), "TRAFFIC")</f>
        <v>NO</v>
      </c>
      <c r="I168" s="185" t="str">
        <f xml:space="preserve"> IF(H168="YES",'CASE DATA'!K169,"N/A")</f>
        <v>N/A</v>
      </c>
      <c r="J168" s="185" t="str">
        <f>IF(H168="YES",'CASE DATA'!I169+'CASE DATA'!J169+'CASE DATA'!L169+'CASE DATA'!M169+'CASE DATA'!N169+'CASE DATA'!O169+'CASE DATA'!P169+'CASE DATA'!Q169+'CASE DATA'!R169,"N/A")</f>
        <v>N/A</v>
      </c>
      <c r="K168" s="162" t="str">
        <f xml:space="preserve"> IF(H168="YES",IF(C168+180&lt;'BASIC INFO'!$B$3, "YES", "NO"),"N/A")</f>
        <v>N/A</v>
      </c>
      <c r="L168" s="185" t="str">
        <f>IF(OR('CASE DATA'!F169="GTR", 'CASE DATA'!F169="GPL"),IF(OR('CASE DATA'!E169="81.6(2)", 'CASE DATA'!E169="99F.15(6)(b)(1)", 'CASE DATA'!E169= "124.401(1)(a)", 'CASE DATA'!E169= "124.401(1)(b)", 'CASE DATA'!E169= "124.401(1)(c)", 'CASE DATA'!E169= "124.401(1)(d)", 'CASE DATA'!E169="124.401(4)", 'CASE DATA'!E169="124.401(1)(b)", 'CASE DATA'!E169="124.401(1)(c)", 'CASE DATA'!E169="124.401D(2)(b)", 'CASE DATA'!E169="124.401D(2)(c)", 'CASE DATA'!E169="124.406(1)(a)", 'CASE DATA'!E169="124.406(1)(b) ", 'CASE DATA'!E169="124.406(2)(a)", 'CASE DATA'!E169="124.406(2)(b) ", 'CASE DATA'!E169="124.406(3)", 'CASE DATA'!E169="124.406A ", 'CASE DATA'!E169="124.407(2)(a)", 'CASE DATA'!E169="124B.9(1)", 'CASE DATA'!E169="124B.9(2)", 'CASE DATA'!E169="321J.2(2)(c)", 'CASE DATA'!E169="453B.12(2)", 'CASE DATA'!E169="453B.12(3)", 'CASE DATA'!E169="453B.12(4)", 'CASE DATA'!E169="462A.14(2)(c)", 'CASE DATA'!E169="462A.14(2)(d)", 'CASE DATA'!E169="462A.14(2)(e)", 'CASE DATA'!E169="705.1(2)", 'CASE DATA'!E169="706.3(1)", 'CASE DATA'!E169="706.3(2)", 'CASE DATA'!E169="706A.2(1)", 'CASE DATA'!E169="706A.2(2)", 'CASE DATA'!E169="706A.2(4)", 'CASE DATA'!E169="706B.2(1)(a)", 'CASE DATA'!E169="706B.2(1)(b)", 'CASE DATA'!E169="706B.2(1)(c)", 'CASE DATA'!E169="706B.2(1)(d)", 'CASE DATA'!E169="707.2", 'CASE DATA'!E169="707.3", 'CASE DATA'!E169="707.3A", 'CASE DATA'!E169="707.4", 'CASE DATA'!E169="707.5(1)(a)", 'CASE DATA'!E169="707.6A(1)", 'CASE DATA'!E169="707.6A(2)", 'CASE DATA'!E169="707.6A(3)", 'CASE DATA'!E169="707.6A(4)", 'CASE DATA'!E169="707.7(1)", 'CASE DATA'!E169="707.7(3)", 'CASE DATA'!E169="707.7(2)", 'CASE DATA'!E169="707.8(1)", 'CASE DATA'!E169="707.8(2)", 'CASE DATA'!E169="707.8(3)", 'CASE DATA'!E169="707.8(4)", 'CASE DATA'!E169="707.8(5)", 'CASE DATA'!E169="707.8(6)", 'CASE DATA'!E169="707.9", 'CASE DATA'!E169="707.11", 'CASE DATA'!E169="707A.2", 'CASE DATA'!E169="708.2(4)", 'CASE DATA'!E169="708.2(5)", 'CASE DATA'!E169="708.2A(4)", 'CASE DATA'!E169="708.2A(5)", 'CASE DATA'!E169="708.2C(2)", 'CASE DATA'!E169="708.2C(4)", 'CASE DATA'!E169="708.3(1)", 'CASE DATA'!E169="708.3(2)", 'CASE DATA'!E169="708.3A(1)", 'CASE DATA'!E169="708.3A(2)", 'CASE DATA'!E169="708.3B", 'CASE DATA'!E169="708.4(1)", 'CASE DATA'!E169="708.4(2)", 'CASE DATA'!E169="708.5", 'CASE DATA'!E169="708.8", 'CASE DATA'!E169="708.11(3)(a)", 'CASE DATA'!E169="708.11(3)(b)", 'CASE DATA'!E169="708.12(3)(f)", 'CASE DATA'!E169="708.13(3)", 'CASE DATA'!E169="708.14", 'CASE DATA'!E169="708A.2", 'CASE DATA'!E169="708A.4(1)", 'CASE DATA'!E169="708A.4(2)", 'CASE DATA'!E169="708A.5", 'CASE DATA'!E169="708A.6(1)", 'CASE DATA'!E169="708.A.6(2)", 'CASE DATA'!E169="709.2", 'CASE DATA'!E169="709.3", 'CASE DATA'!E169="709.4", 'CASE DATA'!E169="709.8(1)(a)", 'CASE DATA'!E169="709.8(1)(b)", 'CASE DATA'!E169="709.8(1)(c)", 'CASE DATA'!E169="709.8(1)(d)", 'CASE DATA'!E169="709.8(1)(e)", 'CASE DATA'!E169="709.11(1)", 'CASE DATA'!E169="709.11(2)", 'CASE DATA'!E169="709.15(2)(a)(1)", 'CASE DATA'!E169="709.15(3)(a)(1)", 'CASE DATA'!E169="709.18", 'CASE DATA'!E169="709A.6(2)", 'CASE DATA'!E169="709D.3(1)", 'CASE DATA'!E169="709D.3(2)", 'CASE DATA'!E169="709.D.3(3)", 'CASE DATA'!E169="710.2", 'CASE DATA'!E169="710.3", 'CASE DATA'!E169="710.4", 'CASE DATA'!E169="710.5", 'CASE DATA'!E169="710.10(1)", 'CASE DATA'!E169="710.10(2)", 'CASE DATA'!E169="710.10(3)", 'CASE DATA'!E169="710.11", 'CASE DATA'!E169="710A.2(1)", 'CASE DATA'!E169="710A.2(2)", 'CASE DATA'!E169="710A.2(3)", 'CASE DATA'!E169="710A.2(4)", 'CASE DATA'!E169="710A.2(5)", 'CASE DATA'!E169="710A.2(6)", 'CASE DATA'!E169="710A.2(7)", 'CASE DATA'!E169="710A.2A", 'CASE DATA'!E169="711.2", 'CASE DATA'!E169="711.3", 'CASE DATA'!E169="711.4", 'CASE DATA'!E169="712.2", 'CASE DATA'!E169="712.3", 'CASE DATA'!E169="712.6(1)", 'CASE DATA'!E169="712.7", 'CASE DATA'!E169="712.8", 'CASE DATA'!E169="", 'CASE DATA'!E169="713.3", 'CASE DATA'!E169="713.4", 'CASE DATA'!E169="713.5", 'CASE DATA'!E169="713.6", 'CASE DATA'!E169="713.6A(1)", 'CASE DATA'!E169="714.2(1)", 'CASE DATA'!E169="714.2(2)", 'CASE DATA'!E169="714.3A(2)(b)", 'CASE DATA'!E169="714.9", 'CASE DATA'!E169="714.10", 'CASE DATA'!E169="714.26(2)(a)", 'CASE DATA'!E169="714.26(2)(b)", 'CASE DATA'!E169="715A.2(2)(a)", 'CASE DATA'!E169="715A.6(2)(a)", 'CASE DATA'!E169="715A.6(2)(b)", 'CASE DATA'!E169="715A.8(3)(a)", 'CASE DATA'!E169="715A.8(3)(b)", 'CASE DATA'!E169="715A.10(1)", 'CASE DATA'!E169="715A.10(2)", 'CASE DATA'!E169="716.3", 'CASE DATA'!E169="716.4", 'CASE DATA'!E169="716.8(6)", 'CASE DATA'!E169="716.10(2)(a)", 'CASE DATA'!E169="716.10(2)(b)", 'CASE DATA'!E169="716.10(2)(c)", 'CASE DATA'!E169="716.10(2)(d)", 'CASE DATA'!E169="716.12", 'CASE DATA'!E169="719.1(1)(f)", 'CASE DATA'!E169="719.1(2)(e)", 'CASE DATA'!E169="719.1(2)(f)", 'CASE DATA'!E169="719.1(2)(g)", 'CASE DATA'!E169="719.4(1)", 'CASE DATA'!E169="719.4(4)", 'CASE DATA'!E169="719.5(1)", 'CASE DATA'!E169="719.5(2)", 'CASE DATA'!E169="719.6(1)", 'CASE DATA'!E169="719.6(2)", 'CASE DATA'!E169="719.7(4)(a)", 'CASE DATA'!E169="719.7(4)(b)", 'CASE DATA'!E169="719.7A(3)", 'CASE DATA'!E169="719.9", 'CASE DATA'!E169="719.8", 'CASE DATA'!E169="720.2", 'CASE DATA'!E169="720.3", 'CASE DATA'!E169="721.1", 'CASE DATA'!E169="722.1", 'CASE DATA'!E169="", 'CASE DATA'!E169="722.2", 'CASE DATA'!E169="722.10", 'CASE DATA'!E169="723(5)(3)(c)", 'CASE DATA'!E169="723A.2", 'CASE DATA'!E169="723A.3(1)", 'CASE DATA'!E169="723A.3(2)", 'CASE DATA'!E169="724.1B", 'CASE DATA'!E169="724.1C", 'CASE DATA'!E169="724.3", 'CASE DATA'!E169="724.4B", 'CASE DATA'!E169="724.10", 'CASE DATA'!E169="724.16(2)", 'CASE DATA'!E169="724.16A(1)(a)", 'CASE DATA'!E169="724.16A(1)(b)", 'CASE DATA'!E169="724.17", 'CASE DATA'!E169="724.21", 'CASE DATA'!E169="724.26(1)", 'CASE DATA'!E169="922(g)(8)", 'CASE DATA'!E169="724.29A(2)", 'CASE DATA'!E169="724.29A(3)", 'CASE DATA'!E169="724.30(1)", 'CASE DATA'!E169="724.30(2)", 'CASE DATA'!E169="725.1(2)(b)", 'CASE DATA'!E169="725.2(1)", 'CASE DATA'!E169="725.2(2)", 'CASE DATA'!E169="725.3(2)", 'CASE DATA'!E169="725.3(1)", 'CASE DATA'!E169="725.7(2)(a)(3)", 'CASE DATA'!E169="725.7(2)(a)(4)", 'CASE DATA'!E169="725.7(2)(b)(2)", 'CASE DATA'!E169="725.7(2)(b(3)", 'CASE DATA'!E169="726.7(2)(c)(1)", 'CASE DATA'!E169="726.7(2)(c)(2)", 'CASE DATA'!E169="725.7(2)(d)", 'CASE DATA'!E169="726.2", 'CASE DATA'!E169="726.3", 'CASE DATA'!E169="726.5", 'CASE DATA'!E169="726.6(4)", 'CASE DATA'!E169="726.6(5)", 'CASE DATA'!E169="726.6(6)", 'CASE DATA'!E169="726.6A", 'CASE DATA'!E169="726.7(2)", 'CASE DATA'!E169="726.8(2)", 'CASE DATA'!E169="728.12(1)", 'CASE DATA'!E169="728.12(2)"),"felony","eligible"),"N/A")</f>
        <v>N/A</v>
      </c>
      <c r="M168" s="185" t="str">
        <f>IF(L168="eligible",IF(OR('CASE DATA'!E169="123.46",'CASE DATA'!E169="123.47",'CASE DATA'!E169="235B.20",'CASE DATA'!E169="321.218",'CASE DATA'!E169="321A.32",'CASE DATA'!E169="321J.21",'CASE DATA'!E169="321J.2",'CASE DATA'!E169="707.5",'CASE DATA'!E169="708.2(3)",'CASE DATA'!E169="708.2A",'CASE DATA'!E169="708.7",'CASE DATA'!E169="708.11",'CASE DATA'!E169="708.12",'CASE DATA'!E169="716.8(3)",'CASE DATA'!E169="716.8(4)", LEFT('CASE DATA'!E169,4)="717C", LEFT('CASE DATA'!E169, 3)="719", LEFT('CASE DATA'!E169,3)="720", 'CASE DATA'!E169="721.2", 'CASE DATA'!E169="721.10", 'CASE DATA'!E169="723.1", LEFT('CASE DATA'!E169,3)="724", LEFT('CASE DATA'!E169,3)="726", LEFT('CASE DATA'!E169,3)="728", LEFT('CASE DATA'!E169,4)="901A"),"ineligible misd", "eligible"),"N/A")</f>
        <v>N/A</v>
      </c>
      <c r="N168" s="185" t="str">
        <f>IF(L168="eligible",IF(COUNTIF('CASE DATA'!$C$4:$C$200, "")-COUNTIF('CASE DATA'!$A$4:$A$200, "")&gt;0, "YES","NO"),"N/A")</f>
        <v>N/A</v>
      </c>
      <c r="O168" s="185" t="str">
        <f xml:space="preserve"> IF(M168="eligible",'CASE DATA'!K169,"N/A")</f>
        <v>N/A</v>
      </c>
      <c r="P168" s="185" t="str">
        <f xml:space="preserve"> IF(M168="eligible",'CASE DATA'!I169+'CASE DATA'!J169+'CASE DATA'!L169+'CASE DATA'!M169+'CASE DATA'!N169+'CASE DATA'!O169+'CASE DATA'!M169+'CASE DATA'!Q169+'CASE DATA'!R169,"N/A")</f>
        <v>N/A</v>
      </c>
      <c r="Q168" s="11" t="str">
        <f>IF(M168="eligible",IF(C168+730.5&lt;'BASIC INFO'!$B$3, "YES", "NO"),"N/A")</f>
        <v>N/A</v>
      </c>
      <c r="R168" s="186" t="str">
        <f xml:space="preserve"> IF(OR('CASE DATA'!F169="DEF"), "YES", "NO")</f>
        <v>NO</v>
      </c>
      <c r="S168" s="162" t="str">
        <f>IF(R168="YES",'CASE DATA'!H169,"N/A")</f>
        <v>N/A</v>
      </c>
      <c r="T168" s="185" t="str">
        <f xml:space="preserve"> IF(R168="YES",'CASE DATA'!K169,"N/A")</f>
        <v>N/A</v>
      </c>
      <c r="U168" s="185" t="str">
        <f>IF(R168="YES",'CASE DATA'!I169+'CASE DATA'!J169+'CASE DATA'!L169+'CASE DATA'!M169+'CASE DATA'!N169+'CASE DATA'!O169+'CASE DATA'!P169+'CASE DATA'!Q169+'CASE DATA'!R169,"N/A")</f>
        <v>N/A</v>
      </c>
      <c r="V168" s="189" t="str">
        <f>IF(OR('CASE DATA'!E169="123.46",'CASE DATA'!E169="123.47"),"YES","NO")</f>
        <v>NO</v>
      </c>
      <c r="W168" s="189"/>
      <c r="X168" s="185" t="str">
        <f>IF(V168="YES",IF(C168+730.5&lt;'BASIC INFO'!$B$3, "YES","NO"), "N/A")</f>
        <v>N/A</v>
      </c>
      <c r="Y168" s="189" t="str">
        <f t="shared" si="3"/>
        <v>NO</v>
      </c>
      <c r="Z168" s="187" t="str">
        <f xml:space="preserve"> IF('BASIC INFO'!$B$6+6574.5&gt;C168, "YES", "NO")</f>
        <v>YES</v>
      </c>
    </row>
    <row r="169" spans="1:26" x14ac:dyDescent="0.25">
      <c r="A169" s="162">
        <f xml:space="preserve"> 'CASE DATA'!A170</f>
        <v>0</v>
      </c>
      <c r="B169" s="162">
        <f xml:space="preserve"> 'CASE DATA'!E170</f>
        <v>0</v>
      </c>
      <c r="C169" s="163">
        <f xml:space="preserve"> 'CASE DATA'!C170</f>
        <v>0</v>
      </c>
      <c r="D169" s="11" t="str">
        <f xml:space="preserve"> IF(OR('CASE DATA'!F170="JUV", 'CASE DATA'!F170="JWV"), "YES", "NO")</f>
        <v>NO</v>
      </c>
      <c r="E169" s="11"/>
      <c r="F169" s="11" t="str">
        <f>IF(D169="YES",IF(COUNTIF('CASE DATA'!$C$4:$C$200, "")-COUNTIF('CASE DATA'!$A$4:$A$200, "")&gt;0, "YES","NO"),"N/A")</f>
        <v>N/A</v>
      </c>
      <c r="G169" s="164" t="str">
        <f xml:space="preserve"> _xlfn.IFS(D169="NO", "N/A", AND('BASIC INFO'!$B$3&gt;'BASIC INFO'!$B$6+6574.5, C169+730.5&lt;'BASIC INFO'!$B$3), "YES", 'BASIC INFO'!$B$3&lt;('BASIC INFO'!$B$6+6574.5), "NOT YET 18", C169+730.5&gt;'BASIC INFO'!$B$3, "NOT YET 2 YEARS")</f>
        <v>N/A</v>
      </c>
      <c r="H169" s="186" t="str">
        <f xml:space="preserve"> IF(LEFT('CASE DATA'!E170,4)&lt;&gt;"321.",IF(OR('CASE DATA'!F170="DISM", 'CASE DATA'!F170="ACQ", 'CASE DATA'!F170="NOTF", 'CASE DATA'!F170="WTHD", 'CASE DATA'!F170="TNSF"), "YES", "NO"), "TRAFFIC")</f>
        <v>NO</v>
      </c>
      <c r="I169" s="185" t="str">
        <f xml:space="preserve"> IF(H169="YES",'CASE DATA'!K170,"N/A")</f>
        <v>N/A</v>
      </c>
      <c r="J169" s="185" t="str">
        <f>IF(H169="YES",'CASE DATA'!I170+'CASE DATA'!J170+'CASE DATA'!L170+'CASE DATA'!M170+'CASE DATA'!N170+'CASE DATA'!O170+'CASE DATA'!P170+'CASE DATA'!Q170+'CASE DATA'!R170,"N/A")</f>
        <v>N/A</v>
      </c>
      <c r="K169" s="162" t="str">
        <f xml:space="preserve"> IF(H169="YES",IF(C169+180&lt;'BASIC INFO'!$B$3, "YES", "NO"),"N/A")</f>
        <v>N/A</v>
      </c>
      <c r="L169" s="185" t="str">
        <f>IF(OR('CASE DATA'!F170="GTR", 'CASE DATA'!F170="GPL"),IF(OR('CASE DATA'!E170="81.6(2)", 'CASE DATA'!E170="99F.15(6)(b)(1)", 'CASE DATA'!E170= "124.401(1)(a)", 'CASE DATA'!E170= "124.401(1)(b)", 'CASE DATA'!E170= "124.401(1)(c)", 'CASE DATA'!E170= "124.401(1)(d)", 'CASE DATA'!E170="124.401(4)", 'CASE DATA'!E170="124.401(1)(b)", 'CASE DATA'!E170="124.401(1)(c)", 'CASE DATA'!E170="124.401D(2)(b)", 'CASE DATA'!E170="124.401D(2)(c)", 'CASE DATA'!E170="124.406(1)(a)", 'CASE DATA'!E170="124.406(1)(b) ", 'CASE DATA'!E170="124.406(2)(a)", 'CASE DATA'!E170="124.406(2)(b) ", 'CASE DATA'!E170="124.406(3)", 'CASE DATA'!E170="124.406A ", 'CASE DATA'!E170="124.407(2)(a)", 'CASE DATA'!E170="124B.9(1)", 'CASE DATA'!E170="124B.9(2)", 'CASE DATA'!E170="321J.2(2)(c)", 'CASE DATA'!E170="453B.12(2)", 'CASE DATA'!E170="453B.12(3)", 'CASE DATA'!E170="453B.12(4)", 'CASE DATA'!E170="462A.14(2)(c)", 'CASE DATA'!E170="462A.14(2)(d)", 'CASE DATA'!E170="462A.14(2)(e)", 'CASE DATA'!E170="705.1(2)", 'CASE DATA'!E170="706.3(1)", 'CASE DATA'!E170="706.3(2)", 'CASE DATA'!E170="706A.2(1)", 'CASE DATA'!E170="706A.2(2)", 'CASE DATA'!E170="706A.2(4)", 'CASE DATA'!E170="706B.2(1)(a)", 'CASE DATA'!E170="706B.2(1)(b)", 'CASE DATA'!E170="706B.2(1)(c)", 'CASE DATA'!E170="706B.2(1)(d)", 'CASE DATA'!E170="707.2", 'CASE DATA'!E170="707.3", 'CASE DATA'!E170="707.3A", 'CASE DATA'!E170="707.4", 'CASE DATA'!E170="707.5(1)(a)", 'CASE DATA'!E170="707.6A(1)", 'CASE DATA'!E170="707.6A(2)", 'CASE DATA'!E170="707.6A(3)", 'CASE DATA'!E170="707.6A(4)", 'CASE DATA'!E170="707.7(1)", 'CASE DATA'!E170="707.7(3)", 'CASE DATA'!E170="707.7(2)", 'CASE DATA'!E170="707.8(1)", 'CASE DATA'!E170="707.8(2)", 'CASE DATA'!E170="707.8(3)", 'CASE DATA'!E170="707.8(4)", 'CASE DATA'!E170="707.8(5)", 'CASE DATA'!E170="707.8(6)", 'CASE DATA'!E170="707.9", 'CASE DATA'!E170="707.11", 'CASE DATA'!E170="707A.2", 'CASE DATA'!E170="708.2(4)", 'CASE DATA'!E170="708.2(5)", 'CASE DATA'!E170="708.2A(4)", 'CASE DATA'!E170="708.2A(5)", 'CASE DATA'!E170="708.2C(2)", 'CASE DATA'!E170="708.2C(4)", 'CASE DATA'!E170="708.3(1)", 'CASE DATA'!E170="708.3(2)", 'CASE DATA'!E170="708.3A(1)", 'CASE DATA'!E170="708.3A(2)", 'CASE DATA'!E170="708.3B", 'CASE DATA'!E170="708.4(1)", 'CASE DATA'!E170="708.4(2)", 'CASE DATA'!E170="708.5", 'CASE DATA'!E170="708.8", 'CASE DATA'!E170="708.11(3)(a)", 'CASE DATA'!E170="708.11(3)(b)", 'CASE DATA'!E170="708.12(3)(f)", 'CASE DATA'!E170="708.13(3)", 'CASE DATA'!E170="708.14", 'CASE DATA'!E170="708A.2", 'CASE DATA'!E170="708A.4(1)", 'CASE DATA'!E170="708A.4(2)", 'CASE DATA'!E170="708A.5", 'CASE DATA'!E170="708A.6(1)", 'CASE DATA'!E170="708.A.6(2)", 'CASE DATA'!E170="709.2", 'CASE DATA'!E170="709.3", 'CASE DATA'!E170="709.4", 'CASE DATA'!E170="709.8(1)(a)", 'CASE DATA'!E170="709.8(1)(b)", 'CASE DATA'!E170="709.8(1)(c)", 'CASE DATA'!E170="709.8(1)(d)", 'CASE DATA'!E170="709.8(1)(e)", 'CASE DATA'!E170="709.11(1)", 'CASE DATA'!E170="709.11(2)", 'CASE DATA'!E170="709.15(2)(a)(1)", 'CASE DATA'!E170="709.15(3)(a)(1)", 'CASE DATA'!E170="709.18", 'CASE DATA'!E170="709A.6(2)", 'CASE DATA'!E170="709D.3(1)", 'CASE DATA'!E170="709D.3(2)", 'CASE DATA'!E170="709.D.3(3)", 'CASE DATA'!E170="710.2", 'CASE DATA'!E170="710.3", 'CASE DATA'!E170="710.4", 'CASE DATA'!E170="710.5", 'CASE DATA'!E170="710.10(1)", 'CASE DATA'!E170="710.10(2)", 'CASE DATA'!E170="710.10(3)", 'CASE DATA'!E170="710.11", 'CASE DATA'!E170="710A.2(1)", 'CASE DATA'!E170="710A.2(2)", 'CASE DATA'!E170="710A.2(3)", 'CASE DATA'!E170="710A.2(4)", 'CASE DATA'!E170="710A.2(5)", 'CASE DATA'!E170="710A.2(6)", 'CASE DATA'!E170="710A.2(7)", 'CASE DATA'!E170="710A.2A", 'CASE DATA'!E170="711.2", 'CASE DATA'!E170="711.3", 'CASE DATA'!E170="711.4", 'CASE DATA'!E170="712.2", 'CASE DATA'!E170="712.3", 'CASE DATA'!E170="712.6(1)", 'CASE DATA'!E170="712.7", 'CASE DATA'!E170="712.8", 'CASE DATA'!E170="", 'CASE DATA'!E170="713.3", 'CASE DATA'!E170="713.4", 'CASE DATA'!E170="713.5", 'CASE DATA'!E170="713.6", 'CASE DATA'!E170="713.6A(1)", 'CASE DATA'!E170="714.2(1)", 'CASE DATA'!E170="714.2(2)", 'CASE DATA'!E170="714.3A(2)(b)", 'CASE DATA'!E170="714.9", 'CASE DATA'!E170="714.10", 'CASE DATA'!E170="714.26(2)(a)", 'CASE DATA'!E170="714.26(2)(b)", 'CASE DATA'!E170="715A.2(2)(a)", 'CASE DATA'!E170="715A.6(2)(a)", 'CASE DATA'!E170="715A.6(2)(b)", 'CASE DATA'!E170="715A.8(3)(a)", 'CASE DATA'!E170="715A.8(3)(b)", 'CASE DATA'!E170="715A.10(1)", 'CASE DATA'!E170="715A.10(2)", 'CASE DATA'!E170="716.3", 'CASE DATA'!E170="716.4", 'CASE DATA'!E170="716.8(6)", 'CASE DATA'!E170="716.10(2)(a)", 'CASE DATA'!E170="716.10(2)(b)", 'CASE DATA'!E170="716.10(2)(c)", 'CASE DATA'!E170="716.10(2)(d)", 'CASE DATA'!E170="716.12", 'CASE DATA'!E170="719.1(1)(f)", 'CASE DATA'!E170="719.1(2)(e)", 'CASE DATA'!E170="719.1(2)(f)", 'CASE DATA'!E170="719.1(2)(g)", 'CASE DATA'!E170="719.4(1)", 'CASE DATA'!E170="719.4(4)", 'CASE DATA'!E170="719.5(1)", 'CASE DATA'!E170="719.5(2)", 'CASE DATA'!E170="719.6(1)", 'CASE DATA'!E170="719.6(2)", 'CASE DATA'!E170="719.7(4)(a)", 'CASE DATA'!E170="719.7(4)(b)", 'CASE DATA'!E170="719.7A(3)", 'CASE DATA'!E170="719.9", 'CASE DATA'!E170="719.8", 'CASE DATA'!E170="720.2", 'CASE DATA'!E170="720.3", 'CASE DATA'!E170="721.1", 'CASE DATA'!E170="722.1", 'CASE DATA'!E170="", 'CASE DATA'!E170="722.2", 'CASE DATA'!E170="722.10", 'CASE DATA'!E170="723(5)(3)(c)", 'CASE DATA'!E170="723A.2", 'CASE DATA'!E170="723A.3(1)", 'CASE DATA'!E170="723A.3(2)", 'CASE DATA'!E170="724.1B", 'CASE DATA'!E170="724.1C", 'CASE DATA'!E170="724.3", 'CASE DATA'!E170="724.4B", 'CASE DATA'!E170="724.10", 'CASE DATA'!E170="724.16(2)", 'CASE DATA'!E170="724.16A(1)(a)", 'CASE DATA'!E170="724.16A(1)(b)", 'CASE DATA'!E170="724.17", 'CASE DATA'!E170="724.21", 'CASE DATA'!E170="724.26(1)", 'CASE DATA'!E170="922(g)(8)", 'CASE DATA'!E170="724.29A(2)", 'CASE DATA'!E170="724.29A(3)", 'CASE DATA'!E170="724.30(1)", 'CASE DATA'!E170="724.30(2)", 'CASE DATA'!E170="725.1(2)(b)", 'CASE DATA'!E170="725.2(1)", 'CASE DATA'!E170="725.2(2)", 'CASE DATA'!E170="725.3(2)", 'CASE DATA'!E170="725.3(1)", 'CASE DATA'!E170="725.7(2)(a)(3)", 'CASE DATA'!E170="725.7(2)(a)(4)", 'CASE DATA'!E170="725.7(2)(b)(2)", 'CASE DATA'!E170="725.7(2)(b(3)", 'CASE DATA'!E170="726.7(2)(c)(1)", 'CASE DATA'!E170="726.7(2)(c)(2)", 'CASE DATA'!E170="725.7(2)(d)", 'CASE DATA'!E170="726.2", 'CASE DATA'!E170="726.3", 'CASE DATA'!E170="726.5", 'CASE DATA'!E170="726.6(4)", 'CASE DATA'!E170="726.6(5)", 'CASE DATA'!E170="726.6(6)", 'CASE DATA'!E170="726.6A", 'CASE DATA'!E170="726.7(2)", 'CASE DATA'!E170="726.8(2)", 'CASE DATA'!E170="728.12(1)", 'CASE DATA'!E170="728.12(2)"),"felony","eligible"),"N/A")</f>
        <v>N/A</v>
      </c>
      <c r="M169" s="185" t="str">
        <f>IF(L169="eligible",IF(OR('CASE DATA'!E170="123.46",'CASE DATA'!E170="123.47",'CASE DATA'!E170="235B.20",'CASE DATA'!E170="321.218",'CASE DATA'!E170="321A.32",'CASE DATA'!E170="321J.21",'CASE DATA'!E170="321J.2",'CASE DATA'!E170="707.5",'CASE DATA'!E170="708.2(3)",'CASE DATA'!E170="708.2A",'CASE DATA'!E170="708.7",'CASE DATA'!E170="708.11",'CASE DATA'!E170="708.12",'CASE DATA'!E170="716.8(3)",'CASE DATA'!E170="716.8(4)", LEFT('CASE DATA'!E170,4)="717C", LEFT('CASE DATA'!E170, 3)="719", LEFT('CASE DATA'!E170,3)="720", 'CASE DATA'!E170="721.2", 'CASE DATA'!E170="721.10", 'CASE DATA'!E170="723.1", LEFT('CASE DATA'!E170,3)="724", LEFT('CASE DATA'!E170,3)="726", LEFT('CASE DATA'!E170,3)="728", LEFT('CASE DATA'!E170,4)="901A"),"ineligible misd", "eligible"),"N/A")</f>
        <v>N/A</v>
      </c>
      <c r="N169" s="185" t="str">
        <f>IF(L169="eligible",IF(COUNTIF('CASE DATA'!$C$4:$C$200, "")-COUNTIF('CASE DATA'!$A$4:$A$200, "")&gt;0, "YES","NO"),"N/A")</f>
        <v>N/A</v>
      </c>
      <c r="O169" s="185" t="str">
        <f xml:space="preserve"> IF(M169="eligible",'CASE DATA'!K170,"N/A")</f>
        <v>N/A</v>
      </c>
      <c r="P169" s="185" t="str">
        <f xml:space="preserve"> IF(M169="eligible",'CASE DATA'!I170+'CASE DATA'!J170+'CASE DATA'!L170+'CASE DATA'!M170+'CASE DATA'!N170+'CASE DATA'!O170+'CASE DATA'!M170+'CASE DATA'!Q170+'CASE DATA'!R170,"N/A")</f>
        <v>N/A</v>
      </c>
      <c r="Q169" s="11" t="str">
        <f>IF(M169="eligible",IF(C169+730.5&lt;'BASIC INFO'!$B$3, "YES", "NO"),"N/A")</f>
        <v>N/A</v>
      </c>
      <c r="R169" s="186" t="str">
        <f xml:space="preserve"> IF(OR('CASE DATA'!F170="DEF"), "YES", "NO")</f>
        <v>NO</v>
      </c>
      <c r="S169" s="162" t="str">
        <f>IF(R169="YES",'CASE DATA'!H170,"N/A")</f>
        <v>N/A</v>
      </c>
      <c r="T169" s="185" t="str">
        <f xml:space="preserve"> IF(R169="YES",'CASE DATA'!K170,"N/A")</f>
        <v>N/A</v>
      </c>
      <c r="U169" s="185" t="str">
        <f>IF(R169="YES",'CASE DATA'!I170+'CASE DATA'!J170+'CASE DATA'!L170+'CASE DATA'!M170+'CASE DATA'!N170+'CASE DATA'!O170+'CASE DATA'!P170+'CASE DATA'!Q170+'CASE DATA'!R170,"N/A")</f>
        <v>N/A</v>
      </c>
      <c r="V169" s="189" t="str">
        <f>IF(OR('CASE DATA'!E170="123.46",'CASE DATA'!E170="123.47"),"YES","NO")</f>
        <v>NO</v>
      </c>
      <c r="W169" s="189"/>
      <c r="X169" s="185" t="str">
        <f>IF(V169="YES",IF(C169+730.5&lt;'BASIC INFO'!$B$3, "YES","NO"), "N/A")</f>
        <v>N/A</v>
      </c>
      <c r="Y169" s="189" t="str">
        <f t="shared" si="3"/>
        <v>NO</v>
      </c>
      <c r="Z169" s="187" t="str">
        <f xml:space="preserve"> IF('BASIC INFO'!$B$6+6574.5&gt;C169, "YES", "NO")</f>
        <v>YES</v>
      </c>
    </row>
    <row r="170" spans="1:26" x14ac:dyDescent="0.25">
      <c r="A170" s="162">
        <f xml:space="preserve"> 'CASE DATA'!A171</f>
        <v>0</v>
      </c>
      <c r="B170" s="162">
        <f xml:space="preserve"> 'CASE DATA'!E171</f>
        <v>0</v>
      </c>
      <c r="C170" s="163">
        <f xml:space="preserve"> 'CASE DATA'!C171</f>
        <v>0</v>
      </c>
      <c r="D170" s="11" t="str">
        <f xml:space="preserve"> IF(OR('CASE DATA'!F171="JUV", 'CASE DATA'!F171="JWV"), "YES", "NO")</f>
        <v>NO</v>
      </c>
      <c r="E170" s="11"/>
      <c r="F170" s="11" t="str">
        <f>IF(D170="YES",IF(COUNTIF('CASE DATA'!$C$4:$C$200, "")-COUNTIF('CASE DATA'!$A$4:$A$200, "")&gt;0, "YES","NO"),"N/A")</f>
        <v>N/A</v>
      </c>
      <c r="G170" s="164" t="str">
        <f xml:space="preserve"> _xlfn.IFS(D170="NO", "N/A", AND('BASIC INFO'!$B$3&gt;'BASIC INFO'!$B$6+6574.5, C170+730.5&lt;'BASIC INFO'!$B$3), "YES", 'BASIC INFO'!$B$3&lt;('BASIC INFO'!$B$6+6574.5), "NOT YET 18", C170+730.5&gt;'BASIC INFO'!$B$3, "NOT YET 2 YEARS")</f>
        <v>N/A</v>
      </c>
      <c r="H170" s="186" t="str">
        <f xml:space="preserve"> IF(LEFT('CASE DATA'!E171,4)&lt;&gt;"321.",IF(OR('CASE DATA'!F171="DISM", 'CASE DATA'!F171="ACQ", 'CASE DATA'!F171="NOTF", 'CASE DATA'!F171="WTHD", 'CASE DATA'!F171="TNSF"), "YES", "NO"), "TRAFFIC")</f>
        <v>NO</v>
      </c>
      <c r="I170" s="185" t="str">
        <f xml:space="preserve"> IF(H170="YES",'CASE DATA'!K171,"N/A")</f>
        <v>N/A</v>
      </c>
      <c r="J170" s="185" t="str">
        <f>IF(H170="YES",'CASE DATA'!I171+'CASE DATA'!J171+'CASE DATA'!L171+'CASE DATA'!M171+'CASE DATA'!N171+'CASE DATA'!O171+'CASE DATA'!P171+'CASE DATA'!Q171+'CASE DATA'!R171,"N/A")</f>
        <v>N/A</v>
      </c>
      <c r="K170" s="162" t="str">
        <f xml:space="preserve"> IF(H170="YES",IF(C170+180&lt;'BASIC INFO'!$B$3, "YES", "NO"),"N/A")</f>
        <v>N/A</v>
      </c>
      <c r="L170" s="185" t="str">
        <f>IF(OR('CASE DATA'!F171="GTR", 'CASE DATA'!F171="GPL"),IF(OR('CASE DATA'!E171="81.6(2)", 'CASE DATA'!E171="99F.15(6)(b)(1)", 'CASE DATA'!E171= "124.401(1)(a)", 'CASE DATA'!E171= "124.401(1)(b)", 'CASE DATA'!E171= "124.401(1)(c)", 'CASE DATA'!E171= "124.401(1)(d)", 'CASE DATA'!E171="124.401(4)", 'CASE DATA'!E171="124.401(1)(b)", 'CASE DATA'!E171="124.401(1)(c)", 'CASE DATA'!E171="124.401D(2)(b)", 'CASE DATA'!E171="124.401D(2)(c)", 'CASE DATA'!E171="124.406(1)(a)", 'CASE DATA'!E171="124.406(1)(b) ", 'CASE DATA'!E171="124.406(2)(a)", 'CASE DATA'!E171="124.406(2)(b) ", 'CASE DATA'!E171="124.406(3)", 'CASE DATA'!E171="124.406A ", 'CASE DATA'!E171="124.407(2)(a)", 'CASE DATA'!E171="124B.9(1)", 'CASE DATA'!E171="124B.9(2)", 'CASE DATA'!E171="321J.2(2)(c)", 'CASE DATA'!E171="453B.12(2)", 'CASE DATA'!E171="453B.12(3)", 'CASE DATA'!E171="453B.12(4)", 'CASE DATA'!E171="462A.14(2)(c)", 'CASE DATA'!E171="462A.14(2)(d)", 'CASE DATA'!E171="462A.14(2)(e)", 'CASE DATA'!E171="705.1(2)", 'CASE DATA'!E171="706.3(1)", 'CASE DATA'!E171="706.3(2)", 'CASE DATA'!E171="706A.2(1)", 'CASE DATA'!E171="706A.2(2)", 'CASE DATA'!E171="706A.2(4)", 'CASE DATA'!E171="706B.2(1)(a)", 'CASE DATA'!E171="706B.2(1)(b)", 'CASE DATA'!E171="706B.2(1)(c)", 'CASE DATA'!E171="706B.2(1)(d)", 'CASE DATA'!E171="707.2", 'CASE DATA'!E171="707.3", 'CASE DATA'!E171="707.3A", 'CASE DATA'!E171="707.4", 'CASE DATA'!E171="707.5(1)(a)", 'CASE DATA'!E171="707.6A(1)", 'CASE DATA'!E171="707.6A(2)", 'CASE DATA'!E171="707.6A(3)", 'CASE DATA'!E171="707.6A(4)", 'CASE DATA'!E171="707.7(1)", 'CASE DATA'!E171="707.7(3)", 'CASE DATA'!E171="707.7(2)", 'CASE DATA'!E171="707.8(1)", 'CASE DATA'!E171="707.8(2)", 'CASE DATA'!E171="707.8(3)", 'CASE DATA'!E171="707.8(4)", 'CASE DATA'!E171="707.8(5)", 'CASE DATA'!E171="707.8(6)", 'CASE DATA'!E171="707.9", 'CASE DATA'!E171="707.11", 'CASE DATA'!E171="707A.2", 'CASE DATA'!E171="708.2(4)", 'CASE DATA'!E171="708.2(5)", 'CASE DATA'!E171="708.2A(4)", 'CASE DATA'!E171="708.2A(5)", 'CASE DATA'!E171="708.2C(2)", 'CASE DATA'!E171="708.2C(4)", 'CASE DATA'!E171="708.3(1)", 'CASE DATA'!E171="708.3(2)", 'CASE DATA'!E171="708.3A(1)", 'CASE DATA'!E171="708.3A(2)", 'CASE DATA'!E171="708.3B", 'CASE DATA'!E171="708.4(1)", 'CASE DATA'!E171="708.4(2)", 'CASE DATA'!E171="708.5", 'CASE DATA'!E171="708.8", 'CASE DATA'!E171="708.11(3)(a)", 'CASE DATA'!E171="708.11(3)(b)", 'CASE DATA'!E171="708.12(3)(f)", 'CASE DATA'!E171="708.13(3)", 'CASE DATA'!E171="708.14", 'CASE DATA'!E171="708A.2", 'CASE DATA'!E171="708A.4(1)", 'CASE DATA'!E171="708A.4(2)", 'CASE DATA'!E171="708A.5", 'CASE DATA'!E171="708A.6(1)", 'CASE DATA'!E171="708.A.6(2)", 'CASE DATA'!E171="709.2", 'CASE DATA'!E171="709.3", 'CASE DATA'!E171="709.4", 'CASE DATA'!E171="709.8(1)(a)", 'CASE DATA'!E171="709.8(1)(b)", 'CASE DATA'!E171="709.8(1)(c)", 'CASE DATA'!E171="709.8(1)(d)", 'CASE DATA'!E171="709.8(1)(e)", 'CASE DATA'!E171="709.11(1)", 'CASE DATA'!E171="709.11(2)", 'CASE DATA'!E171="709.15(2)(a)(1)", 'CASE DATA'!E171="709.15(3)(a)(1)", 'CASE DATA'!E171="709.18", 'CASE DATA'!E171="709A.6(2)", 'CASE DATA'!E171="709D.3(1)", 'CASE DATA'!E171="709D.3(2)", 'CASE DATA'!E171="709.D.3(3)", 'CASE DATA'!E171="710.2", 'CASE DATA'!E171="710.3", 'CASE DATA'!E171="710.4", 'CASE DATA'!E171="710.5", 'CASE DATA'!E171="710.10(1)", 'CASE DATA'!E171="710.10(2)", 'CASE DATA'!E171="710.10(3)", 'CASE DATA'!E171="710.11", 'CASE DATA'!E171="710A.2(1)", 'CASE DATA'!E171="710A.2(2)", 'CASE DATA'!E171="710A.2(3)", 'CASE DATA'!E171="710A.2(4)", 'CASE DATA'!E171="710A.2(5)", 'CASE DATA'!E171="710A.2(6)", 'CASE DATA'!E171="710A.2(7)", 'CASE DATA'!E171="710A.2A", 'CASE DATA'!E171="711.2", 'CASE DATA'!E171="711.3", 'CASE DATA'!E171="711.4", 'CASE DATA'!E171="712.2", 'CASE DATA'!E171="712.3", 'CASE DATA'!E171="712.6(1)", 'CASE DATA'!E171="712.7", 'CASE DATA'!E171="712.8", 'CASE DATA'!E171="", 'CASE DATA'!E171="713.3", 'CASE DATA'!E171="713.4", 'CASE DATA'!E171="713.5", 'CASE DATA'!E171="713.6", 'CASE DATA'!E171="713.6A(1)", 'CASE DATA'!E171="714.2(1)", 'CASE DATA'!E171="714.2(2)", 'CASE DATA'!E171="714.3A(2)(b)", 'CASE DATA'!E171="714.9", 'CASE DATA'!E171="714.10", 'CASE DATA'!E171="714.26(2)(a)", 'CASE DATA'!E171="714.26(2)(b)", 'CASE DATA'!E171="715A.2(2)(a)", 'CASE DATA'!E171="715A.6(2)(a)", 'CASE DATA'!E171="715A.6(2)(b)", 'CASE DATA'!E171="715A.8(3)(a)", 'CASE DATA'!E171="715A.8(3)(b)", 'CASE DATA'!E171="715A.10(1)", 'CASE DATA'!E171="715A.10(2)", 'CASE DATA'!E171="716.3", 'CASE DATA'!E171="716.4", 'CASE DATA'!E171="716.8(6)", 'CASE DATA'!E171="716.10(2)(a)", 'CASE DATA'!E171="716.10(2)(b)", 'CASE DATA'!E171="716.10(2)(c)", 'CASE DATA'!E171="716.10(2)(d)", 'CASE DATA'!E171="716.12", 'CASE DATA'!E171="719.1(1)(f)", 'CASE DATA'!E171="719.1(2)(e)", 'CASE DATA'!E171="719.1(2)(f)", 'CASE DATA'!E171="719.1(2)(g)", 'CASE DATA'!E171="719.4(1)", 'CASE DATA'!E171="719.4(4)", 'CASE DATA'!E171="719.5(1)", 'CASE DATA'!E171="719.5(2)", 'CASE DATA'!E171="719.6(1)", 'CASE DATA'!E171="719.6(2)", 'CASE DATA'!E171="719.7(4)(a)", 'CASE DATA'!E171="719.7(4)(b)", 'CASE DATA'!E171="719.7A(3)", 'CASE DATA'!E171="719.9", 'CASE DATA'!E171="719.8", 'CASE DATA'!E171="720.2", 'CASE DATA'!E171="720.3", 'CASE DATA'!E171="721.1", 'CASE DATA'!E171="722.1", 'CASE DATA'!E171="", 'CASE DATA'!E171="722.2", 'CASE DATA'!E171="722.10", 'CASE DATA'!E171="723(5)(3)(c)", 'CASE DATA'!E171="723A.2", 'CASE DATA'!E171="723A.3(1)", 'CASE DATA'!E171="723A.3(2)", 'CASE DATA'!E171="724.1B", 'CASE DATA'!E171="724.1C", 'CASE DATA'!E171="724.3", 'CASE DATA'!E171="724.4B", 'CASE DATA'!E171="724.10", 'CASE DATA'!E171="724.16(2)", 'CASE DATA'!E171="724.16A(1)(a)", 'CASE DATA'!E171="724.16A(1)(b)", 'CASE DATA'!E171="724.17", 'CASE DATA'!E171="724.21", 'CASE DATA'!E171="724.26(1)", 'CASE DATA'!E171="922(g)(8)", 'CASE DATA'!E171="724.29A(2)", 'CASE DATA'!E171="724.29A(3)", 'CASE DATA'!E171="724.30(1)", 'CASE DATA'!E171="724.30(2)", 'CASE DATA'!E171="725.1(2)(b)", 'CASE DATA'!E171="725.2(1)", 'CASE DATA'!E171="725.2(2)", 'CASE DATA'!E171="725.3(2)", 'CASE DATA'!E171="725.3(1)", 'CASE DATA'!E171="725.7(2)(a)(3)", 'CASE DATA'!E171="725.7(2)(a)(4)", 'CASE DATA'!E171="725.7(2)(b)(2)", 'CASE DATA'!E171="725.7(2)(b(3)", 'CASE DATA'!E171="726.7(2)(c)(1)", 'CASE DATA'!E171="726.7(2)(c)(2)", 'CASE DATA'!E171="725.7(2)(d)", 'CASE DATA'!E171="726.2", 'CASE DATA'!E171="726.3", 'CASE DATA'!E171="726.5", 'CASE DATA'!E171="726.6(4)", 'CASE DATA'!E171="726.6(5)", 'CASE DATA'!E171="726.6(6)", 'CASE DATA'!E171="726.6A", 'CASE DATA'!E171="726.7(2)", 'CASE DATA'!E171="726.8(2)", 'CASE DATA'!E171="728.12(1)", 'CASE DATA'!E171="728.12(2)"),"felony","eligible"),"N/A")</f>
        <v>N/A</v>
      </c>
      <c r="M170" s="185" t="str">
        <f>IF(L170="eligible",IF(OR('CASE DATA'!E171="123.46",'CASE DATA'!E171="123.47",'CASE DATA'!E171="235B.20",'CASE DATA'!E171="321.218",'CASE DATA'!E171="321A.32",'CASE DATA'!E171="321J.21",'CASE DATA'!E171="321J.2",'CASE DATA'!E171="707.5",'CASE DATA'!E171="708.2(3)",'CASE DATA'!E171="708.2A",'CASE DATA'!E171="708.7",'CASE DATA'!E171="708.11",'CASE DATA'!E171="708.12",'CASE DATA'!E171="716.8(3)",'CASE DATA'!E171="716.8(4)", LEFT('CASE DATA'!E171,4)="717C", LEFT('CASE DATA'!E171, 3)="719", LEFT('CASE DATA'!E171,3)="720", 'CASE DATA'!E171="721.2", 'CASE DATA'!E171="721.10", 'CASE DATA'!E171="723.1", LEFT('CASE DATA'!E171,3)="724", LEFT('CASE DATA'!E171,3)="726", LEFT('CASE DATA'!E171,3)="728", LEFT('CASE DATA'!E171,4)="901A"),"ineligible misd", "eligible"),"N/A")</f>
        <v>N/A</v>
      </c>
      <c r="N170" s="185" t="str">
        <f>IF(L170="eligible",IF(COUNTIF('CASE DATA'!$C$4:$C$200, "")-COUNTIF('CASE DATA'!$A$4:$A$200, "")&gt;0, "YES","NO"),"N/A")</f>
        <v>N/A</v>
      </c>
      <c r="O170" s="185" t="str">
        <f xml:space="preserve"> IF(M170="eligible",'CASE DATA'!K171,"N/A")</f>
        <v>N/A</v>
      </c>
      <c r="P170" s="185" t="str">
        <f xml:space="preserve"> IF(M170="eligible",'CASE DATA'!I171+'CASE DATA'!J171+'CASE DATA'!L171+'CASE DATA'!M171+'CASE DATA'!N171+'CASE DATA'!O171+'CASE DATA'!M171+'CASE DATA'!Q171+'CASE DATA'!R171,"N/A")</f>
        <v>N/A</v>
      </c>
      <c r="Q170" s="11" t="str">
        <f>IF(M170="eligible",IF(C170+730.5&lt;'BASIC INFO'!$B$3, "YES", "NO"),"N/A")</f>
        <v>N/A</v>
      </c>
      <c r="R170" s="186" t="str">
        <f xml:space="preserve"> IF(OR('CASE DATA'!F171="DEF"), "YES", "NO")</f>
        <v>NO</v>
      </c>
      <c r="S170" s="162" t="str">
        <f>IF(R170="YES",'CASE DATA'!H171,"N/A")</f>
        <v>N/A</v>
      </c>
      <c r="T170" s="185" t="str">
        <f xml:space="preserve"> IF(R170="YES",'CASE DATA'!K171,"N/A")</f>
        <v>N/A</v>
      </c>
      <c r="U170" s="185" t="str">
        <f>IF(R170="YES",'CASE DATA'!I171+'CASE DATA'!J171+'CASE DATA'!L171+'CASE DATA'!M171+'CASE DATA'!N171+'CASE DATA'!O171+'CASE DATA'!P171+'CASE DATA'!Q171+'CASE DATA'!R171,"N/A")</f>
        <v>N/A</v>
      </c>
      <c r="V170" s="189" t="str">
        <f>IF(OR('CASE DATA'!E171="123.46",'CASE DATA'!E171="123.47"),"YES","NO")</f>
        <v>NO</v>
      </c>
      <c r="W170" s="189"/>
      <c r="X170" s="185" t="str">
        <f>IF(V170="YES",IF(C170+730.5&lt;'BASIC INFO'!$B$3, "YES","NO"), "N/A")</f>
        <v>N/A</v>
      </c>
      <c r="Y170" s="189" t="str">
        <f t="shared" si="3"/>
        <v>NO</v>
      </c>
      <c r="Z170" s="187" t="str">
        <f xml:space="preserve"> IF('BASIC INFO'!$B$6+6574.5&gt;C170, "YES", "NO")</f>
        <v>YES</v>
      </c>
    </row>
    <row r="171" spans="1:26" x14ac:dyDescent="0.25">
      <c r="A171" s="162">
        <f xml:space="preserve"> 'CASE DATA'!A172</f>
        <v>0</v>
      </c>
      <c r="B171" s="162">
        <f xml:space="preserve"> 'CASE DATA'!E172</f>
        <v>0</v>
      </c>
      <c r="C171" s="163">
        <f xml:space="preserve"> 'CASE DATA'!C172</f>
        <v>0</v>
      </c>
      <c r="D171" s="11" t="str">
        <f xml:space="preserve"> IF(OR('CASE DATA'!F172="JUV", 'CASE DATA'!F172="JWV"), "YES", "NO")</f>
        <v>NO</v>
      </c>
      <c r="E171" s="11"/>
      <c r="F171" s="11" t="str">
        <f>IF(D171="YES",IF(COUNTIF('CASE DATA'!$C$4:$C$200, "")-COUNTIF('CASE DATA'!$A$4:$A$200, "")&gt;0, "YES","NO"),"N/A")</f>
        <v>N/A</v>
      </c>
      <c r="G171" s="164" t="str">
        <f xml:space="preserve"> _xlfn.IFS(D171="NO", "N/A", AND('BASIC INFO'!$B$3&gt;'BASIC INFO'!$B$6+6574.5, C171+730.5&lt;'BASIC INFO'!$B$3), "YES", 'BASIC INFO'!$B$3&lt;('BASIC INFO'!$B$6+6574.5), "NOT YET 18", C171+730.5&gt;'BASIC INFO'!$B$3, "NOT YET 2 YEARS")</f>
        <v>N/A</v>
      </c>
      <c r="H171" s="186" t="str">
        <f xml:space="preserve"> IF(LEFT('CASE DATA'!E172,4)&lt;&gt;"321.",IF(OR('CASE DATA'!F172="DISM", 'CASE DATA'!F172="ACQ", 'CASE DATA'!F172="NOTF", 'CASE DATA'!F172="WTHD", 'CASE DATA'!F172="TNSF"), "YES", "NO"), "TRAFFIC")</f>
        <v>NO</v>
      </c>
      <c r="I171" s="185" t="str">
        <f xml:space="preserve"> IF(H171="YES",'CASE DATA'!K172,"N/A")</f>
        <v>N/A</v>
      </c>
      <c r="J171" s="185" t="str">
        <f>IF(H171="YES",'CASE DATA'!I172+'CASE DATA'!J172+'CASE DATA'!L172+'CASE DATA'!M172+'CASE DATA'!N172+'CASE DATA'!O172+'CASE DATA'!P172+'CASE DATA'!Q172+'CASE DATA'!R172,"N/A")</f>
        <v>N/A</v>
      </c>
      <c r="K171" s="162" t="str">
        <f xml:space="preserve"> IF(H171="YES",IF(C171+180&lt;'BASIC INFO'!$B$3, "YES", "NO"),"N/A")</f>
        <v>N/A</v>
      </c>
      <c r="L171" s="185" t="str">
        <f>IF(OR('CASE DATA'!F172="GTR", 'CASE DATA'!F172="GPL"),IF(OR('CASE DATA'!E172="81.6(2)", 'CASE DATA'!E172="99F.15(6)(b)(1)", 'CASE DATA'!E172= "124.401(1)(a)", 'CASE DATA'!E172= "124.401(1)(b)", 'CASE DATA'!E172= "124.401(1)(c)", 'CASE DATA'!E172= "124.401(1)(d)", 'CASE DATA'!E172="124.401(4)", 'CASE DATA'!E172="124.401(1)(b)", 'CASE DATA'!E172="124.401(1)(c)", 'CASE DATA'!E172="124.401D(2)(b)", 'CASE DATA'!E172="124.401D(2)(c)", 'CASE DATA'!E172="124.406(1)(a)", 'CASE DATA'!E172="124.406(1)(b) ", 'CASE DATA'!E172="124.406(2)(a)", 'CASE DATA'!E172="124.406(2)(b) ", 'CASE DATA'!E172="124.406(3)", 'CASE DATA'!E172="124.406A ", 'CASE DATA'!E172="124.407(2)(a)", 'CASE DATA'!E172="124B.9(1)", 'CASE DATA'!E172="124B.9(2)", 'CASE DATA'!E172="321J.2(2)(c)", 'CASE DATA'!E172="453B.12(2)", 'CASE DATA'!E172="453B.12(3)", 'CASE DATA'!E172="453B.12(4)", 'CASE DATA'!E172="462A.14(2)(c)", 'CASE DATA'!E172="462A.14(2)(d)", 'CASE DATA'!E172="462A.14(2)(e)", 'CASE DATA'!E172="705.1(2)", 'CASE DATA'!E172="706.3(1)", 'CASE DATA'!E172="706.3(2)", 'CASE DATA'!E172="706A.2(1)", 'CASE DATA'!E172="706A.2(2)", 'CASE DATA'!E172="706A.2(4)", 'CASE DATA'!E172="706B.2(1)(a)", 'CASE DATA'!E172="706B.2(1)(b)", 'CASE DATA'!E172="706B.2(1)(c)", 'CASE DATA'!E172="706B.2(1)(d)", 'CASE DATA'!E172="707.2", 'CASE DATA'!E172="707.3", 'CASE DATA'!E172="707.3A", 'CASE DATA'!E172="707.4", 'CASE DATA'!E172="707.5(1)(a)", 'CASE DATA'!E172="707.6A(1)", 'CASE DATA'!E172="707.6A(2)", 'CASE DATA'!E172="707.6A(3)", 'CASE DATA'!E172="707.6A(4)", 'CASE DATA'!E172="707.7(1)", 'CASE DATA'!E172="707.7(3)", 'CASE DATA'!E172="707.7(2)", 'CASE DATA'!E172="707.8(1)", 'CASE DATA'!E172="707.8(2)", 'CASE DATA'!E172="707.8(3)", 'CASE DATA'!E172="707.8(4)", 'CASE DATA'!E172="707.8(5)", 'CASE DATA'!E172="707.8(6)", 'CASE DATA'!E172="707.9", 'CASE DATA'!E172="707.11", 'CASE DATA'!E172="707A.2", 'CASE DATA'!E172="708.2(4)", 'CASE DATA'!E172="708.2(5)", 'CASE DATA'!E172="708.2A(4)", 'CASE DATA'!E172="708.2A(5)", 'CASE DATA'!E172="708.2C(2)", 'CASE DATA'!E172="708.2C(4)", 'CASE DATA'!E172="708.3(1)", 'CASE DATA'!E172="708.3(2)", 'CASE DATA'!E172="708.3A(1)", 'CASE DATA'!E172="708.3A(2)", 'CASE DATA'!E172="708.3B", 'CASE DATA'!E172="708.4(1)", 'CASE DATA'!E172="708.4(2)", 'CASE DATA'!E172="708.5", 'CASE DATA'!E172="708.8", 'CASE DATA'!E172="708.11(3)(a)", 'CASE DATA'!E172="708.11(3)(b)", 'CASE DATA'!E172="708.12(3)(f)", 'CASE DATA'!E172="708.13(3)", 'CASE DATA'!E172="708.14", 'CASE DATA'!E172="708A.2", 'CASE DATA'!E172="708A.4(1)", 'CASE DATA'!E172="708A.4(2)", 'CASE DATA'!E172="708A.5", 'CASE DATA'!E172="708A.6(1)", 'CASE DATA'!E172="708.A.6(2)", 'CASE DATA'!E172="709.2", 'CASE DATA'!E172="709.3", 'CASE DATA'!E172="709.4", 'CASE DATA'!E172="709.8(1)(a)", 'CASE DATA'!E172="709.8(1)(b)", 'CASE DATA'!E172="709.8(1)(c)", 'CASE DATA'!E172="709.8(1)(d)", 'CASE DATA'!E172="709.8(1)(e)", 'CASE DATA'!E172="709.11(1)", 'CASE DATA'!E172="709.11(2)", 'CASE DATA'!E172="709.15(2)(a)(1)", 'CASE DATA'!E172="709.15(3)(a)(1)", 'CASE DATA'!E172="709.18", 'CASE DATA'!E172="709A.6(2)", 'CASE DATA'!E172="709D.3(1)", 'CASE DATA'!E172="709D.3(2)", 'CASE DATA'!E172="709.D.3(3)", 'CASE DATA'!E172="710.2", 'CASE DATA'!E172="710.3", 'CASE DATA'!E172="710.4", 'CASE DATA'!E172="710.5", 'CASE DATA'!E172="710.10(1)", 'CASE DATA'!E172="710.10(2)", 'CASE DATA'!E172="710.10(3)", 'CASE DATA'!E172="710.11", 'CASE DATA'!E172="710A.2(1)", 'CASE DATA'!E172="710A.2(2)", 'CASE DATA'!E172="710A.2(3)", 'CASE DATA'!E172="710A.2(4)", 'CASE DATA'!E172="710A.2(5)", 'CASE DATA'!E172="710A.2(6)", 'CASE DATA'!E172="710A.2(7)", 'CASE DATA'!E172="710A.2A", 'CASE DATA'!E172="711.2", 'CASE DATA'!E172="711.3", 'CASE DATA'!E172="711.4", 'CASE DATA'!E172="712.2", 'CASE DATA'!E172="712.3", 'CASE DATA'!E172="712.6(1)", 'CASE DATA'!E172="712.7", 'CASE DATA'!E172="712.8", 'CASE DATA'!E172="", 'CASE DATA'!E172="713.3", 'CASE DATA'!E172="713.4", 'CASE DATA'!E172="713.5", 'CASE DATA'!E172="713.6", 'CASE DATA'!E172="713.6A(1)", 'CASE DATA'!E172="714.2(1)", 'CASE DATA'!E172="714.2(2)", 'CASE DATA'!E172="714.3A(2)(b)", 'CASE DATA'!E172="714.9", 'CASE DATA'!E172="714.10", 'CASE DATA'!E172="714.26(2)(a)", 'CASE DATA'!E172="714.26(2)(b)", 'CASE DATA'!E172="715A.2(2)(a)", 'CASE DATA'!E172="715A.6(2)(a)", 'CASE DATA'!E172="715A.6(2)(b)", 'CASE DATA'!E172="715A.8(3)(a)", 'CASE DATA'!E172="715A.8(3)(b)", 'CASE DATA'!E172="715A.10(1)", 'CASE DATA'!E172="715A.10(2)", 'CASE DATA'!E172="716.3", 'CASE DATA'!E172="716.4", 'CASE DATA'!E172="716.8(6)", 'CASE DATA'!E172="716.10(2)(a)", 'CASE DATA'!E172="716.10(2)(b)", 'CASE DATA'!E172="716.10(2)(c)", 'CASE DATA'!E172="716.10(2)(d)", 'CASE DATA'!E172="716.12", 'CASE DATA'!E172="719.1(1)(f)", 'CASE DATA'!E172="719.1(2)(e)", 'CASE DATA'!E172="719.1(2)(f)", 'CASE DATA'!E172="719.1(2)(g)", 'CASE DATA'!E172="719.4(1)", 'CASE DATA'!E172="719.4(4)", 'CASE DATA'!E172="719.5(1)", 'CASE DATA'!E172="719.5(2)", 'CASE DATA'!E172="719.6(1)", 'CASE DATA'!E172="719.6(2)", 'CASE DATA'!E172="719.7(4)(a)", 'CASE DATA'!E172="719.7(4)(b)", 'CASE DATA'!E172="719.7A(3)", 'CASE DATA'!E172="719.9", 'CASE DATA'!E172="719.8", 'CASE DATA'!E172="720.2", 'CASE DATA'!E172="720.3", 'CASE DATA'!E172="721.1", 'CASE DATA'!E172="722.1", 'CASE DATA'!E172="", 'CASE DATA'!E172="722.2", 'CASE DATA'!E172="722.10", 'CASE DATA'!E172="723(5)(3)(c)", 'CASE DATA'!E172="723A.2", 'CASE DATA'!E172="723A.3(1)", 'CASE DATA'!E172="723A.3(2)", 'CASE DATA'!E172="724.1B", 'CASE DATA'!E172="724.1C", 'CASE DATA'!E172="724.3", 'CASE DATA'!E172="724.4B", 'CASE DATA'!E172="724.10", 'CASE DATA'!E172="724.16(2)", 'CASE DATA'!E172="724.16A(1)(a)", 'CASE DATA'!E172="724.16A(1)(b)", 'CASE DATA'!E172="724.17", 'CASE DATA'!E172="724.21", 'CASE DATA'!E172="724.26(1)", 'CASE DATA'!E172="922(g)(8)", 'CASE DATA'!E172="724.29A(2)", 'CASE DATA'!E172="724.29A(3)", 'CASE DATA'!E172="724.30(1)", 'CASE DATA'!E172="724.30(2)", 'CASE DATA'!E172="725.1(2)(b)", 'CASE DATA'!E172="725.2(1)", 'CASE DATA'!E172="725.2(2)", 'CASE DATA'!E172="725.3(2)", 'CASE DATA'!E172="725.3(1)", 'CASE DATA'!E172="725.7(2)(a)(3)", 'CASE DATA'!E172="725.7(2)(a)(4)", 'CASE DATA'!E172="725.7(2)(b)(2)", 'CASE DATA'!E172="725.7(2)(b(3)", 'CASE DATA'!E172="726.7(2)(c)(1)", 'CASE DATA'!E172="726.7(2)(c)(2)", 'CASE DATA'!E172="725.7(2)(d)", 'CASE DATA'!E172="726.2", 'CASE DATA'!E172="726.3", 'CASE DATA'!E172="726.5", 'CASE DATA'!E172="726.6(4)", 'CASE DATA'!E172="726.6(5)", 'CASE DATA'!E172="726.6(6)", 'CASE DATA'!E172="726.6A", 'CASE DATA'!E172="726.7(2)", 'CASE DATA'!E172="726.8(2)", 'CASE DATA'!E172="728.12(1)", 'CASE DATA'!E172="728.12(2)"),"felony","eligible"),"N/A")</f>
        <v>N/A</v>
      </c>
      <c r="M171" s="185" t="str">
        <f>IF(L171="eligible",IF(OR('CASE DATA'!E172="123.46",'CASE DATA'!E172="123.47",'CASE DATA'!E172="235B.20",'CASE DATA'!E172="321.218",'CASE DATA'!E172="321A.32",'CASE DATA'!E172="321J.21",'CASE DATA'!E172="321J.2",'CASE DATA'!E172="707.5",'CASE DATA'!E172="708.2(3)",'CASE DATA'!E172="708.2A",'CASE DATA'!E172="708.7",'CASE DATA'!E172="708.11",'CASE DATA'!E172="708.12",'CASE DATA'!E172="716.8(3)",'CASE DATA'!E172="716.8(4)", LEFT('CASE DATA'!E172,4)="717C", LEFT('CASE DATA'!E172, 3)="719", LEFT('CASE DATA'!E172,3)="720", 'CASE DATA'!E172="721.2", 'CASE DATA'!E172="721.10", 'CASE DATA'!E172="723.1", LEFT('CASE DATA'!E172,3)="724", LEFT('CASE DATA'!E172,3)="726", LEFT('CASE DATA'!E172,3)="728", LEFT('CASE DATA'!E172,4)="901A"),"ineligible misd", "eligible"),"N/A")</f>
        <v>N/A</v>
      </c>
      <c r="N171" s="185" t="str">
        <f>IF(L171="eligible",IF(COUNTIF('CASE DATA'!$C$4:$C$200, "")-COUNTIF('CASE DATA'!$A$4:$A$200, "")&gt;0, "YES","NO"),"N/A")</f>
        <v>N/A</v>
      </c>
      <c r="O171" s="185" t="str">
        <f xml:space="preserve"> IF(M171="eligible",'CASE DATA'!K172,"N/A")</f>
        <v>N/A</v>
      </c>
      <c r="P171" s="185" t="str">
        <f xml:space="preserve"> IF(M171="eligible",'CASE DATA'!I172+'CASE DATA'!J172+'CASE DATA'!L172+'CASE DATA'!M172+'CASE DATA'!N172+'CASE DATA'!O172+'CASE DATA'!M172+'CASE DATA'!Q172+'CASE DATA'!R172,"N/A")</f>
        <v>N/A</v>
      </c>
      <c r="Q171" s="11" t="str">
        <f>IF(M171="eligible",IF(C171+730.5&lt;'BASIC INFO'!$B$3, "YES", "NO"),"N/A")</f>
        <v>N/A</v>
      </c>
      <c r="R171" s="186" t="str">
        <f xml:space="preserve"> IF(OR('CASE DATA'!F172="DEF"), "YES", "NO")</f>
        <v>NO</v>
      </c>
      <c r="S171" s="162" t="str">
        <f>IF(R171="YES",'CASE DATA'!H172,"N/A")</f>
        <v>N/A</v>
      </c>
      <c r="T171" s="185" t="str">
        <f xml:space="preserve"> IF(R171="YES",'CASE DATA'!K172,"N/A")</f>
        <v>N/A</v>
      </c>
      <c r="U171" s="185" t="str">
        <f>IF(R171="YES",'CASE DATA'!I172+'CASE DATA'!J172+'CASE DATA'!L172+'CASE DATA'!M172+'CASE DATA'!N172+'CASE DATA'!O172+'CASE DATA'!P172+'CASE DATA'!Q172+'CASE DATA'!R172,"N/A")</f>
        <v>N/A</v>
      </c>
      <c r="V171" s="189" t="str">
        <f>IF(OR('CASE DATA'!E172="123.46",'CASE DATA'!E172="123.47"),"YES","NO")</f>
        <v>NO</v>
      </c>
      <c r="W171" s="189"/>
      <c r="X171" s="185" t="str">
        <f>IF(V171="YES",IF(C171+730.5&lt;'BASIC INFO'!$B$3, "YES","NO"), "N/A")</f>
        <v>N/A</v>
      </c>
      <c r="Y171" s="189" t="str">
        <f t="shared" si="3"/>
        <v>NO</v>
      </c>
      <c r="Z171" s="187" t="str">
        <f xml:space="preserve"> IF('BASIC INFO'!$B$6+6574.5&gt;C171, "YES", "NO")</f>
        <v>YES</v>
      </c>
    </row>
    <row r="172" spans="1:26" x14ac:dyDescent="0.25">
      <c r="A172" s="162">
        <f xml:space="preserve"> 'CASE DATA'!A173</f>
        <v>0</v>
      </c>
      <c r="B172" s="162">
        <f xml:space="preserve"> 'CASE DATA'!E173</f>
        <v>0</v>
      </c>
      <c r="C172" s="163">
        <f xml:space="preserve"> 'CASE DATA'!C173</f>
        <v>0</v>
      </c>
      <c r="D172" s="11" t="str">
        <f xml:space="preserve"> IF(OR('CASE DATA'!F173="JUV", 'CASE DATA'!F173="JWV"), "YES", "NO")</f>
        <v>NO</v>
      </c>
      <c r="E172" s="11"/>
      <c r="F172" s="11" t="str">
        <f>IF(D172="YES",IF(COUNTIF('CASE DATA'!$C$4:$C$200, "")-COUNTIF('CASE DATA'!$A$4:$A$200, "")&gt;0, "YES","NO"),"N/A")</f>
        <v>N/A</v>
      </c>
      <c r="G172" s="164" t="str">
        <f xml:space="preserve"> _xlfn.IFS(D172="NO", "N/A", AND('BASIC INFO'!$B$3&gt;'BASIC INFO'!$B$6+6574.5, C172+730.5&lt;'BASIC INFO'!$B$3), "YES", 'BASIC INFO'!$B$3&lt;('BASIC INFO'!$B$6+6574.5), "NOT YET 18", C172+730.5&gt;'BASIC INFO'!$B$3, "NOT YET 2 YEARS")</f>
        <v>N/A</v>
      </c>
      <c r="H172" s="186" t="str">
        <f xml:space="preserve"> IF(LEFT('CASE DATA'!E173,4)&lt;&gt;"321.",IF(OR('CASE DATA'!F173="DISM", 'CASE DATA'!F173="ACQ", 'CASE DATA'!F173="NOTF", 'CASE DATA'!F173="WTHD", 'CASE DATA'!F173="TNSF"), "YES", "NO"), "TRAFFIC")</f>
        <v>NO</v>
      </c>
      <c r="I172" s="185" t="str">
        <f xml:space="preserve"> IF(H172="YES",'CASE DATA'!K173,"N/A")</f>
        <v>N/A</v>
      </c>
      <c r="J172" s="185" t="str">
        <f>IF(H172="YES",'CASE DATA'!I173+'CASE DATA'!J173+'CASE DATA'!L173+'CASE DATA'!M173+'CASE DATA'!N173+'CASE DATA'!O173+'CASE DATA'!P173+'CASE DATA'!Q173+'CASE DATA'!R173,"N/A")</f>
        <v>N/A</v>
      </c>
      <c r="K172" s="162" t="str">
        <f xml:space="preserve"> IF(H172="YES",IF(C172+180&lt;'BASIC INFO'!$B$3, "YES", "NO"),"N/A")</f>
        <v>N/A</v>
      </c>
      <c r="L172" s="185" t="str">
        <f>IF(OR('CASE DATA'!F173="GTR", 'CASE DATA'!F173="GPL"),IF(OR('CASE DATA'!E173="81.6(2)", 'CASE DATA'!E173="99F.15(6)(b)(1)", 'CASE DATA'!E173= "124.401(1)(a)", 'CASE DATA'!E173= "124.401(1)(b)", 'CASE DATA'!E173= "124.401(1)(c)", 'CASE DATA'!E173= "124.401(1)(d)", 'CASE DATA'!E173="124.401(4)", 'CASE DATA'!E173="124.401(1)(b)", 'CASE DATA'!E173="124.401(1)(c)", 'CASE DATA'!E173="124.401D(2)(b)", 'CASE DATA'!E173="124.401D(2)(c)", 'CASE DATA'!E173="124.406(1)(a)", 'CASE DATA'!E173="124.406(1)(b) ", 'CASE DATA'!E173="124.406(2)(a)", 'CASE DATA'!E173="124.406(2)(b) ", 'CASE DATA'!E173="124.406(3)", 'CASE DATA'!E173="124.406A ", 'CASE DATA'!E173="124.407(2)(a)", 'CASE DATA'!E173="124B.9(1)", 'CASE DATA'!E173="124B.9(2)", 'CASE DATA'!E173="321J.2(2)(c)", 'CASE DATA'!E173="453B.12(2)", 'CASE DATA'!E173="453B.12(3)", 'CASE DATA'!E173="453B.12(4)", 'CASE DATA'!E173="462A.14(2)(c)", 'CASE DATA'!E173="462A.14(2)(d)", 'CASE DATA'!E173="462A.14(2)(e)", 'CASE DATA'!E173="705.1(2)", 'CASE DATA'!E173="706.3(1)", 'CASE DATA'!E173="706.3(2)", 'CASE DATA'!E173="706A.2(1)", 'CASE DATA'!E173="706A.2(2)", 'CASE DATA'!E173="706A.2(4)", 'CASE DATA'!E173="706B.2(1)(a)", 'CASE DATA'!E173="706B.2(1)(b)", 'CASE DATA'!E173="706B.2(1)(c)", 'CASE DATA'!E173="706B.2(1)(d)", 'CASE DATA'!E173="707.2", 'CASE DATA'!E173="707.3", 'CASE DATA'!E173="707.3A", 'CASE DATA'!E173="707.4", 'CASE DATA'!E173="707.5(1)(a)", 'CASE DATA'!E173="707.6A(1)", 'CASE DATA'!E173="707.6A(2)", 'CASE DATA'!E173="707.6A(3)", 'CASE DATA'!E173="707.6A(4)", 'CASE DATA'!E173="707.7(1)", 'CASE DATA'!E173="707.7(3)", 'CASE DATA'!E173="707.7(2)", 'CASE DATA'!E173="707.8(1)", 'CASE DATA'!E173="707.8(2)", 'CASE DATA'!E173="707.8(3)", 'CASE DATA'!E173="707.8(4)", 'CASE DATA'!E173="707.8(5)", 'CASE DATA'!E173="707.8(6)", 'CASE DATA'!E173="707.9", 'CASE DATA'!E173="707.11", 'CASE DATA'!E173="707A.2", 'CASE DATA'!E173="708.2(4)", 'CASE DATA'!E173="708.2(5)", 'CASE DATA'!E173="708.2A(4)", 'CASE DATA'!E173="708.2A(5)", 'CASE DATA'!E173="708.2C(2)", 'CASE DATA'!E173="708.2C(4)", 'CASE DATA'!E173="708.3(1)", 'CASE DATA'!E173="708.3(2)", 'CASE DATA'!E173="708.3A(1)", 'CASE DATA'!E173="708.3A(2)", 'CASE DATA'!E173="708.3B", 'CASE DATA'!E173="708.4(1)", 'CASE DATA'!E173="708.4(2)", 'CASE DATA'!E173="708.5", 'CASE DATA'!E173="708.8", 'CASE DATA'!E173="708.11(3)(a)", 'CASE DATA'!E173="708.11(3)(b)", 'CASE DATA'!E173="708.12(3)(f)", 'CASE DATA'!E173="708.13(3)", 'CASE DATA'!E173="708.14", 'CASE DATA'!E173="708A.2", 'CASE DATA'!E173="708A.4(1)", 'CASE DATA'!E173="708A.4(2)", 'CASE DATA'!E173="708A.5", 'CASE DATA'!E173="708A.6(1)", 'CASE DATA'!E173="708.A.6(2)", 'CASE DATA'!E173="709.2", 'CASE DATA'!E173="709.3", 'CASE DATA'!E173="709.4", 'CASE DATA'!E173="709.8(1)(a)", 'CASE DATA'!E173="709.8(1)(b)", 'CASE DATA'!E173="709.8(1)(c)", 'CASE DATA'!E173="709.8(1)(d)", 'CASE DATA'!E173="709.8(1)(e)", 'CASE DATA'!E173="709.11(1)", 'CASE DATA'!E173="709.11(2)", 'CASE DATA'!E173="709.15(2)(a)(1)", 'CASE DATA'!E173="709.15(3)(a)(1)", 'CASE DATA'!E173="709.18", 'CASE DATA'!E173="709A.6(2)", 'CASE DATA'!E173="709D.3(1)", 'CASE DATA'!E173="709D.3(2)", 'CASE DATA'!E173="709.D.3(3)", 'CASE DATA'!E173="710.2", 'CASE DATA'!E173="710.3", 'CASE DATA'!E173="710.4", 'CASE DATA'!E173="710.5", 'CASE DATA'!E173="710.10(1)", 'CASE DATA'!E173="710.10(2)", 'CASE DATA'!E173="710.10(3)", 'CASE DATA'!E173="710.11", 'CASE DATA'!E173="710A.2(1)", 'CASE DATA'!E173="710A.2(2)", 'CASE DATA'!E173="710A.2(3)", 'CASE DATA'!E173="710A.2(4)", 'CASE DATA'!E173="710A.2(5)", 'CASE DATA'!E173="710A.2(6)", 'CASE DATA'!E173="710A.2(7)", 'CASE DATA'!E173="710A.2A", 'CASE DATA'!E173="711.2", 'CASE DATA'!E173="711.3", 'CASE DATA'!E173="711.4", 'CASE DATA'!E173="712.2", 'CASE DATA'!E173="712.3", 'CASE DATA'!E173="712.6(1)", 'CASE DATA'!E173="712.7", 'CASE DATA'!E173="712.8", 'CASE DATA'!E173="", 'CASE DATA'!E173="713.3", 'CASE DATA'!E173="713.4", 'CASE DATA'!E173="713.5", 'CASE DATA'!E173="713.6", 'CASE DATA'!E173="713.6A(1)", 'CASE DATA'!E173="714.2(1)", 'CASE DATA'!E173="714.2(2)", 'CASE DATA'!E173="714.3A(2)(b)", 'CASE DATA'!E173="714.9", 'CASE DATA'!E173="714.10", 'CASE DATA'!E173="714.26(2)(a)", 'CASE DATA'!E173="714.26(2)(b)", 'CASE DATA'!E173="715A.2(2)(a)", 'CASE DATA'!E173="715A.6(2)(a)", 'CASE DATA'!E173="715A.6(2)(b)", 'CASE DATA'!E173="715A.8(3)(a)", 'CASE DATA'!E173="715A.8(3)(b)", 'CASE DATA'!E173="715A.10(1)", 'CASE DATA'!E173="715A.10(2)", 'CASE DATA'!E173="716.3", 'CASE DATA'!E173="716.4", 'CASE DATA'!E173="716.8(6)", 'CASE DATA'!E173="716.10(2)(a)", 'CASE DATA'!E173="716.10(2)(b)", 'CASE DATA'!E173="716.10(2)(c)", 'CASE DATA'!E173="716.10(2)(d)", 'CASE DATA'!E173="716.12", 'CASE DATA'!E173="719.1(1)(f)", 'CASE DATA'!E173="719.1(2)(e)", 'CASE DATA'!E173="719.1(2)(f)", 'CASE DATA'!E173="719.1(2)(g)", 'CASE DATA'!E173="719.4(1)", 'CASE DATA'!E173="719.4(4)", 'CASE DATA'!E173="719.5(1)", 'CASE DATA'!E173="719.5(2)", 'CASE DATA'!E173="719.6(1)", 'CASE DATA'!E173="719.6(2)", 'CASE DATA'!E173="719.7(4)(a)", 'CASE DATA'!E173="719.7(4)(b)", 'CASE DATA'!E173="719.7A(3)", 'CASE DATA'!E173="719.9", 'CASE DATA'!E173="719.8", 'CASE DATA'!E173="720.2", 'CASE DATA'!E173="720.3", 'CASE DATA'!E173="721.1", 'CASE DATA'!E173="722.1", 'CASE DATA'!E173="", 'CASE DATA'!E173="722.2", 'CASE DATA'!E173="722.10", 'CASE DATA'!E173="723(5)(3)(c)", 'CASE DATA'!E173="723A.2", 'CASE DATA'!E173="723A.3(1)", 'CASE DATA'!E173="723A.3(2)", 'CASE DATA'!E173="724.1B", 'CASE DATA'!E173="724.1C", 'CASE DATA'!E173="724.3", 'CASE DATA'!E173="724.4B", 'CASE DATA'!E173="724.10", 'CASE DATA'!E173="724.16(2)", 'CASE DATA'!E173="724.16A(1)(a)", 'CASE DATA'!E173="724.16A(1)(b)", 'CASE DATA'!E173="724.17", 'CASE DATA'!E173="724.21", 'CASE DATA'!E173="724.26(1)", 'CASE DATA'!E173="922(g)(8)", 'CASE DATA'!E173="724.29A(2)", 'CASE DATA'!E173="724.29A(3)", 'CASE DATA'!E173="724.30(1)", 'CASE DATA'!E173="724.30(2)", 'CASE DATA'!E173="725.1(2)(b)", 'CASE DATA'!E173="725.2(1)", 'CASE DATA'!E173="725.2(2)", 'CASE DATA'!E173="725.3(2)", 'CASE DATA'!E173="725.3(1)", 'CASE DATA'!E173="725.7(2)(a)(3)", 'CASE DATA'!E173="725.7(2)(a)(4)", 'CASE DATA'!E173="725.7(2)(b)(2)", 'CASE DATA'!E173="725.7(2)(b(3)", 'CASE DATA'!E173="726.7(2)(c)(1)", 'CASE DATA'!E173="726.7(2)(c)(2)", 'CASE DATA'!E173="725.7(2)(d)", 'CASE DATA'!E173="726.2", 'CASE DATA'!E173="726.3", 'CASE DATA'!E173="726.5", 'CASE DATA'!E173="726.6(4)", 'CASE DATA'!E173="726.6(5)", 'CASE DATA'!E173="726.6(6)", 'CASE DATA'!E173="726.6A", 'CASE DATA'!E173="726.7(2)", 'CASE DATA'!E173="726.8(2)", 'CASE DATA'!E173="728.12(1)", 'CASE DATA'!E173="728.12(2)"),"felony","eligible"),"N/A")</f>
        <v>N/A</v>
      </c>
      <c r="M172" s="185" t="str">
        <f>IF(L172="eligible",IF(OR('CASE DATA'!E173="123.46",'CASE DATA'!E173="123.47",'CASE DATA'!E173="235B.20",'CASE DATA'!E173="321.218",'CASE DATA'!E173="321A.32",'CASE DATA'!E173="321J.21",'CASE DATA'!E173="321J.2",'CASE DATA'!E173="707.5",'CASE DATA'!E173="708.2(3)",'CASE DATA'!E173="708.2A",'CASE DATA'!E173="708.7",'CASE DATA'!E173="708.11",'CASE DATA'!E173="708.12",'CASE DATA'!E173="716.8(3)",'CASE DATA'!E173="716.8(4)", LEFT('CASE DATA'!E173,4)="717C", LEFT('CASE DATA'!E173, 3)="719", LEFT('CASE DATA'!E173,3)="720", 'CASE DATA'!E173="721.2", 'CASE DATA'!E173="721.10", 'CASE DATA'!E173="723.1", LEFT('CASE DATA'!E173,3)="724", LEFT('CASE DATA'!E173,3)="726", LEFT('CASE DATA'!E173,3)="728", LEFT('CASE DATA'!E173,4)="901A"),"ineligible misd", "eligible"),"N/A")</f>
        <v>N/A</v>
      </c>
      <c r="N172" s="185" t="str">
        <f>IF(L172="eligible",IF(COUNTIF('CASE DATA'!$C$4:$C$200, "")-COUNTIF('CASE DATA'!$A$4:$A$200, "")&gt;0, "YES","NO"),"N/A")</f>
        <v>N/A</v>
      </c>
      <c r="O172" s="185" t="str">
        <f xml:space="preserve"> IF(M172="eligible",'CASE DATA'!K173,"N/A")</f>
        <v>N/A</v>
      </c>
      <c r="P172" s="185" t="str">
        <f xml:space="preserve"> IF(M172="eligible",'CASE DATA'!I173+'CASE DATA'!J173+'CASE DATA'!L173+'CASE DATA'!M173+'CASE DATA'!N173+'CASE DATA'!O173+'CASE DATA'!M173+'CASE DATA'!Q173+'CASE DATA'!R173,"N/A")</f>
        <v>N/A</v>
      </c>
      <c r="Q172" s="11" t="str">
        <f>IF(M172="eligible",IF(C172+730.5&lt;'BASIC INFO'!$B$3, "YES", "NO"),"N/A")</f>
        <v>N/A</v>
      </c>
      <c r="R172" s="186" t="str">
        <f xml:space="preserve"> IF(OR('CASE DATA'!F173="DEF"), "YES", "NO")</f>
        <v>NO</v>
      </c>
      <c r="S172" s="162" t="str">
        <f>IF(R172="YES",'CASE DATA'!H173,"N/A")</f>
        <v>N/A</v>
      </c>
      <c r="T172" s="185" t="str">
        <f xml:space="preserve"> IF(R172="YES",'CASE DATA'!K173,"N/A")</f>
        <v>N/A</v>
      </c>
      <c r="U172" s="185" t="str">
        <f>IF(R172="YES",'CASE DATA'!I173+'CASE DATA'!J173+'CASE DATA'!L173+'CASE DATA'!M173+'CASE DATA'!N173+'CASE DATA'!O173+'CASE DATA'!P173+'CASE DATA'!Q173+'CASE DATA'!R173,"N/A")</f>
        <v>N/A</v>
      </c>
      <c r="V172" s="189" t="str">
        <f>IF(OR('CASE DATA'!E173="123.46",'CASE DATA'!E173="123.47"),"YES","NO")</f>
        <v>NO</v>
      </c>
      <c r="W172" s="189"/>
      <c r="X172" s="185" t="str">
        <f>IF(V172="YES",IF(C172+730.5&lt;'BASIC INFO'!$B$3, "YES","NO"), "N/A")</f>
        <v>N/A</v>
      </c>
      <c r="Y172" s="189" t="str">
        <f t="shared" si="3"/>
        <v>NO</v>
      </c>
      <c r="Z172" s="187" t="str">
        <f xml:space="preserve"> IF('BASIC INFO'!$B$6+6574.5&gt;C172, "YES", "NO")</f>
        <v>YES</v>
      </c>
    </row>
    <row r="173" spans="1:26" x14ac:dyDescent="0.25">
      <c r="A173" s="162">
        <f xml:space="preserve"> 'CASE DATA'!A174</f>
        <v>0</v>
      </c>
      <c r="B173" s="162">
        <f xml:space="preserve"> 'CASE DATA'!E174</f>
        <v>0</v>
      </c>
      <c r="C173" s="163">
        <f xml:space="preserve"> 'CASE DATA'!C174</f>
        <v>0</v>
      </c>
      <c r="D173" s="11" t="str">
        <f xml:space="preserve"> IF(OR('CASE DATA'!F174="JUV", 'CASE DATA'!F174="JWV"), "YES", "NO")</f>
        <v>NO</v>
      </c>
      <c r="E173" s="11"/>
      <c r="F173" s="11" t="str">
        <f>IF(D173="YES",IF(COUNTIF('CASE DATA'!$C$4:$C$200, "")-COUNTIF('CASE DATA'!$A$4:$A$200, "")&gt;0, "YES","NO"),"N/A")</f>
        <v>N/A</v>
      </c>
      <c r="G173" s="164" t="str">
        <f xml:space="preserve"> _xlfn.IFS(D173="NO", "N/A", AND('BASIC INFO'!$B$3&gt;'BASIC INFO'!$B$6+6574.5, C173+730.5&lt;'BASIC INFO'!$B$3), "YES", 'BASIC INFO'!$B$3&lt;('BASIC INFO'!$B$6+6574.5), "NOT YET 18", C173+730.5&gt;'BASIC INFO'!$B$3, "NOT YET 2 YEARS")</f>
        <v>N/A</v>
      </c>
      <c r="H173" s="186" t="str">
        <f xml:space="preserve"> IF(LEFT('CASE DATA'!E174,4)&lt;&gt;"321.",IF(OR('CASE DATA'!F174="DISM", 'CASE DATA'!F174="ACQ", 'CASE DATA'!F174="NOTF", 'CASE DATA'!F174="WTHD", 'CASE DATA'!F174="TNSF"), "YES", "NO"), "TRAFFIC")</f>
        <v>NO</v>
      </c>
      <c r="I173" s="185" t="str">
        <f xml:space="preserve"> IF(H173="YES",'CASE DATA'!K174,"N/A")</f>
        <v>N/A</v>
      </c>
      <c r="J173" s="185" t="str">
        <f>IF(H173="YES",'CASE DATA'!I174+'CASE DATA'!J174+'CASE DATA'!L174+'CASE DATA'!M174+'CASE DATA'!N174+'CASE DATA'!O174+'CASE DATA'!P174+'CASE DATA'!Q174+'CASE DATA'!R174,"N/A")</f>
        <v>N/A</v>
      </c>
      <c r="K173" s="162" t="str">
        <f xml:space="preserve"> IF(H173="YES",IF(C173+180&lt;'BASIC INFO'!$B$3, "YES", "NO"),"N/A")</f>
        <v>N/A</v>
      </c>
      <c r="L173" s="185" t="str">
        <f>IF(OR('CASE DATA'!F174="GTR", 'CASE DATA'!F174="GPL"),IF(OR('CASE DATA'!E174="81.6(2)", 'CASE DATA'!E174="99F.15(6)(b)(1)", 'CASE DATA'!E174= "124.401(1)(a)", 'CASE DATA'!E174= "124.401(1)(b)", 'CASE DATA'!E174= "124.401(1)(c)", 'CASE DATA'!E174= "124.401(1)(d)", 'CASE DATA'!E174="124.401(4)", 'CASE DATA'!E174="124.401(1)(b)", 'CASE DATA'!E174="124.401(1)(c)", 'CASE DATA'!E174="124.401D(2)(b)", 'CASE DATA'!E174="124.401D(2)(c)", 'CASE DATA'!E174="124.406(1)(a)", 'CASE DATA'!E174="124.406(1)(b) ", 'CASE DATA'!E174="124.406(2)(a)", 'CASE DATA'!E174="124.406(2)(b) ", 'CASE DATA'!E174="124.406(3)", 'CASE DATA'!E174="124.406A ", 'CASE DATA'!E174="124.407(2)(a)", 'CASE DATA'!E174="124B.9(1)", 'CASE DATA'!E174="124B.9(2)", 'CASE DATA'!E174="321J.2(2)(c)", 'CASE DATA'!E174="453B.12(2)", 'CASE DATA'!E174="453B.12(3)", 'CASE DATA'!E174="453B.12(4)", 'CASE DATA'!E174="462A.14(2)(c)", 'CASE DATA'!E174="462A.14(2)(d)", 'CASE DATA'!E174="462A.14(2)(e)", 'CASE DATA'!E174="705.1(2)", 'CASE DATA'!E174="706.3(1)", 'CASE DATA'!E174="706.3(2)", 'CASE DATA'!E174="706A.2(1)", 'CASE DATA'!E174="706A.2(2)", 'CASE DATA'!E174="706A.2(4)", 'CASE DATA'!E174="706B.2(1)(a)", 'CASE DATA'!E174="706B.2(1)(b)", 'CASE DATA'!E174="706B.2(1)(c)", 'CASE DATA'!E174="706B.2(1)(d)", 'CASE DATA'!E174="707.2", 'CASE DATA'!E174="707.3", 'CASE DATA'!E174="707.3A", 'CASE DATA'!E174="707.4", 'CASE DATA'!E174="707.5(1)(a)", 'CASE DATA'!E174="707.6A(1)", 'CASE DATA'!E174="707.6A(2)", 'CASE DATA'!E174="707.6A(3)", 'CASE DATA'!E174="707.6A(4)", 'CASE DATA'!E174="707.7(1)", 'CASE DATA'!E174="707.7(3)", 'CASE DATA'!E174="707.7(2)", 'CASE DATA'!E174="707.8(1)", 'CASE DATA'!E174="707.8(2)", 'CASE DATA'!E174="707.8(3)", 'CASE DATA'!E174="707.8(4)", 'CASE DATA'!E174="707.8(5)", 'CASE DATA'!E174="707.8(6)", 'CASE DATA'!E174="707.9", 'CASE DATA'!E174="707.11", 'CASE DATA'!E174="707A.2", 'CASE DATA'!E174="708.2(4)", 'CASE DATA'!E174="708.2(5)", 'CASE DATA'!E174="708.2A(4)", 'CASE DATA'!E174="708.2A(5)", 'CASE DATA'!E174="708.2C(2)", 'CASE DATA'!E174="708.2C(4)", 'CASE DATA'!E174="708.3(1)", 'CASE DATA'!E174="708.3(2)", 'CASE DATA'!E174="708.3A(1)", 'CASE DATA'!E174="708.3A(2)", 'CASE DATA'!E174="708.3B", 'CASE DATA'!E174="708.4(1)", 'CASE DATA'!E174="708.4(2)", 'CASE DATA'!E174="708.5", 'CASE DATA'!E174="708.8", 'CASE DATA'!E174="708.11(3)(a)", 'CASE DATA'!E174="708.11(3)(b)", 'CASE DATA'!E174="708.12(3)(f)", 'CASE DATA'!E174="708.13(3)", 'CASE DATA'!E174="708.14", 'CASE DATA'!E174="708A.2", 'CASE DATA'!E174="708A.4(1)", 'CASE DATA'!E174="708A.4(2)", 'CASE DATA'!E174="708A.5", 'CASE DATA'!E174="708A.6(1)", 'CASE DATA'!E174="708.A.6(2)", 'CASE DATA'!E174="709.2", 'CASE DATA'!E174="709.3", 'CASE DATA'!E174="709.4", 'CASE DATA'!E174="709.8(1)(a)", 'CASE DATA'!E174="709.8(1)(b)", 'CASE DATA'!E174="709.8(1)(c)", 'CASE DATA'!E174="709.8(1)(d)", 'CASE DATA'!E174="709.8(1)(e)", 'CASE DATA'!E174="709.11(1)", 'CASE DATA'!E174="709.11(2)", 'CASE DATA'!E174="709.15(2)(a)(1)", 'CASE DATA'!E174="709.15(3)(a)(1)", 'CASE DATA'!E174="709.18", 'CASE DATA'!E174="709A.6(2)", 'CASE DATA'!E174="709D.3(1)", 'CASE DATA'!E174="709D.3(2)", 'CASE DATA'!E174="709.D.3(3)", 'CASE DATA'!E174="710.2", 'CASE DATA'!E174="710.3", 'CASE DATA'!E174="710.4", 'CASE DATA'!E174="710.5", 'CASE DATA'!E174="710.10(1)", 'CASE DATA'!E174="710.10(2)", 'CASE DATA'!E174="710.10(3)", 'CASE DATA'!E174="710.11", 'CASE DATA'!E174="710A.2(1)", 'CASE DATA'!E174="710A.2(2)", 'CASE DATA'!E174="710A.2(3)", 'CASE DATA'!E174="710A.2(4)", 'CASE DATA'!E174="710A.2(5)", 'CASE DATA'!E174="710A.2(6)", 'CASE DATA'!E174="710A.2(7)", 'CASE DATA'!E174="710A.2A", 'CASE DATA'!E174="711.2", 'CASE DATA'!E174="711.3", 'CASE DATA'!E174="711.4", 'CASE DATA'!E174="712.2", 'CASE DATA'!E174="712.3", 'CASE DATA'!E174="712.6(1)", 'CASE DATA'!E174="712.7", 'CASE DATA'!E174="712.8", 'CASE DATA'!E174="", 'CASE DATA'!E174="713.3", 'CASE DATA'!E174="713.4", 'CASE DATA'!E174="713.5", 'CASE DATA'!E174="713.6", 'CASE DATA'!E174="713.6A(1)", 'CASE DATA'!E174="714.2(1)", 'CASE DATA'!E174="714.2(2)", 'CASE DATA'!E174="714.3A(2)(b)", 'CASE DATA'!E174="714.9", 'CASE DATA'!E174="714.10", 'CASE DATA'!E174="714.26(2)(a)", 'CASE DATA'!E174="714.26(2)(b)", 'CASE DATA'!E174="715A.2(2)(a)", 'CASE DATA'!E174="715A.6(2)(a)", 'CASE DATA'!E174="715A.6(2)(b)", 'CASE DATA'!E174="715A.8(3)(a)", 'CASE DATA'!E174="715A.8(3)(b)", 'CASE DATA'!E174="715A.10(1)", 'CASE DATA'!E174="715A.10(2)", 'CASE DATA'!E174="716.3", 'CASE DATA'!E174="716.4", 'CASE DATA'!E174="716.8(6)", 'CASE DATA'!E174="716.10(2)(a)", 'CASE DATA'!E174="716.10(2)(b)", 'CASE DATA'!E174="716.10(2)(c)", 'CASE DATA'!E174="716.10(2)(d)", 'CASE DATA'!E174="716.12", 'CASE DATA'!E174="719.1(1)(f)", 'CASE DATA'!E174="719.1(2)(e)", 'CASE DATA'!E174="719.1(2)(f)", 'CASE DATA'!E174="719.1(2)(g)", 'CASE DATA'!E174="719.4(1)", 'CASE DATA'!E174="719.4(4)", 'CASE DATA'!E174="719.5(1)", 'CASE DATA'!E174="719.5(2)", 'CASE DATA'!E174="719.6(1)", 'CASE DATA'!E174="719.6(2)", 'CASE DATA'!E174="719.7(4)(a)", 'CASE DATA'!E174="719.7(4)(b)", 'CASE DATA'!E174="719.7A(3)", 'CASE DATA'!E174="719.9", 'CASE DATA'!E174="719.8", 'CASE DATA'!E174="720.2", 'CASE DATA'!E174="720.3", 'CASE DATA'!E174="721.1", 'CASE DATA'!E174="722.1", 'CASE DATA'!E174="", 'CASE DATA'!E174="722.2", 'CASE DATA'!E174="722.10", 'CASE DATA'!E174="723(5)(3)(c)", 'CASE DATA'!E174="723A.2", 'CASE DATA'!E174="723A.3(1)", 'CASE DATA'!E174="723A.3(2)", 'CASE DATA'!E174="724.1B", 'CASE DATA'!E174="724.1C", 'CASE DATA'!E174="724.3", 'CASE DATA'!E174="724.4B", 'CASE DATA'!E174="724.10", 'CASE DATA'!E174="724.16(2)", 'CASE DATA'!E174="724.16A(1)(a)", 'CASE DATA'!E174="724.16A(1)(b)", 'CASE DATA'!E174="724.17", 'CASE DATA'!E174="724.21", 'CASE DATA'!E174="724.26(1)", 'CASE DATA'!E174="922(g)(8)", 'CASE DATA'!E174="724.29A(2)", 'CASE DATA'!E174="724.29A(3)", 'CASE DATA'!E174="724.30(1)", 'CASE DATA'!E174="724.30(2)", 'CASE DATA'!E174="725.1(2)(b)", 'CASE DATA'!E174="725.2(1)", 'CASE DATA'!E174="725.2(2)", 'CASE DATA'!E174="725.3(2)", 'CASE DATA'!E174="725.3(1)", 'CASE DATA'!E174="725.7(2)(a)(3)", 'CASE DATA'!E174="725.7(2)(a)(4)", 'CASE DATA'!E174="725.7(2)(b)(2)", 'CASE DATA'!E174="725.7(2)(b(3)", 'CASE DATA'!E174="726.7(2)(c)(1)", 'CASE DATA'!E174="726.7(2)(c)(2)", 'CASE DATA'!E174="725.7(2)(d)", 'CASE DATA'!E174="726.2", 'CASE DATA'!E174="726.3", 'CASE DATA'!E174="726.5", 'CASE DATA'!E174="726.6(4)", 'CASE DATA'!E174="726.6(5)", 'CASE DATA'!E174="726.6(6)", 'CASE DATA'!E174="726.6A", 'CASE DATA'!E174="726.7(2)", 'CASE DATA'!E174="726.8(2)", 'CASE DATA'!E174="728.12(1)", 'CASE DATA'!E174="728.12(2)"),"felony","eligible"),"N/A")</f>
        <v>N/A</v>
      </c>
      <c r="M173" s="185" t="str">
        <f>IF(L173="eligible",IF(OR('CASE DATA'!E174="123.46",'CASE DATA'!E174="123.47",'CASE DATA'!E174="235B.20",'CASE DATA'!E174="321.218",'CASE DATA'!E174="321A.32",'CASE DATA'!E174="321J.21",'CASE DATA'!E174="321J.2",'CASE DATA'!E174="707.5",'CASE DATA'!E174="708.2(3)",'CASE DATA'!E174="708.2A",'CASE DATA'!E174="708.7",'CASE DATA'!E174="708.11",'CASE DATA'!E174="708.12",'CASE DATA'!E174="716.8(3)",'CASE DATA'!E174="716.8(4)", LEFT('CASE DATA'!E174,4)="717C", LEFT('CASE DATA'!E174, 3)="719", LEFT('CASE DATA'!E174,3)="720", 'CASE DATA'!E174="721.2", 'CASE DATA'!E174="721.10", 'CASE DATA'!E174="723.1", LEFT('CASE DATA'!E174,3)="724", LEFT('CASE DATA'!E174,3)="726", LEFT('CASE DATA'!E174,3)="728", LEFT('CASE DATA'!E174,4)="901A"),"ineligible misd", "eligible"),"N/A")</f>
        <v>N/A</v>
      </c>
      <c r="N173" s="185" t="str">
        <f>IF(L173="eligible",IF(COUNTIF('CASE DATA'!$C$4:$C$200, "")-COUNTIF('CASE DATA'!$A$4:$A$200, "")&gt;0, "YES","NO"),"N/A")</f>
        <v>N/A</v>
      </c>
      <c r="O173" s="185" t="str">
        <f xml:space="preserve"> IF(M173="eligible",'CASE DATA'!K174,"N/A")</f>
        <v>N/A</v>
      </c>
      <c r="P173" s="185" t="str">
        <f xml:space="preserve"> IF(M173="eligible",'CASE DATA'!I174+'CASE DATA'!J174+'CASE DATA'!L174+'CASE DATA'!M174+'CASE DATA'!N174+'CASE DATA'!O174+'CASE DATA'!M174+'CASE DATA'!Q174+'CASE DATA'!R174,"N/A")</f>
        <v>N/A</v>
      </c>
      <c r="Q173" s="11" t="str">
        <f>IF(M173="eligible",IF(C173+730.5&lt;'BASIC INFO'!$B$3, "YES", "NO"),"N/A")</f>
        <v>N/A</v>
      </c>
      <c r="R173" s="186" t="str">
        <f xml:space="preserve"> IF(OR('CASE DATA'!F174="DEF"), "YES", "NO")</f>
        <v>NO</v>
      </c>
      <c r="S173" s="162" t="str">
        <f>IF(R173="YES",'CASE DATA'!H174,"N/A")</f>
        <v>N/A</v>
      </c>
      <c r="T173" s="185" t="str">
        <f xml:space="preserve"> IF(R173="YES",'CASE DATA'!K174,"N/A")</f>
        <v>N/A</v>
      </c>
      <c r="U173" s="185" t="str">
        <f>IF(R173="YES",'CASE DATA'!I174+'CASE DATA'!J174+'CASE DATA'!L174+'CASE DATA'!M174+'CASE DATA'!N174+'CASE DATA'!O174+'CASE DATA'!P174+'CASE DATA'!Q174+'CASE DATA'!R174,"N/A")</f>
        <v>N/A</v>
      </c>
      <c r="V173" s="189" t="str">
        <f>IF(OR('CASE DATA'!E174="123.46",'CASE DATA'!E174="123.47"),"YES","NO")</f>
        <v>NO</v>
      </c>
      <c r="W173" s="189"/>
      <c r="X173" s="185" t="str">
        <f>IF(V173="YES",IF(C173+730.5&lt;'BASIC INFO'!$B$3, "YES","NO"), "N/A")</f>
        <v>N/A</v>
      </c>
      <c r="Y173" s="189" t="str">
        <f t="shared" si="3"/>
        <v>NO</v>
      </c>
      <c r="Z173" s="187" t="str">
        <f xml:space="preserve"> IF('BASIC INFO'!$B$6+6574.5&gt;C173, "YES", "NO")</f>
        <v>YES</v>
      </c>
    </row>
    <row r="174" spans="1:26" x14ac:dyDescent="0.25">
      <c r="A174" s="162">
        <f xml:space="preserve"> 'CASE DATA'!A175</f>
        <v>0</v>
      </c>
      <c r="B174" s="162">
        <f xml:space="preserve"> 'CASE DATA'!E175</f>
        <v>0</v>
      </c>
      <c r="C174" s="163">
        <f xml:space="preserve"> 'CASE DATA'!C175</f>
        <v>0</v>
      </c>
      <c r="D174" s="11" t="str">
        <f xml:space="preserve"> IF(OR('CASE DATA'!F175="JUV", 'CASE DATA'!F175="JWV"), "YES", "NO")</f>
        <v>NO</v>
      </c>
      <c r="E174" s="11"/>
      <c r="F174" s="11" t="str">
        <f>IF(D174="YES",IF(COUNTIF('CASE DATA'!$C$4:$C$200, "")-COUNTIF('CASE DATA'!$A$4:$A$200, "")&gt;0, "YES","NO"),"N/A")</f>
        <v>N/A</v>
      </c>
      <c r="G174" s="164" t="str">
        <f xml:space="preserve"> _xlfn.IFS(D174="NO", "N/A", AND('BASIC INFO'!$B$3&gt;'BASIC INFO'!$B$6+6574.5, C174+730.5&lt;'BASIC INFO'!$B$3), "YES", 'BASIC INFO'!$B$3&lt;('BASIC INFO'!$B$6+6574.5), "NOT YET 18", C174+730.5&gt;'BASIC INFO'!$B$3, "NOT YET 2 YEARS")</f>
        <v>N/A</v>
      </c>
      <c r="H174" s="186" t="str">
        <f xml:space="preserve"> IF(LEFT('CASE DATA'!E175,4)&lt;&gt;"321.",IF(OR('CASE DATA'!F175="DISM", 'CASE DATA'!F175="ACQ", 'CASE DATA'!F175="NOTF", 'CASE DATA'!F175="WTHD", 'CASE DATA'!F175="TNSF"), "YES", "NO"), "TRAFFIC")</f>
        <v>NO</v>
      </c>
      <c r="I174" s="185" t="str">
        <f xml:space="preserve"> IF(H174="YES",'CASE DATA'!K175,"N/A")</f>
        <v>N/A</v>
      </c>
      <c r="J174" s="185" t="str">
        <f>IF(H174="YES",'CASE DATA'!I175+'CASE DATA'!J175+'CASE DATA'!L175+'CASE DATA'!M175+'CASE DATA'!N175+'CASE DATA'!O175+'CASE DATA'!P175+'CASE DATA'!Q175+'CASE DATA'!R175,"N/A")</f>
        <v>N/A</v>
      </c>
      <c r="K174" s="162" t="str">
        <f xml:space="preserve"> IF(H174="YES",IF(C174+180&lt;'BASIC INFO'!$B$3, "YES", "NO"),"N/A")</f>
        <v>N/A</v>
      </c>
      <c r="L174" s="185" t="str">
        <f>IF(OR('CASE DATA'!F175="GTR", 'CASE DATA'!F175="GPL"),IF(OR('CASE DATA'!E175="81.6(2)", 'CASE DATA'!E175="99F.15(6)(b)(1)", 'CASE DATA'!E175= "124.401(1)(a)", 'CASE DATA'!E175= "124.401(1)(b)", 'CASE DATA'!E175= "124.401(1)(c)", 'CASE DATA'!E175= "124.401(1)(d)", 'CASE DATA'!E175="124.401(4)", 'CASE DATA'!E175="124.401(1)(b)", 'CASE DATA'!E175="124.401(1)(c)", 'CASE DATA'!E175="124.401D(2)(b)", 'CASE DATA'!E175="124.401D(2)(c)", 'CASE DATA'!E175="124.406(1)(a)", 'CASE DATA'!E175="124.406(1)(b) ", 'CASE DATA'!E175="124.406(2)(a)", 'CASE DATA'!E175="124.406(2)(b) ", 'CASE DATA'!E175="124.406(3)", 'CASE DATA'!E175="124.406A ", 'CASE DATA'!E175="124.407(2)(a)", 'CASE DATA'!E175="124B.9(1)", 'CASE DATA'!E175="124B.9(2)", 'CASE DATA'!E175="321J.2(2)(c)", 'CASE DATA'!E175="453B.12(2)", 'CASE DATA'!E175="453B.12(3)", 'CASE DATA'!E175="453B.12(4)", 'CASE DATA'!E175="462A.14(2)(c)", 'CASE DATA'!E175="462A.14(2)(d)", 'CASE DATA'!E175="462A.14(2)(e)", 'CASE DATA'!E175="705.1(2)", 'CASE DATA'!E175="706.3(1)", 'CASE DATA'!E175="706.3(2)", 'CASE DATA'!E175="706A.2(1)", 'CASE DATA'!E175="706A.2(2)", 'CASE DATA'!E175="706A.2(4)", 'CASE DATA'!E175="706B.2(1)(a)", 'CASE DATA'!E175="706B.2(1)(b)", 'CASE DATA'!E175="706B.2(1)(c)", 'CASE DATA'!E175="706B.2(1)(d)", 'CASE DATA'!E175="707.2", 'CASE DATA'!E175="707.3", 'CASE DATA'!E175="707.3A", 'CASE DATA'!E175="707.4", 'CASE DATA'!E175="707.5(1)(a)", 'CASE DATA'!E175="707.6A(1)", 'CASE DATA'!E175="707.6A(2)", 'CASE DATA'!E175="707.6A(3)", 'CASE DATA'!E175="707.6A(4)", 'CASE DATA'!E175="707.7(1)", 'CASE DATA'!E175="707.7(3)", 'CASE DATA'!E175="707.7(2)", 'CASE DATA'!E175="707.8(1)", 'CASE DATA'!E175="707.8(2)", 'CASE DATA'!E175="707.8(3)", 'CASE DATA'!E175="707.8(4)", 'CASE DATA'!E175="707.8(5)", 'CASE DATA'!E175="707.8(6)", 'CASE DATA'!E175="707.9", 'CASE DATA'!E175="707.11", 'CASE DATA'!E175="707A.2", 'CASE DATA'!E175="708.2(4)", 'CASE DATA'!E175="708.2(5)", 'CASE DATA'!E175="708.2A(4)", 'CASE DATA'!E175="708.2A(5)", 'CASE DATA'!E175="708.2C(2)", 'CASE DATA'!E175="708.2C(4)", 'CASE DATA'!E175="708.3(1)", 'CASE DATA'!E175="708.3(2)", 'CASE DATA'!E175="708.3A(1)", 'CASE DATA'!E175="708.3A(2)", 'CASE DATA'!E175="708.3B", 'CASE DATA'!E175="708.4(1)", 'CASE DATA'!E175="708.4(2)", 'CASE DATA'!E175="708.5", 'CASE DATA'!E175="708.8", 'CASE DATA'!E175="708.11(3)(a)", 'CASE DATA'!E175="708.11(3)(b)", 'CASE DATA'!E175="708.12(3)(f)", 'CASE DATA'!E175="708.13(3)", 'CASE DATA'!E175="708.14", 'CASE DATA'!E175="708A.2", 'CASE DATA'!E175="708A.4(1)", 'CASE DATA'!E175="708A.4(2)", 'CASE DATA'!E175="708A.5", 'CASE DATA'!E175="708A.6(1)", 'CASE DATA'!E175="708.A.6(2)", 'CASE DATA'!E175="709.2", 'CASE DATA'!E175="709.3", 'CASE DATA'!E175="709.4", 'CASE DATA'!E175="709.8(1)(a)", 'CASE DATA'!E175="709.8(1)(b)", 'CASE DATA'!E175="709.8(1)(c)", 'CASE DATA'!E175="709.8(1)(d)", 'CASE DATA'!E175="709.8(1)(e)", 'CASE DATA'!E175="709.11(1)", 'CASE DATA'!E175="709.11(2)", 'CASE DATA'!E175="709.15(2)(a)(1)", 'CASE DATA'!E175="709.15(3)(a)(1)", 'CASE DATA'!E175="709.18", 'CASE DATA'!E175="709A.6(2)", 'CASE DATA'!E175="709D.3(1)", 'CASE DATA'!E175="709D.3(2)", 'CASE DATA'!E175="709.D.3(3)", 'CASE DATA'!E175="710.2", 'CASE DATA'!E175="710.3", 'CASE DATA'!E175="710.4", 'CASE DATA'!E175="710.5", 'CASE DATA'!E175="710.10(1)", 'CASE DATA'!E175="710.10(2)", 'CASE DATA'!E175="710.10(3)", 'CASE DATA'!E175="710.11", 'CASE DATA'!E175="710A.2(1)", 'CASE DATA'!E175="710A.2(2)", 'CASE DATA'!E175="710A.2(3)", 'CASE DATA'!E175="710A.2(4)", 'CASE DATA'!E175="710A.2(5)", 'CASE DATA'!E175="710A.2(6)", 'CASE DATA'!E175="710A.2(7)", 'CASE DATA'!E175="710A.2A", 'CASE DATA'!E175="711.2", 'CASE DATA'!E175="711.3", 'CASE DATA'!E175="711.4", 'CASE DATA'!E175="712.2", 'CASE DATA'!E175="712.3", 'CASE DATA'!E175="712.6(1)", 'CASE DATA'!E175="712.7", 'CASE DATA'!E175="712.8", 'CASE DATA'!E175="", 'CASE DATA'!E175="713.3", 'CASE DATA'!E175="713.4", 'CASE DATA'!E175="713.5", 'CASE DATA'!E175="713.6", 'CASE DATA'!E175="713.6A(1)", 'CASE DATA'!E175="714.2(1)", 'CASE DATA'!E175="714.2(2)", 'CASE DATA'!E175="714.3A(2)(b)", 'CASE DATA'!E175="714.9", 'CASE DATA'!E175="714.10", 'CASE DATA'!E175="714.26(2)(a)", 'CASE DATA'!E175="714.26(2)(b)", 'CASE DATA'!E175="715A.2(2)(a)", 'CASE DATA'!E175="715A.6(2)(a)", 'CASE DATA'!E175="715A.6(2)(b)", 'CASE DATA'!E175="715A.8(3)(a)", 'CASE DATA'!E175="715A.8(3)(b)", 'CASE DATA'!E175="715A.10(1)", 'CASE DATA'!E175="715A.10(2)", 'CASE DATA'!E175="716.3", 'CASE DATA'!E175="716.4", 'CASE DATA'!E175="716.8(6)", 'CASE DATA'!E175="716.10(2)(a)", 'CASE DATA'!E175="716.10(2)(b)", 'CASE DATA'!E175="716.10(2)(c)", 'CASE DATA'!E175="716.10(2)(d)", 'CASE DATA'!E175="716.12", 'CASE DATA'!E175="719.1(1)(f)", 'CASE DATA'!E175="719.1(2)(e)", 'CASE DATA'!E175="719.1(2)(f)", 'CASE DATA'!E175="719.1(2)(g)", 'CASE DATA'!E175="719.4(1)", 'CASE DATA'!E175="719.4(4)", 'CASE DATA'!E175="719.5(1)", 'CASE DATA'!E175="719.5(2)", 'CASE DATA'!E175="719.6(1)", 'CASE DATA'!E175="719.6(2)", 'CASE DATA'!E175="719.7(4)(a)", 'CASE DATA'!E175="719.7(4)(b)", 'CASE DATA'!E175="719.7A(3)", 'CASE DATA'!E175="719.9", 'CASE DATA'!E175="719.8", 'CASE DATA'!E175="720.2", 'CASE DATA'!E175="720.3", 'CASE DATA'!E175="721.1", 'CASE DATA'!E175="722.1", 'CASE DATA'!E175="", 'CASE DATA'!E175="722.2", 'CASE DATA'!E175="722.10", 'CASE DATA'!E175="723(5)(3)(c)", 'CASE DATA'!E175="723A.2", 'CASE DATA'!E175="723A.3(1)", 'CASE DATA'!E175="723A.3(2)", 'CASE DATA'!E175="724.1B", 'CASE DATA'!E175="724.1C", 'CASE DATA'!E175="724.3", 'CASE DATA'!E175="724.4B", 'CASE DATA'!E175="724.10", 'CASE DATA'!E175="724.16(2)", 'CASE DATA'!E175="724.16A(1)(a)", 'CASE DATA'!E175="724.16A(1)(b)", 'CASE DATA'!E175="724.17", 'CASE DATA'!E175="724.21", 'CASE DATA'!E175="724.26(1)", 'CASE DATA'!E175="922(g)(8)", 'CASE DATA'!E175="724.29A(2)", 'CASE DATA'!E175="724.29A(3)", 'CASE DATA'!E175="724.30(1)", 'CASE DATA'!E175="724.30(2)", 'CASE DATA'!E175="725.1(2)(b)", 'CASE DATA'!E175="725.2(1)", 'CASE DATA'!E175="725.2(2)", 'CASE DATA'!E175="725.3(2)", 'CASE DATA'!E175="725.3(1)", 'CASE DATA'!E175="725.7(2)(a)(3)", 'CASE DATA'!E175="725.7(2)(a)(4)", 'CASE DATA'!E175="725.7(2)(b)(2)", 'CASE DATA'!E175="725.7(2)(b(3)", 'CASE DATA'!E175="726.7(2)(c)(1)", 'CASE DATA'!E175="726.7(2)(c)(2)", 'CASE DATA'!E175="725.7(2)(d)", 'CASE DATA'!E175="726.2", 'CASE DATA'!E175="726.3", 'CASE DATA'!E175="726.5", 'CASE DATA'!E175="726.6(4)", 'CASE DATA'!E175="726.6(5)", 'CASE DATA'!E175="726.6(6)", 'CASE DATA'!E175="726.6A", 'CASE DATA'!E175="726.7(2)", 'CASE DATA'!E175="726.8(2)", 'CASE DATA'!E175="728.12(1)", 'CASE DATA'!E175="728.12(2)"),"felony","eligible"),"N/A")</f>
        <v>N/A</v>
      </c>
      <c r="M174" s="185" t="str">
        <f>IF(L174="eligible",IF(OR('CASE DATA'!E175="123.46",'CASE DATA'!E175="123.47",'CASE DATA'!E175="235B.20",'CASE DATA'!E175="321.218",'CASE DATA'!E175="321A.32",'CASE DATA'!E175="321J.21",'CASE DATA'!E175="321J.2",'CASE DATA'!E175="707.5",'CASE DATA'!E175="708.2(3)",'CASE DATA'!E175="708.2A",'CASE DATA'!E175="708.7",'CASE DATA'!E175="708.11",'CASE DATA'!E175="708.12",'CASE DATA'!E175="716.8(3)",'CASE DATA'!E175="716.8(4)", LEFT('CASE DATA'!E175,4)="717C", LEFT('CASE DATA'!E175, 3)="719", LEFT('CASE DATA'!E175,3)="720", 'CASE DATA'!E175="721.2", 'CASE DATA'!E175="721.10", 'CASE DATA'!E175="723.1", LEFT('CASE DATA'!E175,3)="724", LEFT('CASE DATA'!E175,3)="726", LEFT('CASE DATA'!E175,3)="728", LEFT('CASE DATA'!E175,4)="901A"),"ineligible misd", "eligible"),"N/A")</f>
        <v>N/A</v>
      </c>
      <c r="N174" s="185" t="str">
        <f>IF(L174="eligible",IF(COUNTIF('CASE DATA'!$C$4:$C$200, "")-COUNTIF('CASE DATA'!$A$4:$A$200, "")&gt;0, "YES","NO"),"N/A")</f>
        <v>N/A</v>
      </c>
      <c r="O174" s="185" t="str">
        <f xml:space="preserve"> IF(M174="eligible",'CASE DATA'!K175,"N/A")</f>
        <v>N/A</v>
      </c>
      <c r="P174" s="185" t="str">
        <f xml:space="preserve"> IF(M174="eligible",'CASE DATA'!I175+'CASE DATA'!J175+'CASE DATA'!L175+'CASE DATA'!M175+'CASE DATA'!N175+'CASE DATA'!O175+'CASE DATA'!M175+'CASE DATA'!Q175+'CASE DATA'!R175,"N/A")</f>
        <v>N/A</v>
      </c>
      <c r="Q174" s="11" t="str">
        <f>IF(M174="eligible",IF(C174+730.5&lt;'BASIC INFO'!$B$3, "YES", "NO"),"N/A")</f>
        <v>N/A</v>
      </c>
      <c r="R174" s="186" t="str">
        <f xml:space="preserve"> IF(OR('CASE DATA'!F175="DEF"), "YES", "NO")</f>
        <v>NO</v>
      </c>
      <c r="S174" s="162" t="str">
        <f>IF(R174="YES",'CASE DATA'!H175,"N/A")</f>
        <v>N/A</v>
      </c>
      <c r="T174" s="185" t="str">
        <f xml:space="preserve"> IF(R174="YES",'CASE DATA'!K175,"N/A")</f>
        <v>N/A</v>
      </c>
      <c r="U174" s="185" t="str">
        <f>IF(R174="YES",'CASE DATA'!I175+'CASE DATA'!J175+'CASE DATA'!L175+'CASE DATA'!M175+'CASE DATA'!N175+'CASE DATA'!O175+'CASE DATA'!P175+'CASE DATA'!Q175+'CASE DATA'!R175,"N/A")</f>
        <v>N/A</v>
      </c>
      <c r="V174" s="189" t="str">
        <f>IF(OR('CASE DATA'!E175="123.46",'CASE DATA'!E175="123.47"),"YES","NO")</f>
        <v>NO</v>
      </c>
      <c r="W174" s="189"/>
      <c r="X174" s="185" t="str">
        <f>IF(V174="YES",IF(C174+730.5&lt;'BASIC INFO'!$B$3, "YES","NO"), "N/A")</f>
        <v>N/A</v>
      </c>
      <c r="Y174" s="189" t="str">
        <f t="shared" si="3"/>
        <v>NO</v>
      </c>
      <c r="Z174" s="187" t="str">
        <f xml:space="preserve"> IF('BASIC INFO'!$B$6+6574.5&gt;C174, "YES", "NO")</f>
        <v>YES</v>
      </c>
    </row>
    <row r="175" spans="1:26" x14ac:dyDescent="0.25">
      <c r="A175" s="162">
        <f xml:space="preserve"> 'CASE DATA'!A176</f>
        <v>0</v>
      </c>
      <c r="B175" s="162">
        <f xml:space="preserve"> 'CASE DATA'!E176</f>
        <v>0</v>
      </c>
      <c r="C175" s="163">
        <f xml:space="preserve"> 'CASE DATA'!C176</f>
        <v>0</v>
      </c>
      <c r="D175" s="11" t="str">
        <f xml:space="preserve"> IF(OR('CASE DATA'!F176="JUV", 'CASE DATA'!F176="JWV"), "YES", "NO")</f>
        <v>NO</v>
      </c>
      <c r="E175" s="11"/>
      <c r="F175" s="11" t="str">
        <f>IF(D175="YES",IF(COUNTIF('CASE DATA'!$C$4:$C$200, "")-COUNTIF('CASE DATA'!$A$4:$A$200, "")&gt;0, "YES","NO"),"N/A")</f>
        <v>N/A</v>
      </c>
      <c r="G175" s="164" t="str">
        <f xml:space="preserve"> _xlfn.IFS(D175="NO", "N/A", AND('BASIC INFO'!$B$3&gt;'BASIC INFO'!$B$6+6574.5, C175+730.5&lt;'BASIC INFO'!$B$3), "YES", 'BASIC INFO'!$B$3&lt;('BASIC INFO'!$B$6+6574.5), "NOT YET 18", C175+730.5&gt;'BASIC INFO'!$B$3, "NOT YET 2 YEARS")</f>
        <v>N/A</v>
      </c>
      <c r="H175" s="186" t="str">
        <f xml:space="preserve"> IF(LEFT('CASE DATA'!E176,4)&lt;&gt;"321.",IF(OR('CASE DATA'!F176="DISM", 'CASE DATA'!F176="ACQ", 'CASE DATA'!F176="NOTF", 'CASE DATA'!F176="WTHD", 'CASE DATA'!F176="TNSF"), "YES", "NO"), "TRAFFIC")</f>
        <v>NO</v>
      </c>
      <c r="I175" s="185" t="str">
        <f xml:space="preserve"> IF(H175="YES",'CASE DATA'!K176,"N/A")</f>
        <v>N/A</v>
      </c>
      <c r="J175" s="185" t="str">
        <f>IF(H175="YES",'CASE DATA'!I176+'CASE DATA'!J176+'CASE DATA'!L176+'CASE DATA'!M176+'CASE DATA'!N176+'CASE DATA'!O176+'CASE DATA'!P176+'CASE DATA'!Q176+'CASE DATA'!R176,"N/A")</f>
        <v>N/A</v>
      </c>
      <c r="K175" s="162" t="str">
        <f xml:space="preserve"> IF(H175="YES",IF(C175+180&lt;'BASIC INFO'!$B$3, "YES", "NO"),"N/A")</f>
        <v>N/A</v>
      </c>
      <c r="L175" s="185" t="str">
        <f>IF(OR('CASE DATA'!F176="GTR", 'CASE DATA'!F176="GPL"),IF(OR('CASE DATA'!E176="81.6(2)", 'CASE DATA'!E176="99F.15(6)(b)(1)", 'CASE DATA'!E176= "124.401(1)(a)", 'CASE DATA'!E176= "124.401(1)(b)", 'CASE DATA'!E176= "124.401(1)(c)", 'CASE DATA'!E176= "124.401(1)(d)", 'CASE DATA'!E176="124.401(4)", 'CASE DATA'!E176="124.401(1)(b)", 'CASE DATA'!E176="124.401(1)(c)", 'CASE DATA'!E176="124.401D(2)(b)", 'CASE DATA'!E176="124.401D(2)(c)", 'CASE DATA'!E176="124.406(1)(a)", 'CASE DATA'!E176="124.406(1)(b) ", 'CASE DATA'!E176="124.406(2)(a)", 'CASE DATA'!E176="124.406(2)(b) ", 'CASE DATA'!E176="124.406(3)", 'CASE DATA'!E176="124.406A ", 'CASE DATA'!E176="124.407(2)(a)", 'CASE DATA'!E176="124B.9(1)", 'CASE DATA'!E176="124B.9(2)", 'CASE DATA'!E176="321J.2(2)(c)", 'CASE DATA'!E176="453B.12(2)", 'CASE DATA'!E176="453B.12(3)", 'CASE DATA'!E176="453B.12(4)", 'CASE DATA'!E176="462A.14(2)(c)", 'CASE DATA'!E176="462A.14(2)(d)", 'CASE DATA'!E176="462A.14(2)(e)", 'CASE DATA'!E176="705.1(2)", 'CASE DATA'!E176="706.3(1)", 'CASE DATA'!E176="706.3(2)", 'CASE DATA'!E176="706A.2(1)", 'CASE DATA'!E176="706A.2(2)", 'CASE DATA'!E176="706A.2(4)", 'CASE DATA'!E176="706B.2(1)(a)", 'CASE DATA'!E176="706B.2(1)(b)", 'CASE DATA'!E176="706B.2(1)(c)", 'CASE DATA'!E176="706B.2(1)(d)", 'CASE DATA'!E176="707.2", 'CASE DATA'!E176="707.3", 'CASE DATA'!E176="707.3A", 'CASE DATA'!E176="707.4", 'CASE DATA'!E176="707.5(1)(a)", 'CASE DATA'!E176="707.6A(1)", 'CASE DATA'!E176="707.6A(2)", 'CASE DATA'!E176="707.6A(3)", 'CASE DATA'!E176="707.6A(4)", 'CASE DATA'!E176="707.7(1)", 'CASE DATA'!E176="707.7(3)", 'CASE DATA'!E176="707.7(2)", 'CASE DATA'!E176="707.8(1)", 'CASE DATA'!E176="707.8(2)", 'CASE DATA'!E176="707.8(3)", 'CASE DATA'!E176="707.8(4)", 'CASE DATA'!E176="707.8(5)", 'CASE DATA'!E176="707.8(6)", 'CASE DATA'!E176="707.9", 'CASE DATA'!E176="707.11", 'CASE DATA'!E176="707A.2", 'CASE DATA'!E176="708.2(4)", 'CASE DATA'!E176="708.2(5)", 'CASE DATA'!E176="708.2A(4)", 'CASE DATA'!E176="708.2A(5)", 'CASE DATA'!E176="708.2C(2)", 'CASE DATA'!E176="708.2C(4)", 'CASE DATA'!E176="708.3(1)", 'CASE DATA'!E176="708.3(2)", 'CASE DATA'!E176="708.3A(1)", 'CASE DATA'!E176="708.3A(2)", 'CASE DATA'!E176="708.3B", 'CASE DATA'!E176="708.4(1)", 'CASE DATA'!E176="708.4(2)", 'CASE DATA'!E176="708.5", 'CASE DATA'!E176="708.8", 'CASE DATA'!E176="708.11(3)(a)", 'CASE DATA'!E176="708.11(3)(b)", 'CASE DATA'!E176="708.12(3)(f)", 'CASE DATA'!E176="708.13(3)", 'CASE DATA'!E176="708.14", 'CASE DATA'!E176="708A.2", 'CASE DATA'!E176="708A.4(1)", 'CASE DATA'!E176="708A.4(2)", 'CASE DATA'!E176="708A.5", 'CASE DATA'!E176="708A.6(1)", 'CASE DATA'!E176="708.A.6(2)", 'CASE DATA'!E176="709.2", 'CASE DATA'!E176="709.3", 'CASE DATA'!E176="709.4", 'CASE DATA'!E176="709.8(1)(a)", 'CASE DATA'!E176="709.8(1)(b)", 'CASE DATA'!E176="709.8(1)(c)", 'CASE DATA'!E176="709.8(1)(d)", 'CASE DATA'!E176="709.8(1)(e)", 'CASE DATA'!E176="709.11(1)", 'CASE DATA'!E176="709.11(2)", 'CASE DATA'!E176="709.15(2)(a)(1)", 'CASE DATA'!E176="709.15(3)(a)(1)", 'CASE DATA'!E176="709.18", 'CASE DATA'!E176="709A.6(2)", 'CASE DATA'!E176="709D.3(1)", 'CASE DATA'!E176="709D.3(2)", 'CASE DATA'!E176="709.D.3(3)", 'CASE DATA'!E176="710.2", 'CASE DATA'!E176="710.3", 'CASE DATA'!E176="710.4", 'CASE DATA'!E176="710.5", 'CASE DATA'!E176="710.10(1)", 'CASE DATA'!E176="710.10(2)", 'CASE DATA'!E176="710.10(3)", 'CASE DATA'!E176="710.11", 'CASE DATA'!E176="710A.2(1)", 'CASE DATA'!E176="710A.2(2)", 'CASE DATA'!E176="710A.2(3)", 'CASE DATA'!E176="710A.2(4)", 'CASE DATA'!E176="710A.2(5)", 'CASE DATA'!E176="710A.2(6)", 'CASE DATA'!E176="710A.2(7)", 'CASE DATA'!E176="710A.2A", 'CASE DATA'!E176="711.2", 'CASE DATA'!E176="711.3", 'CASE DATA'!E176="711.4", 'CASE DATA'!E176="712.2", 'CASE DATA'!E176="712.3", 'CASE DATA'!E176="712.6(1)", 'CASE DATA'!E176="712.7", 'CASE DATA'!E176="712.8", 'CASE DATA'!E176="", 'CASE DATA'!E176="713.3", 'CASE DATA'!E176="713.4", 'CASE DATA'!E176="713.5", 'CASE DATA'!E176="713.6", 'CASE DATA'!E176="713.6A(1)", 'CASE DATA'!E176="714.2(1)", 'CASE DATA'!E176="714.2(2)", 'CASE DATA'!E176="714.3A(2)(b)", 'CASE DATA'!E176="714.9", 'CASE DATA'!E176="714.10", 'CASE DATA'!E176="714.26(2)(a)", 'CASE DATA'!E176="714.26(2)(b)", 'CASE DATA'!E176="715A.2(2)(a)", 'CASE DATA'!E176="715A.6(2)(a)", 'CASE DATA'!E176="715A.6(2)(b)", 'CASE DATA'!E176="715A.8(3)(a)", 'CASE DATA'!E176="715A.8(3)(b)", 'CASE DATA'!E176="715A.10(1)", 'CASE DATA'!E176="715A.10(2)", 'CASE DATA'!E176="716.3", 'CASE DATA'!E176="716.4", 'CASE DATA'!E176="716.8(6)", 'CASE DATA'!E176="716.10(2)(a)", 'CASE DATA'!E176="716.10(2)(b)", 'CASE DATA'!E176="716.10(2)(c)", 'CASE DATA'!E176="716.10(2)(d)", 'CASE DATA'!E176="716.12", 'CASE DATA'!E176="719.1(1)(f)", 'CASE DATA'!E176="719.1(2)(e)", 'CASE DATA'!E176="719.1(2)(f)", 'CASE DATA'!E176="719.1(2)(g)", 'CASE DATA'!E176="719.4(1)", 'CASE DATA'!E176="719.4(4)", 'CASE DATA'!E176="719.5(1)", 'CASE DATA'!E176="719.5(2)", 'CASE DATA'!E176="719.6(1)", 'CASE DATA'!E176="719.6(2)", 'CASE DATA'!E176="719.7(4)(a)", 'CASE DATA'!E176="719.7(4)(b)", 'CASE DATA'!E176="719.7A(3)", 'CASE DATA'!E176="719.9", 'CASE DATA'!E176="719.8", 'CASE DATA'!E176="720.2", 'CASE DATA'!E176="720.3", 'CASE DATA'!E176="721.1", 'CASE DATA'!E176="722.1", 'CASE DATA'!E176="", 'CASE DATA'!E176="722.2", 'CASE DATA'!E176="722.10", 'CASE DATA'!E176="723(5)(3)(c)", 'CASE DATA'!E176="723A.2", 'CASE DATA'!E176="723A.3(1)", 'CASE DATA'!E176="723A.3(2)", 'CASE DATA'!E176="724.1B", 'CASE DATA'!E176="724.1C", 'CASE DATA'!E176="724.3", 'CASE DATA'!E176="724.4B", 'CASE DATA'!E176="724.10", 'CASE DATA'!E176="724.16(2)", 'CASE DATA'!E176="724.16A(1)(a)", 'CASE DATA'!E176="724.16A(1)(b)", 'CASE DATA'!E176="724.17", 'CASE DATA'!E176="724.21", 'CASE DATA'!E176="724.26(1)", 'CASE DATA'!E176="922(g)(8)", 'CASE DATA'!E176="724.29A(2)", 'CASE DATA'!E176="724.29A(3)", 'CASE DATA'!E176="724.30(1)", 'CASE DATA'!E176="724.30(2)", 'CASE DATA'!E176="725.1(2)(b)", 'CASE DATA'!E176="725.2(1)", 'CASE DATA'!E176="725.2(2)", 'CASE DATA'!E176="725.3(2)", 'CASE DATA'!E176="725.3(1)", 'CASE DATA'!E176="725.7(2)(a)(3)", 'CASE DATA'!E176="725.7(2)(a)(4)", 'CASE DATA'!E176="725.7(2)(b)(2)", 'CASE DATA'!E176="725.7(2)(b(3)", 'CASE DATA'!E176="726.7(2)(c)(1)", 'CASE DATA'!E176="726.7(2)(c)(2)", 'CASE DATA'!E176="725.7(2)(d)", 'CASE DATA'!E176="726.2", 'CASE DATA'!E176="726.3", 'CASE DATA'!E176="726.5", 'CASE DATA'!E176="726.6(4)", 'CASE DATA'!E176="726.6(5)", 'CASE DATA'!E176="726.6(6)", 'CASE DATA'!E176="726.6A", 'CASE DATA'!E176="726.7(2)", 'CASE DATA'!E176="726.8(2)", 'CASE DATA'!E176="728.12(1)", 'CASE DATA'!E176="728.12(2)"),"felony","eligible"),"N/A")</f>
        <v>N/A</v>
      </c>
      <c r="M175" s="185" t="str">
        <f>IF(L175="eligible",IF(OR('CASE DATA'!E176="123.46",'CASE DATA'!E176="123.47",'CASE DATA'!E176="235B.20",'CASE DATA'!E176="321.218",'CASE DATA'!E176="321A.32",'CASE DATA'!E176="321J.21",'CASE DATA'!E176="321J.2",'CASE DATA'!E176="707.5",'CASE DATA'!E176="708.2(3)",'CASE DATA'!E176="708.2A",'CASE DATA'!E176="708.7",'CASE DATA'!E176="708.11",'CASE DATA'!E176="708.12",'CASE DATA'!E176="716.8(3)",'CASE DATA'!E176="716.8(4)", LEFT('CASE DATA'!E176,4)="717C", LEFT('CASE DATA'!E176, 3)="719", LEFT('CASE DATA'!E176,3)="720", 'CASE DATA'!E176="721.2", 'CASE DATA'!E176="721.10", 'CASE DATA'!E176="723.1", LEFT('CASE DATA'!E176,3)="724", LEFT('CASE DATA'!E176,3)="726", LEFT('CASE DATA'!E176,3)="728", LEFT('CASE DATA'!E176,4)="901A"),"ineligible misd", "eligible"),"N/A")</f>
        <v>N/A</v>
      </c>
      <c r="N175" s="185" t="str">
        <f>IF(L175="eligible",IF(COUNTIF('CASE DATA'!$C$4:$C$200, "")-COUNTIF('CASE DATA'!$A$4:$A$200, "")&gt;0, "YES","NO"),"N/A")</f>
        <v>N/A</v>
      </c>
      <c r="O175" s="185" t="str">
        <f xml:space="preserve"> IF(M175="eligible",'CASE DATA'!K176,"N/A")</f>
        <v>N/A</v>
      </c>
      <c r="P175" s="185" t="str">
        <f xml:space="preserve"> IF(M175="eligible",'CASE DATA'!I176+'CASE DATA'!J176+'CASE DATA'!L176+'CASE DATA'!M176+'CASE DATA'!N176+'CASE DATA'!O176+'CASE DATA'!M176+'CASE DATA'!Q176+'CASE DATA'!R176,"N/A")</f>
        <v>N/A</v>
      </c>
      <c r="Q175" s="11" t="str">
        <f>IF(M175="eligible",IF(C175+730.5&lt;'BASIC INFO'!$B$3, "YES", "NO"),"N/A")</f>
        <v>N/A</v>
      </c>
      <c r="R175" s="186" t="str">
        <f xml:space="preserve"> IF(OR('CASE DATA'!F176="DEF"), "YES", "NO")</f>
        <v>NO</v>
      </c>
      <c r="S175" s="162" t="str">
        <f>IF(R175="YES",'CASE DATA'!H176,"N/A")</f>
        <v>N/A</v>
      </c>
      <c r="T175" s="185" t="str">
        <f xml:space="preserve"> IF(R175="YES",'CASE DATA'!K176,"N/A")</f>
        <v>N/A</v>
      </c>
      <c r="U175" s="185" t="str">
        <f>IF(R175="YES",'CASE DATA'!I176+'CASE DATA'!J176+'CASE DATA'!L176+'CASE DATA'!M176+'CASE DATA'!N176+'CASE DATA'!O176+'CASE DATA'!P176+'CASE DATA'!Q176+'CASE DATA'!R176,"N/A")</f>
        <v>N/A</v>
      </c>
      <c r="V175" s="189" t="str">
        <f>IF(OR('CASE DATA'!E176="123.46",'CASE DATA'!E176="123.47"),"YES","NO")</f>
        <v>NO</v>
      </c>
      <c r="W175" s="189"/>
      <c r="X175" s="185" t="str">
        <f>IF(V175="YES",IF(C175+730.5&lt;'BASIC INFO'!$B$3, "YES","NO"), "N/A")</f>
        <v>N/A</v>
      </c>
      <c r="Y175" s="189" t="str">
        <f t="shared" si="3"/>
        <v>NO</v>
      </c>
      <c r="Z175" s="187" t="str">
        <f xml:space="preserve"> IF('BASIC INFO'!$B$6+6574.5&gt;C175, "YES", "NO")</f>
        <v>YES</v>
      </c>
    </row>
    <row r="176" spans="1:26" x14ac:dyDescent="0.25">
      <c r="A176" s="162">
        <f xml:space="preserve"> 'CASE DATA'!A177</f>
        <v>0</v>
      </c>
      <c r="B176" s="162">
        <f xml:space="preserve"> 'CASE DATA'!E177</f>
        <v>0</v>
      </c>
      <c r="C176" s="163">
        <f xml:space="preserve"> 'CASE DATA'!C177</f>
        <v>0</v>
      </c>
      <c r="D176" s="11" t="str">
        <f xml:space="preserve"> IF(OR('CASE DATA'!F177="JUV", 'CASE DATA'!F177="JWV"), "YES", "NO")</f>
        <v>NO</v>
      </c>
      <c r="E176" s="11"/>
      <c r="F176" s="11" t="str">
        <f>IF(D176="YES",IF(COUNTIF('CASE DATA'!$C$4:$C$200, "")-COUNTIF('CASE DATA'!$A$4:$A$200, "")&gt;0, "YES","NO"),"N/A")</f>
        <v>N/A</v>
      </c>
      <c r="G176" s="164" t="str">
        <f xml:space="preserve"> _xlfn.IFS(D176="NO", "N/A", AND('BASIC INFO'!$B$3&gt;'BASIC INFO'!$B$6+6574.5, C176+730.5&lt;'BASIC INFO'!$B$3), "YES", 'BASIC INFO'!$B$3&lt;('BASIC INFO'!$B$6+6574.5), "NOT YET 18", C176+730.5&gt;'BASIC INFO'!$B$3, "NOT YET 2 YEARS")</f>
        <v>N/A</v>
      </c>
      <c r="H176" s="186" t="str">
        <f xml:space="preserve"> IF(LEFT('CASE DATA'!E177,4)&lt;&gt;"321.",IF(OR('CASE DATA'!F177="DISM", 'CASE DATA'!F177="ACQ", 'CASE DATA'!F177="NOTF", 'CASE DATA'!F177="WTHD", 'CASE DATA'!F177="TNSF"), "YES", "NO"), "TRAFFIC")</f>
        <v>NO</v>
      </c>
      <c r="I176" s="185" t="str">
        <f xml:space="preserve"> IF(H176="YES",'CASE DATA'!K177,"N/A")</f>
        <v>N/A</v>
      </c>
      <c r="J176" s="185" t="str">
        <f>IF(H176="YES",'CASE DATA'!I177+'CASE DATA'!J177+'CASE DATA'!L177+'CASE DATA'!M177+'CASE DATA'!N177+'CASE DATA'!O177+'CASE DATA'!P177+'CASE DATA'!Q177+'CASE DATA'!R177,"N/A")</f>
        <v>N/A</v>
      </c>
      <c r="K176" s="162" t="str">
        <f xml:space="preserve"> IF(H176="YES",IF(C176+180&lt;'BASIC INFO'!$B$3, "YES", "NO"),"N/A")</f>
        <v>N/A</v>
      </c>
      <c r="L176" s="185" t="str">
        <f>IF(OR('CASE DATA'!F177="GTR", 'CASE DATA'!F177="GPL"),IF(OR('CASE DATA'!E177="81.6(2)", 'CASE DATA'!E177="99F.15(6)(b)(1)", 'CASE DATA'!E177= "124.401(1)(a)", 'CASE DATA'!E177= "124.401(1)(b)", 'CASE DATA'!E177= "124.401(1)(c)", 'CASE DATA'!E177= "124.401(1)(d)", 'CASE DATA'!E177="124.401(4)", 'CASE DATA'!E177="124.401(1)(b)", 'CASE DATA'!E177="124.401(1)(c)", 'CASE DATA'!E177="124.401D(2)(b)", 'CASE DATA'!E177="124.401D(2)(c)", 'CASE DATA'!E177="124.406(1)(a)", 'CASE DATA'!E177="124.406(1)(b) ", 'CASE DATA'!E177="124.406(2)(a)", 'CASE DATA'!E177="124.406(2)(b) ", 'CASE DATA'!E177="124.406(3)", 'CASE DATA'!E177="124.406A ", 'CASE DATA'!E177="124.407(2)(a)", 'CASE DATA'!E177="124B.9(1)", 'CASE DATA'!E177="124B.9(2)", 'CASE DATA'!E177="321J.2(2)(c)", 'CASE DATA'!E177="453B.12(2)", 'CASE DATA'!E177="453B.12(3)", 'CASE DATA'!E177="453B.12(4)", 'CASE DATA'!E177="462A.14(2)(c)", 'CASE DATA'!E177="462A.14(2)(d)", 'CASE DATA'!E177="462A.14(2)(e)", 'CASE DATA'!E177="705.1(2)", 'CASE DATA'!E177="706.3(1)", 'CASE DATA'!E177="706.3(2)", 'CASE DATA'!E177="706A.2(1)", 'CASE DATA'!E177="706A.2(2)", 'CASE DATA'!E177="706A.2(4)", 'CASE DATA'!E177="706B.2(1)(a)", 'CASE DATA'!E177="706B.2(1)(b)", 'CASE DATA'!E177="706B.2(1)(c)", 'CASE DATA'!E177="706B.2(1)(d)", 'CASE DATA'!E177="707.2", 'CASE DATA'!E177="707.3", 'CASE DATA'!E177="707.3A", 'CASE DATA'!E177="707.4", 'CASE DATA'!E177="707.5(1)(a)", 'CASE DATA'!E177="707.6A(1)", 'CASE DATA'!E177="707.6A(2)", 'CASE DATA'!E177="707.6A(3)", 'CASE DATA'!E177="707.6A(4)", 'CASE DATA'!E177="707.7(1)", 'CASE DATA'!E177="707.7(3)", 'CASE DATA'!E177="707.7(2)", 'CASE DATA'!E177="707.8(1)", 'CASE DATA'!E177="707.8(2)", 'CASE DATA'!E177="707.8(3)", 'CASE DATA'!E177="707.8(4)", 'CASE DATA'!E177="707.8(5)", 'CASE DATA'!E177="707.8(6)", 'CASE DATA'!E177="707.9", 'CASE DATA'!E177="707.11", 'CASE DATA'!E177="707A.2", 'CASE DATA'!E177="708.2(4)", 'CASE DATA'!E177="708.2(5)", 'CASE DATA'!E177="708.2A(4)", 'CASE DATA'!E177="708.2A(5)", 'CASE DATA'!E177="708.2C(2)", 'CASE DATA'!E177="708.2C(4)", 'CASE DATA'!E177="708.3(1)", 'CASE DATA'!E177="708.3(2)", 'CASE DATA'!E177="708.3A(1)", 'CASE DATA'!E177="708.3A(2)", 'CASE DATA'!E177="708.3B", 'CASE DATA'!E177="708.4(1)", 'CASE DATA'!E177="708.4(2)", 'CASE DATA'!E177="708.5", 'CASE DATA'!E177="708.8", 'CASE DATA'!E177="708.11(3)(a)", 'CASE DATA'!E177="708.11(3)(b)", 'CASE DATA'!E177="708.12(3)(f)", 'CASE DATA'!E177="708.13(3)", 'CASE DATA'!E177="708.14", 'CASE DATA'!E177="708A.2", 'CASE DATA'!E177="708A.4(1)", 'CASE DATA'!E177="708A.4(2)", 'CASE DATA'!E177="708A.5", 'CASE DATA'!E177="708A.6(1)", 'CASE DATA'!E177="708.A.6(2)", 'CASE DATA'!E177="709.2", 'CASE DATA'!E177="709.3", 'CASE DATA'!E177="709.4", 'CASE DATA'!E177="709.8(1)(a)", 'CASE DATA'!E177="709.8(1)(b)", 'CASE DATA'!E177="709.8(1)(c)", 'CASE DATA'!E177="709.8(1)(d)", 'CASE DATA'!E177="709.8(1)(e)", 'CASE DATA'!E177="709.11(1)", 'CASE DATA'!E177="709.11(2)", 'CASE DATA'!E177="709.15(2)(a)(1)", 'CASE DATA'!E177="709.15(3)(a)(1)", 'CASE DATA'!E177="709.18", 'CASE DATA'!E177="709A.6(2)", 'CASE DATA'!E177="709D.3(1)", 'CASE DATA'!E177="709D.3(2)", 'CASE DATA'!E177="709.D.3(3)", 'CASE DATA'!E177="710.2", 'CASE DATA'!E177="710.3", 'CASE DATA'!E177="710.4", 'CASE DATA'!E177="710.5", 'CASE DATA'!E177="710.10(1)", 'CASE DATA'!E177="710.10(2)", 'CASE DATA'!E177="710.10(3)", 'CASE DATA'!E177="710.11", 'CASE DATA'!E177="710A.2(1)", 'CASE DATA'!E177="710A.2(2)", 'CASE DATA'!E177="710A.2(3)", 'CASE DATA'!E177="710A.2(4)", 'CASE DATA'!E177="710A.2(5)", 'CASE DATA'!E177="710A.2(6)", 'CASE DATA'!E177="710A.2(7)", 'CASE DATA'!E177="710A.2A", 'CASE DATA'!E177="711.2", 'CASE DATA'!E177="711.3", 'CASE DATA'!E177="711.4", 'CASE DATA'!E177="712.2", 'CASE DATA'!E177="712.3", 'CASE DATA'!E177="712.6(1)", 'CASE DATA'!E177="712.7", 'CASE DATA'!E177="712.8", 'CASE DATA'!E177="", 'CASE DATA'!E177="713.3", 'CASE DATA'!E177="713.4", 'CASE DATA'!E177="713.5", 'CASE DATA'!E177="713.6", 'CASE DATA'!E177="713.6A(1)", 'CASE DATA'!E177="714.2(1)", 'CASE DATA'!E177="714.2(2)", 'CASE DATA'!E177="714.3A(2)(b)", 'CASE DATA'!E177="714.9", 'CASE DATA'!E177="714.10", 'CASE DATA'!E177="714.26(2)(a)", 'CASE DATA'!E177="714.26(2)(b)", 'CASE DATA'!E177="715A.2(2)(a)", 'CASE DATA'!E177="715A.6(2)(a)", 'CASE DATA'!E177="715A.6(2)(b)", 'CASE DATA'!E177="715A.8(3)(a)", 'CASE DATA'!E177="715A.8(3)(b)", 'CASE DATA'!E177="715A.10(1)", 'CASE DATA'!E177="715A.10(2)", 'CASE DATA'!E177="716.3", 'CASE DATA'!E177="716.4", 'CASE DATA'!E177="716.8(6)", 'CASE DATA'!E177="716.10(2)(a)", 'CASE DATA'!E177="716.10(2)(b)", 'CASE DATA'!E177="716.10(2)(c)", 'CASE DATA'!E177="716.10(2)(d)", 'CASE DATA'!E177="716.12", 'CASE DATA'!E177="719.1(1)(f)", 'CASE DATA'!E177="719.1(2)(e)", 'CASE DATA'!E177="719.1(2)(f)", 'CASE DATA'!E177="719.1(2)(g)", 'CASE DATA'!E177="719.4(1)", 'CASE DATA'!E177="719.4(4)", 'CASE DATA'!E177="719.5(1)", 'CASE DATA'!E177="719.5(2)", 'CASE DATA'!E177="719.6(1)", 'CASE DATA'!E177="719.6(2)", 'CASE DATA'!E177="719.7(4)(a)", 'CASE DATA'!E177="719.7(4)(b)", 'CASE DATA'!E177="719.7A(3)", 'CASE DATA'!E177="719.9", 'CASE DATA'!E177="719.8", 'CASE DATA'!E177="720.2", 'CASE DATA'!E177="720.3", 'CASE DATA'!E177="721.1", 'CASE DATA'!E177="722.1", 'CASE DATA'!E177="", 'CASE DATA'!E177="722.2", 'CASE DATA'!E177="722.10", 'CASE DATA'!E177="723(5)(3)(c)", 'CASE DATA'!E177="723A.2", 'CASE DATA'!E177="723A.3(1)", 'CASE DATA'!E177="723A.3(2)", 'CASE DATA'!E177="724.1B", 'CASE DATA'!E177="724.1C", 'CASE DATA'!E177="724.3", 'CASE DATA'!E177="724.4B", 'CASE DATA'!E177="724.10", 'CASE DATA'!E177="724.16(2)", 'CASE DATA'!E177="724.16A(1)(a)", 'CASE DATA'!E177="724.16A(1)(b)", 'CASE DATA'!E177="724.17", 'CASE DATA'!E177="724.21", 'CASE DATA'!E177="724.26(1)", 'CASE DATA'!E177="922(g)(8)", 'CASE DATA'!E177="724.29A(2)", 'CASE DATA'!E177="724.29A(3)", 'CASE DATA'!E177="724.30(1)", 'CASE DATA'!E177="724.30(2)", 'CASE DATA'!E177="725.1(2)(b)", 'CASE DATA'!E177="725.2(1)", 'CASE DATA'!E177="725.2(2)", 'CASE DATA'!E177="725.3(2)", 'CASE DATA'!E177="725.3(1)", 'CASE DATA'!E177="725.7(2)(a)(3)", 'CASE DATA'!E177="725.7(2)(a)(4)", 'CASE DATA'!E177="725.7(2)(b)(2)", 'CASE DATA'!E177="725.7(2)(b(3)", 'CASE DATA'!E177="726.7(2)(c)(1)", 'CASE DATA'!E177="726.7(2)(c)(2)", 'CASE DATA'!E177="725.7(2)(d)", 'CASE DATA'!E177="726.2", 'CASE DATA'!E177="726.3", 'CASE DATA'!E177="726.5", 'CASE DATA'!E177="726.6(4)", 'CASE DATA'!E177="726.6(5)", 'CASE DATA'!E177="726.6(6)", 'CASE DATA'!E177="726.6A", 'CASE DATA'!E177="726.7(2)", 'CASE DATA'!E177="726.8(2)", 'CASE DATA'!E177="728.12(1)", 'CASE DATA'!E177="728.12(2)"),"felony","eligible"),"N/A")</f>
        <v>N/A</v>
      </c>
      <c r="M176" s="185" t="str">
        <f>IF(L176="eligible",IF(OR('CASE DATA'!E177="123.46",'CASE DATA'!E177="123.47",'CASE DATA'!E177="235B.20",'CASE DATA'!E177="321.218",'CASE DATA'!E177="321A.32",'CASE DATA'!E177="321J.21",'CASE DATA'!E177="321J.2",'CASE DATA'!E177="707.5",'CASE DATA'!E177="708.2(3)",'CASE DATA'!E177="708.2A",'CASE DATA'!E177="708.7",'CASE DATA'!E177="708.11",'CASE DATA'!E177="708.12",'CASE DATA'!E177="716.8(3)",'CASE DATA'!E177="716.8(4)", LEFT('CASE DATA'!E177,4)="717C", LEFT('CASE DATA'!E177, 3)="719", LEFT('CASE DATA'!E177,3)="720", 'CASE DATA'!E177="721.2", 'CASE DATA'!E177="721.10", 'CASE DATA'!E177="723.1", LEFT('CASE DATA'!E177,3)="724", LEFT('CASE DATA'!E177,3)="726", LEFT('CASE DATA'!E177,3)="728", LEFT('CASE DATA'!E177,4)="901A"),"ineligible misd", "eligible"),"N/A")</f>
        <v>N/A</v>
      </c>
      <c r="N176" s="185" t="str">
        <f>IF(L176="eligible",IF(COUNTIF('CASE DATA'!$C$4:$C$200, "")-COUNTIF('CASE DATA'!$A$4:$A$200, "")&gt;0, "YES","NO"),"N/A")</f>
        <v>N/A</v>
      </c>
      <c r="O176" s="185" t="str">
        <f xml:space="preserve"> IF(M176="eligible",'CASE DATA'!K177,"N/A")</f>
        <v>N/A</v>
      </c>
      <c r="P176" s="185" t="str">
        <f xml:space="preserve"> IF(M176="eligible",'CASE DATA'!I177+'CASE DATA'!J177+'CASE DATA'!L177+'CASE DATA'!M177+'CASE DATA'!N177+'CASE DATA'!O177+'CASE DATA'!M177+'CASE DATA'!Q177+'CASE DATA'!R177,"N/A")</f>
        <v>N/A</v>
      </c>
      <c r="Q176" s="11" t="str">
        <f>IF(M176="eligible",IF(C176+730.5&lt;'BASIC INFO'!$B$3, "YES", "NO"),"N/A")</f>
        <v>N/A</v>
      </c>
      <c r="R176" s="186" t="str">
        <f xml:space="preserve"> IF(OR('CASE DATA'!F177="DEF"), "YES", "NO")</f>
        <v>NO</v>
      </c>
      <c r="S176" s="162" t="str">
        <f>IF(R176="YES",'CASE DATA'!H177,"N/A")</f>
        <v>N/A</v>
      </c>
      <c r="T176" s="185" t="str">
        <f xml:space="preserve"> IF(R176="YES",'CASE DATA'!K177,"N/A")</f>
        <v>N/A</v>
      </c>
      <c r="U176" s="185" t="str">
        <f>IF(R176="YES",'CASE DATA'!I177+'CASE DATA'!J177+'CASE DATA'!L177+'CASE DATA'!M177+'CASE DATA'!N177+'CASE DATA'!O177+'CASE DATA'!P177+'CASE DATA'!Q177+'CASE DATA'!R177,"N/A")</f>
        <v>N/A</v>
      </c>
      <c r="V176" s="189" t="str">
        <f>IF(OR('CASE DATA'!E177="123.46",'CASE DATA'!E177="123.47"),"YES","NO")</f>
        <v>NO</v>
      </c>
      <c r="W176" s="189"/>
      <c r="X176" s="185" t="str">
        <f>IF(V176="YES",IF(C176+730.5&lt;'BASIC INFO'!$B$3, "YES","NO"), "N/A")</f>
        <v>N/A</v>
      </c>
      <c r="Y176" s="189" t="str">
        <f t="shared" si="3"/>
        <v>NO</v>
      </c>
      <c r="Z176" s="187" t="str">
        <f xml:space="preserve"> IF('BASIC INFO'!$B$6+6574.5&gt;C176, "YES", "NO")</f>
        <v>YES</v>
      </c>
    </row>
    <row r="177" spans="1:26" x14ac:dyDescent="0.25">
      <c r="A177" s="162">
        <f xml:space="preserve"> 'CASE DATA'!A178</f>
        <v>0</v>
      </c>
      <c r="B177" s="162">
        <f xml:space="preserve"> 'CASE DATA'!E178</f>
        <v>0</v>
      </c>
      <c r="C177" s="163">
        <f xml:space="preserve"> 'CASE DATA'!C178</f>
        <v>0</v>
      </c>
      <c r="D177" s="11" t="str">
        <f xml:space="preserve"> IF(OR('CASE DATA'!F178="JUV", 'CASE DATA'!F178="JWV"), "YES", "NO")</f>
        <v>NO</v>
      </c>
      <c r="E177" s="11"/>
      <c r="F177" s="11" t="str">
        <f>IF(D177="YES",IF(COUNTIF('CASE DATA'!$C$4:$C$200, "")-COUNTIF('CASE DATA'!$A$4:$A$200, "")&gt;0, "YES","NO"),"N/A")</f>
        <v>N/A</v>
      </c>
      <c r="G177" s="164" t="str">
        <f xml:space="preserve"> _xlfn.IFS(D177="NO", "N/A", AND('BASIC INFO'!$B$3&gt;'BASIC INFO'!$B$6+6574.5, C177+730.5&lt;'BASIC INFO'!$B$3), "YES", 'BASIC INFO'!$B$3&lt;('BASIC INFO'!$B$6+6574.5), "NOT YET 18", C177+730.5&gt;'BASIC INFO'!$B$3, "NOT YET 2 YEARS")</f>
        <v>N/A</v>
      </c>
      <c r="H177" s="186" t="str">
        <f xml:space="preserve"> IF(LEFT('CASE DATA'!E178,4)&lt;&gt;"321.",IF(OR('CASE DATA'!F178="DISM", 'CASE DATA'!F178="ACQ", 'CASE DATA'!F178="NOTF", 'CASE DATA'!F178="WTHD", 'CASE DATA'!F178="TNSF"), "YES", "NO"), "TRAFFIC")</f>
        <v>NO</v>
      </c>
      <c r="I177" s="185" t="str">
        <f xml:space="preserve"> IF(H177="YES",'CASE DATA'!K178,"N/A")</f>
        <v>N/A</v>
      </c>
      <c r="J177" s="185" t="str">
        <f>IF(H177="YES",'CASE DATA'!I178+'CASE DATA'!J178+'CASE DATA'!L178+'CASE DATA'!M178+'CASE DATA'!N178+'CASE DATA'!O178+'CASE DATA'!P178+'CASE DATA'!Q178+'CASE DATA'!R178,"N/A")</f>
        <v>N/A</v>
      </c>
      <c r="K177" s="162" t="str">
        <f xml:space="preserve"> IF(H177="YES",IF(C177+180&lt;'BASIC INFO'!$B$3, "YES", "NO"),"N/A")</f>
        <v>N/A</v>
      </c>
      <c r="L177" s="185" t="str">
        <f>IF(OR('CASE DATA'!F178="GTR", 'CASE DATA'!F178="GPL"),IF(OR('CASE DATA'!E178="81.6(2)", 'CASE DATA'!E178="99F.15(6)(b)(1)", 'CASE DATA'!E178= "124.401(1)(a)", 'CASE DATA'!E178= "124.401(1)(b)", 'CASE DATA'!E178= "124.401(1)(c)", 'CASE DATA'!E178= "124.401(1)(d)", 'CASE DATA'!E178="124.401(4)", 'CASE DATA'!E178="124.401(1)(b)", 'CASE DATA'!E178="124.401(1)(c)", 'CASE DATA'!E178="124.401D(2)(b)", 'CASE DATA'!E178="124.401D(2)(c)", 'CASE DATA'!E178="124.406(1)(a)", 'CASE DATA'!E178="124.406(1)(b) ", 'CASE DATA'!E178="124.406(2)(a)", 'CASE DATA'!E178="124.406(2)(b) ", 'CASE DATA'!E178="124.406(3)", 'CASE DATA'!E178="124.406A ", 'CASE DATA'!E178="124.407(2)(a)", 'CASE DATA'!E178="124B.9(1)", 'CASE DATA'!E178="124B.9(2)", 'CASE DATA'!E178="321J.2(2)(c)", 'CASE DATA'!E178="453B.12(2)", 'CASE DATA'!E178="453B.12(3)", 'CASE DATA'!E178="453B.12(4)", 'CASE DATA'!E178="462A.14(2)(c)", 'CASE DATA'!E178="462A.14(2)(d)", 'CASE DATA'!E178="462A.14(2)(e)", 'CASE DATA'!E178="705.1(2)", 'CASE DATA'!E178="706.3(1)", 'CASE DATA'!E178="706.3(2)", 'CASE DATA'!E178="706A.2(1)", 'CASE DATA'!E178="706A.2(2)", 'CASE DATA'!E178="706A.2(4)", 'CASE DATA'!E178="706B.2(1)(a)", 'CASE DATA'!E178="706B.2(1)(b)", 'CASE DATA'!E178="706B.2(1)(c)", 'CASE DATA'!E178="706B.2(1)(d)", 'CASE DATA'!E178="707.2", 'CASE DATA'!E178="707.3", 'CASE DATA'!E178="707.3A", 'CASE DATA'!E178="707.4", 'CASE DATA'!E178="707.5(1)(a)", 'CASE DATA'!E178="707.6A(1)", 'CASE DATA'!E178="707.6A(2)", 'CASE DATA'!E178="707.6A(3)", 'CASE DATA'!E178="707.6A(4)", 'CASE DATA'!E178="707.7(1)", 'CASE DATA'!E178="707.7(3)", 'CASE DATA'!E178="707.7(2)", 'CASE DATA'!E178="707.8(1)", 'CASE DATA'!E178="707.8(2)", 'CASE DATA'!E178="707.8(3)", 'CASE DATA'!E178="707.8(4)", 'CASE DATA'!E178="707.8(5)", 'CASE DATA'!E178="707.8(6)", 'CASE DATA'!E178="707.9", 'CASE DATA'!E178="707.11", 'CASE DATA'!E178="707A.2", 'CASE DATA'!E178="708.2(4)", 'CASE DATA'!E178="708.2(5)", 'CASE DATA'!E178="708.2A(4)", 'CASE DATA'!E178="708.2A(5)", 'CASE DATA'!E178="708.2C(2)", 'CASE DATA'!E178="708.2C(4)", 'CASE DATA'!E178="708.3(1)", 'CASE DATA'!E178="708.3(2)", 'CASE DATA'!E178="708.3A(1)", 'CASE DATA'!E178="708.3A(2)", 'CASE DATA'!E178="708.3B", 'CASE DATA'!E178="708.4(1)", 'CASE DATA'!E178="708.4(2)", 'CASE DATA'!E178="708.5", 'CASE DATA'!E178="708.8", 'CASE DATA'!E178="708.11(3)(a)", 'CASE DATA'!E178="708.11(3)(b)", 'CASE DATA'!E178="708.12(3)(f)", 'CASE DATA'!E178="708.13(3)", 'CASE DATA'!E178="708.14", 'CASE DATA'!E178="708A.2", 'CASE DATA'!E178="708A.4(1)", 'CASE DATA'!E178="708A.4(2)", 'CASE DATA'!E178="708A.5", 'CASE DATA'!E178="708A.6(1)", 'CASE DATA'!E178="708.A.6(2)", 'CASE DATA'!E178="709.2", 'CASE DATA'!E178="709.3", 'CASE DATA'!E178="709.4", 'CASE DATA'!E178="709.8(1)(a)", 'CASE DATA'!E178="709.8(1)(b)", 'CASE DATA'!E178="709.8(1)(c)", 'CASE DATA'!E178="709.8(1)(d)", 'CASE DATA'!E178="709.8(1)(e)", 'CASE DATA'!E178="709.11(1)", 'CASE DATA'!E178="709.11(2)", 'CASE DATA'!E178="709.15(2)(a)(1)", 'CASE DATA'!E178="709.15(3)(a)(1)", 'CASE DATA'!E178="709.18", 'CASE DATA'!E178="709A.6(2)", 'CASE DATA'!E178="709D.3(1)", 'CASE DATA'!E178="709D.3(2)", 'CASE DATA'!E178="709.D.3(3)", 'CASE DATA'!E178="710.2", 'CASE DATA'!E178="710.3", 'CASE DATA'!E178="710.4", 'CASE DATA'!E178="710.5", 'CASE DATA'!E178="710.10(1)", 'CASE DATA'!E178="710.10(2)", 'CASE DATA'!E178="710.10(3)", 'CASE DATA'!E178="710.11", 'CASE DATA'!E178="710A.2(1)", 'CASE DATA'!E178="710A.2(2)", 'CASE DATA'!E178="710A.2(3)", 'CASE DATA'!E178="710A.2(4)", 'CASE DATA'!E178="710A.2(5)", 'CASE DATA'!E178="710A.2(6)", 'CASE DATA'!E178="710A.2(7)", 'CASE DATA'!E178="710A.2A", 'CASE DATA'!E178="711.2", 'CASE DATA'!E178="711.3", 'CASE DATA'!E178="711.4", 'CASE DATA'!E178="712.2", 'CASE DATA'!E178="712.3", 'CASE DATA'!E178="712.6(1)", 'CASE DATA'!E178="712.7", 'CASE DATA'!E178="712.8", 'CASE DATA'!E178="", 'CASE DATA'!E178="713.3", 'CASE DATA'!E178="713.4", 'CASE DATA'!E178="713.5", 'CASE DATA'!E178="713.6", 'CASE DATA'!E178="713.6A(1)", 'CASE DATA'!E178="714.2(1)", 'CASE DATA'!E178="714.2(2)", 'CASE DATA'!E178="714.3A(2)(b)", 'CASE DATA'!E178="714.9", 'CASE DATA'!E178="714.10", 'CASE DATA'!E178="714.26(2)(a)", 'CASE DATA'!E178="714.26(2)(b)", 'CASE DATA'!E178="715A.2(2)(a)", 'CASE DATA'!E178="715A.6(2)(a)", 'CASE DATA'!E178="715A.6(2)(b)", 'CASE DATA'!E178="715A.8(3)(a)", 'CASE DATA'!E178="715A.8(3)(b)", 'CASE DATA'!E178="715A.10(1)", 'CASE DATA'!E178="715A.10(2)", 'CASE DATA'!E178="716.3", 'CASE DATA'!E178="716.4", 'CASE DATA'!E178="716.8(6)", 'CASE DATA'!E178="716.10(2)(a)", 'CASE DATA'!E178="716.10(2)(b)", 'CASE DATA'!E178="716.10(2)(c)", 'CASE DATA'!E178="716.10(2)(d)", 'CASE DATA'!E178="716.12", 'CASE DATA'!E178="719.1(1)(f)", 'CASE DATA'!E178="719.1(2)(e)", 'CASE DATA'!E178="719.1(2)(f)", 'CASE DATA'!E178="719.1(2)(g)", 'CASE DATA'!E178="719.4(1)", 'CASE DATA'!E178="719.4(4)", 'CASE DATA'!E178="719.5(1)", 'CASE DATA'!E178="719.5(2)", 'CASE DATA'!E178="719.6(1)", 'CASE DATA'!E178="719.6(2)", 'CASE DATA'!E178="719.7(4)(a)", 'CASE DATA'!E178="719.7(4)(b)", 'CASE DATA'!E178="719.7A(3)", 'CASE DATA'!E178="719.9", 'CASE DATA'!E178="719.8", 'CASE DATA'!E178="720.2", 'CASE DATA'!E178="720.3", 'CASE DATA'!E178="721.1", 'CASE DATA'!E178="722.1", 'CASE DATA'!E178="", 'CASE DATA'!E178="722.2", 'CASE DATA'!E178="722.10", 'CASE DATA'!E178="723(5)(3)(c)", 'CASE DATA'!E178="723A.2", 'CASE DATA'!E178="723A.3(1)", 'CASE DATA'!E178="723A.3(2)", 'CASE DATA'!E178="724.1B", 'CASE DATA'!E178="724.1C", 'CASE DATA'!E178="724.3", 'CASE DATA'!E178="724.4B", 'CASE DATA'!E178="724.10", 'CASE DATA'!E178="724.16(2)", 'CASE DATA'!E178="724.16A(1)(a)", 'CASE DATA'!E178="724.16A(1)(b)", 'CASE DATA'!E178="724.17", 'CASE DATA'!E178="724.21", 'CASE DATA'!E178="724.26(1)", 'CASE DATA'!E178="922(g)(8)", 'CASE DATA'!E178="724.29A(2)", 'CASE DATA'!E178="724.29A(3)", 'CASE DATA'!E178="724.30(1)", 'CASE DATA'!E178="724.30(2)", 'CASE DATA'!E178="725.1(2)(b)", 'CASE DATA'!E178="725.2(1)", 'CASE DATA'!E178="725.2(2)", 'CASE DATA'!E178="725.3(2)", 'CASE DATA'!E178="725.3(1)", 'CASE DATA'!E178="725.7(2)(a)(3)", 'CASE DATA'!E178="725.7(2)(a)(4)", 'CASE DATA'!E178="725.7(2)(b)(2)", 'CASE DATA'!E178="725.7(2)(b(3)", 'CASE DATA'!E178="726.7(2)(c)(1)", 'CASE DATA'!E178="726.7(2)(c)(2)", 'CASE DATA'!E178="725.7(2)(d)", 'CASE DATA'!E178="726.2", 'CASE DATA'!E178="726.3", 'CASE DATA'!E178="726.5", 'CASE DATA'!E178="726.6(4)", 'CASE DATA'!E178="726.6(5)", 'CASE DATA'!E178="726.6(6)", 'CASE DATA'!E178="726.6A", 'CASE DATA'!E178="726.7(2)", 'CASE DATA'!E178="726.8(2)", 'CASE DATA'!E178="728.12(1)", 'CASE DATA'!E178="728.12(2)"),"felony","eligible"),"N/A")</f>
        <v>N/A</v>
      </c>
      <c r="M177" s="185" t="str">
        <f>IF(L177="eligible",IF(OR('CASE DATA'!E178="123.46",'CASE DATA'!E178="123.47",'CASE DATA'!E178="235B.20",'CASE DATA'!E178="321.218",'CASE DATA'!E178="321A.32",'CASE DATA'!E178="321J.21",'CASE DATA'!E178="321J.2",'CASE DATA'!E178="707.5",'CASE DATA'!E178="708.2(3)",'CASE DATA'!E178="708.2A",'CASE DATA'!E178="708.7",'CASE DATA'!E178="708.11",'CASE DATA'!E178="708.12",'CASE DATA'!E178="716.8(3)",'CASE DATA'!E178="716.8(4)", LEFT('CASE DATA'!E178,4)="717C", LEFT('CASE DATA'!E178, 3)="719", LEFT('CASE DATA'!E178,3)="720", 'CASE DATA'!E178="721.2", 'CASE DATA'!E178="721.10", 'CASE DATA'!E178="723.1", LEFT('CASE DATA'!E178,3)="724", LEFT('CASE DATA'!E178,3)="726", LEFT('CASE DATA'!E178,3)="728", LEFT('CASE DATA'!E178,4)="901A"),"ineligible misd", "eligible"),"N/A")</f>
        <v>N/A</v>
      </c>
      <c r="N177" s="185" t="str">
        <f>IF(L177="eligible",IF(COUNTIF('CASE DATA'!$C$4:$C$200, "")-COUNTIF('CASE DATA'!$A$4:$A$200, "")&gt;0, "YES","NO"),"N/A")</f>
        <v>N/A</v>
      </c>
      <c r="O177" s="185" t="str">
        <f xml:space="preserve"> IF(M177="eligible",'CASE DATA'!K178,"N/A")</f>
        <v>N/A</v>
      </c>
      <c r="P177" s="185" t="str">
        <f xml:space="preserve"> IF(M177="eligible",'CASE DATA'!I178+'CASE DATA'!J178+'CASE DATA'!L178+'CASE DATA'!M178+'CASE DATA'!N178+'CASE DATA'!O178+'CASE DATA'!M178+'CASE DATA'!Q178+'CASE DATA'!R178,"N/A")</f>
        <v>N/A</v>
      </c>
      <c r="Q177" s="11" t="str">
        <f>IF(M177="eligible",IF(C177+730.5&lt;'BASIC INFO'!$B$3, "YES", "NO"),"N/A")</f>
        <v>N/A</v>
      </c>
      <c r="R177" s="186" t="str">
        <f xml:space="preserve"> IF(OR('CASE DATA'!F178="DEF"), "YES", "NO")</f>
        <v>NO</v>
      </c>
      <c r="S177" s="162" t="str">
        <f>IF(R177="YES",'CASE DATA'!H178,"N/A")</f>
        <v>N/A</v>
      </c>
      <c r="T177" s="185" t="str">
        <f xml:space="preserve"> IF(R177="YES",'CASE DATA'!K178,"N/A")</f>
        <v>N/A</v>
      </c>
      <c r="U177" s="185" t="str">
        <f>IF(R177="YES",'CASE DATA'!I178+'CASE DATA'!J178+'CASE DATA'!L178+'CASE DATA'!M178+'CASE DATA'!N178+'CASE DATA'!O178+'CASE DATA'!P178+'CASE DATA'!Q178+'CASE DATA'!R178,"N/A")</f>
        <v>N/A</v>
      </c>
      <c r="V177" s="189" t="str">
        <f>IF(OR('CASE DATA'!E178="123.46",'CASE DATA'!E178="123.47"),"YES","NO")</f>
        <v>NO</v>
      </c>
      <c r="W177" s="189"/>
      <c r="X177" s="185" t="str">
        <f>IF(V177="YES",IF(C177+730.5&lt;'BASIC INFO'!$B$3, "YES","NO"), "N/A")</f>
        <v>N/A</v>
      </c>
      <c r="Y177" s="189" t="str">
        <f t="shared" si="3"/>
        <v>NO</v>
      </c>
      <c r="Z177" s="187" t="str">
        <f xml:space="preserve"> IF('BASIC INFO'!$B$6+6574.5&gt;C177, "YES", "NO")</f>
        <v>YES</v>
      </c>
    </row>
    <row r="178" spans="1:26" x14ac:dyDescent="0.25">
      <c r="A178" s="162">
        <f xml:space="preserve"> 'CASE DATA'!A179</f>
        <v>0</v>
      </c>
      <c r="B178" s="162">
        <f xml:space="preserve"> 'CASE DATA'!E179</f>
        <v>0</v>
      </c>
      <c r="C178" s="163">
        <f xml:space="preserve"> 'CASE DATA'!C179</f>
        <v>0</v>
      </c>
      <c r="D178" s="11" t="str">
        <f xml:space="preserve"> IF(OR('CASE DATA'!F179="JUV", 'CASE DATA'!F179="JWV"), "YES", "NO")</f>
        <v>NO</v>
      </c>
      <c r="E178" s="11"/>
      <c r="F178" s="11" t="str">
        <f>IF(D178="YES",IF(COUNTIF('CASE DATA'!$C$4:$C$200, "")-COUNTIF('CASE DATA'!$A$4:$A$200, "")&gt;0, "YES","NO"),"N/A")</f>
        <v>N/A</v>
      </c>
      <c r="G178" s="164" t="str">
        <f xml:space="preserve"> _xlfn.IFS(D178="NO", "N/A", AND('BASIC INFO'!$B$3&gt;'BASIC INFO'!$B$6+6574.5, C178+730.5&lt;'BASIC INFO'!$B$3), "YES", 'BASIC INFO'!$B$3&lt;('BASIC INFO'!$B$6+6574.5), "NOT YET 18", C178+730.5&gt;'BASIC INFO'!$B$3, "NOT YET 2 YEARS")</f>
        <v>N/A</v>
      </c>
      <c r="H178" s="186" t="str">
        <f xml:space="preserve"> IF(LEFT('CASE DATA'!E179,4)&lt;&gt;"321.",IF(OR('CASE DATA'!F179="DISM", 'CASE DATA'!F179="ACQ", 'CASE DATA'!F179="NOTF", 'CASE DATA'!F179="WTHD", 'CASE DATA'!F179="TNSF"), "YES", "NO"), "TRAFFIC")</f>
        <v>NO</v>
      </c>
      <c r="I178" s="185" t="str">
        <f xml:space="preserve"> IF(H178="YES",'CASE DATA'!K179,"N/A")</f>
        <v>N/A</v>
      </c>
      <c r="J178" s="185" t="str">
        <f>IF(H178="YES",'CASE DATA'!I179+'CASE DATA'!J179+'CASE DATA'!L179+'CASE DATA'!M179+'CASE DATA'!N179+'CASE DATA'!O179+'CASE DATA'!P179+'CASE DATA'!Q179+'CASE DATA'!R179,"N/A")</f>
        <v>N/A</v>
      </c>
      <c r="K178" s="162" t="str">
        <f xml:space="preserve"> IF(H178="YES",IF(C178+180&lt;'BASIC INFO'!$B$3, "YES", "NO"),"N/A")</f>
        <v>N/A</v>
      </c>
      <c r="L178" s="185" t="str">
        <f>IF(OR('CASE DATA'!F179="GTR", 'CASE DATA'!F179="GPL"),IF(OR('CASE DATA'!E179="81.6(2)", 'CASE DATA'!E179="99F.15(6)(b)(1)", 'CASE DATA'!E179= "124.401(1)(a)", 'CASE DATA'!E179= "124.401(1)(b)", 'CASE DATA'!E179= "124.401(1)(c)", 'CASE DATA'!E179= "124.401(1)(d)", 'CASE DATA'!E179="124.401(4)", 'CASE DATA'!E179="124.401(1)(b)", 'CASE DATA'!E179="124.401(1)(c)", 'CASE DATA'!E179="124.401D(2)(b)", 'CASE DATA'!E179="124.401D(2)(c)", 'CASE DATA'!E179="124.406(1)(a)", 'CASE DATA'!E179="124.406(1)(b) ", 'CASE DATA'!E179="124.406(2)(a)", 'CASE DATA'!E179="124.406(2)(b) ", 'CASE DATA'!E179="124.406(3)", 'CASE DATA'!E179="124.406A ", 'CASE DATA'!E179="124.407(2)(a)", 'CASE DATA'!E179="124B.9(1)", 'CASE DATA'!E179="124B.9(2)", 'CASE DATA'!E179="321J.2(2)(c)", 'CASE DATA'!E179="453B.12(2)", 'CASE DATA'!E179="453B.12(3)", 'CASE DATA'!E179="453B.12(4)", 'CASE DATA'!E179="462A.14(2)(c)", 'CASE DATA'!E179="462A.14(2)(d)", 'CASE DATA'!E179="462A.14(2)(e)", 'CASE DATA'!E179="705.1(2)", 'CASE DATA'!E179="706.3(1)", 'CASE DATA'!E179="706.3(2)", 'CASE DATA'!E179="706A.2(1)", 'CASE DATA'!E179="706A.2(2)", 'CASE DATA'!E179="706A.2(4)", 'CASE DATA'!E179="706B.2(1)(a)", 'CASE DATA'!E179="706B.2(1)(b)", 'CASE DATA'!E179="706B.2(1)(c)", 'CASE DATA'!E179="706B.2(1)(d)", 'CASE DATA'!E179="707.2", 'CASE DATA'!E179="707.3", 'CASE DATA'!E179="707.3A", 'CASE DATA'!E179="707.4", 'CASE DATA'!E179="707.5(1)(a)", 'CASE DATA'!E179="707.6A(1)", 'CASE DATA'!E179="707.6A(2)", 'CASE DATA'!E179="707.6A(3)", 'CASE DATA'!E179="707.6A(4)", 'CASE DATA'!E179="707.7(1)", 'CASE DATA'!E179="707.7(3)", 'CASE DATA'!E179="707.7(2)", 'CASE DATA'!E179="707.8(1)", 'CASE DATA'!E179="707.8(2)", 'CASE DATA'!E179="707.8(3)", 'CASE DATA'!E179="707.8(4)", 'CASE DATA'!E179="707.8(5)", 'CASE DATA'!E179="707.8(6)", 'CASE DATA'!E179="707.9", 'CASE DATA'!E179="707.11", 'CASE DATA'!E179="707A.2", 'CASE DATA'!E179="708.2(4)", 'CASE DATA'!E179="708.2(5)", 'CASE DATA'!E179="708.2A(4)", 'CASE DATA'!E179="708.2A(5)", 'CASE DATA'!E179="708.2C(2)", 'CASE DATA'!E179="708.2C(4)", 'CASE DATA'!E179="708.3(1)", 'CASE DATA'!E179="708.3(2)", 'CASE DATA'!E179="708.3A(1)", 'CASE DATA'!E179="708.3A(2)", 'CASE DATA'!E179="708.3B", 'CASE DATA'!E179="708.4(1)", 'CASE DATA'!E179="708.4(2)", 'CASE DATA'!E179="708.5", 'CASE DATA'!E179="708.8", 'CASE DATA'!E179="708.11(3)(a)", 'CASE DATA'!E179="708.11(3)(b)", 'CASE DATA'!E179="708.12(3)(f)", 'CASE DATA'!E179="708.13(3)", 'CASE DATA'!E179="708.14", 'CASE DATA'!E179="708A.2", 'CASE DATA'!E179="708A.4(1)", 'CASE DATA'!E179="708A.4(2)", 'CASE DATA'!E179="708A.5", 'CASE DATA'!E179="708A.6(1)", 'CASE DATA'!E179="708.A.6(2)", 'CASE DATA'!E179="709.2", 'CASE DATA'!E179="709.3", 'CASE DATA'!E179="709.4", 'CASE DATA'!E179="709.8(1)(a)", 'CASE DATA'!E179="709.8(1)(b)", 'CASE DATA'!E179="709.8(1)(c)", 'CASE DATA'!E179="709.8(1)(d)", 'CASE DATA'!E179="709.8(1)(e)", 'CASE DATA'!E179="709.11(1)", 'CASE DATA'!E179="709.11(2)", 'CASE DATA'!E179="709.15(2)(a)(1)", 'CASE DATA'!E179="709.15(3)(a)(1)", 'CASE DATA'!E179="709.18", 'CASE DATA'!E179="709A.6(2)", 'CASE DATA'!E179="709D.3(1)", 'CASE DATA'!E179="709D.3(2)", 'CASE DATA'!E179="709.D.3(3)", 'CASE DATA'!E179="710.2", 'CASE DATA'!E179="710.3", 'CASE DATA'!E179="710.4", 'CASE DATA'!E179="710.5", 'CASE DATA'!E179="710.10(1)", 'CASE DATA'!E179="710.10(2)", 'CASE DATA'!E179="710.10(3)", 'CASE DATA'!E179="710.11", 'CASE DATA'!E179="710A.2(1)", 'CASE DATA'!E179="710A.2(2)", 'CASE DATA'!E179="710A.2(3)", 'CASE DATA'!E179="710A.2(4)", 'CASE DATA'!E179="710A.2(5)", 'CASE DATA'!E179="710A.2(6)", 'CASE DATA'!E179="710A.2(7)", 'CASE DATA'!E179="710A.2A", 'CASE DATA'!E179="711.2", 'CASE DATA'!E179="711.3", 'CASE DATA'!E179="711.4", 'CASE DATA'!E179="712.2", 'CASE DATA'!E179="712.3", 'CASE DATA'!E179="712.6(1)", 'CASE DATA'!E179="712.7", 'CASE DATA'!E179="712.8", 'CASE DATA'!E179="", 'CASE DATA'!E179="713.3", 'CASE DATA'!E179="713.4", 'CASE DATA'!E179="713.5", 'CASE DATA'!E179="713.6", 'CASE DATA'!E179="713.6A(1)", 'CASE DATA'!E179="714.2(1)", 'CASE DATA'!E179="714.2(2)", 'CASE DATA'!E179="714.3A(2)(b)", 'CASE DATA'!E179="714.9", 'CASE DATA'!E179="714.10", 'CASE DATA'!E179="714.26(2)(a)", 'CASE DATA'!E179="714.26(2)(b)", 'CASE DATA'!E179="715A.2(2)(a)", 'CASE DATA'!E179="715A.6(2)(a)", 'CASE DATA'!E179="715A.6(2)(b)", 'CASE DATA'!E179="715A.8(3)(a)", 'CASE DATA'!E179="715A.8(3)(b)", 'CASE DATA'!E179="715A.10(1)", 'CASE DATA'!E179="715A.10(2)", 'CASE DATA'!E179="716.3", 'CASE DATA'!E179="716.4", 'CASE DATA'!E179="716.8(6)", 'CASE DATA'!E179="716.10(2)(a)", 'CASE DATA'!E179="716.10(2)(b)", 'CASE DATA'!E179="716.10(2)(c)", 'CASE DATA'!E179="716.10(2)(d)", 'CASE DATA'!E179="716.12", 'CASE DATA'!E179="719.1(1)(f)", 'CASE DATA'!E179="719.1(2)(e)", 'CASE DATA'!E179="719.1(2)(f)", 'CASE DATA'!E179="719.1(2)(g)", 'CASE DATA'!E179="719.4(1)", 'CASE DATA'!E179="719.4(4)", 'CASE DATA'!E179="719.5(1)", 'CASE DATA'!E179="719.5(2)", 'CASE DATA'!E179="719.6(1)", 'CASE DATA'!E179="719.6(2)", 'CASE DATA'!E179="719.7(4)(a)", 'CASE DATA'!E179="719.7(4)(b)", 'CASE DATA'!E179="719.7A(3)", 'CASE DATA'!E179="719.9", 'CASE DATA'!E179="719.8", 'CASE DATA'!E179="720.2", 'CASE DATA'!E179="720.3", 'CASE DATA'!E179="721.1", 'CASE DATA'!E179="722.1", 'CASE DATA'!E179="", 'CASE DATA'!E179="722.2", 'CASE DATA'!E179="722.10", 'CASE DATA'!E179="723(5)(3)(c)", 'CASE DATA'!E179="723A.2", 'CASE DATA'!E179="723A.3(1)", 'CASE DATA'!E179="723A.3(2)", 'CASE DATA'!E179="724.1B", 'CASE DATA'!E179="724.1C", 'CASE DATA'!E179="724.3", 'CASE DATA'!E179="724.4B", 'CASE DATA'!E179="724.10", 'CASE DATA'!E179="724.16(2)", 'CASE DATA'!E179="724.16A(1)(a)", 'CASE DATA'!E179="724.16A(1)(b)", 'CASE DATA'!E179="724.17", 'CASE DATA'!E179="724.21", 'CASE DATA'!E179="724.26(1)", 'CASE DATA'!E179="922(g)(8)", 'CASE DATA'!E179="724.29A(2)", 'CASE DATA'!E179="724.29A(3)", 'CASE DATA'!E179="724.30(1)", 'CASE DATA'!E179="724.30(2)", 'CASE DATA'!E179="725.1(2)(b)", 'CASE DATA'!E179="725.2(1)", 'CASE DATA'!E179="725.2(2)", 'CASE DATA'!E179="725.3(2)", 'CASE DATA'!E179="725.3(1)", 'CASE DATA'!E179="725.7(2)(a)(3)", 'CASE DATA'!E179="725.7(2)(a)(4)", 'CASE DATA'!E179="725.7(2)(b)(2)", 'CASE DATA'!E179="725.7(2)(b(3)", 'CASE DATA'!E179="726.7(2)(c)(1)", 'CASE DATA'!E179="726.7(2)(c)(2)", 'CASE DATA'!E179="725.7(2)(d)", 'CASE DATA'!E179="726.2", 'CASE DATA'!E179="726.3", 'CASE DATA'!E179="726.5", 'CASE DATA'!E179="726.6(4)", 'CASE DATA'!E179="726.6(5)", 'CASE DATA'!E179="726.6(6)", 'CASE DATA'!E179="726.6A", 'CASE DATA'!E179="726.7(2)", 'CASE DATA'!E179="726.8(2)", 'CASE DATA'!E179="728.12(1)", 'CASE DATA'!E179="728.12(2)"),"felony","eligible"),"N/A")</f>
        <v>N/A</v>
      </c>
      <c r="M178" s="185" t="str">
        <f>IF(L178="eligible",IF(OR('CASE DATA'!E179="123.46",'CASE DATA'!E179="123.47",'CASE DATA'!E179="235B.20",'CASE DATA'!E179="321.218",'CASE DATA'!E179="321A.32",'CASE DATA'!E179="321J.21",'CASE DATA'!E179="321J.2",'CASE DATA'!E179="707.5",'CASE DATA'!E179="708.2(3)",'CASE DATA'!E179="708.2A",'CASE DATA'!E179="708.7",'CASE DATA'!E179="708.11",'CASE DATA'!E179="708.12",'CASE DATA'!E179="716.8(3)",'CASE DATA'!E179="716.8(4)", LEFT('CASE DATA'!E179,4)="717C", LEFT('CASE DATA'!E179, 3)="719", LEFT('CASE DATA'!E179,3)="720", 'CASE DATA'!E179="721.2", 'CASE DATA'!E179="721.10", 'CASE DATA'!E179="723.1", LEFT('CASE DATA'!E179,3)="724", LEFT('CASE DATA'!E179,3)="726", LEFT('CASE DATA'!E179,3)="728", LEFT('CASE DATA'!E179,4)="901A"),"ineligible misd", "eligible"),"N/A")</f>
        <v>N/A</v>
      </c>
      <c r="N178" s="185" t="str">
        <f>IF(L178="eligible",IF(COUNTIF('CASE DATA'!$C$4:$C$200, "")-COUNTIF('CASE DATA'!$A$4:$A$200, "")&gt;0, "YES","NO"),"N/A")</f>
        <v>N/A</v>
      </c>
      <c r="O178" s="185" t="str">
        <f xml:space="preserve"> IF(M178="eligible",'CASE DATA'!K179,"N/A")</f>
        <v>N/A</v>
      </c>
      <c r="P178" s="185" t="str">
        <f xml:space="preserve"> IF(M178="eligible",'CASE DATA'!I179+'CASE DATA'!J179+'CASE DATA'!L179+'CASE DATA'!M179+'CASE DATA'!N179+'CASE DATA'!O179+'CASE DATA'!M179+'CASE DATA'!Q179+'CASE DATA'!R179,"N/A")</f>
        <v>N/A</v>
      </c>
      <c r="Q178" s="11" t="str">
        <f>IF(M178="eligible",IF(C178+730.5&lt;'BASIC INFO'!$B$3, "YES", "NO"),"N/A")</f>
        <v>N/A</v>
      </c>
      <c r="R178" s="186" t="str">
        <f xml:space="preserve"> IF(OR('CASE DATA'!F179="DEF"), "YES", "NO")</f>
        <v>NO</v>
      </c>
      <c r="S178" s="162" t="str">
        <f>IF(R178="YES",'CASE DATA'!H179,"N/A")</f>
        <v>N/A</v>
      </c>
      <c r="T178" s="185" t="str">
        <f xml:space="preserve"> IF(R178="YES",'CASE DATA'!K179,"N/A")</f>
        <v>N/A</v>
      </c>
      <c r="U178" s="185" t="str">
        <f>IF(R178="YES",'CASE DATA'!I179+'CASE DATA'!J179+'CASE DATA'!L179+'CASE DATA'!M179+'CASE DATA'!N179+'CASE DATA'!O179+'CASE DATA'!P179+'CASE DATA'!Q179+'CASE DATA'!R179,"N/A")</f>
        <v>N/A</v>
      </c>
      <c r="V178" s="189" t="str">
        <f>IF(OR('CASE DATA'!E179="123.46",'CASE DATA'!E179="123.47"),"YES","NO")</f>
        <v>NO</v>
      </c>
      <c r="W178" s="189"/>
      <c r="X178" s="185" t="str">
        <f>IF(V178="YES",IF(C178+730.5&lt;'BASIC INFO'!$B$3, "YES","NO"), "N/A")</f>
        <v>N/A</v>
      </c>
      <c r="Y178" s="189" t="str">
        <f t="shared" si="3"/>
        <v>NO</v>
      </c>
      <c r="Z178" s="187" t="str">
        <f xml:space="preserve"> IF('BASIC INFO'!$B$6+6574.5&gt;C178, "YES", "NO")</f>
        <v>YES</v>
      </c>
    </row>
    <row r="179" spans="1:26" x14ac:dyDescent="0.25">
      <c r="A179" s="162">
        <f xml:space="preserve"> 'CASE DATA'!A180</f>
        <v>0</v>
      </c>
      <c r="B179" s="162">
        <f xml:space="preserve"> 'CASE DATA'!E180</f>
        <v>0</v>
      </c>
      <c r="C179" s="163">
        <f xml:space="preserve"> 'CASE DATA'!C180</f>
        <v>0</v>
      </c>
      <c r="D179" s="11" t="str">
        <f xml:space="preserve"> IF(OR('CASE DATA'!F180="JUV", 'CASE DATA'!F180="JWV"), "YES", "NO")</f>
        <v>NO</v>
      </c>
      <c r="E179" s="11"/>
      <c r="F179" s="11" t="str">
        <f>IF(D179="YES",IF(COUNTIF('CASE DATA'!$C$4:$C$200, "")-COUNTIF('CASE DATA'!$A$4:$A$200, "")&gt;0, "YES","NO"),"N/A")</f>
        <v>N/A</v>
      </c>
      <c r="G179" s="164" t="str">
        <f xml:space="preserve"> _xlfn.IFS(D179="NO", "N/A", AND('BASIC INFO'!$B$3&gt;'BASIC INFO'!$B$6+6574.5, C179+730.5&lt;'BASIC INFO'!$B$3), "YES", 'BASIC INFO'!$B$3&lt;('BASIC INFO'!$B$6+6574.5), "NOT YET 18", C179+730.5&gt;'BASIC INFO'!$B$3, "NOT YET 2 YEARS")</f>
        <v>N/A</v>
      </c>
      <c r="H179" s="186" t="str">
        <f xml:space="preserve"> IF(LEFT('CASE DATA'!E180,4)&lt;&gt;"321.",IF(OR('CASE DATA'!F180="DISM", 'CASE DATA'!F180="ACQ", 'CASE DATA'!F180="NOTF", 'CASE DATA'!F180="WTHD", 'CASE DATA'!F180="TNSF"), "YES", "NO"), "TRAFFIC")</f>
        <v>NO</v>
      </c>
      <c r="I179" s="185" t="str">
        <f xml:space="preserve"> IF(H179="YES",'CASE DATA'!K180,"N/A")</f>
        <v>N/A</v>
      </c>
      <c r="J179" s="185" t="str">
        <f>IF(H179="YES",'CASE DATA'!I180+'CASE DATA'!J180+'CASE DATA'!L180+'CASE DATA'!M180+'CASE DATA'!N180+'CASE DATA'!O180+'CASE DATA'!P180+'CASE DATA'!Q180+'CASE DATA'!R180,"N/A")</f>
        <v>N/A</v>
      </c>
      <c r="K179" s="162" t="str">
        <f xml:space="preserve"> IF(H179="YES",IF(C179+180&lt;'BASIC INFO'!$B$3, "YES", "NO"),"N/A")</f>
        <v>N/A</v>
      </c>
      <c r="L179" s="185" t="str">
        <f>IF(OR('CASE DATA'!F180="GTR", 'CASE DATA'!F180="GPL"),IF(OR('CASE DATA'!E180="81.6(2)", 'CASE DATA'!E180="99F.15(6)(b)(1)", 'CASE DATA'!E180= "124.401(1)(a)", 'CASE DATA'!E180= "124.401(1)(b)", 'CASE DATA'!E180= "124.401(1)(c)", 'CASE DATA'!E180= "124.401(1)(d)", 'CASE DATA'!E180="124.401(4)", 'CASE DATA'!E180="124.401(1)(b)", 'CASE DATA'!E180="124.401(1)(c)", 'CASE DATA'!E180="124.401D(2)(b)", 'CASE DATA'!E180="124.401D(2)(c)", 'CASE DATA'!E180="124.406(1)(a)", 'CASE DATA'!E180="124.406(1)(b) ", 'CASE DATA'!E180="124.406(2)(a)", 'CASE DATA'!E180="124.406(2)(b) ", 'CASE DATA'!E180="124.406(3)", 'CASE DATA'!E180="124.406A ", 'CASE DATA'!E180="124.407(2)(a)", 'CASE DATA'!E180="124B.9(1)", 'CASE DATA'!E180="124B.9(2)", 'CASE DATA'!E180="321J.2(2)(c)", 'CASE DATA'!E180="453B.12(2)", 'CASE DATA'!E180="453B.12(3)", 'CASE DATA'!E180="453B.12(4)", 'CASE DATA'!E180="462A.14(2)(c)", 'CASE DATA'!E180="462A.14(2)(d)", 'CASE DATA'!E180="462A.14(2)(e)", 'CASE DATA'!E180="705.1(2)", 'CASE DATA'!E180="706.3(1)", 'CASE DATA'!E180="706.3(2)", 'CASE DATA'!E180="706A.2(1)", 'CASE DATA'!E180="706A.2(2)", 'CASE DATA'!E180="706A.2(4)", 'CASE DATA'!E180="706B.2(1)(a)", 'CASE DATA'!E180="706B.2(1)(b)", 'CASE DATA'!E180="706B.2(1)(c)", 'CASE DATA'!E180="706B.2(1)(d)", 'CASE DATA'!E180="707.2", 'CASE DATA'!E180="707.3", 'CASE DATA'!E180="707.3A", 'CASE DATA'!E180="707.4", 'CASE DATA'!E180="707.5(1)(a)", 'CASE DATA'!E180="707.6A(1)", 'CASE DATA'!E180="707.6A(2)", 'CASE DATA'!E180="707.6A(3)", 'CASE DATA'!E180="707.6A(4)", 'CASE DATA'!E180="707.7(1)", 'CASE DATA'!E180="707.7(3)", 'CASE DATA'!E180="707.7(2)", 'CASE DATA'!E180="707.8(1)", 'CASE DATA'!E180="707.8(2)", 'CASE DATA'!E180="707.8(3)", 'CASE DATA'!E180="707.8(4)", 'CASE DATA'!E180="707.8(5)", 'CASE DATA'!E180="707.8(6)", 'CASE DATA'!E180="707.9", 'CASE DATA'!E180="707.11", 'CASE DATA'!E180="707A.2", 'CASE DATA'!E180="708.2(4)", 'CASE DATA'!E180="708.2(5)", 'CASE DATA'!E180="708.2A(4)", 'CASE DATA'!E180="708.2A(5)", 'CASE DATA'!E180="708.2C(2)", 'CASE DATA'!E180="708.2C(4)", 'CASE DATA'!E180="708.3(1)", 'CASE DATA'!E180="708.3(2)", 'CASE DATA'!E180="708.3A(1)", 'CASE DATA'!E180="708.3A(2)", 'CASE DATA'!E180="708.3B", 'CASE DATA'!E180="708.4(1)", 'CASE DATA'!E180="708.4(2)", 'CASE DATA'!E180="708.5", 'CASE DATA'!E180="708.8", 'CASE DATA'!E180="708.11(3)(a)", 'CASE DATA'!E180="708.11(3)(b)", 'CASE DATA'!E180="708.12(3)(f)", 'CASE DATA'!E180="708.13(3)", 'CASE DATA'!E180="708.14", 'CASE DATA'!E180="708A.2", 'CASE DATA'!E180="708A.4(1)", 'CASE DATA'!E180="708A.4(2)", 'CASE DATA'!E180="708A.5", 'CASE DATA'!E180="708A.6(1)", 'CASE DATA'!E180="708.A.6(2)", 'CASE DATA'!E180="709.2", 'CASE DATA'!E180="709.3", 'CASE DATA'!E180="709.4", 'CASE DATA'!E180="709.8(1)(a)", 'CASE DATA'!E180="709.8(1)(b)", 'CASE DATA'!E180="709.8(1)(c)", 'CASE DATA'!E180="709.8(1)(d)", 'CASE DATA'!E180="709.8(1)(e)", 'CASE DATA'!E180="709.11(1)", 'CASE DATA'!E180="709.11(2)", 'CASE DATA'!E180="709.15(2)(a)(1)", 'CASE DATA'!E180="709.15(3)(a)(1)", 'CASE DATA'!E180="709.18", 'CASE DATA'!E180="709A.6(2)", 'CASE DATA'!E180="709D.3(1)", 'CASE DATA'!E180="709D.3(2)", 'CASE DATA'!E180="709.D.3(3)", 'CASE DATA'!E180="710.2", 'CASE DATA'!E180="710.3", 'CASE DATA'!E180="710.4", 'CASE DATA'!E180="710.5", 'CASE DATA'!E180="710.10(1)", 'CASE DATA'!E180="710.10(2)", 'CASE DATA'!E180="710.10(3)", 'CASE DATA'!E180="710.11", 'CASE DATA'!E180="710A.2(1)", 'CASE DATA'!E180="710A.2(2)", 'CASE DATA'!E180="710A.2(3)", 'CASE DATA'!E180="710A.2(4)", 'CASE DATA'!E180="710A.2(5)", 'CASE DATA'!E180="710A.2(6)", 'CASE DATA'!E180="710A.2(7)", 'CASE DATA'!E180="710A.2A", 'CASE DATA'!E180="711.2", 'CASE DATA'!E180="711.3", 'CASE DATA'!E180="711.4", 'CASE DATA'!E180="712.2", 'CASE DATA'!E180="712.3", 'CASE DATA'!E180="712.6(1)", 'CASE DATA'!E180="712.7", 'CASE DATA'!E180="712.8", 'CASE DATA'!E180="", 'CASE DATA'!E180="713.3", 'CASE DATA'!E180="713.4", 'CASE DATA'!E180="713.5", 'CASE DATA'!E180="713.6", 'CASE DATA'!E180="713.6A(1)", 'CASE DATA'!E180="714.2(1)", 'CASE DATA'!E180="714.2(2)", 'CASE DATA'!E180="714.3A(2)(b)", 'CASE DATA'!E180="714.9", 'CASE DATA'!E180="714.10", 'CASE DATA'!E180="714.26(2)(a)", 'CASE DATA'!E180="714.26(2)(b)", 'CASE DATA'!E180="715A.2(2)(a)", 'CASE DATA'!E180="715A.6(2)(a)", 'CASE DATA'!E180="715A.6(2)(b)", 'CASE DATA'!E180="715A.8(3)(a)", 'CASE DATA'!E180="715A.8(3)(b)", 'CASE DATA'!E180="715A.10(1)", 'CASE DATA'!E180="715A.10(2)", 'CASE DATA'!E180="716.3", 'CASE DATA'!E180="716.4", 'CASE DATA'!E180="716.8(6)", 'CASE DATA'!E180="716.10(2)(a)", 'CASE DATA'!E180="716.10(2)(b)", 'CASE DATA'!E180="716.10(2)(c)", 'CASE DATA'!E180="716.10(2)(d)", 'CASE DATA'!E180="716.12", 'CASE DATA'!E180="719.1(1)(f)", 'CASE DATA'!E180="719.1(2)(e)", 'CASE DATA'!E180="719.1(2)(f)", 'CASE DATA'!E180="719.1(2)(g)", 'CASE DATA'!E180="719.4(1)", 'CASE DATA'!E180="719.4(4)", 'CASE DATA'!E180="719.5(1)", 'CASE DATA'!E180="719.5(2)", 'CASE DATA'!E180="719.6(1)", 'CASE DATA'!E180="719.6(2)", 'CASE DATA'!E180="719.7(4)(a)", 'CASE DATA'!E180="719.7(4)(b)", 'CASE DATA'!E180="719.7A(3)", 'CASE DATA'!E180="719.9", 'CASE DATA'!E180="719.8", 'CASE DATA'!E180="720.2", 'CASE DATA'!E180="720.3", 'CASE DATA'!E180="721.1", 'CASE DATA'!E180="722.1", 'CASE DATA'!E180="", 'CASE DATA'!E180="722.2", 'CASE DATA'!E180="722.10", 'CASE DATA'!E180="723(5)(3)(c)", 'CASE DATA'!E180="723A.2", 'CASE DATA'!E180="723A.3(1)", 'CASE DATA'!E180="723A.3(2)", 'CASE DATA'!E180="724.1B", 'CASE DATA'!E180="724.1C", 'CASE DATA'!E180="724.3", 'CASE DATA'!E180="724.4B", 'CASE DATA'!E180="724.10", 'CASE DATA'!E180="724.16(2)", 'CASE DATA'!E180="724.16A(1)(a)", 'CASE DATA'!E180="724.16A(1)(b)", 'CASE DATA'!E180="724.17", 'CASE DATA'!E180="724.21", 'CASE DATA'!E180="724.26(1)", 'CASE DATA'!E180="922(g)(8)", 'CASE DATA'!E180="724.29A(2)", 'CASE DATA'!E180="724.29A(3)", 'CASE DATA'!E180="724.30(1)", 'CASE DATA'!E180="724.30(2)", 'CASE DATA'!E180="725.1(2)(b)", 'CASE DATA'!E180="725.2(1)", 'CASE DATA'!E180="725.2(2)", 'CASE DATA'!E180="725.3(2)", 'CASE DATA'!E180="725.3(1)", 'CASE DATA'!E180="725.7(2)(a)(3)", 'CASE DATA'!E180="725.7(2)(a)(4)", 'CASE DATA'!E180="725.7(2)(b)(2)", 'CASE DATA'!E180="725.7(2)(b(3)", 'CASE DATA'!E180="726.7(2)(c)(1)", 'CASE DATA'!E180="726.7(2)(c)(2)", 'CASE DATA'!E180="725.7(2)(d)", 'CASE DATA'!E180="726.2", 'CASE DATA'!E180="726.3", 'CASE DATA'!E180="726.5", 'CASE DATA'!E180="726.6(4)", 'CASE DATA'!E180="726.6(5)", 'CASE DATA'!E180="726.6(6)", 'CASE DATA'!E180="726.6A", 'CASE DATA'!E180="726.7(2)", 'CASE DATA'!E180="726.8(2)", 'CASE DATA'!E180="728.12(1)", 'CASE DATA'!E180="728.12(2)"),"felony","eligible"),"N/A")</f>
        <v>N/A</v>
      </c>
      <c r="M179" s="185" t="str">
        <f>IF(L179="eligible",IF(OR('CASE DATA'!E180="123.46",'CASE DATA'!E180="123.47",'CASE DATA'!E180="235B.20",'CASE DATA'!E180="321.218",'CASE DATA'!E180="321A.32",'CASE DATA'!E180="321J.21",'CASE DATA'!E180="321J.2",'CASE DATA'!E180="707.5",'CASE DATA'!E180="708.2(3)",'CASE DATA'!E180="708.2A",'CASE DATA'!E180="708.7",'CASE DATA'!E180="708.11",'CASE DATA'!E180="708.12",'CASE DATA'!E180="716.8(3)",'CASE DATA'!E180="716.8(4)", LEFT('CASE DATA'!E180,4)="717C", LEFT('CASE DATA'!E180, 3)="719", LEFT('CASE DATA'!E180,3)="720", 'CASE DATA'!E180="721.2", 'CASE DATA'!E180="721.10", 'CASE DATA'!E180="723.1", LEFT('CASE DATA'!E180,3)="724", LEFT('CASE DATA'!E180,3)="726", LEFT('CASE DATA'!E180,3)="728", LEFT('CASE DATA'!E180,4)="901A"),"ineligible misd", "eligible"),"N/A")</f>
        <v>N/A</v>
      </c>
      <c r="N179" s="185" t="str">
        <f>IF(L179="eligible",IF(COUNTIF('CASE DATA'!$C$4:$C$200, "")-COUNTIF('CASE DATA'!$A$4:$A$200, "")&gt;0, "YES","NO"),"N/A")</f>
        <v>N/A</v>
      </c>
      <c r="O179" s="185" t="str">
        <f xml:space="preserve"> IF(M179="eligible",'CASE DATA'!K180,"N/A")</f>
        <v>N/A</v>
      </c>
      <c r="P179" s="185" t="str">
        <f xml:space="preserve"> IF(M179="eligible",'CASE DATA'!I180+'CASE DATA'!J180+'CASE DATA'!L180+'CASE DATA'!M180+'CASE DATA'!N180+'CASE DATA'!O180+'CASE DATA'!M180+'CASE DATA'!Q180+'CASE DATA'!R180,"N/A")</f>
        <v>N/A</v>
      </c>
      <c r="Q179" s="11" t="str">
        <f>IF(M179="eligible",IF(C179+730.5&lt;'BASIC INFO'!$B$3, "YES", "NO"),"N/A")</f>
        <v>N/A</v>
      </c>
      <c r="R179" s="186" t="str">
        <f xml:space="preserve"> IF(OR('CASE DATA'!F180="DEF"), "YES", "NO")</f>
        <v>NO</v>
      </c>
      <c r="S179" s="162" t="str">
        <f>IF(R179="YES",'CASE DATA'!H180,"N/A")</f>
        <v>N/A</v>
      </c>
      <c r="T179" s="185" t="str">
        <f xml:space="preserve"> IF(R179="YES",'CASE DATA'!K180,"N/A")</f>
        <v>N/A</v>
      </c>
      <c r="U179" s="185" t="str">
        <f>IF(R179="YES",'CASE DATA'!I180+'CASE DATA'!J180+'CASE DATA'!L180+'CASE DATA'!M180+'CASE DATA'!N180+'CASE DATA'!O180+'CASE DATA'!P180+'CASE DATA'!Q180+'CASE DATA'!R180,"N/A")</f>
        <v>N/A</v>
      </c>
      <c r="V179" s="189" t="str">
        <f>IF(OR('CASE DATA'!E180="123.46",'CASE DATA'!E180="123.47"),"YES","NO")</f>
        <v>NO</v>
      </c>
      <c r="W179" s="189"/>
      <c r="X179" s="185" t="str">
        <f>IF(V179="YES",IF(C179+730.5&lt;'BASIC INFO'!$B$3, "YES","NO"), "N/A")</f>
        <v>N/A</v>
      </c>
      <c r="Y179" s="189" t="str">
        <f t="shared" si="3"/>
        <v>NO</v>
      </c>
      <c r="Z179" s="187" t="str">
        <f xml:space="preserve"> IF('BASIC INFO'!$B$6+6574.5&gt;C179, "YES", "NO")</f>
        <v>YES</v>
      </c>
    </row>
    <row r="180" spans="1:26" x14ac:dyDescent="0.25">
      <c r="A180" s="162">
        <f xml:space="preserve"> 'CASE DATA'!A181</f>
        <v>0</v>
      </c>
      <c r="B180" s="162">
        <f xml:space="preserve"> 'CASE DATA'!E181</f>
        <v>0</v>
      </c>
      <c r="C180" s="163">
        <f xml:space="preserve"> 'CASE DATA'!C181</f>
        <v>0</v>
      </c>
      <c r="D180" s="11" t="str">
        <f xml:space="preserve"> IF(OR('CASE DATA'!F181="JUV", 'CASE DATA'!F181="JWV"), "YES", "NO")</f>
        <v>NO</v>
      </c>
      <c r="E180" s="11"/>
      <c r="F180" s="11" t="str">
        <f>IF(D180="YES",IF(COUNTIF('CASE DATA'!$C$4:$C$200, "")-COUNTIF('CASE DATA'!$A$4:$A$200, "")&gt;0, "YES","NO"),"N/A")</f>
        <v>N/A</v>
      </c>
      <c r="G180" s="164" t="str">
        <f xml:space="preserve"> _xlfn.IFS(D180="NO", "N/A", AND('BASIC INFO'!$B$3&gt;'BASIC INFO'!$B$6+6574.5, C180+730.5&lt;'BASIC INFO'!$B$3), "YES", 'BASIC INFO'!$B$3&lt;('BASIC INFO'!$B$6+6574.5), "NOT YET 18", C180+730.5&gt;'BASIC INFO'!$B$3, "NOT YET 2 YEARS")</f>
        <v>N/A</v>
      </c>
      <c r="H180" s="186" t="str">
        <f xml:space="preserve"> IF(LEFT('CASE DATA'!E181,4)&lt;&gt;"321.",IF(OR('CASE DATA'!F181="DISM", 'CASE DATA'!F181="ACQ", 'CASE DATA'!F181="NOTF", 'CASE DATA'!F181="WTHD", 'CASE DATA'!F181="TNSF"), "YES", "NO"), "TRAFFIC")</f>
        <v>NO</v>
      </c>
      <c r="I180" s="185" t="str">
        <f xml:space="preserve"> IF(H180="YES",'CASE DATA'!K181,"N/A")</f>
        <v>N/A</v>
      </c>
      <c r="J180" s="185" t="str">
        <f>IF(H180="YES",'CASE DATA'!I181+'CASE DATA'!J181+'CASE DATA'!L181+'CASE DATA'!M181+'CASE DATA'!N181+'CASE DATA'!O181+'CASE DATA'!P181+'CASE DATA'!Q181+'CASE DATA'!R181,"N/A")</f>
        <v>N/A</v>
      </c>
      <c r="K180" s="162" t="str">
        <f xml:space="preserve"> IF(H180="YES",IF(C180+180&lt;'BASIC INFO'!$B$3, "YES", "NO"),"N/A")</f>
        <v>N/A</v>
      </c>
      <c r="L180" s="185" t="str">
        <f>IF(OR('CASE DATA'!F181="GTR", 'CASE DATA'!F181="GPL"),IF(OR('CASE DATA'!E181="81.6(2)", 'CASE DATA'!E181="99F.15(6)(b)(1)", 'CASE DATA'!E181= "124.401(1)(a)", 'CASE DATA'!E181= "124.401(1)(b)", 'CASE DATA'!E181= "124.401(1)(c)", 'CASE DATA'!E181= "124.401(1)(d)", 'CASE DATA'!E181="124.401(4)", 'CASE DATA'!E181="124.401(1)(b)", 'CASE DATA'!E181="124.401(1)(c)", 'CASE DATA'!E181="124.401D(2)(b)", 'CASE DATA'!E181="124.401D(2)(c)", 'CASE DATA'!E181="124.406(1)(a)", 'CASE DATA'!E181="124.406(1)(b) ", 'CASE DATA'!E181="124.406(2)(a)", 'CASE DATA'!E181="124.406(2)(b) ", 'CASE DATA'!E181="124.406(3)", 'CASE DATA'!E181="124.406A ", 'CASE DATA'!E181="124.407(2)(a)", 'CASE DATA'!E181="124B.9(1)", 'CASE DATA'!E181="124B.9(2)", 'CASE DATA'!E181="321J.2(2)(c)", 'CASE DATA'!E181="453B.12(2)", 'CASE DATA'!E181="453B.12(3)", 'CASE DATA'!E181="453B.12(4)", 'CASE DATA'!E181="462A.14(2)(c)", 'CASE DATA'!E181="462A.14(2)(d)", 'CASE DATA'!E181="462A.14(2)(e)", 'CASE DATA'!E181="705.1(2)", 'CASE DATA'!E181="706.3(1)", 'CASE DATA'!E181="706.3(2)", 'CASE DATA'!E181="706A.2(1)", 'CASE DATA'!E181="706A.2(2)", 'CASE DATA'!E181="706A.2(4)", 'CASE DATA'!E181="706B.2(1)(a)", 'CASE DATA'!E181="706B.2(1)(b)", 'CASE DATA'!E181="706B.2(1)(c)", 'CASE DATA'!E181="706B.2(1)(d)", 'CASE DATA'!E181="707.2", 'CASE DATA'!E181="707.3", 'CASE DATA'!E181="707.3A", 'CASE DATA'!E181="707.4", 'CASE DATA'!E181="707.5(1)(a)", 'CASE DATA'!E181="707.6A(1)", 'CASE DATA'!E181="707.6A(2)", 'CASE DATA'!E181="707.6A(3)", 'CASE DATA'!E181="707.6A(4)", 'CASE DATA'!E181="707.7(1)", 'CASE DATA'!E181="707.7(3)", 'CASE DATA'!E181="707.7(2)", 'CASE DATA'!E181="707.8(1)", 'CASE DATA'!E181="707.8(2)", 'CASE DATA'!E181="707.8(3)", 'CASE DATA'!E181="707.8(4)", 'CASE DATA'!E181="707.8(5)", 'CASE DATA'!E181="707.8(6)", 'CASE DATA'!E181="707.9", 'CASE DATA'!E181="707.11", 'CASE DATA'!E181="707A.2", 'CASE DATA'!E181="708.2(4)", 'CASE DATA'!E181="708.2(5)", 'CASE DATA'!E181="708.2A(4)", 'CASE DATA'!E181="708.2A(5)", 'CASE DATA'!E181="708.2C(2)", 'CASE DATA'!E181="708.2C(4)", 'CASE DATA'!E181="708.3(1)", 'CASE DATA'!E181="708.3(2)", 'CASE DATA'!E181="708.3A(1)", 'CASE DATA'!E181="708.3A(2)", 'CASE DATA'!E181="708.3B", 'CASE DATA'!E181="708.4(1)", 'CASE DATA'!E181="708.4(2)", 'CASE DATA'!E181="708.5", 'CASE DATA'!E181="708.8", 'CASE DATA'!E181="708.11(3)(a)", 'CASE DATA'!E181="708.11(3)(b)", 'CASE DATA'!E181="708.12(3)(f)", 'CASE DATA'!E181="708.13(3)", 'CASE DATA'!E181="708.14", 'CASE DATA'!E181="708A.2", 'CASE DATA'!E181="708A.4(1)", 'CASE DATA'!E181="708A.4(2)", 'CASE DATA'!E181="708A.5", 'CASE DATA'!E181="708A.6(1)", 'CASE DATA'!E181="708.A.6(2)", 'CASE DATA'!E181="709.2", 'CASE DATA'!E181="709.3", 'CASE DATA'!E181="709.4", 'CASE DATA'!E181="709.8(1)(a)", 'CASE DATA'!E181="709.8(1)(b)", 'CASE DATA'!E181="709.8(1)(c)", 'CASE DATA'!E181="709.8(1)(d)", 'CASE DATA'!E181="709.8(1)(e)", 'CASE DATA'!E181="709.11(1)", 'CASE DATA'!E181="709.11(2)", 'CASE DATA'!E181="709.15(2)(a)(1)", 'CASE DATA'!E181="709.15(3)(a)(1)", 'CASE DATA'!E181="709.18", 'CASE DATA'!E181="709A.6(2)", 'CASE DATA'!E181="709D.3(1)", 'CASE DATA'!E181="709D.3(2)", 'CASE DATA'!E181="709.D.3(3)", 'CASE DATA'!E181="710.2", 'CASE DATA'!E181="710.3", 'CASE DATA'!E181="710.4", 'CASE DATA'!E181="710.5", 'CASE DATA'!E181="710.10(1)", 'CASE DATA'!E181="710.10(2)", 'CASE DATA'!E181="710.10(3)", 'CASE DATA'!E181="710.11", 'CASE DATA'!E181="710A.2(1)", 'CASE DATA'!E181="710A.2(2)", 'CASE DATA'!E181="710A.2(3)", 'CASE DATA'!E181="710A.2(4)", 'CASE DATA'!E181="710A.2(5)", 'CASE DATA'!E181="710A.2(6)", 'CASE DATA'!E181="710A.2(7)", 'CASE DATA'!E181="710A.2A", 'CASE DATA'!E181="711.2", 'CASE DATA'!E181="711.3", 'CASE DATA'!E181="711.4", 'CASE DATA'!E181="712.2", 'CASE DATA'!E181="712.3", 'CASE DATA'!E181="712.6(1)", 'CASE DATA'!E181="712.7", 'CASE DATA'!E181="712.8", 'CASE DATA'!E181="", 'CASE DATA'!E181="713.3", 'CASE DATA'!E181="713.4", 'CASE DATA'!E181="713.5", 'CASE DATA'!E181="713.6", 'CASE DATA'!E181="713.6A(1)", 'CASE DATA'!E181="714.2(1)", 'CASE DATA'!E181="714.2(2)", 'CASE DATA'!E181="714.3A(2)(b)", 'CASE DATA'!E181="714.9", 'CASE DATA'!E181="714.10", 'CASE DATA'!E181="714.26(2)(a)", 'CASE DATA'!E181="714.26(2)(b)", 'CASE DATA'!E181="715A.2(2)(a)", 'CASE DATA'!E181="715A.6(2)(a)", 'CASE DATA'!E181="715A.6(2)(b)", 'CASE DATA'!E181="715A.8(3)(a)", 'CASE DATA'!E181="715A.8(3)(b)", 'CASE DATA'!E181="715A.10(1)", 'CASE DATA'!E181="715A.10(2)", 'CASE DATA'!E181="716.3", 'CASE DATA'!E181="716.4", 'CASE DATA'!E181="716.8(6)", 'CASE DATA'!E181="716.10(2)(a)", 'CASE DATA'!E181="716.10(2)(b)", 'CASE DATA'!E181="716.10(2)(c)", 'CASE DATA'!E181="716.10(2)(d)", 'CASE DATA'!E181="716.12", 'CASE DATA'!E181="719.1(1)(f)", 'CASE DATA'!E181="719.1(2)(e)", 'CASE DATA'!E181="719.1(2)(f)", 'CASE DATA'!E181="719.1(2)(g)", 'CASE DATA'!E181="719.4(1)", 'CASE DATA'!E181="719.4(4)", 'CASE DATA'!E181="719.5(1)", 'CASE DATA'!E181="719.5(2)", 'CASE DATA'!E181="719.6(1)", 'CASE DATA'!E181="719.6(2)", 'CASE DATA'!E181="719.7(4)(a)", 'CASE DATA'!E181="719.7(4)(b)", 'CASE DATA'!E181="719.7A(3)", 'CASE DATA'!E181="719.9", 'CASE DATA'!E181="719.8", 'CASE DATA'!E181="720.2", 'CASE DATA'!E181="720.3", 'CASE DATA'!E181="721.1", 'CASE DATA'!E181="722.1", 'CASE DATA'!E181="", 'CASE DATA'!E181="722.2", 'CASE DATA'!E181="722.10", 'CASE DATA'!E181="723(5)(3)(c)", 'CASE DATA'!E181="723A.2", 'CASE DATA'!E181="723A.3(1)", 'CASE DATA'!E181="723A.3(2)", 'CASE DATA'!E181="724.1B", 'CASE DATA'!E181="724.1C", 'CASE DATA'!E181="724.3", 'CASE DATA'!E181="724.4B", 'CASE DATA'!E181="724.10", 'CASE DATA'!E181="724.16(2)", 'CASE DATA'!E181="724.16A(1)(a)", 'CASE DATA'!E181="724.16A(1)(b)", 'CASE DATA'!E181="724.17", 'CASE DATA'!E181="724.21", 'CASE DATA'!E181="724.26(1)", 'CASE DATA'!E181="922(g)(8)", 'CASE DATA'!E181="724.29A(2)", 'CASE DATA'!E181="724.29A(3)", 'CASE DATA'!E181="724.30(1)", 'CASE DATA'!E181="724.30(2)", 'CASE DATA'!E181="725.1(2)(b)", 'CASE DATA'!E181="725.2(1)", 'CASE DATA'!E181="725.2(2)", 'CASE DATA'!E181="725.3(2)", 'CASE DATA'!E181="725.3(1)", 'CASE DATA'!E181="725.7(2)(a)(3)", 'CASE DATA'!E181="725.7(2)(a)(4)", 'CASE DATA'!E181="725.7(2)(b)(2)", 'CASE DATA'!E181="725.7(2)(b(3)", 'CASE DATA'!E181="726.7(2)(c)(1)", 'CASE DATA'!E181="726.7(2)(c)(2)", 'CASE DATA'!E181="725.7(2)(d)", 'CASE DATA'!E181="726.2", 'CASE DATA'!E181="726.3", 'CASE DATA'!E181="726.5", 'CASE DATA'!E181="726.6(4)", 'CASE DATA'!E181="726.6(5)", 'CASE DATA'!E181="726.6(6)", 'CASE DATA'!E181="726.6A", 'CASE DATA'!E181="726.7(2)", 'CASE DATA'!E181="726.8(2)", 'CASE DATA'!E181="728.12(1)", 'CASE DATA'!E181="728.12(2)"),"felony","eligible"),"N/A")</f>
        <v>N/A</v>
      </c>
      <c r="M180" s="185" t="str">
        <f>IF(L180="eligible",IF(OR('CASE DATA'!E181="123.46",'CASE DATA'!E181="123.47",'CASE DATA'!E181="235B.20",'CASE DATA'!E181="321.218",'CASE DATA'!E181="321A.32",'CASE DATA'!E181="321J.21",'CASE DATA'!E181="321J.2",'CASE DATA'!E181="707.5",'CASE DATA'!E181="708.2(3)",'CASE DATA'!E181="708.2A",'CASE DATA'!E181="708.7",'CASE DATA'!E181="708.11",'CASE DATA'!E181="708.12",'CASE DATA'!E181="716.8(3)",'CASE DATA'!E181="716.8(4)", LEFT('CASE DATA'!E181,4)="717C", LEFT('CASE DATA'!E181, 3)="719", LEFT('CASE DATA'!E181,3)="720", 'CASE DATA'!E181="721.2", 'CASE DATA'!E181="721.10", 'CASE DATA'!E181="723.1", LEFT('CASE DATA'!E181,3)="724", LEFT('CASE DATA'!E181,3)="726", LEFT('CASE DATA'!E181,3)="728", LEFT('CASE DATA'!E181,4)="901A"),"ineligible misd", "eligible"),"N/A")</f>
        <v>N/A</v>
      </c>
      <c r="N180" s="185" t="str">
        <f>IF(L180="eligible",IF(COUNTIF('CASE DATA'!$C$4:$C$200, "")-COUNTIF('CASE DATA'!$A$4:$A$200, "")&gt;0, "YES","NO"),"N/A")</f>
        <v>N/A</v>
      </c>
      <c r="O180" s="185" t="str">
        <f xml:space="preserve"> IF(M180="eligible",'CASE DATA'!K181,"N/A")</f>
        <v>N/A</v>
      </c>
      <c r="P180" s="185" t="str">
        <f xml:space="preserve"> IF(M180="eligible",'CASE DATA'!I181+'CASE DATA'!J181+'CASE DATA'!L181+'CASE DATA'!M181+'CASE DATA'!N181+'CASE DATA'!O181+'CASE DATA'!M181+'CASE DATA'!Q181+'CASE DATA'!R181,"N/A")</f>
        <v>N/A</v>
      </c>
      <c r="Q180" s="11" t="str">
        <f>IF(M180="eligible",IF(C180+730.5&lt;'BASIC INFO'!$B$3, "YES", "NO"),"N/A")</f>
        <v>N/A</v>
      </c>
      <c r="R180" s="186" t="str">
        <f xml:space="preserve"> IF(OR('CASE DATA'!F181="DEF"), "YES", "NO")</f>
        <v>NO</v>
      </c>
      <c r="S180" s="162" t="str">
        <f>IF(R180="YES",'CASE DATA'!H181,"N/A")</f>
        <v>N/A</v>
      </c>
      <c r="T180" s="185" t="str">
        <f xml:space="preserve"> IF(R180="YES",'CASE DATA'!K181,"N/A")</f>
        <v>N/A</v>
      </c>
      <c r="U180" s="185" t="str">
        <f>IF(R180="YES",'CASE DATA'!I181+'CASE DATA'!J181+'CASE DATA'!L181+'CASE DATA'!M181+'CASE DATA'!N181+'CASE DATA'!O181+'CASE DATA'!P181+'CASE DATA'!Q181+'CASE DATA'!R181,"N/A")</f>
        <v>N/A</v>
      </c>
      <c r="V180" s="189" t="str">
        <f>IF(OR('CASE DATA'!E181="123.46",'CASE DATA'!E181="123.47"),"YES","NO")</f>
        <v>NO</v>
      </c>
      <c r="W180" s="189"/>
      <c r="X180" s="185" t="str">
        <f>IF(V180="YES",IF(C180+730.5&lt;'BASIC INFO'!$B$3, "YES","NO"), "N/A")</f>
        <v>N/A</v>
      </c>
      <c r="Y180" s="189" t="str">
        <f t="shared" si="3"/>
        <v>NO</v>
      </c>
      <c r="Z180" s="187" t="str">
        <f xml:space="preserve"> IF('BASIC INFO'!$B$6+6574.5&gt;C180, "YES", "NO")</f>
        <v>YES</v>
      </c>
    </row>
    <row r="181" spans="1:26" x14ac:dyDescent="0.25">
      <c r="A181" s="162">
        <f xml:space="preserve"> 'CASE DATA'!A182</f>
        <v>0</v>
      </c>
      <c r="B181" s="162">
        <f xml:space="preserve"> 'CASE DATA'!E182</f>
        <v>0</v>
      </c>
      <c r="C181" s="163">
        <f xml:space="preserve"> 'CASE DATA'!C182</f>
        <v>0</v>
      </c>
      <c r="D181" s="11" t="str">
        <f xml:space="preserve"> IF(OR('CASE DATA'!F182="JUV", 'CASE DATA'!F182="JWV"), "YES", "NO")</f>
        <v>NO</v>
      </c>
      <c r="E181" s="11"/>
      <c r="F181" s="11" t="str">
        <f>IF(D181="YES",IF(COUNTIF('CASE DATA'!$C$4:$C$200, "")-COUNTIF('CASE DATA'!$A$4:$A$200, "")&gt;0, "YES","NO"),"N/A")</f>
        <v>N/A</v>
      </c>
      <c r="G181" s="164" t="str">
        <f xml:space="preserve"> _xlfn.IFS(D181="NO", "N/A", AND('BASIC INFO'!$B$3&gt;'BASIC INFO'!$B$6+6574.5, C181+730.5&lt;'BASIC INFO'!$B$3), "YES", 'BASIC INFO'!$B$3&lt;('BASIC INFO'!$B$6+6574.5), "NOT YET 18", C181+730.5&gt;'BASIC INFO'!$B$3, "NOT YET 2 YEARS")</f>
        <v>N/A</v>
      </c>
      <c r="H181" s="186" t="str">
        <f xml:space="preserve"> IF(LEFT('CASE DATA'!E182,4)&lt;&gt;"321.",IF(OR('CASE DATA'!F182="DISM", 'CASE DATA'!F182="ACQ", 'CASE DATA'!F182="NOTF", 'CASE DATA'!F182="WTHD", 'CASE DATA'!F182="TNSF"), "YES", "NO"), "TRAFFIC")</f>
        <v>NO</v>
      </c>
      <c r="I181" s="185" t="str">
        <f xml:space="preserve"> IF(H181="YES",'CASE DATA'!K182,"N/A")</f>
        <v>N/A</v>
      </c>
      <c r="J181" s="185" t="str">
        <f>IF(H181="YES",'CASE DATA'!I182+'CASE DATA'!J182+'CASE DATA'!L182+'CASE DATA'!M182+'CASE DATA'!N182+'CASE DATA'!O182+'CASE DATA'!P182+'CASE DATA'!Q182+'CASE DATA'!R182,"N/A")</f>
        <v>N/A</v>
      </c>
      <c r="K181" s="162" t="str">
        <f xml:space="preserve"> IF(H181="YES",IF(C181+180&lt;'BASIC INFO'!$B$3, "YES", "NO"),"N/A")</f>
        <v>N/A</v>
      </c>
      <c r="L181" s="185" t="str">
        <f>IF(OR('CASE DATA'!F182="GTR", 'CASE DATA'!F182="GPL"),IF(OR('CASE DATA'!E182="81.6(2)", 'CASE DATA'!E182="99F.15(6)(b)(1)", 'CASE DATA'!E182= "124.401(1)(a)", 'CASE DATA'!E182= "124.401(1)(b)", 'CASE DATA'!E182= "124.401(1)(c)", 'CASE DATA'!E182= "124.401(1)(d)", 'CASE DATA'!E182="124.401(4)", 'CASE DATA'!E182="124.401(1)(b)", 'CASE DATA'!E182="124.401(1)(c)", 'CASE DATA'!E182="124.401D(2)(b)", 'CASE DATA'!E182="124.401D(2)(c)", 'CASE DATA'!E182="124.406(1)(a)", 'CASE DATA'!E182="124.406(1)(b) ", 'CASE DATA'!E182="124.406(2)(a)", 'CASE DATA'!E182="124.406(2)(b) ", 'CASE DATA'!E182="124.406(3)", 'CASE DATA'!E182="124.406A ", 'CASE DATA'!E182="124.407(2)(a)", 'CASE DATA'!E182="124B.9(1)", 'CASE DATA'!E182="124B.9(2)", 'CASE DATA'!E182="321J.2(2)(c)", 'CASE DATA'!E182="453B.12(2)", 'CASE DATA'!E182="453B.12(3)", 'CASE DATA'!E182="453B.12(4)", 'CASE DATA'!E182="462A.14(2)(c)", 'CASE DATA'!E182="462A.14(2)(d)", 'CASE DATA'!E182="462A.14(2)(e)", 'CASE DATA'!E182="705.1(2)", 'CASE DATA'!E182="706.3(1)", 'CASE DATA'!E182="706.3(2)", 'CASE DATA'!E182="706A.2(1)", 'CASE DATA'!E182="706A.2(2)", 'CASE DATA'!E182="706A.2(4)", 'CASE DATA'!E182="706B.2(1)(a)", 'CASE DATA'!E182="706B.2(1)(b)", 'CASE DATA'!E182="706B.2(1)(c)", 'CASE DATA'!E182="706B.2(1)(d)", 'CASE DATA'!E182="707.2", 'CASE DATA'!E182="707.3", 'CASE DATA'!E182="707.3A", 'CASE DATA'!E182="707.4", 'CASE DATA'!E182="707.5(1)(a)", 'CASE DATA'!E182="707.6A(1)", 'CASE DATA'!E182="707.6A(2)", 'CASE DATA'!E182="707.6A(3)", 'CASE DATA'!E182="707.6A(4)", 'CASE DATA'!E182="707.7(1)", 'CASE DATA'!E182="707.7(3)", 'CASE DATA'!E182="707.7(2)", 'CASE DATA'!E182="707.8(1)", 'CASE DATA'!E182="707.8(2)", 'CASE DATA'!E182="707.8(3)", 'CASE DATA'!E182="707.8(4)", 'CASE DATA'!E182="707.8(5)", 'CASE DATA'!E182="707.8(6)", 'CASE DATA'!E182="707.9", 'CASE DATA'!E182="707.11", 'CASE DATA'!E182="707A.2", 'CASE DATA'!E182="708.2(4)", 'CASE DATA'!E182="708.2(5)", 'CASE DATA'!E182="708.2A(4)", 'CASE DATA'!E182="708.2A(5)", 'CASE DATA'!E182="708.2C(2)", 'CASE DATA'!E182="708.2C(4)", 'CASE DATA'!E182="708.3(1)", 'CASE DATA'!E182="708.3(2)", 'CASE DATA'!E182="708.3A(1)", 'CASE DATA'!E182="708.3A(2)", 'CASE DATA'!E182="708.3B", 'CASE DATA'!E182="708.4(1)", 'CASE DATA'!E182="708.4(2)", 'CASE DATA'!E182="708.5", 'CASE DATA'!E182="708.8", 'CASE DATA'!E182="708.11(3)(a)", 'CASE DATA'!E182="708.11(3)(b)", 'CASE DATA'!E182="708.12(3)(f)", 'CASE DATA'!E182="708.13(3)", 'CASE DATA'!E182="708.14", 'CASE DATA'!E182="708A.2", 'CASE DATA'!E182="708A.4(1)", 'CASE DATA'!E182="708A.4(2)", 'CASE DATA'!E182="708A.5", 'CASE DATA'!E182="708A.6(1)", 'CASE DATA'!E182="708.A.6(2)", 'CASE DATA'!E182="709.2", 'CASE DATA'!E182="709.3", 'CASE DATA'!E182="709.4", 'CASE DATA'!E182="709.8(1)(a)", 'CASE DATA'!E182="709.8(1)(b)", 'CASE DATA'!E182="709.8(1)(c)", 'CASE DATA'!E182="709.8(1)(d)", 'CASE DATA'!E182="709.8(1)(e)", 'CASE DATA'!E182="709.11(1)", 'CASE DATA'!E182="709.11(2)", 'CASE DATA'!E182="709.15(2)(a)(1)", 'CASE DATA'!E182="709.15(3)(a)(1)", 'CASE DATA'!E182="709.18", 'CASE DATA'!E182="709A.6(2)", 'CASE DATA'!E182="709D.3(1)", 'CASE DATA'!E182="709D.3(2)", 'CASE DATA'!E182="709.D.3(3)", 'CASE DATA'!E182="710.2", 'CASE DATA'!E182="710.3", 'CASE DATA'!E182="710.4", 'CASE DATA'!E182="710.5", 'CASE DATA'!E182="710.10(1)", 'CASE DATA'!E182="710.10(2)", 'CASE DATA'!E182="710.10(3)", 'CASE DATA'!E182="710.11", 'CASE DATA'!E182="710A.2(1)", 'CASE DATA'!E182="710A.2(2)", 'CASE DATA'!E182="710A.2(3)", 'CASE DATA'!E182="710A.2(4)", 'CASE DATA'!E182="710A.2(5)", 'CASE DATA'!E182="710A.2(6)", 'CASE DATA'!E182="710A.2(7)", 'CASE DATA'!E182="710A.2A", 'CASE DATA'!E182="711.2", 'CASE DATA'!E182="711.3", 'CASE DATA'!E182="711.4", 'CASE DATA'!E182="712.2", 'CASE DATA'!E182="712.3", 'CASE DATA'!E182="712.6(1)", 'CASE DATA'!E182="712.7", 'CASE DATA'!E182="712.8", 'CASE DATA'!E182="", 'CASE DATA'!E182="713.3", 'CASE DATA'!E182="713.4", 'CASE DATA'!E182="713.5", 'CASE DATA'!E182="713.6", 'CASE DATA'!E182="713.6A(1)", 'CASE DATA'!E182="714.2(1)", 'CASE DATA'!E182="714.2(2)", 'CASE DATA'!E182="714.3A(2)(b)", 'CASE DATA'!E182="714.9", 'CASE DATA'!E182="714.10", 'CASE DATA'!E182="714.26(2)(a)", 'CASE DATA'!E182="714.26(2)(b)", 'CASE DATA'!E182="715A.2(2)(a)", 'CASE DATA'!E182="715A.6(2)(a)", 'CASE DATA'!E182="715A.6(2)(b)", 'CASE DATA'!E182="715A.8(3)(a)", 'CASE DATA'!E182="715A.8(3)(b)", 'CASE DATA'!E182="715A.10(1)", 'CASE DATA'!E182="715A.10(2)", 'CASE DATA'!E182="716.3", 'CASE DATA'!E182="716.4", 'CASE DATA'!E182="716.8(6)", 'CASE DATA'!E182="716.10(2)(a)", 'CASE DATA'!E182="716.10(2)(b)", 'CASE DATA'!E182="716.10(2)(c)", 'CASE DATA'!E182="716.10(2)(d)", 'CASE DATA'!E182="716.12", 'CASE DATA'!E182="719.1(1)(f)", 'CASE DATA'!E182="719.1(2)(e)", 'CASE DATA'!E182="719.1(2)(f)", 'CASE DATA'!E182="719.1(2)(g)", 'CASE DATA'!E182="719.4(1)", 'CASE DATA'!E182="719.4(4)", 'CASE DATA'!E182="719.5(1)", 'CASE DATA'!E182="719.5(2)", 'CASE DATA'!E182="719.6(1)", 'CASE DATA'!E182="719.6(2)", 'CASE DATA'!E182="719.7(4)(a)", 'CASE DATA'!E182="719.7(4)(b)", 'CASE DATA'!E182="719.7A(3)", 'CASE DATA'!E182="719.9", 'CASE DATA'!E182="719.8", 'CASE DATA'!E182="720.2", 'CASE DATA'!E182="720.3", 'CASE DATA'!E182="721.1", 'CASE DATA'!E182="722.1", 'CASE DATA'!E182="", 'CASE DATA'!E182="722.2", 'CASE DATA'!E182="722.10", 'CASE DATA'!E182="723(5)(3)(c)", 'CASE DATA'!E182="723A.2", 'CASE DATA'!E182="723A.3(1)", 'CASE DATA'!E182="723A.3(2)", 'CASE DATA'!E182="724.1B", 'CASE DATA'!E182="724.1C", 'CASE DATA'!E182="724.3", 'CASE DATA'!E182="724.4B", 'CASE DATA'!E182="724.10", 'CASE DATA'!E182="724.16(2)", 'CASE DATA'!E182="724.16A(1)(a)", 'CASE DATA'!E182="724.16A(1)(b)", 'CASE DATA'!E182="724.17", 'CASE DATA'!E182="724.21", 'CASE DATA'!E182="724.26(1)", 'CASE DATA'!E182="922(g)(8)", 'CASE DATA'!E182="724.29A(2)", 'CASE DATA'!E182="724.29A(3)", 'CASE DATA'!E182="724.30(1)", 'CASE DATA'!E182="724.30(2)", 'CASE DATA'!E182="725.1(2)(b)", 'CASE DATA'!E182="725.2(1)", 'CASE DATA'!E182="725.2(2)", 'CASE DATA'!E182="725.3(2)", 'CASE DATA'!E182="725.3(1)", 'CASE DATA'!E182="725.7(2)(a)(3)", 'CASE DATA'!E182="725.7(2)(a)(4)", 'CASE DATA'!E182="725.7(2)(b)(2)", 'CASE DATA'!E182="725.7(2)(b(3)", 'CASE DATA'!E182="726.7(2)(c)(1)", 'CASE DATA'!E182="726.7(2)(c)(2)", 'CASE DATA'!E182="725.7(2)(d)", 'CASE DATA'!E182="726.2", 'CASE DATA'!E182="726.3", 'CASE DATA'!E182="726.5", 'CASE DATA'!E182="726.6(4)", 'CASE DATA'!E182="726.6(5)", 'CASE DATA'!E182="726.6(6)", 'CASE DATA'!E182="726.6A", 'CASE DATA'!E182="726.7(2)", 'CASE DATA'!E182="726.8(2)", 'CASE DATA'!E182="728.12(1)", 'CASE DATA'!E182="728.12(2)"),"felony","eligible"),"N/A")</f>
        <v>N/A</v>
      </c>
      <c r="M181" s="185" t="str">
        <f>IF(L181="eligible",IF(OR('CASE DATA'!E182="123.46",'CASE DATA'!E182="123.47",'CASE DATA'!E182="235B.20",'CASE DATA'!E182="321.218",'CASE DATA'!E182="321A.32",'CASE DATA'!E182="321J.21",'CASE DATA'!E182="321J.2",'CASE DATA'!E182="707.5",'CASE DATA'!E182="708.2(3)",'CASE DATA'!E182="708.2A",'CASE DATA'!E182="708.7",'CASE DATA'!E182="708.11",'CASE DATA'!E182="708.12",'CASE DATA'!E182="716.8(3)",'CASE DATA'!E182="716.8(4)", LEFT('CASE DATA'!E182,4)="717C", LEFT('CASE DATA'!E182, 3)="719", LEFT('CASE DATA'!E182,3)="720", 'CASE DATA'!E182="721.2", 'CASE DATA'!E182="721.10", 'CASE DATA'!E182="723.1", LEFT('CASE DATA'!E182,3)="724", LEFT('CASE DATA'!E182,3)="726", LEFT('CASE DATA'!E182,3)="728", LEFT('CASE DATA'!E182,4)="901A"),"ineligible misd", "eligible"),"N/A")</f>
        <v>N/A</v>
      </c>
      <c r="N181" s="185" t="str">
        <f>IF(L181="eligible",IF(COUNTIF('CASE DATA'!$C$4:$C$200, "")-COUNTIF('CASE DATA'!$A$4:$A$200, "")&gt;0, "YES","NO"),"N/A")</f>
        <v>N/A</v>
      </c>
      <c r="O181" s="185" t="str">
        <f xml:space="preserve"> IF(M181="eligible",'CASE DATA'!K182,"N/A")</f>
        <v>N/A</v>
      </c>
      <c r="P181" s="185" t="str">
        <f xml:space="preserve"> IF(M181="eligible",'CASE DATA'!I182+'CASE DATA'!J182+'CASE DATA'!L182+'CASE DATA'!M182+'CASE DATA'!N182+'CASE DATA'!O182+'CASE DATA'!M182+'CASE DATA'!Q182+'CASE DATA'!R182,"N/A")</f>
        <v>N/A</v>
      </c>
      <c r="Q181" s="11" t="str">
        <f>IF(M181="eligible",IF(C181+730.5&lt;'BASIC INFO'!$B$3, "YES", "NO"),"N/A")</f>
        <v>N/A</v>
      </c>
      <c r="R181" s="186" t="str">
        <f xml:space="preserve"> IF(OR('CASE DATA'!F182="DEF"), "YES", "NO")</f>
        <v>NO</v>
      </c>
      <c r="S181" s="162" t="str">
        <f>IF(R181="YES",'CASE DATA'!H182,"N/A")</f>
        <v>N/A</v>
      </c>
      <c r="T181" s="185" t="str">
        <f xml:space="preserve"> IF(R181="YES",'CASE DATA'!K182,"N/A")</f>
        <v>N/A</v>
      </c>
      <c r="U181" s="185" t="str">
        <f>IF(R181="YES",'CASE DATA'!I182+'CASE DATA'!J182+'CASE DATA'!L182+'CASE DATA'!M182+'CASE DATA'!N182+'CASE DATA'!O182+'CASE DATA'!P182+'CASE DATA'!Q182+'CASE DATA'!R182,"N/A")</f>
        <v>N/A</v>
      </c>
      <c r="V181" s="189" t="str">
        <f>IF(OR('CASE DATA'!E182="123.46",'CASE DATA'!E182="123.47"),"YES","NO")</f>
        <v>NO</v>
      </c>
      <c r="W181" s="189"/>
      <c r="X181" s="185" t="str">
        <f>IF(V181="YES",IF(C181+730.5&lt;'BASIC INFO'!$B$3, "YES","NO"), "N/A")</f>
        <v>N/A</v>
      </c>
      <c r="Y181" s="189" t="str">
        <f t="shared" si="3"/>
        <v>NO</v>
      </c>
      <c r="Z181" s="187" t="str">
        <f xml:space="preserve"> IF('BASIC INFO'!$B$6+6574.5&gt;C181, "YES", "NO")</f>
        <v>YES</v>
      </c>
    </row>
    <row r="182" spans="1:26" x14ac:dyDescent="0.25">
      <c r="A182" s="162">
        <f xml:space="preserve"> 'CASE DATA'!A183</f>
        <v>0</v>
      </c>
      <c r="B182" s="162">
        <f xml:space="preserve"> 'CASE DATA'!E183</f>
        <v>0</v>
      </c>
      <c r="C182" s="163">
        <f xml:space="preserve"> 'CASE DATA'!C183</f>
        <v>0</v>
      </c>
      <c r="D182" s="11" t="str">
        <f xml:space="preserve"> IF(OR('CASE DATA'!F183="JUV", 'CASE DATA'!F183="JWV"), "YES", "NO")</f>
        <v>NO</v>
      </c>
      <c r="E182" s="11"/>
      <c r="F182" s="11" t="str">
        <f>IF(D182="YES",IF(COUNTIF('CASE DATA'!$C$4:$C$200, "")-COUNTIF('CASE DATA'!$A$4:$A$200, "")&gt;0, "YES","NO"),"N/A")</f>
        <v>N/A</v>
      </c>
      <c r="G182" s="164" t="str">
        <f xml:space="preserve"> _xlfn.IFS(D182="NO", "N/A", AND('BASIC INFO'!$B$3&gt;'BASIC INFO'!$B$6+6574.5, C182+730.5&lt;'BASIC INFO'!$B$3), "YES", 'BASIC INFO'!$B$3&lt;('BASIC INFO'!$B$6+6574.5), "NOT YET 18", C182+730.5&gt;'BASIC INFO'!$B$3, "NOT YET 2 YEARS")</f>
        <v>N/A</v>
      </c>
      <c r="H182" s="186" t="str">
        <f xml:space="preserve"> IF(LEFT('CASE DATA'!E183,4)&lt;&gt;"321.",IF(OR('CASE DATA'!F183="DISM", 'CASE DATA'!F183="ACQ", 'CASE DATA'!F183="NOTF", 'CASE DATA'!F183="WTHD", 'CASE DATA'!F183="TNSF"), "YES", "NO"), "TRAFFIC")</f>
        <v>NO</v>
      </c>
      <c r="I182" s="185" t="str">
        <f xml:space="preserve"> IF(H182="YES",'CASE DATA'!K183,"N/A")</f>
        <v>N/A</v>
      </c>
      <c r="J182" s="185" t="str">
        <f>IF(H182="YES",'CASE DATA'!I183+'CASE DATA'!J183+'CASE DATA'!L183+'CASE DATA'!M183+'CASE DATA'!N183+'CASE DATA'!O183+'CASE DATA'!P183+'CASE DATA'!Q183+'CASE DATA'!R183,"N/A")</f>
        <v>N/A</v>
      </c>
      <c r="K182" s="162" t="str">
        <f xml:space="preserve"> IF(H182="YES",IF(C182+180&lt;'BASIC INFO'!$B$3, "YES", "NO"),"N/A")</f>
        <v>N/A</v>
      </c>
      <c r="L182" s="185" t="str">
        <f>IF(OR('CASE DATA'!F183="GTR", 'CASE DATA'!F183="GPL"),IF(OR('CASE DATA'!E183="81.6(2)", 'CASE DATA'!E183="99F.15(6)(b)(1)", 'CASE DATA'!E183= "124.401(1)(a)", 'CASE DATA'!E183= "124.401(1)(b)", 'CASE DATA'!E183= "124.401(1)(c)", 'CASE DATA'!E183= "124.401(1)(d)", 'CASE DATA'!E183="124.401(4)", 'CASE DATA'!E183="124.401(1)(b)", 'CASE DATA'!E183="124.401(1)(c)", 'CASE DATA'!E183="124.401D(2)(b)", 'CASE DATA'!E183="124.401D(2)(c)", 'CASE DATA'!E183="124.406(1)(a)", 'CASE DATA'!E183="124.406(1)(b) ", 'CASE DATA'!E183="124.406(2)(a)", 'CASE DATA'!E183="124.406(2)(b) ", 'CASE DATA'!E183="124.406(3)", 'CASE DATA'!E183="124.406A ", 'CASE DATA'!E183="124.407(2)(a)", 'CASE DATA'!E183="124B.9(1)", 'CASE DATA'!E183="124B.9(2)", 'CASE DATA'!E183="321J.2(2)(c)", 'CASE DATA'!E183="453B.12(2)", 'CASE DATA'!E183="453B.12(3)", 'CASE DATA'!E183="453B.12(4)", 'CASE DATA'!E183="462A.14(2)(c)", 'CASE DATA'!E183="462A.14(2)(d)", 'CASE DATA'!E183="462A.14(2)(e)", 'CASE DATA'!E183="705.1(2)", 'CASE DATA'!E183="706.3(1)", 'CASE DATA'!E183="706.3(2)", 'CASE DATA'!E183="706A.2(1)", 'CASE DATA'!E183="706A.2(2)", 'CASE DATA'!E183="706A.2(4)", 'CASE DATA'!E183="706B.2(1)(a)", 'CASE DATA'!E183="706B.2(1)(b)", 'CASE DATA'!E183="706B.2(1)(c)", 'CASE DATA'!E183="706B.2(1)(d)", 'CASE DATA'!E183="707.2", 'CASE DATA'!E183="707.3", 'CASE DATA'!E183="707.3A", 'CASE DATA'!E183="707.4", 'CASE DATA'!E183="707.5(1)(a)", 'CASE DATA'!E183="707.6A(1)", 'CASE DATA'!E183="707.6A(2)", 'CASE DATA'!E183="707.6A(3)", 'CASE DATA'!E183="707.6A(4)", 'CASE DATA'!E183="707.7(1)", 'CASE DATA'!E183="707.7(3)", 'CASE DATA'!E183="707.7(2)", 'CASE DATA'!E183="707.8(1)", 'CASE DATA'!E183="707.8(2)", 'CASE DATA'!E183="707.8(3)", 'CASE DATA'!E183="707.8(4)", 'CASE DATA'!E183="707.8(5)", 'CASE DATA'!E183="707.8(6)", 'CASE DATA'!E183="707.9", 'CASE DATA'!E183="707.11", 'CASE DATA'!E183="707A.2", 'CASE DATA'!E183="708.2(4)", 'CASE DATA'!E183="708.2(5)", 'CASE DATA'!E183="708.2A(4)", 'CASE DATA'!E183="708.2A(5)", 'CASE DATA'!E183="708.2C(2)", 'CASE DATA'!E183="708.2C(4)", 'CASE DATA'!E183="708.3(1)", 'CASE DATA'!E183="708.3(2)", 'CASE DATA'!E183="708.3A(1)", 'CASE DATA'!E183="708.3A(2)", 'CASE DATA'!E183="708.3B", 'CASE DATA'!E183="708.4(1)", 'CASE DATA'!E183="708.4(2)", 'CASE DATA'!E183="708.5", 'CASE DATA'!E183="708.8", 'CASE DATA'!E183="708.11(3)(a)", 'CASE DATA'!E183="708.11(3)(b)", 'CASE DATA'!E183="708.12(3)(f)", 'CASE DATA'!E183="708.13(3)", 'CASE DATA'!E183="708.14", 'CASE DATA'!E183="708A.2", 'CASE DATA'!E183="708A.4(1)", 'CASE DATA'!E183="708A.4(2)", 'CASE DATA'!E183="708A.5", 'CASE DATA'!E183="708A.6(1)", 'CASE DATA'!E183="708.A.6(2)", 'CASE DATA'!E183="709.2", 'CASE DATA'!E183="709.3", 'CASE DATA'!E183="709.4", 'CASE DATA'!E183="709.8(1)(a)", 'CASE DATA'!E183="709.8(1)(b)", 'CASE DATA'!E183="709.8(1)(c)", 'CASE DATA'!E183="709.8(1)(d)", 'CASE DATA'!E183="709.8(1)(e)", 'CASE DATA'!E183="709.11(1)", 'CASE DATA'!E183="709.11(2)", 'CASE DATA'!E183="709.15(2)(a)(1)", 'CASE DATA'!E183="709.15(3)(a)(1)", 'CASE DATA'!E183="709.18", 'CASE DATA'!E183="709A.6(2)", 'CASE DATA'!E183="709D.3(1)", 'CASE DATA'!E183="709D.3(2)", 'CASE DATA'!E183="709.D.3(3)", 'CASE DATA'!E183="710.2", 'CASE DATA'!E183="710.3", 'CASE DATA'!E183="710.4", 'CASE DATA'!E183="710.5", 'CASE DATA'!E183="710.10(1)", 'CASE DATA'!E183="710.10(2)", 'CASE DATA'!E183="710.10(3)", 'CASE DATA'!E183="710.11", 'CASE DATA'!E183="710A.2(1)", 'CASE DATA'!E183="710A.2(2)", 'CASE DATA'!E183="710A.2(3)", 'CASE DATA'!E183="710A.2(4)", 'CASE DATA'!E183="710A.2(5)", 'CASE DATA'!E183="710A.2(6)", 'CASE DATA'!E183="710A.2(7)", 'CASE DATA'!E183="710A.2A", 'CASE DATA'!E183="711.2", 'CASE DATA'!E183="711.3", 'CASE DATA'!E183="711.4", 'CASE DATA'!E183="712.2", 'CASE DATA'!E183="712.3", 'CASE DATA'!E183="712.6(1)", 'CASE DATA'!E183="712.7", 'CASE DATA'!E183="712.8", 'CASE DATA'!E183="", 'CASE DATA'!E183="713.3", 'CASE DATA'!E183="713.4", 'CASE DATA'!E183="713.5", 'CASE DATA'!E183="713.6", 'CASE DATA'!E183="713.6A(1)", 'CASE DATA'!E183="714.2(1)", 'CASE DATA'!E183="714.2(2)", 'CASE DATA'!E183="714.3A(2)(b)", 'CASE DATA'!E183="714.9", 'CASE DATA'!E183="714.10", 'CASE DATA'!E183="714.26(2)(a)", 'CASE DATA'!E183="714.26(2)(b)", 'CASE DATA'!E183="715A.2(2)(a)", 'CASE DATA'!E183="715A.6(2)(a)", 'CASE DATA'!E183="715A.6(2)(b)", 'CASE DATA'!E183="715A.8(3)(a)", 'CASE DATA'!E183="715A.8(3)(b)", 'CASE DATA'!E183="715A.10(1)", 'CASE DATA'!E183="715A.10(2)", 'CASE DATA'!E183="716.3", 'CASE DATA'!E183="716.4", 'CASE DATA'!E183="716.8(6)", 'CASE DATA'!E183="716.10(2)(a)", 'CASE DATA'!E183="716.10(2)(b)", 'CASE DATA'!E183="716.10(2)(c)", 'CASE DATA'!E183="716.10(2)(d)", 'CASE DATA'!E183="716.12", 'CASE DATA'!E183="719.1(1)(f)", 'CASE DATA'!E183="719.1(2)(e)", 'CASE DATA'!E183="719.1(2)(f)", 'CASE DATA'!E183="719.1(2)(g)", 'CASE DATA'!E183="719.4(1)", 'CASE DATA'!E183="719.4(4)", 'CASE DATA'!E183="719.5(1)", 'CASE DATA'!E183="719.5(2)", 'CASE DATA'!E183="719.6(1)", 'CASE DATA'!E183="719.6(2)", 'CASE DATA'!E183="719.7(4)(a)", 'CASE DATA'!E183="719.7(4)(b)", 'CASE DATA'!E183="719.7A(3)", 'CASE DATA'!E183="719.9", 'CASE DATA'!E183="719.8", 'CASE DATA'!E183="720.2", 'CASE DATA'!E183="720.3", 'CASE DATA'!E183="721.1", 'CASE DATA'!E183="722.1", 'CASE DATA'!E183="", 'CASE DATA'!E183="722.2", 'CASE DATA'!E183="722.10", 'CASE DATA'!E183="723(5)(3)(c)", 'CASE DATA'!E183="723A.2", 'CASE DATA'!E183="723A.3(1)", 'CASE DATA'!E183="723A.3(2)", 'CASE DATA'!E183="724.1B", 'CASE DATA'!E183="724.1C", 'CASE DATA'!E183="724.3", 'CASE DATA'!E183="724.4B", 'CASE DATA'!E183="724.10", 'CASE DATA'!E183="724.16(2)", 'CASE DATA'!E183="724.16A(1)(a)", 'CASE DATA'!E183="724.16A(1)(b)", 'CASE DATA'!E183="724.17", 'CASE DATA'!E183="724.21", 'CASE DATA'!E183="724.26(1)", 'CASE DATA'!E183="922(g)(8)", 'CASE DATA'!E183="724.29A(2)", 'CASE DATA'!E183="724.29A(3)", 'CASE DATA'!E183="724.30(1)", 'CASE DATA'!E183="724.30(2)", 'CASE DATA'!E183="725.1(2)(b)", 'CASE DATA'!E183="725.2(1)", 'CASE DATA'!E183="725.2(2)", 'CASE DATA'!E183="725.3(2)", 'CASE DATA'!E183="725.3(1)", 'CASE DATA'!E183="725.7(2)(a)(3)", 'CASE DATA'!E183="725.7(2)(a)(4)", 'CASE DATA'!E183="725.7(2)(b)(2)", 'CASE DATA'!E183="725.7(2)(b(3)", 'CASE DATA'!E183="726.7(2)(c)(1)", 'CASE DATA'!E183="726.7(2)(c)(2)", 'CASE DATA'!E183="725.7(2)(d)", 'CASE DATA'!E183="726.2", 'CASE DATA'!E183="726.3", 'CASE DATA'!E183="726.5", 'CASE DATA'!E183="726.6(4)", 'CASE DATA'!E183="726.6(5)", 'CASE DATA'!E183="726.6(6)", 'CASE DATA'!E183="726.6A", 'CASE DATA'!E183="726.7(2)", 'CASE DATA'!E183="726.8(2)", 'CASE DATA'!E183="728.12(1)", 'CASE DATA'!E183="728.12(2)"),"felony","eligible"),"N/A")</f>
        <v>N/A</v>
      </c>
      <c r="M182" s="185" t="str">
        <f>IF(L182="eligible",IF(OR('CASE DATA'!E183="123.46",'CASE DATA'!E183="123.47",'CASE DATA'!E183="235B.20",'CASE DATA'!E183="321.218",'CASE DATA'!E183="321A.32",'CASE DATA'!E183="321J.21",'CASE DATA'!E183="321J.2",'CASE DATA'!E183="707.5",'CASE DATA'!E183="708.2(3)",'CASE DATA'!E183="708.2A",'CASE DATA'!E183="708.7",'CASE DATA'!E183="708.11",'CASE DATA'!E183="708.12",'CASE DATA'!E183="716.8(3)",'CASE DATA'!E183="716.8(4)", LEFT('CASE DATA'!E183,4)="717C", LEFT('CASE DATA'!E183, 3)="719", LEFT('CASE DATA'!E183,3)="720", 'CASE DATA'!E183="721.2", 'CASE DATA'!E183="721.10", 'CASE DATA'!E183="723.1", LEFT('CASE DATA'!E183,3)="724", LEFT('CASE DATA'!E183,3)="726", LEFT('CASE DATA'!E183,3)="728", LEFT('CASE DATA'!E183,4)="901A"),"ineligible misd", "eligible"),"N/A")</f>
        <v>N/A</v>
      </c>
      <c r="N182" s="185" t="str">
        <f>IF(L182="eligible",IF(COUNTIF('CASE DATA'!$C$4:$C$200, "")-COUNTIF('CASE DATA'!$A$4:$A$200, "")&gt;0, "YES","NO"),"N/A")</f>
        <v>N/A</v>
      </c>
      <c r="O182" s="185" t="str">
        <f xml:space="preserve"> IF(M182="eligible",'CASE DATA'!K183,"N/A")</f>
        <v>N/A</v>
      </c>
      <c r="P182" s="185" t="str">
        <f xml:space="preserve"> IF(M182="eligible",'CASE DATA'!I183+'CASE DATA'!J183+'CASE DATA'!L183+'CASE DATA'!M183+'CASE DATA'!N183+'CASE DATA'!O183+'CASE DATA'!M183+'CASE DATA'!Q183+'CASE DATA'!R183,"N/A")</f>
        <v>N/A</v>
      </c>
      <c r="Q182" s="11" t="str">
        <f>IF(M182="eligible",IF(C182+730.5&lt;'BASIC INFO'!$B$3, "YES", "NO"),"N/A")</f>
        <v>N/A</v>
      </c>
      <c r="R182" s="186" t="str">
        <f xml:space="preserve"> IF(OR('CASE DATA'!F183="DEF"), "YES", "NO")</f>
        <v>NO</v>
      </c>
      <c r="S182" s="162" t="str">
        <f>IF(R182="YES",'CASE DATA'!H183,"N/A")</f>
        <v>N/A</v>
      </c>
      <c r="T182" s="185" t="str">
        <f xml:space="preserve"> IF(R182="YES",'CASE DATA'!K183,"N/A")</f>
        <v>N/A</v>
      </c>
      <c r="U182" s="185" t="str">
        <f>IF(R182="YES",'CASE DATA'!I183+'CASE DATA'!J183+'CASE DATA'!L183+'CASE DATA'!M183+'CASE DATA'!N183+'CASE DATA'!O183+'CASE DATA'!P183+'CASE DATA'!Q183+'CASE DATA'!R183,"N/A")</f>
        <v>N/A</v>
      </c>
      <c r="V182" s="189" t="str">
        <f>IF(OR('CASE DATA'!E183="123.46",'CASE DATA'!E183="123.47"),"YES","NO")</f>
        <v>NO</v>
      </c>
      <c r="W182" s="189"/>
      <c r="X182" s="185" t="str">
        <f>IF(V182="YES",IF(C182+730.5&lt;'BASIC INFO'!$B$3, "YES","NO"), "N/A")</f>
        <v>N/A</v>
      </c>
      <c r="Y182" s="189" t="str">
        <f t="shared" si="3"/>
        <v>NO</v>
      </c>
      <c r="Z182" s="187" t="str">
        <f xml:space="preserve"> IF('BASIC INFO'!$B$6+6574.5&gt;C182, "YES", "NO")</f>
        <v>YES</v>
      </c>
    </row>
    <row r="183" spans="1:26" x14ac:dyDescent="0.25">
      <c r="A183" s="162">
        <f xml:space="preserve"> 'CASE DATA'!A184</f>
        <v>0</v>
      </c>
      <c r="B183" s="162">
        <f xml:space="preserve"> 'CASE DATA'!E184</f>
        <v>0</v>
      </c>
      <c r="C183" s="163">
        <f xml:space="preserve"> 'CASE DATA'!C184</f>
        <v>0</v>
      </c>
      <c r="D183" s="11" t="str">
        <f xml:space="preserve"> IF(OR('CASE DATA'!F184="JUV", 'CASE DATA'!F184="JWV"), "YES", "NO")</f>
        <v>NO</v>
      </c>
      <c r="E183" s="11"/>
      <c r="F183" s="11" t="str">
        <f>IF(D183="YES",IF(COUNTIF('CASE DATA'!$C$4:$C$200, "")-COUNTIF('CASE DATA'!$A$4:$A$200, "")&gt;0, "YES","NO"),"N/A")</f>
        <v>N/A</v>
      </c>
      <c r="G183" s="164" t="str">
        <f xml:space="preserve"> _xlfn.IFS(D183="NO", "N/A", AND('BASIC INFO'!$B$3&gt;'BASIC INFO'!$B$6+6574.5, C183+730.5&lt;'BASIC INFO'!$B$3), "YES", 'BASIC INFO'!$B$3&lt;('BASIC INFO'!$B$6+6574.5), "NOT YET 18", C183+730.5&gt;'BASIC INFO'!$B$3, "NOT YET 2 YEARS")</f>
        <v>N/A</v>
      </c>
      <c r="H183" s="186" t="str">
        <f xml:space="preserve"> IF(LEFT('CASE DATA'!E184,4)&lt;&gt;"321.",IF(OR('CASE DATA'!F184="DISM", 'CASE DATA'!F184="ACQ", 'CASE DATA'!F184="NOTF", 'CASE DATA'!F184="WTHD", 'CASE DATA'!F184="TNSF"), "YES", "NO"), "TRAFFIC")</f>
        <v>NO</v>
      </c>
      <c r="I183" s="185" t="str">
        <f xml:space="preserve"> IF(H183="YES",'CASE DATA'!K184,"N/A")</f>
        <v>N/A</v>
      </c>
      <c r="J183" s="185" t="str">
        <f>IF(H183="YES",'CASE DATA'!I184+'CASE DATA'!J184+'CASE DATA'!L184+'CASE DATA'!M184+'CASE DATA'!N184+'CASE DATA'!O184+'CASE DATA'!P184+'CASE DATA'!Q184+'CASE DATA'!R184,"N/A")</f>
        <v>N/A</v>
      </c>
      <c r="K183" s="162" t="str">
        <f xml:space="preserve"> IF(H183="YES",IF(C183+180&lt;'BASIC INFO'!$B$3, "YES", "NO"),"N/A")</f>
        <v>N/A</v>
      </c>
      <c r="L183" s="185" t="str">
        <f>IF(OR('CASE DATA'!F184="GTR", 'CASE DATA'!F184="GPL"),IF(OR('CASE DATA'!E184="81.6(2)", 'CASE DATA'!E184="99F.15(6)(b)(1)", 'CASE DATA'!E184= "124.401(1)(a)", 'CASE DATA'!E184= "124.401(1)(b)", 'CASE DATA'!E184= "124.401(1)(c)", 'CASE DATA'!E184= "124.401(1)(d)", 'CASE DATA'!E184="124.401(4)", 'CASE DATA'!E184="124.401(1)(b)", 'CASE DATA'!E184="124.401(1)(c)", 'CASE DATA'!E184="124.401D(2)(b)", 'CASE DATA'!E184="124.401D(2)(c)", 'CASE DATA'!E184="124.406(1)(a)", 'CASE DATA'!E184="124.406(1)(b) ", 'CASE DATA'!E184="124.406(2)(a)", 'CASE DATA'!E184="124.406(2)(b) ", 'CASE DATA'!E184="124.406(3)", 'CASE DATA'!E184="124.406A ", 'CASE DATA'!E184="124.407(2)(a)", 'CASE DATA'!E184="124B.9(1)", 'CASE DATA'!E184="124B.9(2)", 'CASE DATA'!E184="321J.2(2)(c)", 'CASE DATA'!E184="453B.12(2)", 'CASE DATA'!E184="453B.12(3)", 'CASE DATA'!E184="453B.12(4)", 'CASE DATA'!E184="462A.14(2)(c)", 'CASE DATA'!E184="462A.14(2)(d)", 'CASE DATA'!E184="462A.14(2)(e)", 'CASE DATA'!E184="705.1(2)", 'CASE DATA'!E184="706.3(1)", 'CASE DATA'!E184="706.3(2)", 'CASE DATA'!E184="706A.2(1)", 'CASE DATA'!E184="706A.2(2)", 'CASE DATA'!E184="706A.2(4)", 'CASE DATA'!E184="706B.2(1)(a)", 'CASE DATA'!E184="706B.2(1)(b)", 'CASE DATA'!E184="706B.2(1)(c)", 'CASE DATA'!E184="706B.2(1)(d)", 'CASE DATA'!E184="707.2", 'CASE DATA'!E184="707.3", 'CASE DATA'!E184="707.3A", 'CASE DATA'!E184="707.4", 'CASE DATA'!E184="707.5(1)(a)", 'CASE DATA'!E184="707.6A(1)", 'CASE DATA'!E184="707.6A(2)", 'CASE DATA'!E184="707.6A(3)", 'CASE DATA'!E184="707.6A(4)", 'CASE DATA'!E184="707.7(1)", 'CASE DATA'!E184="707.7(3)", 'CASE DATA'!E184="707.7(2)", 'CASE DATA'!E184="707.8(1)", 'CASE DATA'!E184="707.8(2)", 'CASE DATA'!E184="707.8(3)", 'CASE DATA'!E184="707.8(4)", 'CASE DATA'!E184="707.8(5)", 'CASE DATA'!E184="707.8(6)", 'CASE DATA'!E184="707.9", 'CASE DATA'!E184="707.11", 'CASE DATA'!E184="707A.2", 'CASE DATA'!E184="708.2(4)", 'CASE DATA'!E184="708.2(5)", 'CASE DATA'!E184="708.2A(4)", 'CASE DATA'!E184="708.2A(5)", 'CASE DATA'!E184="708.2C(2)", 'CASE DATA'!E184="708.2C(4)", 'CASE DATA'!E184="708.3(1)", 'CASE DATA'!E184="708.3(2)", 'CASE DATA'!E184="708.3A(1)", 'CASE DATA'!E184="708.3A(2)", 'CASE DATA'!E184="708.3B", 'CASE DATA'!E184="708.4(1)", 'CASE DATA'!E184="708.4(2)", 'CASE DATA'!E184="708.5", 'CASE DATA'!E184="708.8", 'CASE DATA'!E184="708.11(3)(a)", 'CASE DATA'!E184="708.11(3)(b)", 'CASE DATA'!E184="708.12(3)(f)", 'CASE DATA'!E184="708.13(3)", 'CASE DATA'!E184="708.14", 'CASE DATA'!E184="708A.2", 'CASE DATA'!E184="708A.4(1)", 'CASE DATA'!E184="708A.4(2)", 'CASE DATA'!E184="708A.5", 'CASE DATA'!E184="708A.6(1)", 'CASE DATA'!E184="708.A.6(2)", 'CASE DATA'!E184="709.2", 'CASE DATA'!E184="709.3", 'CASE DATA'!E184="709.4", 'CASE DATA'!E184="709.8(1)(a)", 'CASE DATA'!E184="709.8(1)(b)", 'CASE DATA'!E184="709.8(1)(c)", 'CASE DATA'!E184="709.8(1)(d)", 'CASE DATA'!E184="709.8(1)(e)", 'CASE DATA'!E184="709.11(1)", 'CASE DATA'!E184="709.11(2)", 'CASE DATA'!E184="709.15(2)(a)(1)", 'CASE DATA'!E184="709.15(3)(a)(1)", 'CASE DATA'!E184="709.18", 'CASE DATA'!E184="709A.6(2)", 'CASE DATA'!E184="709D.3(1)", 'CASE DATA'!E184="709D.3(2)", 'CASE DATA'!E184="709.D.3(3)", 'CASE DATA'!E184="710.2", 'CASE DATA'!E184="710.3", 'CASE DATA'!E184="710.4", 'CASE DATA'!E184="710.5", 'CASE DATA'!E184="710.10(1)", 'CASE DATA'!E184="710.10(2)", 'CASE DATA'!E184="710.10(3)", 'CASE DATA'!E184="710.11", 'CASE DATA'!E184="710A.2(1)", 'CASE DATA'!E184="710A.2(2)", 'CASE DATA'!E184="710A.2(3)", 'CASE DATA'!E184="710A.2(4)", 'CASE DATA'!E184="710A.2(5)", 'CASE DATA'!E184="710A.2(6)", 'CASE DATA'!E184="710A.2(7)", 'CASE DATA'!E184="710A.2A", 'CASE DATA'!E184="711.2", 'CASE DATA'!E184="711.3", 'CASE DATA'!E184="711.4", 'CASE DATA'!E184="712.2", 'CASE DATA'!E184="712.3", 'CASE DATA'!E184="712.6(1)", 'CASE DATA'!E184="712.7", 'CASE DATA'!E184="712.8", 'CASE DATA'!E184="", 'CASE DATA'!E184="713.3", 'CASE DATA'!E184="713.4", 'CASE DATA'!E184="713.5", 'CASE DATA'!E184="713.6", 'CASE DATA'!E184="713.6A(1)", 'CASE DATA'!E184="714.2(1)", 'CASE DATA'!E184="714.2(2)", 'CASE DATA'!E184="714.3A(2)(b)", 'CASE DATA'!E184="714.9", 'CASE DATA'!E184="714.10", 'CASE DATA'!E184="714.26(2)(a)", 'CASE DATA'!E184="714.26(2)(b)", 'CASE DATA'!E184="715A.2(2)(a)", 'CASE DATA'!E184="715A.6(2)(a)", 'CASE DATA'!E184="715A.6(2)(b)", 'CASE DATA'!E184="715A.8(3)(a)", 'CASE DATA'!E184="715A.8(3)(b)", 'CASE DATA'!E184="715A.10(1)", 'CASE DATA'!E184="715A.10(2)", 'CASE DATA'!E184="716.3", 'CASE DATA'!E184="716.4", 'CASE DATA'!E184="716.8(6)", 'CASE DATA'!E184="716.10(2)(a)", 'CASE DATA'!E184="716.10(2)(b)", 'CASE DATA'!E184="716.10(2)(c)", 'CASE DATA'!E184="716.10(2)(d)", 'CASE DATA'!E184="716.12", 'CASE DATA'!E184="719.1(1)(f)", 'CASE DATA'!E184="719.1(2)(e)", 'CASE DATA'!E184="719.1(2)(f)", 'CASE DATA'!E184="719.1(2)(g)", 'CASE DATA'!E184="719.4(1)", 'CASE DATA'!E184="719.4(4)", 'CASE DATA'!E184="719.5(1)", 'CASE DATA'!E184="719.5(2)", 'CASE DATA'!E184="719.6(1)", 'CASE DATA'!E184="719.6(2)", 'CASE DATA'!E184="719.7(4)(a)", 'CASE DATA'!E184="719.7(4)(b)", 'CASE DATA'!E184="719.7A(3)", 'CASE DATA'!E184="719.9", 'CASE DATA'!E184="719.8", 'CASE DATA'!E184="720.2", 'CASE DATA'!E184="720.3", 'CASE DATA'!E184="721.1", 'CASE DATA'!E184="722.1", 'CASE DATA'!E184="", 'CASE DATA'!E184="722.2", 'CASE DATA'!E184="722.10", 'CASE DATA'!E184="723(5)(3)(c)", 'CASE DATA'!E184="723A.2", 'CASE DATA'!E184="723A.3(1)", 'CASE DATA'!E184="723A.3(2)", 'CASE DATA'!E184="724.1B", 'CASE DATA'!E184="724.1C", 'CASE DATA'!E184="724.3", 'CASE DATA'!E184="724.4B", 'CASE DATA'!E184="724.10", 'CASE DATA'!E184="724.16(2)", 'CASE DATA'!E184="724.16A(1)(a)", 'CASE DATA'!E184="724.16A(1)(b)", 'CASE DATA'!E184="724.17", 'CASE DATA'!E184="724.21", 'CASE DATA'!E184="724.26(1)", 'CASE DATA'!E184="922(g)(8)", 'CASE DATA'!E184="724.29A(2)", 'CASE DATA'!E184="724.29A(3)", 'CASE DATA'!E184="724.30(1)", 'CASE DATA'!E184="724.30(2)", 'CASE DATA'!E184="725.1(2)(b)", 'CASE DATA'!E184="725.2(1)", 'CASE DATA'!E184="725.2(2)", 'CASE DATA'!E184="725.3(2)", 'CASE DATA'!E184="725.3(1)", 'CASE DATA'!E184="725.7(2)(a)(3)", 'CASE DATA'!E184="725.7(2)(a)(4)", 'CASE DATA'!E184="725.7(2)(b)(2)", 'CASE DATA'!E184="725.7(2)(b(3)", 'CASE DATA'!E184="726.7(2)(c)(1)", 'CASE DATA'!E184="726.7(2)(c)(2)", 'CASE DATA'!E184="725.7(2)(d)", 'CASE DATA'!E184="726.2", 'CASE DATA'!E184="726.3", 'CASE DATA'!E184="726.5", 'CASE DATA'!E184="726.6(4)", 'CASE DATA'!E184="726.6(5)", 'CASE DATA'!E184="726.6(6)", 'CASE DATA'!E184="726.6A", 'CASE DATA'!E184="726.7(2)", 'CASE DATA'!E184="726.8(2)", 'CASE DATA'!E184="728.12(1)", 'CASE DATA'!E184="728.12(2)"),"felony","eligible"),"N/A")</f>
        <v>N/A</v>
      </c>
      <c r="M183" s="185" t="str">
        <f>IF(L183="eligible",IF(OR('CASE DATA'!E184="123.46",'CASE DATA'!E184="123.47",'CASE DATA'!E184="235B.20",'CASE DATA'!E184="321.218",'CASE DATA'!E184="321A.32",'CASE DATA'!E184="321J.21",'CASE DATA'!E184="321J.2",'CASE DATA'!E184="707.5",'CASE DATA'!E184="708.2(3)",'CASE DATA'!E184="708.2A",'CASE DATA'!E184="708.7",'CASE DATA'!E184="708.11",'CASE DATA'!E184="708.12",'CASE DATA'!E184="716.8(3)",'CASE DATA'!E184="716.8(4)", LEFT('CASE DATA'!E184,4)="717C", LEFT('CASE DATA'!E184, 3)="719", LEFT('CASE DATA'!E184,3)="720", 'CASE DATA'!E184="721.2", 'CASE DATA'!E184="721.10", 'CASE DATA'!E184="723.1", LEFT('CASE DATA'!E184,3)="724", LEFT('CASE DATA'!E184,3)="726", LEFT('CASE DATA'!E184,3)="728", LEFT('CASE DATA'!E184,4)="901A"),"ineligible misd", "eligible"),"N/A")</f>
        <v>N/A</v>
      </c>
      <c r="N183" s="185" t="str">
        <f>IF(L183="eligible",IF(COUNTIF('CASE DATA'!$C$4:$C$200, "")-COUNTIF('CASE DATA'!$A$4:$A$200, "")&gt;0, "YES","NO"),"N/A")</f>
        <v>N/A</v>
      </c>
      <c r="O183" s="185" t="str">
        <f xml:space="preserve"> IF(M183="eligible",'CASE DATA'!K184,"N/A")</f>
        <v>N/A</v>
      </c>
      <c r="P183" s="185" t="str">
        <f xml:space="preserve"> IF(M183="eligible",'CASE DATA'!I184+'CASE DATA'!J184+'CASE DATA'!L184+'CASE DATA'!M184+'CASE DATA'!N184+'CASE DATA'!O184+'CASE DATA'!M184+'CASE DATA'!Q184+'CASE DATA'!R184,"N/A")</f>
        <v>N/A</v>
      </c>
      <c r="Q183" s="11" t="str">
        <f>IF(M183="eligible",IF(C183+730.5&lt;'BASIC INFO'!$B$3, "YES", "NO"),"N/A")</f>
        <v>N/A</v>
      </c>
      <c r="R183" s="186" t="str">
        <f xml:space="preserve"> IF(OR('CASE DATA'!F184="DEF"), "YES", "NO")</f>
        <v>NO</v>
      </c>
      <c r="S183" s="162" t="str">
        <f>IF(R183="YES",'CASE DATA'!H184,"N/A")</f>
        <v>N/A</v>
      </c>
      <c r="T183" s="185" t="str">
        <f xml:space="preserve"> IF(R183="YES",'CASE DATA'!K184,"N/A")</f>
        <v>N/A</v>
      </c>
      <c r="U183" s="185" t="str">
        <f>IF(R183="YES",'CASE DATA'!I184+'CASE DATA'!J184+'CASE DATA'!L184+'CASE DATA'!M184+'CASE DATA'!N184+'CASE DATA'!O184+'CASE DATA'!P184+'CASE DATA'!Q184+'CASE DATA'!R184,"N/A")</f>
        <v>N/A</v>
      </c>
      <c r="V183" s="189" t="str">
        <f>IF(OR('CASE DATA'!E184="123.46",'CASE DATA'!E184="123.47"),"YES","NO")</f>
        <v>NO</v>
      </c>
      <c r="W183" s="189"/>
      <c r="X183" s="185" t="str">
        <f>IF(V183="YES",IF(C183+730.5&lt;'BASIC INFO'!$B$3, "YES","NO"), "N/A")</f>
        <v>N/A</v>
      </c>
      <c r="Y183" s="189" t="str">
        <f t="shared" si="3"/>
        <v>NO</v>
      </c>
      <c r="Z183" s="187" t="str">
        <f xml:space="preserve"> IF('BASIC INFO'!$B$6+6574.5&gt;C183, "YES", "NO")</f>
        <v>YES</v>
      </c>
    </row>
    <row r="184" spans="1:26" x14ac:dyDescent="0.25">
      <c r="A184" s="162">
        <f xml:space="preserve"> 'CASE DATA'!A185</f>
        <v>0</v>
      </c>
      <c r="B184" s="162">
        <f xml:space="preserve"> 'CASE DATA'!E185</f>
        <v>0</v>
      </c>
      <c r="C184" s="163">
        <f xml:space="preserve"> 'CASE DATA'!C185</f>
        <v>0</v>
      </c>
      <c r="D184" s="11" t="str">
        <f xml:space="preserve"> IF(OR('CASE DATA'!F185="JUV", 'CASE DATA'!F185="JWV"), "YES", "NO")</f>
        <v>NO</v>
      </c>
      <c r="E184" s="11"/>
      <c r="F184" s="11" t="str">
        <f>IF(D184="YES",IF(COUNTIF('CASE DATA'!$C$4:$C$200, "")-COUNTIF('CASE DATA'!$A$4:$A$200, "")&gt;0, "YES","NO"),"N/A")</f>
        <v>N/A</v>
      </c>
      <c r="G184" s="164" t="str">
        <f xml:space="preserve"> _xlfn.IFS(D184="NO", "N/A", AND('BASIC INFO'!$B$3&gt;'BASIC INFO'!$B$6+6574.5, C184+730.5&lt;'BASIC INFO'!$B$3), "YES", 'BASIC INFO'!$B$3&lt;('BASIC INFO'!$B$6+6574.5), "NOT YET 18", C184+730.5&gt;'BASIC INFO'!$B$3, "NOT YET 2 YEARS")</f>
        <v>N/A</v>
      </c>
      <c r="H184" s="186" t="str">
        <f xml:space="preserve"> IF(LEFT('CASE DATA'!E185,4)&lt;&gt;"321.",IF(OR('CASE DATA'!F185="DISM", 'CASE DATA'!F185="ACQ", 'CASE DATA'!F185="NOTF", 'CASE DATA'!F185="WTHD", 'CASE DATA'!F185="TNSF"), "YES", "NO"), "TRAFFIC")</f>
        <v>NO</v>
      </c>
      <c r="I184" s="185" t="str">
        <f xml:space="preserve"> IF(H184="YES",'CASE DATA'!K185,"N/A")</f>
        <v>N/A</v>
      </c>
      <c r="J184" s="185" t="str">
        <f>IF(H184="YES",'CASE DATA'!I185+'CASE DATA'!J185+'CASE DATA'!L185+'CASE DATA'!M185+'CASE DATA'!N185+'CASE DATA'!O185+'CASE DATA'!P185+'CASE DATA'!Q185+'CASE DATA'!R185,"N/A")</f>
        <v>N/A</v>
      </c>
      <c r="K184" s="162" t="str">
        <f xml:space="preserve"> IF(H184="YES",IF(C184+180&lt;'BASIC INFO'!$B$3, "YES", "NO"),"N/A")</f>
        <v>N/A</v>
      </c>
      <c r="L184" s="185" t="str">
        <f>IF(OR('CASE DATA'!F185="GTR", 'CASE DATA'!F185="GPL"),IF(OR('CASE DATA'!E185="81.6(2)", 'CASE DATA'!E185="99F.15(6)(b)(1)", 'CASE DATA'!E185= "124.401(1)(a)", 'CASE DATA'!E185= "124.401(1)(b)", 'CASE DATA'!E185= "124.401(1)(c)", 'CASE DATA'!E185= "124.401(1)(d)", 'CASE DATA'!E185="124.401(4)", 'CASE DATA'!E185="124.401(1)(b)", 'CASE DATA'!E185="124.401(1)(c)", 'CASE DATA'!E185="124.401D(2)(b)", 'CASE DATA'!E185="124.401D(2)(c)", 'CASE DATA'!E185="124.406(1)(a)", 'CASE DATA'!E185="124.406(1)(b) ", 'CASE DATA'!E185="124.406(2)(a)", 'CASE DATA'!E185="124.406(2)(b) ", 'CASE DATA'!E185="124.406(3)", 'CASE DATA'!E185="124.406A ", 'CASE DATA'!E185="124.407(2)(a)", 'CASE DATA'!E185="124B.9(1)", 'CASE DATA'!E185="124B.9(2)", 'CASE DATA'!E185="321J.2(2)(c)", 'CASE DATA'!E185="453B.12(2)", 'CASE DATA'!E185="453B.12(3)", 'CASE DATA'!E185="453B.12(4)", 'CASE DATA'!E185="462A.14(2)(c)", 'CASE DATA'!E185="462A.14(2)(d)", 'CASE DATA'!E185="462A.14(2)(e)", 'CASE DATA'!E185="705.1(2)", 'CASE DATA'!E185="706.3(1)", 'CASE DATA'!E185="706.3(2)", 'CASE DATA'!E185="706A.2(1)", 'CASE DATA'!E185="706A.2(2)", 'CASE DATA'!E185="706A.2(4)", 'CASE DATA'!E185="706B.2(1)(a)", 'CASE DATA'!E185="706B.2(1)(b)", 'CASE DATA'!E185="706B.2(1)(c)", 'CASE DATA'!E185="706B.2(1)(d)", 'CASE DATA'!E185="707.2", 'CASE DATA'!E185="707.3", 'CASE DATA'!E185="707.3A", 'CASE DATA'!E185="707.4", 'CASE DATA'!E185="707.5(1)(a)", 'CASE DATA'!E185="707.6A(1)", 'CASE DATA'!E185="707.6A(2)", 'CASE DATA'!E185="707.6A(3)", 'CASE DATA'!E185="707.6A(4)", 'CASE DATA'!E185="707.7(1)", 'CASE DATA'!E185="707.7(3)", 'CASE DATA'!E185="707.7(2)", 'CASE DATA'!E185="707.8(1)", 'CASE DATA'!E185="707.8(2)", 'CASE DATA'!E185="707.8(3)", 'CASE DATA'!E185="707.8(4)", 'CASE DATA'!E185="707.8(5)", 'CASE DATA'!E185="707.8(6)", 'CASE DATA'!E185="707.9", 'CASE DATA'!E185="707.11", 'CASE DATA'!E185="707A.2", 'CASE DATA'!E185="708.2(4)", 'CASE DATA'!E185="708.2(5)", 'CASE DATA'!E185="708.2A(4)", 'CASE DATA'!E185="708.2A(5)", 'CASE DATA'!E185="708.2C(2)", 'CASE DATA'!E185="708.2C(4)", 'CASE DATA'!E185="708.3(1)", 'CASE DATA'!E185="708.3(2)", 'CASE DATA'!E185="708.3A(1)", 'CASE DATA'!E185="708.3A(2)", 'CASE DATA'!E185="708.3B", 'CASE DATA'!E185="708.4(1)", 'CASE DATA'!E185="708.4(2)", 'CASE DATA'!E185="708.5", 'CASE DATA'!E185="708.8", 'CASE DATA'!E185="708.11(3)(a)", 'CASE DATA'!E185="708.11(3)(b)", 'CASE DATA'!E185="708.12(3)(f)", 'CASE DATA'!E185="708.13(3)", 'CASE DATA'!E185="708.14", 'CASE DATA'!E185="708A.2", 'CASE DATA'!E185="708A.4(1)", 'CASE DATA'!E185="708A.4(2)", 'CASE DATA'!E185="708A.5", 'CASE DATA'!E185="708A.6(1)", 'CASE DATA'!E185="708.A.6(2)", 'CASE DATA'!E185="709.2", 'CASE DATA'!E185="709.3", 'CASE DATA'!E185="709.4", 'CASE DATA'!E185="709.8(1)(a)", 'CASE DATA'!E185="709.8(1)(b)", 'CASE DATA'!E185="709.8(1)(c)", 'CASE DATA'!E185="709.8(1)(d)", 'CASE DATA'!E185="709.8(1)(e)", 'CASE DATA'!E185="709.11(1)", 'CASE DATA'!E185="709.11(2)", 'CASE DATA'!E185="709.15(2)(a)(1)", 'CASE DATA'!E185="709.15(3)(a)(1)", 'CASE DATA'!E185="709.18", 'CASE DATA'!E185="709A.6(2)", 'CASE DATA'!E185="709D.3(1)", 'CASE DATA'!E185="709D.3(2)", 'CASE DATA'!E185="709.D.3(3)", 'CASE DATA'!E185="710.2", 'CASE DATA'!E185="710.3", 'CASE DATA'!E185="710.4", 'CASE DATA'!E185="710.5", 'CASE DATA'!E185="710.10(1)", 'CASE DATA'!E185="710.10(2)", 'CASE DATA'!E185="710.10(3)", 'CASE DATA'!E185="710.11", 'CASE DATA'!E185="710A.2(1)", 'CASE DATA'!E185="710A.2(2)", 'CASE DATA'!E185="710A.2(3)", 'CASE DATA'!E185="710A.2(4)", 'CASE DATA'!E185="710A.2(5)", 'CASE DATA'!E185="710A.2(6)", 'CASE DATA'!E185="710A.2(7)", 'CASE DATA'!E185="710A.2A", 'CASE DATA'!E185="711.2", 'CASE DATA'!E185="711.3", 'CASE DATA'!E185="711.4", 'CASE DATA'!E185="712.2", 'CASE DATA'!E185="712.3", 'CASE DATA'!E185="712.6(1)", 'CASE DATA'!E185="712.7", 'CASE DATA'!E185="712.8", 'CASE DATA'!E185="", 'CASE DATA'!E185="713.3", 'CASE DATA'!E185="713.4", 'CASE DATA'!E185="713.5", 'CASE DATA'!E185="713.6", 'CASE DATA'!E185="713.6A(1)", 'CASE DATA'!E185="714.2(1)", 'CASE DATA'!E185="714.2(2)", 'CASE DATA'!E185="714.3A(2)(b)", 'CASE DATA'!E185="714.9", 'CASE DATA'!E185="714.10", 'CASE DATA'!E185="714.26(2)(a)", 'CASE DATA'!E185="714.26(2)(b)", 'CASE DATA'!E185="715A.2(2)(a)", 'CASE DATA'!E185="715A.6(2)(a)", 'CASE DATA'!E185="715A.6(2)(b)", 'CASE DATA'!E185="715A.8(3)(a)", 'CASE DATA'!E185="715A.8(3)(b)", 'CASE DATA'!E185="715A.10(1)", 'CASE DATA'!E185="715A.10(2)", 'CASE DATA'!E185="716.3", 'CASE DATA'!E185="716.4", 'CASE DATA'!E185="716.8(6)", 'CASE DATA'!E185="716.10(2)(a)", 'CASE DATA'!E185="716.10(2)(b)", 'CASE DATA'!E185="716.10(2)(c)", 'CASE DATA'!E185="716.10(2)(d)", 'CASE DATA'!E185="716.12", 'CASE DATA'!E185="719.1(1)(f)", 'CASE DATA'!E185="719.1(2)(e)", 'CASE DATA'!E185="719.1(2)(f)", 'CASE DATA'!E185="719.1(2)(g)", 'CASE DATA'!E185="719.4(1)", 'CASE DATA'!E185="719.4(4)", 'CASE DATA'!E185="719.5(1)", 'CASE DATA'!E185="719.5(2)", 'CASE DATA'!E185="719.6(1)", 'CASE DATA'!E185="719.6(2)", 'CASE DATA'!E185="719.7(4)(a)", 'CASE DATA'!E185="719.7(4)(b)", 'CASE DATA'!E185="719.7A(3)", 'CASE DATA'!E185="719.9", 'CASE DATA'!E185="719.8", 'CASE DATA'!E185="720.2", 'CASE DATA'!E185="720.3", 'CASE DATA'!E185="721.1", 'CASE DATA'!E185="722.1", 'CASE DATA'!E185="", 'CASE DATA'!E185="722.2", 'CASE DATA'!E185="722.10", 'CASE DATA'!E185="723(5)(3)(c)", 'CASE DATA'!E185="723A.2", 'CASE DATA'!E185="723A.3(1)", 'CASE DATA'!E185="723A.3(2)", 'CASE DATA'!E185="724.1B", 'CASE DATA'!E185="724.1C", 'CASE DATA'!E185="724.3", 'CASE DATA'!E185="724.4B", 'CASE DATA'!E185="724.10", 'CASE DATA'!E185="724.16(2)", 'CASE DATA'!E185="724.16A(1)(a)", 'CASE DATA'!E185="724.16A(1)(b)", 'CASE DATA'!E185="724.17", 'CASE DATA'!E185="724.21", 'CASE DATA'!E185="724.26(1)", 'CASE DATA'!E185="922(g)(8)", 'CASE DATA'!E185="724.29A(2)", 'CASE DATA'!E185="724.29A(3)", 'CASE DATA'!E185="724.30(1)", 'CASE DATA'!E185="724.30(2)", 'CASE DATA'!E185="725.1(2)(b)", 'CASE DATA'!E185="725.2(1)", 'CASE DATA'!E185="725.2(2)", 'CASE DATA'!E185="725.3(2)", 'CASE DATA'!E185="725.3(1)", 'CASE DATA'!E185="725.7(2)(a)(3)", 'CASE DATA'!E185="725.7(2)(a)(4)", 'CASE DATA'!E185="725.7(2)(b)(2)", 'CASE DATA'!E185="725.7(2)(b(3)", 'CASE DATA'!E185="726.7(2)(c)(1)", 'CASE DATA'!E185="726.7(2)(c)(2)", 'CASE DATA'!E185="725.7(2)(d)", 'CASE DATA'!E185="726.2", 'CASE DATA'!E185="726.3", 'CASE DATA'!E185="726.5", 'CASE DATA'!E185="726.6(4)", 'CASE DATA'!E185="726.6(5)", 'CASE DATA'!E185="726.6(6)", 'CASE DATA'!E185="726.6A", 'CASE DATA'!E185="726.7(2)", 'CASE DATA'!E185="726.8(2)", 'CASE DATA'!E185="728.12(1)", 'CASE DATA'!E185="728.12(2)"),"felony","eligible"),"N/A")</f>
        <v>N/A</v>
      </c>
      <c r="M184" s="185" t="str">
        <f>IF(L184="eligible",IF(OR('CASE DATA'!E185="123.46",'CASE DATA'!E185="123.47",'CASE DATA'!E185="235B.20",'CASE DATA'!E185="321.218",'CASE DATA'!E185="321A.32",'CASE DATA'!E185="321J.21",'CASE DATA'!E185="321J.2",'CASE DATA'!E185="707.5",'CASE DATA'!E185="708.2(3)",'CASE DATA'!E185="708.2A",'CASE DATA'!E185="708.7",'CASE DATA'!E185="708.11",'CASE DATA'!E185="708.12",'CASE DATA'!E185="716.8(3)",'CASE DATA'!E185="716.8(4)", LEFT('CASE DATA'!E185,4)="717C", LEFT('CASE DATA'!E185, 3)="719", LEFT('CASE DATA'!E185,3)="720", 'CASE DATA'!E185="721.2", 'CASE DATA'!E185="721.10", 'CASE DATA'!E185="723.1", LEFT('CASE DATA'!E185,3)="724", LEFT('CASE DATA'!E185,3)="726", LEFT('CASE DATA'!E185,3)="728", LEFT('CASE DATA'!E185,4)="901A"),"ineligible misd", "eligible"),"N/A")</f>
        <v>N/A</v>
      </c>
      <c r="N184" s="185" t="str">
        <f>IF(L184="eligible",IF(COUNTIF('CASE DATA'!$C$4:$C$200, "")-COUNTIF('CASE DATA'!$A$4:$A$200, "")&gt;0, "YES","NO"),"N/A")</f>
        <v>N/A</v>
      </c>
      <c r="O184" s="185" t="str">
        <f xml:space="preserve"> IF(M184="eligible",'CASE DATA'!K185,"N/A")</f>
        <v>N/A</v>
      </c>
      <c r="P184" s="185" t="str">
        <f xml:space="preserve"> IF(M184="eligible",'CASE DATA'!I185+'CASE DATA'!J185+'CASE DATA'!L185+'CASE DATA'!M185+'CASE DATA'!N185+'CASE DATA'!O185+'CASE DATA'!M185+'CASE DATA'!Q185+'CASE DATA'!R185,"N/A")</f>
        <v>N/A</v>
      </c>
      <c r="Q184" s="11" t="str">
        <f>IF(M184="eligible",IF(C184+730.5&lt;'BASIC INFO'!$B$3, "YES", "NO"),"N/A")</f>
        <v>N/A</v>
      </c>
      <c r="R184" s="186" t="str">
        <f xml:space="preserve"> IF(OR('CASE DATA'!F185="DEF"), "YES", "NO")</f>
        <v>NO</v>
      </c>
      <c r="S184" s="162" t="str">
        <f>IF(R184="YES",'CASE DATA'!H185,"N/A")</f>
        <v>N/A</v>
      </c>
      <c r="T184" s="185" t="str">
        <f xml:space="preserve"> IF(R184="YES",'CASE DATA'!K185,"N/A")</f>
        <v>N/A</v>
      </c>
      <c r="U184" s="185" t="str">
        <f>IF(R184="YES",'CASE DATA'!I185+'CASE DATA'!J185+'CASE DATA'!L185+'CASE DATA'!M185+'CASE DATA'!N185+'CASE DATA'!O185+'CASE DATA'!P185+'CASE DATA'!Q185+'CASE DATA'!R185,"N/A")</f>
        <v>N/A</v>
      </c>
      <c r="V184" s="189" t="str">
        <f>IF(OR('CASE DATA'!E185="123.46",'CASE DATA'!E185="123.47"),"YES","NO")</f>
        <v>NO</v>
      </c>
      <c r="W184" s="189"/>
      <c r="X184" s="185" t="str">
        <f>IF(V184="YES",IF(C184+730.5&lt;'BASIC INFO'!$B$3, "YES","NO"), "N/A")</f>
        <v>N/A</v>
      </c>
      <c r="Y184" s="189" t="str">
        <f t="shared" si="3"/>
        <v>NO</v>
      </c>
      <c r="Z184" s="187" t="str">
        <f xml:space="preserve"> IF('BASIC INFO'!$B$6+6574.5&gt;C184, "YES", "NO")</f>
        <v>YES</v>
      </c>
    </row>
    <row r="185" spans="1:26" x14ac:dyDescent="0.25">
      <c r="A185" s="162">
        <f xml:space="preserve"> 'CASE DATA'!A186</f>
        <v>0</v>
      </c>
      <c r="B185" s="162">
        <f xml:space="preserve"> 'CASE DATA'!E186</f>
        <v>0</v>
      </c>
      <c r="C185" s="163">
        <f xml:space="preserve"> 'CASE DATA'!C186</f>
        <v>0</v>
      </c>
      <c r="D185" s="11" t="str">
        <f xml:space="preserve"> IF(OR('CASE DATA'!F186="JUV", 'CASE DATA'!F186="JWV"), "YES", "NO")</f>
        <v>NO</v>
      </c>
      <c r="E185" s="11"/>
      <c r="F185" s="11" t="str">
        <f>IF(D185="YES",IF(COUNTIF('CASE DATA'!$C$4:$C$200, "")-COUNTIF('CASE DATA'!$A$4:$A$200, "")&gt;0, "YES","NO"),"N/A")</f>
        <v>N/A</v>
      </c>
      <c r="G185" s="164" t="str">
        <f xml:space="preserve"> _xlfn.IFS(D185="NO", "N/A", AND('BASIC INFO'!$B$3&gt;'BASIC INFO'!$B$6+6574.5, C185+730.5&lt;'BASIC INFO'!$B$3), "YES", 'BASIC INFO'!$B$3&lt;('BASIC INFO'!$B$6+6574.5), "NOT YET 18", C185+730.5&gt;'BASIC INFO'!$B$3, "NOT YET 2 YEARS")</f>
        <v>N/A</v>
      </c>
      <c r="H185" s="186" t="str">
        <f xml:space="preserve"> IF(LEFT('CASE DATA'!E186,4)&lt;&gt;"321.",IF(OR('CASE DATA'!F186="DISM", 'CASE DATA'!F186="ACQ", 'CASE DATA'!F186="NOTF", 'CASE DATA'!F186="WTHD", 'CASE DATA'!F186="TNSF"), "YES", "NO"), "TRAFFIC")</f>
        <v>NO</v>
      </c>
      <c r="I185" s="185" t="str">
        <f xml:space="preserve"> IF(H185="YES",'CASE DATA'!K186,"N/A")</f>
        <v>N/A</v>
      </c>
      <c r="J185" s="185" t="str">
        <f>IF(H185="YES",'CASE DATA'!I186+'CASE DATA'!J186+'CASE DATA'!L186+'CASE DATA'!M186+'CASE DATA'!N186+'CASE DATA'!O186+'CASE DATA'!P186+'CASE DATA'!Q186+'CASE DATA'!R186,"N/A")</f>
        <v>N/A</v>
      </c>
      <c r="K185" s="162" t="str">
        <f xml:space="preserve"> IF(H185="YES",IF(C185+180&lt;'BASIC INFO'!$B$3, "YES", "NO"),"N/A")</f>
        <v>N/A</v>
      </c>
      <c r="L185" s="185" t="str">
        <f>IF(OR('CASE DATA'!F186="GTR", 'CASE DATA'!F186="GPL"),IF(OR('CASE DATA'!E186="81.6(2)", 'CASE DATA'!E186="99F.15(6)(b)(1)", 'CASE DATA'!E186= "124.401(1)(a)", 'CASE DATA'!E186= "124.401(1)(b)", 'CASE DATA'!E186= "124.401(1)(c)", 'CASE DATA'!E186= "124.401(1)(d)", 'CASE DATA'!E186="124.401(4)", 'CASE DATA'!E186="124.401(1)(b)", 'CASE DATA'!E186="124.401(1)(c)", 'CASE DATA'!E186="124.401D(2)(b)", 'CASE DATA'!E186="124.401D(2)(c)", 'CASE DATA'!E186="124.406(1)(a)", 'CASE DATA'!E186="124.406(1)(b) ", 'CASE DATA'!E186="124.406(2)(a)", 'CASE DATA'!E186="124.406(2)(b) ", 'CASE DATA'!E186="124.406(3)", 'CASE DATA'!E186="124.406A ", 'CASE DATA'!E186="124.407(2)(a)", 'CASE DATA'!E186="124B.9(1)", 'CASE DATA'!E186="124B.9(2)", 'CASE DATA'!E186="321J.2(2)(c)", 'CASE DATA'!E186="453B.12(2)", 'CASE DATA'!E186="453B.12(3)", 'CASE DATA'!E186="453B.12(4)", 'CASE DATA'!E186="462A.14(2)(c)", 'CASE DATA'!E186="462A.14(2)(d)", 'CASE DATA'!E186="462A.14(2)(e)", 'CASE DATA'!E186="705.1(2)", 'CASE DATA'!E186="706.3(1)", 'CASE DATA'!E186="706.3(2)", 'CASE DATA'!E186="706A.2(1)", 'CASE DATA'!E186="706A.2(2)", 'CASE DATA'!E186="706A.2(4)", 'CASE DATA'!E186="706B.2(1)(a)", 'CASE DATA'!E186="706B.2(1)(b)", 'CASE DATA'!E186="706B.2(1)(c)", 'CASE DATA'!E186="706B.2(1)(d)", 'CASE DATA'!E186="707.2", 'CASE DATA'!E186="707.3", 'CASE DATA'!E186="707.3A", 'CASE DATA'!E186="707.4", 'CASE DATA'!E186="707.5(1)(a)", 'CASE DATA'!E186="707.6A(1)", 'CASE DATA'!E186="707.6A(2)", 'CASE DATA'!E186="707.6A(3)", 'CASE DATA'!E186="707.6A(4)", 'CASE DATA'!E186="707.7(1)", 'CASE DATA'!E186="707.7(3)", 'CASE DATA'!E186="707.7(2)", 'CASE DATA'!E186="707.8(1)", 'CASE DATA'!E186="707.8(2)", 'CASE DATA'!E186="707.8(3)", 'CASE DATA'!E186="707.8(4)", 'CASE DATA'!E186="707.8(5)", 'CASE DATA'!E186="707.8(6)", 'CASE DATA'!E186="707.9", 'CASE DATA'!E186="707.11", 'CASE DATA'!E186="707A.2", 'CASE DATA'!E186="708.2(4)", 'CASE DATA'!E186="708.2(5)", 'CASE DATA'!E186="708.2A(4)", 'CASE DATA'!E186="708.2A(5)", 'CASE DATA'!E186="708.2C(2)", 'CASE DATA'!E186="708.2C(4)", 'CASE DATA'!E186="708.3(1)", 'CASE DATA'!E186="708.3(2)", 'CASE DATA'!E186="708.3A(1)", 'CASE DATA'!E186="708.3A(2)", 'CASE DATA'!E186="708.3B", 'CASE DATA'!E186="708.4(1)", 'CASE DATA'!E186="708.4(2)", 'CASE DATA'!E186="708.5", 'CASE DATA'!E186="708.8", 'CASE DATA'!E186="708.11(3)(a)", 'CASE DATA'!E186="708.11(3)(b)", 'CASE DATA'!E186="708.12(3)(f)", 'CASE DATA'!E186="708.13(3)", 'CASE DATA'!E186="708.14", 'CASE DATA'!E186="708A.2", 'CASE DATA'!E186="708A.4(1)", 'CASE DATA'!E186="708A.4(2)", 'CASE DATA'!E186="708A.5", 'CASE DATA'!E186="708A.6(1)", 'CASE DATA'!E186="708.A.6(2)", 'CASE DATA'!E186="709.2", 'CASE DATA'!E186="709.3", 'CASE DATA'!E186="709.4", 'CASE DATA'!E186="709.8(1)(a)", 'CASE DATA'!E186="709.8(1)(b)", 'CASE DATA'!E186="709.8(1)(c)", 'CASE DATA'!E186="709.8(1)(d)", 'CASE DATA'!E186="709.8(1)(e)", 'CASE DATA'!E186="709.11(1)", 'CASE DATA'!E186="709.11(2)", 'CASE DATA'!E186="709.15(2)(a)(1)", 'CASE DATA'!E186="709.15(3)(a)(1)", 'CASE DATA'!E186="709.18", 'CASE DATA'!E186="709A.6(2)", 'CASE DATA'!E186="709D.3(1)", 'CASE DATA'!E186="709D.3(2)", 'CASE DATA'!E186="709.D.3(3)", 'CASE DATA'!E186="710.2", 'CASE DATA'!E186="710.3", 'CASE DATA'!E186="710.4", 'CASE DATA'!E186="710.5", 'CASE DATA'!E186="710.10(1)", 'CASE DATA'!E186="710.10(2)", 'CASE DATA'!E186="710.10(3)", 'CASE DATA'!E186="710.11", 'CASE DATA'!E186="710A.2(1)", 'CASE DATA'!E186="710A.2(2)", 'CASE DATA'!E186="710A.2(3)", 'CASE DATA'!E186="710A.2(4)", 'CASE DATA'!E186="710A.2(5)", 'CASE DATA'!E186="710A.2(6)", 'CASE DATA'!E186="710A.2(7)", 'CASE DATA'!E186="710A.2A", 'CASE DATA'!E186="711.2", 'CASE DATA'!E186="711.3", 'CASE DATA'!E186="711.4", 'CASE DATA'!E186="712.2", 'CASE DATA'!E186="712.3", 'CASE DATA'!E186="712.6(1)", 'CASE DATA'!E186="712.7", 'CASE DATA'!E186="712.8", 'CASE DATA'!E186="", 'CASE DATA'!E186="713.3", 'CASE DATA'!E186="713.4", 'CASE DATA'!E186="713.5", 'CASE DATA'!E186="713.6", 'CASE DATA'!E186="713.6A(1)", 'CASE DATA'!E186="714.2(1)", 'CASE DATA'!E186="714.2(2)", 'CASE DATA'!E186="714.3A(2)(b)", 'CASE DATA'!E186="714.9", 'CASE DATA'!E186="714.10", 'CASE DATA'!E186="714.26(2)(a)", 'CASE DATA'!E186="714.26(2)(b)", 'CASE DATA'!E186="715A.2(2)(a)", 'CASE DATA'!E186="715A.6(2)(a)", 'CASE DATA'!E186="715A.6(2)(b)", 'CASE DATA'!E186="715A.8(3)(a)", 'CASE DATA'!E186="715A.8(3)(b)", 'CASE DATA'!E186="715A.10(1)", 'CASE DATA'!E186="715A.10(2)", 'CASE DATA'!E186="716.3", 'CASE DATA'!E186="716.4", 'CASE DATA'!E186="716.8(6)", 'CASE DATA'!E186="716.10(2)(a)", 'CASE DATA'!E186="716.10(2)(b)", 'CASE DATA'!E186="716.10(2)(c)", 'CASE DATA'!E186="716.10(2)(d)", 'CASE DATA'!E186="716.12", 'CASE DATA'!E186="719.1(1)(f)", 'CASE DATA'!E186="719.1(2)(e)", 'CASE DATA'!E186="719.1(2)(f)", 'CASE DATA'!E186="719.1(2)(g)", 'CASE DATA'!E186="719.4(1)", 'CASE DATA'!E186="719.4(4)", 'CASE DATA'!E186="719.5(1)", 'CASE DATA'!E186="719.5(2)", 'CASE DATA'!E186="719.6(1)", 'CASE DATA'!E186="719.6(2)", 'CASE DATA'!E186="719.7(4)(a)", 'CASE DATA'!E186="719.7(4)(b)", 'CASE DATA'!E186="719.7A(3)", 'CASE DATA'!E186="719.9", 'CASE DATA'!E186="719.8", 'CASE DATA'!E186="720.2", 'CASE DATA'!E186="720.3", 'CASE DATA'!E186="721.1", 'CASE DATA'!E186="722.1", 'CASE DATA'!E186="", 'CASE DATA'!E186="722.2", 'CASE DATA'!E186="722.10", 'CASE DATA'!E186="723(5)(3)(c)", 'CASE DATA'!E186="723A.2", 'CASE DATA'!E186="723A.3(1)", 'CASE DATA'!E186="723A.3(2)", 'CASE DATA'!E186="724.1B", 'CASE DATA'!E186="724.1C", 'CASE DATA'!E186="724.3", 'CASE DATA'!E186="724.4B", 'CASE DATA'!E186="724.10", 'CASE DATA'!E186="724.16(2)", 'CASE DATA'!E186="724.16A(1)(a)", 'CASE DATA'!E186="724.16A(1)(b)", 'CASE DATA'!E186="724.17", 'CASE DATA'!E186="724.21", 'CASE DATA'!E186="724.26(1)", 'CASE DATA'!E186="922(g)(8)", 'CASE DATA'!E186="724.29A(2)", 'CASE DATA'!E186="724.29A(3)", 'CASE DATA'!E186="724.30(1)", 'CASE DATA'!E186="724.30(2)", 'CASE DATA'!E186="725.1(2)(b)", 'CASE DATA'!E186="725.2(1)", 'CASE DATA'!E186="725.2(2)", 'CASE DATA'!E186="725.3(2)", 'CASE DATA'!E186="725.3(1)", 'CASE DATA'!E186="725.7(2)(a)(3)", 'CASE DATA'!E186="725.7(2)(a)(4)", 'CASE DATA'!E186="725.7(2)(b)(2)", 'CASE DATA'!E186="725.7(2)(b(3)", 'CASE DATA'!E186="726.7(2)(c)(1)", 'CASE DATA'!E186="726.7(2)(c)(2)", 'CASE DATA'!E186="725.7(2)(d)", 'CASE DATA'!E186="726.2", 'CASE DATA'!E186="726.3", 'CASE DATA'!E186="726.5", 'CASE DATA'!E186="726.6(4)", 'CASE DATA'!E186="726.6(5)", 'CASE DATA'!E186="726.6(6)", 'CASE DATA'!E186="726.6A", 'CASE DATA'!E186="726.7(2)", 'CASE DATA'!E186="726.8(2)", 'CASE DATA'!E186="728.12(1)", 'CASE DATA'!E186="728.12(2)"),"felony","eligible"),"N/A")</f>
        <v>N/A</v>
      </c>
      <c r="M185" s="185" t="str">
        <f>IF(L185="eligible",IF(OR('CASE DATA'!E186="123.46",'CASE DATA'!E186="123.47",'CASE DATA'!E186="235B.20",'CASE DATA'!E186="321.218",'CASE DATA'!E186="321A.32",'CASE DATA'!E186="321J.21",'CASE DATA'!E186="321J.2",'CASE DATA'!E186="707.5",'CASE DATA'!E186="708.2(3)",'CASE DATA'!E186="708.2A",'CASE DATA'!E186="708.7",'CASE DATA'!E186="708.11",'CASE DATA'!E186="708.12",'CASE DATA'!E186="716.8(3)",'CASE DATA'!E186="716.8(4)", LEFT('CASE DATA'!E186,4)="717C", LEFT('CASE DATA'!E186, 3)="719", LEFT('CASE DATA'!E186,3)="720", 'CASE DATA'!E186="721.2", 'CASE DATA'!E186="721.10", 'CASE DATA'!E186="723.1", LEFT('CASE DATA'!E186,3)="724", LEFT('CASE DATA'!E186,3)="726", LEFT('CASE DATA'!E186,3)="728", LEFT('CASE DATA'!E186,4)="901A"),"ineligible misd", "eligible"),"N/A")</f>
        <v>N/A</v>
      </c>
      <c r="N185" s="185" t="str">
        <f>IF(L185="eligible",IF(COUNTIF('CASE DATA'!$C$4:$C$200, "")-COUNTIF('CASE DATA'!$A$4:$A$200, "")&gt;0, "YES","NO"),"N/A")</f>
        <v>N/A</v>
      </c>
      <c r="O185" s="185" t="str">
        <f xml:space="preserve"> IF(M185="eligible",'CASE DATA'!K186,"N/A")</f>
        <v>N/A</v>
      </c>
      <c r="P185" s="185" t="str">
        <f xml:space="preserve"> IF(M185="eligible",'CASE DATA'!I186+'CASE DATA'!J186+'CASE DATA'!L186+'CASE DATA'!M186+'CASE DATA'!N186+'CASE DATA'!O186+'CASE DATA'!M186+'CASE DATA'!Q186+'CASE DATA'!R186,"N/A")</f>
        <v>N/A</v>
      </c>
      <c r="Q185" s="11" t="str">
        <f>IF(M185="eligible",IF(C185+730.5&lt;'BASIC INFO'!$B$3, "YES", "NO"),"N/A")</f>
        <v>N/A</v>
      </c>
      <c r="R185" s="186" t="str">
        <f xml:space="preserve"> IF(OR('CASE DATA'!F186="DEF"), "YES", "NO")</f>
        <v>NO</v>
      </c>
      <c r="S185" s="162" t="str">
        <f>IF(R185="YES",'CASE DATA'!H186,"N/A")</f>
        <v>N/A</v>
      </c>
      <c r="T185" s="185" t="str">
        <f xml:space="preserve"> IF(R185="YES",'CASE DATA'!K186,"N/A")</f>
        <v>N/A</v>
      </c>
      <c r="U185" s="185" t="str">
        <f>IF(R185="YES",'CASE DATA'!I186+'CASE DATA'!J186+'CASE DATA'!L186+'CASE DATA'!M186+'CASE DATA'!N186+'CASE DATA'!O186+'CASE DATA'!P186+'CASE DATA'!Q186+'CASE DATA'!R186,"N/A")</f>
        <v>N/A</v>
      </c>
      <c r="V185" s="189" t="str">
        <f>IF(OR('CASE DATA'!E186="123.46",'CASE DATA'!E186="123.47"),"YES","NO")</f>
        <v>NO</v>
      </c>
      <c r="W185" s="189"/>
      <c r="X185" s="185" t="str">
        <f>IF(V185="YES",IF(C185+730.5&lt;'BASIC INFO'!$B$3, "YES","NO"), "N/A")</f>
        <v>N/A</v>
      </c>
      <c r="Y185" s="189" t="str">
        <f t="shared" si="3"/>
        <v>NO</v>
      </c>
      <c r="Z185" s="187" t="str">
        <f xml:space="preserve"> IF('BASIC INFO'!$B$6+6574.5&gt;C185, "YES", "NO")</f>
        <v>YES</v>
      </c>
    </row>
    <row r="186" spans="1:26" x14ac:dyDescent="0.25">
      <c r="A186" s="162">
        <f xml:space="preserve"> 'CASE DATA'!A187</f>
        <v>0</v>
      </c>
      <c r="B186" s="162">
        <f xml:space="preserve"> 'CASE DATA'!E187</f>
        <v>0</v>
      </c>
      <c r="C186" s="163">
        <f xml:space="preserve"> 'CASE DATA'!C187</f>
        <v>0</v>
      </c>
      <c r="D186" s="11" t="str">
        <f xml:space="preserve"> IF(OR('CASE DATA'!F187="JUV", 'CASE DATA'!F187="JWV"), "YES", "NO")</f>
        <v>NO</v>
      </c>
      <c r="E186" s="11"/>
      <c r="F186" s="11" t="str">
        <f>IF(D186="YES",IF(COUNTIF('CASE DATA'!$C$4:$C$200, "")-COUNTIF('CASE DATA'!$A$4:$A$200, "")&gt;0, "YES","NO"),"N/A")</f>
        <v>N/A</v>
      </c>
      <c r="G186" s="164" t="str">
        <f xml:space="preserve"> _xlfn.IFS(D186="NO", "N/A", AND('BASIC INFO'!$B$3&gt;'BASIC INFO'!$B$6+6574.5, C186+730.5&lt;'BASIC INFO'!$B$3), "YES", 'BASIC INFO'!$B$3&lt;('BASIC INFO'!$B$6+6574.5), "NOT YET 18", C186+730.5&gt;'BASIC INFO'!$B$3, "NOT YET 2 YEARS")</f>
        <v>N/A</v>
      </c>
      <c r="H186" s="186" t="str">
        <f xml:space="preserve"> IF(LEFT('CASE DATA'!E187,4)&lt;&gt;"321.",IF(OR('CASE DATA'!F187="DISM", 'CASE DATA'!F187="ACQ", 'CASE DATA'!F187="NOTF", 'CASE DATA'!F187="WTHD", 'CASE DATA'!F187="TNSF"), "YES", "NO"), "TRAFFIC")</f>
        <v>NO</v>
      </c>
      <c r="I186" s="185" t="str">
        <f xml:space="preserve"> IF(H186="YES",'CASE DATA'!K187,"N/A")</f>
        <v>N/A</v>
      </c>
      <c r="J186" s="185" t="str">
        <f>IF(H186="YES",'CASE DATA'!I187+'CASE DATA'!J187+'CASE DATA'!L187+'CASE DATA'!M187+'CASE DATA'!N187+'CASE DATA'!O187+'CASE DATA'!P187+'CASE DATA'!Q187+'CASE DATA'!R187,"N/A")</f>
        <v>N/A</v>
      </c>
      <c r="K186" s="162" t="str">
        <f xml:space="preserve"> IF(H186="YES",IF(C186+180&lt;'BASIC INFO'!$B$3, "YES", "NO"),"N/A")</f>
        <v>N/A</v>
      </c>
      <c r="L186" s="185" t="str">
        <f>IF(OR('CASE DATA'!F187="GTR", 'CASE DATA'!F187="GPL"),IF(OR('CASE DATA'!E187="81.6(2)", 'CASE DATA'!E187="99F.15(6)(b)(1)", 'CASE DATA'!E187= "124.401(1)(a)", 'CASE DATA'!E187= "124.401(1)(b)", 'CASE DATA'!E187= "124.401(1)(c)", 'CASE DATA'!E187= "124.401(1)(d)", 'CASE DATA'!E187="124.401(4)", 'CASE DATA'!E187="124.401(1)(b)", 'CASE DATA'!E187="124.401(1)(c)", 'CASE DATA'!E187="124.401D(2)(b)", 'CASE DATA'!E187="124.401D(2)(c)", 'CASE DATA'!E187="124.406(1)(a)", 'CASE DATA'!E187="124.406(1)(b) ", 'CASE DATA'!E187="124.406(2)(a)", 'CASE DATA'!E187="124.406(2)(b) ", 'CASE DATA'!E187="124.406(3)", 'CASE DATA'!E187="124.406A ", 'CASE DATA'!E187="124.407(2)(a)", 'CASE DATA'!E187="124B.9(1)", 'CASE DATA'!E187="124B.9(2)", 'CASE DATA'!E187="321J.2(2)(c)", 'CASE DATA'!E187="453B.12(2)", 'CASE DATA'!E187="453B.12(3)", 'CASE DATA'!E187="453B.12(4)", 'CASE DATA'!E187="462A.14(2)(c)", 'CASE DATA'!E187="462A.14(2)(d)", 'CASE DATA'!E187="462A.14(2)(e)", 'CASE DATA'!E187="705.1(2)", 'CASE DATA'!E187="706.3(1)", 'CASE DATA'!E187="706.3(2)", 'CASE DATA'!E187="706A.2(1)", 'CASE DATA'!E187="706A.2(2)", 'CASE DATA'!E187="706A.2(4)", 'CASE DATA'!E187="706B.2(1)(a)", 'CASE DATA'!E187="706B.2(1)(b)", 'CASE DATA'!E187="706B.2(1)(c)", 'CASE DATA'!E187="706B.2(1)(d)", 'CASE DATA'!E187="707.2", 'CASE DATA'!E187="707.3", 'CASE DATA'!E187="707.3A", 'CASE DATA'!E187="707.4", 'CASE DATA'!E187="707.5(1)(a)", 'CASE DATA'!E187="707.6A(1)", 'CASE DATA'!E187="707.6A(2)", 'CASE DATA'!E187="707.6A(3)", 'CASE DATA'!E187="707.6A(4)", 'CASE DATA'!E187="707.7(1)", 'CASE DATA'!E187="707.7(3)", 'CASE DATA'!E187="707.7(2)", 'CASE DATA'!E187="707.8(1)", 'CASE DATA'!E187="707.8(2)", 'CASE DATA'!E187="707.8(3)", 'CASE DATA'!E187="707.8(4)", 'CASE DATA'!E187="707.8(5)", 'CASE DATA'!E187="707.8(6)", 'CASE DATA'!E187="707.9", 'CASE DATA'!E187="707.11", 'CASE DATA'!E187="707A.2", 'CASE DATA'!E187="708.2(4)", 'CASE DATA'!E187="708.2(5)", 'CASE DATA'!E187="708.2A(4)", 'CASE DATA'!E187="708.2A(5)", 'CASE DATA'!E187="708.2C(2)", 'CASE DATA'!E187="708.2C(4)", 'CASE DATA'!E187="708.3(1)", 'CASE DATA'!E187="708.3(2)", 'CASE DATA'!E187="708.3A(1)", 'CASE DATA'!E187="708.3A(2)", 'CASE DATA'!E187="708.3B", 'CASE DATA'!E187="708.4(1)", 'CASE DATA'!E187="708.4(2)", 'CASE DATA'!E187="708.5", 'CASE DATA'!E187="708.8", 'CASE DATA'!E187="708.11(3)(a)", 'CASE DATA'!E187="708.11(3)(b)", 'CASE DATA'!E187="708.12(3)(f)", 'CASE DATA'!E187="708.13(3)", 'CASE DATA'!E187="708.14", 'CASE DATA'!E187="708A.2", 'CASE DATA'!E187="708A.4(1)", 'CASE DATA'!E187="708A.4(2)", 'CASE DATA'!E187="708A.5", 'CASE DATA'!E187="708A.6(1)", 'CASE DATA'!E187="708.A.6(2)", 'CASE DATA'!E187="709.2", 'CASE DATA'!E187="709.3", 'CASE DATA'!E187="709.4", 'CASE DATA'!E187="709.8(1)(a)", 'CASE DATA'!E187="709.8(1)(b)", 'CASE DATA'!E187="709.8(1)(c)", 'CASE DATA'!E187="709.8(1)(d)", 'CASE DATA'!E187="709.8(1)(e)", 'CASE DATA'!E187="709.11(1)", 'CASE DATA'!E187="709.11(2)", 'CASE DATA'!E187="709.15(2)(a)(1)", 'CASE DATA'!E187="709.15(3)(a)(1)", 'CASE DATA'!E187="709.18", 'CASE DATA'!E187="709A.6(2)", 'CASE DATA'!E187="709D.3(1)", 'CASE DATA'!E187="709D.3(2)", 'CASE DATA'!E187="709.D.3(3)", 'CASE DATA'!E187="710.2", 'CASE DATA'!E187="710.3", 'CASE DATA'!E187="710.4", 'CASE DATA'!E187="710.5", 'CASE DATA'!E187="710.10(1)", 'CASE DATA'!E187="710.10(2)", 'CASE DATA'!E187="710.10(3)", 'CASE DATA'!E187="710.11", 'CASE DATA'!E187="710A.2(1)", 'CASE DATA'!E187="710A.2(2)", 'CASE DATA'!E187="710A.2(3)", 'CASE DATA'!E187="710A.2(4)", 'CASE DATA'!E187="710A.2(5)", 'CASE DATA'!E187="710A.2(6)", 'CASE DATA'!E187="710A.2(7)", 'CASE DATA'!E187="710A.2A", 'CASE DATA'!E187="711.2", 'CASE DATA'!E187="711.3", 'CASE DATA'!E187="711.4", 'CASE DATA'!E187="712.2", 'CASE DATA'!E187="712.3", 'CASE DATA'!E187="712.6(1)", 'CASE DATA'!E187="712.7", 'CASE DATA'!E187="712.8", 'CASE DATA'!E187="", 'CASE DATA'!E187="713.3", 'CASE DATA'!E187="713.4", 'CASE DATA'!E187="713.5", 'CASE DATA'!E187="713.6", 'CASE DATA'!E187="713.6A(1)", 'CASE DATA'!E187="714.2(1)", 'CASE DATA'!E187="714.2(2)", 'CASE DATA'!E187="714.3A(2)(b)", 'CASE DATA'!E187="714.9", 'CASE DATA'!E187="714.10", 'CASE DATA'!E187="714.26(2)(a)", 'CASE DATA'!E187="714.26(2)(b)", 'CASE DATA'!E187="715A.2(2)(a)", 'CASE DATA'!E187="715A.6(2)(a)", 'CASE DATA'!E187="715A.6(2)(b)", 'CASE DATA'!E187="715A.8(3)(a)", 'CASE DATA'!E187="715A.8(3)(b)", 'CASE DATA'!E187="715A.10(1)", 'CASE DATA'!E187="715A.10(2)", 'CASE DATA'!E187="716.3", 'CASE DATA'!E187="716.4", 'CASE DATA'!E187="716.8(6)", 'CASE DATA'!E187="716.10(2)(a)", 'CASE DATA'!E187="716.10(2)(b)", 'CASE DATA'!E187="716.10(2)(c)", 'CASE DATA'!E187="716.10(2)(d)", 'CASE DATA'!E187="716.12", 'CASE DATA'!E187="719.1(1)(f)", 'CASE DATA'!E187="719.1(2)(e)", 'CASE DATA'!E187="719.1(2)(f)", 'CASE DATA'!E187="719.1(2)(g)", 'CASE DATA'!E187="719.4(1)", 'CASE DATA'!E187="719.4(4)", 'CASE DATA'!E187="719.5(1)", 'CASE DATA'!E187="719.5(2)", 'CASE DATA'!E187="719.6(1)", 'CASE DATA'!E187="719.6(2)", 'CASE DATA'!E187="719.7(4)(a)", 'CASE DATA'!E187="719.7(4)(b)", 'CASE DATA'!E187="719.7A(3)", 'CASE DATA'!E187="719.9", 'CASE DATA'!E187="719.8", 'CASE DATA'!E187="720.2", 'CASE DATA'!E187="720.3", 'CASE DATA'!E187="721.1", 'CASE DATA'!E187="722.1", 'CASE DATA'!E187="", 'CASE DATA'!E187="722.2", 'CASE DATA'!E187="722.10", 'CASE DATA'!E187="723(5)(3)(c)", 'CASE DATA'!E187="723A.2", 'CASE DATA'!E187="723A.3(1)", 'CASE DATA'!E187="723A.3(2)", 'CASE DATA'!E187="724.1B", 'CASE DATA'!E187="724.1C", 'CASE DATA'!E187="724.3", 'CASE DATA'!E187="724.4B", 'CASE DATA'!E187="724.10", 'CASE DATA'!E187="724.16(2)", 'CASE DATA'!E187="724.16A(1)(a)", 'CASE DATA'!E187="724.16A(1)(b)", 'CASE DATA'!E187="724.17", 'CASE DATA'!E187="724.21", 'CASE DATA'!E187="724.26(1)", 'CASE DATA'!E187="922(g)(8)", 'CASE DATA'!E187="724.29A(2)", 'CASE DATA'!E187="724.29A(3)", 'CASE DATA'!E187="724.30(1)", 'CASE DATA'!E187="724.30(2)", 'CASE DATA'!E187="725.1(2)(b)", 'CASE DATA'!E187="725.2(1)", 'CASE DATA'!E187="725.2(2)", 'CASE DATA'!E187="725.3(2)", 'CASE DATA'!E187="725.3(1)", 'CASE DATA'!E187="725.7(2)(a)(3)", 'CASE DATA'!E187="725.7(2)(a)(4)", 'CASE DATA'!E187="725.7(2)(b)(2)", 'CASE DATA'!E187="725.7(2)(b(3)", 'CASE DATA'!E187="726.7(2)(c)(1)", 'CASE DATA'!E187="726.7(2)(c)(2)", 'CASE DATA'!E187="725.7(2)(d)", 'CASE DATA'!E187="726.2", 'CASE DATA'!E187="726.3", 'CASE DATA'!E187="726.5", 'CASE DATA'!E187="726.6(4)", 'CASE DATA'!E187="726.6(5)", 'CASE DATA'!E187="726.6(6)", 'CASE DATA'!E187="726.6A", 'CASE DATA'!E187="726.7(2)", 'CASE DATA'!E187="726.8(2)", 'CASE DATA'!E187="728.12(1)", 'CASE DATA'!E187="728.12(2)"),"felony","eligible"),"N/A")</f>
        <v>N/A</v>
      </c>
      <c r="M186" s="185" t="str">
        <f>IF(L186="eligible",IF(OR('CASE DATA'!E187="123.46",'CASE DATA'!E187="123.47",'CASE DATA'!E187="235B.20",'CASE DATA'!E187="321.218",'CASE DATA'!E187="321A.32",'CASE DATA'!E187="321J.21",'CASE DATA'!E187="321J.2",'CASE DATA'!E187="707.5",'CASE DATA'!E187="708.2(3)",'CASE DATA'!E187="708.2A",'CASE DATA'!E187="708.7",'CASE DATA'!E187="708.11",'CASE DATA'!E187="708.12",'CASE DATA'!E187="716.8(3)",'CASE DATA'!E187="716.8(4)", LEFT('CASE DATA'!E187,4)="717C", LEFT('CASE DATA'!E187, 3)="719", LEFT('CASE DATA'!E187,3)="720", 'CASE DATA'!E187="721.2", 'CASE DATA'!E187="721.10", 'CASE DATA'!E187="723.1", LEFT('CASE DATA'!E187,3)="724", LEFT('CASE DATA'!E187,3)="726", LEFT('CASE DATA'!E187,3)="728", LEFT('CASE DATA'!E187,4)="901A"),"ineligible misd", "eligible"),"N/A")</f>
        <v>N/A</v>
      </c>
      <c r="N186" s="185" t="str">
        <f>IF(L186="eligible",IF(COUNTIF('CASE DATA'!$C$4:$C$200, "")-COUNTIF('CASE DATA'!$A$4:$A$200, "")&gt;0, "YES","NO"),"N/A")</f>
        <v>N/A</v>
      </c>
      <c r="O186" s="185" t="str">
        <f xml:space="preserve"> IF(M186="eligible",'CASE DATA'!K187,"N/A")</f>
        <v>N/A</v>
      </c>
      <c r="P186" s="185" t="str">
        <f xml:space="preserve"> IF(M186="eligible",'CASE DATA'!I187+'CASE DATA'!J187+'CASE DATA'!L187+'CASE DATA'!M187+'CASE DATA'!N187+'CASE DATA'!O187+'CASE DATA'!M187+'CASE DATA'!Q187+'CASE DATA'!R187,"N/A")</f>
        <v>N/A</v>
      </c>
      <c r="Q186" s="11" t="str">
        <f>IF(M186="eligible",IF(C186+730.5&lt;'BASIC INFO'!$B$3, "YES", "NO"),"N/A")</f>
        <v>N/A</v>
      </c>
      <c r="R186" s="186" t="str">
        <f xml:space="preserve"> IF(OR('CASE DATA'!F187="DEF"), "YES", "NO")</f>
        <v>NO</v>
      </c>
      <c r="S186" s="162" t="str">
        <f>IF(R186="YES",'CASE DATA'!H187,"N/A")</f>
        <v>N/A</v>
      </c>
      <c r="T186" s="185" t="str">
        <f xml:space="preserve"> IF(R186="YES",'CASE DATA'!K187,"N/A")</f>
        <v>N/A</v>
      </c>
      <c r="U186" s="185" t="str">
        <f>IF(R186="YES",'CASE DATA'!I187+'CASE DATA'!J187+'CASE DATA'!L187+'CASE DATA'!M187+'CASE DATA'!N187+'CASE DATA'!O187+'CASE DATA'!P187+'CASE DATA'!Q187+'CASE DATA'!R187,"N/A")</f>
        <v>N/A</v>
      </c>
      <c r="V186" s="189" t="str">
        <f>IF(OR('CASE DATA'!E187="123.46",'CASE DATA'!E187="123.47"),"YES","NO")</f>
        <v>NO</v>
      </c>
      <c r="W186" s="189"/>
      <c r="X186" s="185" t="str">
        <f>IF(V186="YES",IF(C186+730.5&lt;'BASIC INFO'!$B$3, "YES","NO"), "N/A")</f>
        <v>N/A</v>
      </c>
      <c r="Y186" s="189" t="str">
        <f t="shared" si="3"/>
        <v>NO</v>
      </c>
      <c r="Z186" s="187" t="str">
        <f xml:space="preserve"> IF('BASIC INFO'!$B$6+6574.5&gt;C186, "YES", "NO")</f>
        <v>YES</v>
      </c>
    </row>
    <row r="187" spans="1:26" x14ac:dyDescent="0.25">
      <c r="A187" s="162">
        <f xml:space="preserve"> 'CASE DATA'!A188</f>
        <v>0</v>
      </c>
      <c r="B187" s="162">
        <f xml:space="preserve"> 'CASE DATA'!E188</f>
        <v>0</v>
      </c>
      <c r="C187" s="163">
        <f xml:space="preserve"> 'CASE DATA'!C188</f>
        <v>0</v>
      </c>
      <c r="D187" s="11" t="str">
        <f xml:space="preserve"> IF(OR('CASE DATA'!F188="JUV", 'CASE DATA'!F188="JWV"), "YES", "NO")</f>
        <v>NO</v>
      </c>
      <c r="E187" s="11"/>
      <c r="F187" s="11" t="str">
        <f>IF(D187="YES",IF(COUNTIF('CASE DATA'!$C$4:$C$200, "")-COUNTIF('CASE DATA'!$A$4:$A$200, "")&gt;0, "YES","NO"),"N/A")</f>
        <v>N/A</v>
      </c>
      <c r="G187" s="164" t="str">
        <f xml:space="preserve"> _xlfn.IFS(D187="NO", "N/A", AND('BASIC INFO'!$B$3&gt;'BASIC INFO'!$B$6+6574.5, C187+730.5&lt;'BASIC INFO'!$B$3), "YES", 'BASIC INFO'!$B$3&lt;('BASIC INFO'!$B$6+6574.5), "NOT YET 18", C187+730.5&gt;'BASIC INFO'!$B$3, "NOT YET 2 YEARS")</f>
        <v>N/A</v>
      </c>
      <c r="H187" s="186" t="str">
        <f xml:space="preserve"> IF(LEFT('CASE DATA'!E188,4)&lt;&gt;"321.",IF(OR('CASE DATA'!F188="DISM", 'CASE DATA'!F188="ACQ", 'CASE DATA'!F188="NOTF", 'CASE DATA'!F188="WTHD", 'CASE DATA'!F188="TNSF"), "YES", "NO"), "TRAFFIC")</f>
        <v>NO</v>
      </c>
      <c r="I187" s="185" t="str">
        <f xml:space="preserve"> IF(H187="YES",'CASE DATA'!K188,"N/A")</f>
        <v>N/A</v>
      </c>
      <c r="J187" s="185" t="str">
        <f>IF(H187="YES",'CASE DATA'!I188+'CASE DATA'!J188+'CASE DATA'!L188+'CASE DATA'!M188+'CASE DATA'!N188+'CASE DATA'!O188+'CASE DATA'!P188+'CASE DATA'!Q188+'CASE DATA'!R188,"N/A")</f>
        <v>N/A</v>
      </c>
      <c r="K187" s="162" t="str">
        <f xml:space="preserve"> IF(H187="YES",IF(C187+180&lt;'BASIC INFO'!$B$3, "YES", "NO"),"N/A")</f>
        <v>N/A</v>
      </c>
      <c r="L187" s="185" t="str">
        <f>IF(OR('CASE DATA'!F188="GTR", 'CASE DATA'!F188="GPL"),IF(OR('CASE DATA'!E188="81.6(2)", 'CASE DATA'!E188="99F.15(6)(b)(1)", 'CASE DATA'!E188= "124.401(1)(a)", 'CASE DATA'!E188= "124.401(1)(b)", 'CASE DATA'!E188= "124.401(1)(c)", 'CASE DATA'!E188= "124.401(1)(d)", 'CASE DATA'!E188="124.401(4)", 'CASE DATA'!E188="124.401(1)(b)", 'CASE DATA'!E188="124.401(1)(c)", 'CASE DATA'!E188="124.401D(2)(b)", 'CASE DATA'!E188="124.401D(2)(c)", 'CASE DATA'!E188="124.406(1)(a)", 'CASE DATA'!E188="124.406(1)(b) ", 'CASE DATA'!E188="124.406(2)(a)", 'CASE DATA'!E188="124.406(2)(b) ", 'CASE DATA'!E188="124.406(3)", 'CASE DATA'!E188="124.406A ", 'CASE DATA'!E188="124.407(2)(a)", 'CASE DATA'!E188="124B.9(1)", 'CASE DATA'!E188="124B.9(2)", 'CASE DATA'!E188="321J.2(2)(c)", 'CASE DATA'!E188="453B.12(2)", 'CASE DATA'!E188="453B.12(3)", 'CASE DATA'!E188="453B.12(4)", 'CASE DATA'!E188="462A.14(2)(c)", 'CASE DATA'!E188="462A.14(2)(d)", 'CASE DATA'!E188="462A.14(2)(e)", 'CASE DATA'!E188="705.1(2)", 'CASE DATA'!E188="706.3(1)", 'CASE DATA'!E188="706.3(2)", 'CASE DATA'!E188="706A.2(1)", 'CASE DATA'!E188="706A.2(2)", 'CASE DATA'!E188="706A.2(4)", 'CASE DATA'!E188="706B.2(1)(a)", 'CASE DATA'!E188="706B.2(1)(b)", 'CASE DATA'!E188="706B.2(1)(c)", 'CASE DATA'!E188="706B.2(1)(d)", 'CASE DATA'!E188="707.2", 'CASE DATA'!E188="707.3", 'CASE DATA'!E188="707.3A", 'CASE DATA'!E188="707.4", 'CASE DATA'!E188="707.5(1)(a)", 'CASE DATA'!E188="707.6A(1)", 'CASE DATA'!E188="707.6A(2)", 'CASE DATA'!E188="707.6A(3)", 'CASE DATA'!E188="707.6A(4)", 'CASE DATA'!E188="707.7(1)", 'CASE DATA'!E188="707.7(3)", 'CASE DATA'!E188="707.7(2)", 'CASE DATA'!E188="707.8(1)", 'CASE DATA'!E188="707.8(2)", 'CASE DATA'!E188="707.8(3)", 'CASE DATA'!E188="707.8(4)", 'CASE DATA'!E188="707.8(5)", 'CASE DATA'!E188="707.8(6)", 'CASE DATA'!E188="707.9", 'CASE DATA'!E188="707.11", 'CASE DATA'!E188="707A.2", 'CASE DATA'!E188="708.2(4)", 'CASE DATA'!E188="708.2(5)", 'CASE DATA'!E188="708.2A(4)", 'CASE DATA'!E188="708.2A(5)", 'CASE DATA'!E188="708.2C(2)", 'CASE DATA'!E188="708.2C(4)", 'CASE DATA'!E188="708.3(1)", 'CASE DATA'!E188="708.3(2)", 'CASE DATA'!E188="708.3A(1)", 'CASE DATA'!E188="708.3A(2)", 'CASE DATA'!E188="708.3B", 'CASE DATA'!E188="708.4(1)", 'CASE DATA'!E188="708.4(2)", 'CASE DATA'!E188="708.5", 'CASE DATA'!E188="708.8", 'CASE DATA'!E188="708.11(3)(a)", 'CASE DATA'!E188="708.11(3)(b)", 'CASE DATA'!E188="708.12(3)(f)", 'CASE DATA'!E188="708.13(3)", 'CASE DATA'!E188="708.14", 'CASE DATA'!E188="708A.2", 'CASE DATA'!E188="708A.4(1)", 'CASE DATA'!E188="708A.4(2)", 'CASE DATA'!E188="708A.5", 'CASE DATA'!E188="708A.6(1)", 'CASE DATA'!E188="708.A.6(2)", 'CASE DATA'!E188="709.2", 'CASE DATA'!E188="709.3", 'CASE DATA'!E188="709.4", 'CASE DATA'!E188="709.8(1)(a)", 'CASE DATA'!E188="709.8(1)(b)", 'CASE DATA'!E188="709.8(1)(c)", 'CASE DATA'!E188="709.8(1)(d)", 'CASE DATA'!E188="709.8(1)(e)", 'CASE DATA'!E188="709.11(1)", 'CASE DATA'!E188="709.11(2)", 'CASE DATA'!E188="709.15(2)(a)(1)", 'CASE DATA'!E188="709.15(3)(a)(1)", 'CASE DATA'!E188="709.18", 'CASE DATA'!E188="709A.6(2)", 'CASE DATA'!E188="709D.3(1)", 'CASE DATA'!E188="709D.3(2)", 'CASE DATA'!E188="709.D.3(3)", 'CASE DATA'!E188="710.2", 'CASE DATA'!E188="710.3", 'CASE DATA'!E188="710.4", 'CASE DATA'!E188="710.5", 'CASE DATA'!E188="710.10(1)", 'CASE DATA'!E188="710.10(2)", 'CASE DATA'!E188="710.10(3)", 'CASE DATA'!E188="710.11", 'CASE DATA'!E188="710A.2(1)", 'CASE DATA'!E188="710A.2(2)", 'CASE DATA'!E188="710A.2(3)", 'CASE DATA'!E188="710A.2(4)", 'CASE DATA'!E188="710A.2(5)", 'CASE DATA'!E188="710A.2(6)", 'CASE DATA'!E188="710A.2(7)", 'CASE DATA'!E188="710A.2A", 'CASE DATA'!E188="711.2", 'CASE DATA'!E188="711.3", 'CASE DATA'!E188="711.4", 'CASE DATA'!E188="712.2", 'CASE DATA'!E188="712.3", 'CASE DATA'!E188="712.6(1)", 'CASE DATA'!E188="712.7", 'CASE DATA'!E188="712.8", 'CASE DATA'!E188="", 'CASE DATA'!E188="713.3", 'CASE DATA'!E188="713.4", 'CASE DATA'!E188="713.5", 'CASE DATA'!E188="713.6", 'CASE DATA'!E188="713.6A(1)", 'CASE DATA'!E188="714.2(1)", 'CASE DATA'!E188="714.2(2)", 'CASE DATA'!E188="714.3A(2)(b)", 'CASE DATA'!E188="714.9", 'CASE DATA'!E188="714.10", 'CASE DATA'!E188="714.26(2)(a)", 'CASE DATA'!E188="714.26(2)(b)", 'CASE DATA'!E188="715A.2(2)(a)", 'CASE DATA'!E188="715A.6(2)(a)", 'CASE DATA'!E188="715A.6(2)(b)", 'CASE DATA'!E188="715A.8(3)(a)", 'CASE DATA'!E188="715A.8(3)(b)", 'CASE DATA'!E188="715A.10(1)", 'CASE DATA'!E188="715A.10(2)", 'CASE DATA'!E188="716.3", 'CASE DATA'!E188="716.4", 'CASE DATA'!E188="716.8(6)", 'CASE DATA'!E188="716.10(2)(a)", 'CASE DATA'!E188="716.10(2)(b)", 'CASE DATA'!E188="716.10(2)(c)", 'CASE DATA'!E188="716.10(2)(d)", 'CASE DATA'!E188="716.12", 'CASE DATA'!E188="719.1(1)(f)", 'CASE DATA'!E188="719.1(2)(e)", 'CASE DATA'!E188="719.1(2)(f)", 'CASE DATA'!E188="719.1(2)(g)", 'CASE DATA'!E188="719.4(1)", 'CASE DATA'!E188="719.4(4)", 'CASE DATA'!E188="719.5(1)", 'CASE DATA'!E188="719.5(2)", 'CASE DATA'!E188="719.6(1)", 'CASE DATA'!E188="719.6(2)", 'CASE DATA'!E188="719.7(4)(a)", 'CASE DATA'!E188="719.7(4)(b)", 'CASE DATA'!E188="719.7A(3)", 'CASE DATA'!E188="719.9", 'CASE DATA'!E188="719.8", 'CASE DATA'!E188="720.2", 'CASE DATA'!E188="720.3", 'CASE DATA'!E188="721.1", 'CASE DATA'!E188="722.1", 'CASE DATA'!E188="", 'CASE DATA'!E188="722.2", 'CASE DATA'!E188="722.10", 'CASE DATA'!E188="723(5)(3)(c)", 'CASE DATA'!E188="723A.2", 'CASE DATA'!E188="723A.3(1)", 'CASE DATA'!E188="723A.3(2)", 'CASE DATA'!E188="724.1B", 'CASE DATA'!E188="724.1C", 'CASE DATA'!E188="724.3", 'CASE DATA'!E188="724.4B", 'CASE DATA'!E188="724.10", 'CASE DATA'!E188="724.16(2)", 'CASE DATA'!E188="724.16A(1)(a)", 'CASE DATA'!E188="724.16A(1)(b)", 'CASE DATA'!E188="724.17", 'CASE DATA'!E188="724.21", 'CASE DATA'!E188="724.26(1)", 'CASE DATA'!E188="922(g)(8)", 'CASE DATA'!E188="724.29A(2)", 'CASE DATA'!E188="724.29A(3)", 'CASE DATA'!E188="724.30(1)", 'CASE DATA'!E188="724.30(2)", 'CASE DATA'!E188="725.1(2)(b)", 'CASE DATA'!E188="725.2(1)", 'CASE DATA'!E188="725.2(2)", 'CASE DATA'!E188="725.3(2)", 'CASE DATA'!E188="725.3(1)", 'CASE DATA'!E188="725.7(2)(a)(3)", 'CASE DATA'!E188="725.7(2)(a)(4)", 'CASE DATA'!E188="725.7(2)(b)(2)", 'CASE DATA'!E188="725.7(2)(b(3)", 'CASE DATA'!E188="726.7(2)(c)(1)", 'CASE DATA'!E188="726.7(2)(c)(2)", 'CASE DATA'!E188="725.7(2)(d)", 'CASE DATA'!E188="726.2", 'CASE DATA'!E188="726.3", 'CASE DATA'!E188="726.5", 'CASE DATA'!E188="726.6(4)", 'CASE DATA'!E188="726.6(5)", 'CASE DATA'!E188="726.6(6)", 'CASE DATA'!E188="726.6A", 'CASE DATA'!E188="726.7(2)", 'CASE DATA'!E188="726.8(2)", 'CASE DATA'!E188="728.12(1)", 'CASE DATA'!E188="728.12(2)"),"felony","eligible"),"N/A")</f>
        <v>N/A</v>
      </c>
      <c r="M187" s="185" t="str">
        <f>IF(L187="eligible",IF(OR('CASE DATA'!E188="123.46",'CASE DATA'!E188="123.47",'CASE DATA'!E188="235B.20",'CASE DATA'!E188="321.218",'CASE DATA'!E188="321A.32",'CASE DATA'!E188="321J.21",'CASE DATA'!E188="321J.2",'CASE DATA'!E188="707.5",'CASE DATA'!E188="708.2(3)",'CASE DATA'!E188="708.2A",'CASE DATA'!E188="708.7",'CASE DATA'!E188="708.11",'CASE DATA'!E188="708.12",'CASE DATA'!E188="716.8(3)",'CASE DATA'!E188="716.8(4)", LEFT('CASE DATA'!E188,4)="717C", LEFT('CASE DATA'!E188, 3)="719", LEFT('CASE DATA'!E188,3)="720", 'CASE DATA'!E188="721.2", 'CASE DATA'!E188="721.10", 'CASE DATA'!E188="723.1", LEFT('CASE DATA'!E188,3)="724", LEFT('CASE DATA'!E188,3)="726", LEFT('CASE DATA'!E188,3)="728", LEFT('CASE DATA'!E188,4)="901A"),"ineligible misd", "eligible"),"N/A")</f>
        <v>N/A</v>
      </c>
      <c r="N187" s="185" t="str">
        <f>IF(L187="eligible",IF(COUNTIF('CASE DATA'!$C$4:$C$200, "")-COUNTIF('CASE DATA'!$A$4:$A$200, "")&gt;0, "YES","NO"),"N/A")</f>
        <v>N/A</v>
      </c>
      <c r="O187" s="185" t="str">
        <f xml:space="preserve"> IF(M187="eligible",'CASE DATA'!K188,"N/A")</f>
        <v>N/A</v>
      </c>
      <c r="P187" s="185" t="str">
        <f xml:space="preserve"> IF(M187="eligible",'CASE DATA'!I188+'CASE DATA'!J188+'CASE DATA'!L188+'CASE DATA'!M188+'CASE DATA'!N188+'CASE DATA'!O188+'CASE DATA'!M188+'CASE DATA'!Q188+'CASE DATA'!R188,"N/A")</f>
        <v>N/A</v>
      </c>
      <c r="Q187" s="11" t="str">
        <f>IF(M187="eligible",IF(C187+730.5&lt;'BASIC INFO'!$B$3, "YES", "NO"),"N/A")</f>
        <v>N/A</v>
      </c>
      <c r="R187" s="186" t="str">
        <f xml:space="preserve"> IF(OR('CASE DATA'!F188="DEF"), "YES", "NO")</f>
        <v>NO</v>
      </c>
      <c r="S187" s="162" t="str">
        <f>IF(R187="YES",'CASE DATA'!H188,"N/A")</f>
        <v>N/A</v>
      </c>
      <c r="T187" s="185" t="str">
        <f xml:space="preserve"> IF(R187="YES",'CASE DATA'!K188,"N/A")</f>
        <v>N/A</v>
      </c>
      <c r="U187" s="185" t="str">
        <f>IF(R187="YES",'CASE DATA'!I188+'CASE DATA'!J188+'CASE DATA'!L188+'CASE DATA'!M188+'CASE DATA'!N188+'CASE DATA'!O188+'CASE DATA'!P188+'CASE DATA'!Q188+'CASE DATA'!R188,"N/A")</f>
        <v>N/A</v>
      </c>
      <c r="V187" s="189" t="str">
        <f>IF(OR('CASE DATA'!E188="123.46",'CASE DATA'!E188="123.47"),"YES","NO")</f>
        <v>NO</v>
      </c>
      <c r="W187" s="189"/>
      <c r="X187" s="185" t="str">
        <f>IF(V187="YES",IF(C187+730.5&lt;'BASIC INFO'!$B$3, "YES","NO"), "N/A")</f>
        <v>N/A</v>
      </c>
      <c r="Y187" s="189" t="str">
        <f t="shared" si="3"/>
        <v>NO</v>
      </c>
      <c r="Z187" s="187" t="str">
        <f xml:space="preserve"> IF('BASIC INFO'!$B$6+6574.5&gt;C187, "YES", "NO")</f>
        <v>YES</v>
      </c>
    </row>
    <row r="188" spans="1:26" x14ac:dyDescent="0.25">
      <c r="A188" s="162">
        <f xml:space="preserve"> 'CASE DATA'!A189</f>
        <v>0</v>
      </c>
      <c r="B188" s="162">
        <f xml:space="preserve"> 'CASE DATA'!E189</f>
        <v>0</v>
      </c>
      <c r="C188" s="163">
        <f xml:space="preserve"> 'CASE DATA'!C189</f>
        <v>0</v>
      </c>
      <c r="D188" s="11" t="str">
        <f xml:space="preserve"> IF(OR('CASE DATA'!F189="JUV", 'CASE DATA'!F189="JWV"), "YES", "NO")</f>
        <v>NO</v>
      </c>
      <c r="E188" s="11"/>
      <c r="F188" s="11" t="str">
        <f>IF(D188="YES",IF(COUNTIF('CASE DATA'!$C$4:$C$200, "")-COUNTIF('CASE DATA'!$A$4:$A$200, "")&gt;0, "YES","NO"),"N/A")</f>
        <v>N/A</v>
      </c>
      <c r="G188" s="164" t="str">
        <f xml:space="preserve"> _xlfn.IFS(D188="NO", "N/A", AND('BASIC INFO'!$B$3&gt;'BASIC INFO'!$B$6+6574.5, C188+730.5&lt;'BASIC INFO'!$B$3), "YES", 'BASIC INFO'!$B$3&lt;('BASIC INFO'!$B$6+6574.5), "NOT YET 18", C188+730.5&gt;'BASIC INFO'!$B$3, "NOT YET 2 YEARS")</f>
        <v>N/A</v>
      </c>
      <c r="H188" s="186" t="str">
        <f xml:space="preserve"> IF(LEFT('CASE DATA'!E189,4)&lt;&gt;"321.",IF(OR('CASE DATA'!F189="DISM", 'CASE DATA'!F189="ACQ", 'CASE DATA'!F189="NOTF", 'CASE DATA'!F189="WTHD", 'CASE DATA'!F189="TNSF"), "YES", "NO"), "TRAFFIC")</f>
        <v>NO</v>
      </c>
      <c r="I188" s="185" t="str">
        <f xml:space="preserve"> IF(H188="YES",'CASE DATA'!K189,"N/A")</f>
        <v>N/A</v>
      </c>
      <c r="J188" s="185" t="str">
        <f>IF(H188="YES",'CASE DATA'!I189+'CASE DATA'!J189+'CASE DATA'!L189+'CASE DATA'!M189+'CASE DATA'!N189+'CASE DATA'!O189+'CASE DATA'!P189+'CASE DATA'!Q189+'CASE DATA'!R189,"N/A")</f>
        <v>N/A</v>
      </c>
      <c r="K188" s="162" t="str">
        <f xml:space="preserve"> IF(H188="YES",IF(C188+180&lt;'BASIC INFO'!$B$3, "YES", "NO"),"N/A")</f>
        <v>N/A</v>
      </c>
      <c r="L188" s="185" t="str">
        <f>IF(OR('CASE DATA'!F189="GTR", 'CASE DATA'!F189="GPL"),IF(OR('CASE DATA'!E189="81.6(2)", 'CASE DATA'!E189="99F.15(6)(b)(1)", 'CASE DATA'!E189= "124.401(1)(a)", 'CASE DATA'!E189= "124.401(1)(b)", 'CASE DATA'!E189= "124.401(1)(c)", 'CASE DATA'!E189= "124.401(1)(d)", 'CASE DATA'!E189="124.401(4)", 'CASE DATA'!E189="124.401(1)(b)", 'CASE DATA'!E189="124.401(1)(c)", 'CASE DATA'!E189="124.401D(2)(b)", 'CASE DATA'!E189="124.401D(2)(c)", 'CASE DATA'!E189="124.406(1)(a)", 'CASE DATA'!E189="124.406(1)(b) ", 'CASE DATA'!E189="124.406(2)(a)", 'CASE DATA'!E189="124.406(2)(b) ", 'CASE DATA'!E189="124.406(3)", 'CASE DATA'!E189="124.406A ", 'CASE DATA'!E189="124.407(2)(a)", 'CASE DATA'!E189="124B.9(1)", 'CASE DATA'!E189="124B.9(2)", 'CASE DATA'!E189="321J.2(2)(c)", 'CASE DATA'!E189="453B.12(2)", 'CASE DATA'!E189="453B.12(3)", 'CASE DATA'!E189="453B.12(4)", 'CASE DATA'!E189="462A.14(2)(c)", 'CASE DATA'!E189="462A.14(2)(d)", 'CASE DATA'!E189="462A.14(2)(e)", 'CASE DATA'!E189="705.1(2)", 'CASE DATA'!E189="706.3(1)", 'CASE DATA'!E189="706.3(2)", 'CASE DATA'!E189="706A.2(1)", 'CASE DATA'!E189="706A.2(2)", 'CASE DATA'!E189="706A.2(4)", 'CASE DATA'!E189="706B.2(1)(a)", 'CASE DATA'!E189="706B.2(1)(b)", 'CASE DATA'!E189="706B.2(1)(c)", 'CASE DATA'!E189="706B.2(1)(d)", 'CASE DATA'!E189="707.2", 'CASE DATA'!E189="707.3", 'CASE DATA'!E189="707.3A", 'CASE DATA'!E189="707.4", 'CASE DATA'!E189="707.5(1)(a)", 'CASE DATA'!E189="707.6A(1)", 'CASE DATA'!E189="707.6A(2)", 'CASE DATA'!E189="707.6A(3)", 'CASE DATA'!E189="707.6A(4)", 'CASE DATA'!E189="707.7(1)", 'CASE DATA'!E189="707.7(3)", 'CASE DATA'!E189="707.7(2)", 'CASE DATA'!E189="707.8(1)", 'CASE DATA'!E189="707.8(2)", 'CASE DATA'!E189="707.8(3)", 'CASE DATA'!E189="707.8(4)", 'CASE DATA'!E189="707.8(5)", 'CASE DATA'!E189="707.8(6)", 'CASE DATA'!E189="707.9", 'CASE DATA'!E189="707.11", 'CASE DATA'!E189="707A.2", 'CASE DATA'!E189="708.2(4)", 'CASE DATA'!E189="708.2(5)", 'CASE DATA'!E189="708.2A(4)", 'CASE DATA'!E189="708.2A(5)", 'CASE DATA'!E189="708.2C(2)", 'CASE DATA'!E189="708.2C(4)", 'CASE DATA'!E189="708.3(1)", 'CASE DATA'!E189="708.3(2)", 'CASE DATA'!E189="708.3A(1)", 'CASE DATA'!E189="708.3A(2)", 'CASE DATA'!E189="708.3B", 'CASE DATA'!E189="708.4(1)", 'CASE DATA'!E189="708.4(2)", 'CASE DATA'!E189="708.5", 'CASE DATA'!E189="708.8", 'CASE DATA'!E189="708.11(3)(a)", 'CASE DATA'!E189="708.11(3)(b)", 'CASE DATA'!E189="708.12(3)(f)", 'CASE DATA'!E189="708.13(3)", 'CASE DATA'!E189="708.14", 'CASE DATA'!E189="708A.2", 'CASE DATA'!E189="708A.4(1)", 'CASE DATA'!E189="708A.4(2)", 'CASE DATA'!E189="708A.5", 'CASE DATA'!E189="708A.6(1)", 'CASE DATA'!E189="708.A.6(2)", 'CASE DATA'!E189="709.2", 'CASE DATA'!E189="709.3", 'CASE DATA'!E189="709.4", 'CASE DATA'!E189="709.8(1)(a)", 'CASE DATA'!E189="709.8(1)(b)", 'CASE DATA'!E189="709.8(1)(c)", 'CASE DATA'!E189="709.8(1)(d)", 'CASE DATA'!E189="709.8(1)(e)", 'CASE DATA'!E189="709.11(1)", 'CASE DATA'!E189="709.11(2)", 'CASE DATA'!E189="709.15(2)(a)(1)", 'CASE DATA'!E189="709.15(3)(a)(1)", 'CASE DATA'!E189="709.18", 'CASE DATA'!E189="709A.6(2)", 'CASE DATA'!E189="709D.3(1)", 'CASE DATA'!E189="709D.3(2)", 'CASE DATA'!E189="709.D.3(3)", 'CASE DATA'!E189="710.2", 'CASE DATA'!E189="710.3", 'CASE DATA'!E189="710.4", 'CASE DATA'!E189="710.5", 'CASE DATA'!E189="710.10(1)", 'CASE DATA'!E189="710.10(2)", 'CASE DATA'!E189="710.10(3)", 'CASE DATA'!E189="710.11", 'CASE DATA'!E189="710A.2(1)", 'CASE DATA'!E189="710A.2(2)", 'CASE DATA'!E189="710A.2(3)", 'CASE DATA'!E189="710A.2(4)", 'CASE DATA'!E189="710A.2(5)", 'CASE DATA'!E189="710A.2(6)", 'CASE DATA'!E189="710A.2(7)", 'CASE DATA'!E189="710A.2A", 'CASE DATA'!E189="711.2", 'CASE DATA'!E189="711.3", 'CASE DATA'!E189="711.4", 'CASE DATA'!E189="712.2", 'CASE DATA'!E189="712.3", 'CASE DATA'!E189="712.6(1)", 'CASE DATA'!E189="712.7", 'CASE DATA'!E189="712.8", 'CASE DATA'!E189="", 'CASE DATA'!E189="713.3", 'CASE DATA'!E189="713.4", 'CASE DATA'!E189="713.5", 'CASE DATA'!E189="713.6", 'CASE DATA'!E189="713.6A(1)", 'CASE DATA'!E189="714.2(1)", 'CASE DATA'!E189="714.2(2)", 'CASE DATA'!E189="714.3A(2)(b)", 'CASE DATA'!E189="714.9", 'CASE DATA'!E189="714.10", 'CASE DATA'!E189="714.26(2)(a)", 'CASE DATA'!E189="714.26(2)(b)", 'CASE DATA'!E189="715A.2(2)(a)", 'CASE DATA'!E189="715A.6(2)(a)", 'CASE DATA'!E189="715A.6(2)(b)", 'CASE DATA'!E189="715A.8(3)(a)", 'CASE DATA'!E189="715A.8(3)(b)", 'CASE DATA'!E189="715A.10(1)", 'CASE DATA'!E189="715A.10(2)", 'CASE DATA'!E189="716.3", 'CASE DATA'!E189="716.4", 'CASE DATA'!E189="716.8(6)", 'CASE DATA'!E189="716.10(2)(a)", 'CASE DATA'!E189="716.10(2)(b)", 'CASE DATA'!E189="716.10(2)(c)", 'CASE DATA'!E189="716.10(2)(d)", 'CASE DATA'!E189="716.12", 'CASE DATA'!E189="719.1(1)(f)", 'CASE DATA'!E189="719.1(2)(e)", 'CASE DATA'!E189="719.1(2)(f)", 'CASE DATA'!E189="719.1(2)(g)", 'CASE DATA'!E189="719.4(1)", 'CASE DATA'!E189="719.4(4)", 'CASE DATA'!E189="719.5(1)", 'CASE DATA'!E189="719.5(2)", 'CASE DATA'!E189="719.6(1)", 'CASE DATA'!E189="719.6(2)", 'CASE DATA'!E189="719.7(4)(a)", 'CASE DATA'!E189="719.7(4)(b)", 'CASE DATA'!E189="719.7A(3)", 'CASE DATA'!E189="719.9", 'CASE DATA'!E189="719.8", 'CASE DATA'!E189="720.2", 'CASE DATA'!E189="720.3", 'CASE DATA'!E189="721.1", 'CASE DATA'!E189="722.1", 'CASE DATA'!E189="", 'CASE DATA'!E189="722.2", 'CASE DATA'!E189="722.10", 'CASE DATA'!E189="723(5)(3)(c)", 'CASE DATA'!E189="723A.2", 'CASE DATA'!E189="723A.3(1)", 'CASE DATA'!E189="723A.3(2)", 'CASE DATA'!E189="724.1B", 'CASE DATA'!E189="724.1C", 'CASE DATA'!E189="724.3", 'CASE DATA'!E189="724.4B", 'CASE DATA'!E189="724.10", 'CASE DATA'!E189="724.16(2)", 'CASE DATA'!E189="724.16A(1)(a)", 'CASE DATA'!E189="724.16A(1)(b)", 'CASE DATA'!E189="724.17", 'CASE DATA'!E189="724.21", 'CASE DATA'!E189="724.26(1)", 'CASE DATA'!E189="922(g)(8)", 'CASE DATA'!E189="724.29A(2)", 'CASE DATA'!E189="724.29A(3)", 'CASE DATA'!E189="724.30(1)", 'CASE DATA'!E189="724.30(2)", 'CASE DATA'!E189="725.1(2)(b)", 'CASE DATA'!E189="725.2(1)", 'CASE DATA'!E189="725.2(2)", 'CASE DATA'!E189="725.3(2)", 'CASE DATA'!E189="725.3(1)", 'CASE DATA'!E189="725.7(2)(a)(3)", 'CASE DATA'!E189="725.7(2)(a)(4)", 'CASE DATA'!E189="725.7(2)(b)(2)", 'CASE DATA'!E189="725.7(2)(b(3)", 'CASE DATA'!E189="726.7(2)(c)(1)", 'CASE DATA'!E189="726.7(2)(c)(2)", 'CASE DATA'!E189="725.7(2)(d)", 'CASE DATA'!E189="726.2", 'CASE DATA'!E189="726.3", 'CASE DATA'!E189="726.5", 'CASE DATA'!E189="726.6(4)", 'CASE DATA'!E189="726.6(5)", 'CASE DATA'!E189="726.6(6)", 'CASE DATA'!E189="726.6A", 'CASE DATA'!E189="726.7(2)", 'CASE DATA'!E189="726.8(2)", 'CASE DATA'!E189="728.12(1)", 'CASE DATA'!E189="728.12(2)"),"felony","eligible"),"N/A")</f>
        <v>N/A</v>
      </c>
      <c r="M188" s="185" t="str">
        <f>IF(L188="eligible",IF(OR('CASE DATA'!E189="123.46",'CASE DATA'!E189="123.47",'CASE DATA'!E189="235B.20",'CASE DATA'!E189="321.218",'CASE DATA'!E189="321A.32",'CASE DATA'!E189="321J.21",'CASE DATA'!E189="321J.2",'CASE DATA'!E189="707.5",'CASE DATA'!E189="708.2(3)",'CASE DATA'!E189="708.2A",'CASE DATA'!E189="708.7",'CASE DATA'!E189="708.11",'CASE DATA'!E189="708.12",'CASE DATA'!E189="716.8(3)",'CASE DATA'!E189="716.8(4)", LEFT('CASE DATA'!E189,4)="717C", LEFT('CASE DATA'!E189, 3)="719", LEFT('CASE DATA'!E189,3)="720", 'CASE DATA'!E189="721.2", 'CASE DATA'!E189="721.10", 'CASE DATA'!E189="723.1", LEFT('CASE DATA'!E189,3)="724", LEFT('CASE DATA'!E189,3)="726", LEFT('CASE DATA'!E189,3)="728", LEFT('CASE DATA'!E189,4)="901A"),"ineligible misd", "eligible"),"N/A")</f>
        <v>N/A</v>
      </c>
      <c r="N188" s="185" t="str">
        <f>IF(L188="eligible",IF(COUNTIF('CASE DATA'!$C$4:$C$200, "")-COUNTIF('CASE DATA'!$A$4:$A$200, "")&gt;0, "YES","NO"),"N/A")</f>
        <v>N/A</v>
      </c>
      <c r="O188" s="185" t="str">
        <f xml:space="preserve"> IF(M188="eligible",'CASE DATA'!K189,"N/A")</f>
        <v>N/A</v>
      </c>
      <c r="P188" s="185" t="str">
        <f xml:space="preserve"> IF(M188="eligible",'CASE DATA'!I189+'CASE DATA'!J189+'CASE DATA'!L189+'CASE DATA'!M189+'CASE DATA'!N189+'CASE DATA'!O189+'CASE DATA'!M189+'CASE DATA'!Q189+'CASE DATA'!R189,"N/A")</f>
        <v>N/A</v>
      </c>
      <c r="Q188" s="11" t="str">
        <f>IF(M188="eligible",IF(C188+730.5&lt;'BASIC INFO'!$B$3, "YES", "NO"),"N/A")</f>
        <v>N/A</v>
      </c>
      <c r="R188" s="186" t="str">
        <f xml:space="preserve"> IF(OR('CASE DATA'!F189="DEF"), "YES", "NO")</f>
        <v>NO</v>
      </c>
      <c r="S188" s="162" t="str">
        <f>IF(R188="YES",'CASE DATA'!H189,"N/A")</f>
        <v>N/A</v>
      </c>
      <c r="T188" s="185" t="str">
        <f xml:space="preserve"> IF(R188="YES",'CASE DATA'!K189,"N/A")</f>
        <v>N/A</v>
      </c>
      <c r="U188" s="185" t="str">
        <f>IF(R188="YES",'CASE DATA'!I189+'CASE DATA'!J189+'CASE DATA'!L189+'CASE DATA'!M189+'CASE DATA'!N189+'CASE DATA'!O189+'CASE DATA'!P189+'CASE DATA'!Q189+'CASE DATA'!R189,"N/A")</f>
        <v>N/A</v>
      </c>
      <c r="V188" s="189" t="str">
        <f>IF(OR('CASE DATA'!E189="123.46",'CASE DATA'!E189="123.47"),"YES","NO")</f>
        <v>NO</v>
      </c>
      <c r="W188" s="189"/>
      <c r="X188" s="185" t="str">
        <f>IF(V188="YES",IF(C188+730.5&lt;'BASIC INFO'!$B$3, "YES","NO"), "N/A")</f>
        <v>N/A</v>
      </c>
      <c r="Y188" s="189" t="str">
        <f t="shared" si="3"/>
        <v>NO</v>
      </c>
      <c r="Z188" s="187" t="str">
        <f xml:space="preserve"> IF('BASIC INFO'!$B$6+6574.5&gt;C188, "YES", "NO")</f>
        <v>YES</v>
      </c>
    </row>
    <row r="189" spans="1:26" x14ac:dyDescent="0.25">
      <c r="A189" s="162">
        <f xml:space="preserve"> 'CASE DATA'!A190</f>
        <v>0</v>
      </c>
      <c r="B189" s="162">
        <f xml:space="preserve"> 'CASE DATA'!E190</f>
        <v>0</v>
      </c>
      <c r="C189" s="163">
        <f xml:space="preserve"> 'CASE DATA'!C190</f>
        <v>0</v>
      </c>
      <c r="D189" s="11" t="str">
        <f xml:space="preserve"> IF(OR('CASE DATA'!F190="JUV", 'CASE DATA'!F190="JWV"), "YES", "NO")</f>
        <v>NO</v>
      </c>
      <c r="E189" s="11"/>
      <c r="F189" s="11" t="str">
        <f>IF(D189="YES",IF(COUNTIF('CASE DATA'!$C$4:$C$200, "")-COUNTIF('CASE DATA'!$A$4:$A$200, "")&gt;0, "YES","NO"),"N/A")</f>
        <v>N/A</v>
      </c>
      <c r="G189" s="164" t="str">
        <f xml:space="preserve"> _xlfn.IFS(D189="NO", "N/A", AND('BASIC INFO'!$B$3&gt;'BASIC INFO'!$B$6+6574.5, C189+730.5&lt;'BASIC INFO'!$B$3), "YES", 'BASIC INFO'!$B$3&lt;('BASIC INFO'!$B$6+6574.5), "NOT YET 18", C189+730.5&gt;'BASIC INFO'!$B$3, "NOT YET 2 YEARS")</f>
        <v>N/A</v>
      </c>
      <c r="H189" s="186" t="str">
        <f xml:space="preserve"> IF(LEFT('CASE DATA'!E190,4)&lt;&gt;"321.",IF(OR('CASE DATA'!F190="DISM", 'CASE DATA'!F190="ACQ", 'CASE DATA'!F190="NOTF", 'CASE DATA'!F190="WTHD", 'CASE DATA'!F190="TNSF"), "YES", "NO"), "TRAFFIC")</f>
        <v>NO</v>
      </c>
      <c r="I189" s="185" t="str">
        <f xml:space="preserve"> IF(H189="YES",'CASE DATA'!K190,"N/A")</f>
        <v>N/A</v>
      </c>
      <c r="J189" s="185" t="str">
        <f>IF(H189="YES",'CASE DATA'!I190+'CASE DATA'!J190+'CASE DATA'!L190+'CASE DATA'!M190+'CASE DATA'!N190+'CASE DATA'!O190+'CASE DATA'!P190+'CASE DATA'!Q190+'CASE DATA'!R190,"N/A")</f>
        <v>N/A</v>
      </c>
      <c r="K189" s="162" t="str">
        <f xml:space="preserve"> IF(H189="YES",IF(C189+180&lt;'BASIC INFO'!$B$3, "YES", "NO"),"N/A")</f>
        <v>N/A</v>
      </c>
      <c r="L189" s="185" t="str">
        <f>IF(OR('CASE DATA'!F190="GTR", 'CASE DATA'!F190="GPL"),IF(OR('CASE DATA'!E190="81.6(2)", 'CASE DATA'!E190="99F.15(6)(b)(1)", 'CASE DATA'!E190= "124.401(1)(a)", 'CASE DATA'!E190= "124.401(1)(b)", 'CASE DATA'!E190= "124.401(1)(c)", 'CASE DATA'!E190= "124.401(1)(d)", 'CASE DATA'!E190="124.401(4)", 'CASE DATA'!E190="124.401(1)(b)", 'CASE DATA'!E190="124.401(1)(c)", 'CASE DATA'!E190="124.401D(2)(b)", 'CASE DATA'!E190="124.401D(2)(c)", 'CASE DATA'!E190="124.406(1)(a)", 'CASE DATA'!E190="124.406(1)(b) ", 'CASE DATA'!E190="124.406(2)(a)", 'CASE DATA'!E190="124.406(2)(b) ", 'CASE DATA'!E190="124.406(3)", 'CASE DATA'!E190="124.406A ", 'CASE DATA'!E190="124.407(2)(a)", 'CASE DATA'!E190="124B.9(1)", 'CASE DATA'!E190="124B.9(2)", 'CASE DATA'!E190="321J.2(2)(c)", 'CASE DATA'!E190="453B.12(2)", 'CASE DATA'!E190="453B.12(3)", 'CASE DATA'!E190="453B.12(4)", 'CASE DATA'!E190="462A.14(2)(c)", 'CASE DATA'!E190="462A.14(2)(d)", 'CASE DATA'!E190="462A.14(2)(e)", 'CASE DATA'!E190="705.1(2)", 'CASE DATA'!E190="706.3(1)", 'CASE DATA'!E190="706.3(2)", 'CASE DATA'!E190="706A.2(1)", 'CASE DATA'!E190="706A.2(2)", 'CASE DATA'!E190="706A.2(4)", 'CASE DATA'!E190="706B.2(1)(a)", 'CASE DATA'!E190="706B.2(1)(b)", 'CASE DATA'!E190="706B.2(1)(c)", 'CASE DATA'!E190="706B.2(1)(d)", 'CASE DATA'!E190="707.2", 'CASE DATA'!E190="707.3", 'CASE DATA'!E190="707.3A", 'CASE DATA'!E190="707.4", 'CASE DATA'!E190="707.5(1)(a)", 'CASE DATA'!E190="707.6A(1)", 'CASE DATA'!E190="707.6A(2)", 'CASE DATA'!E190="707.6A(3)", 'CASE DATA'!E190="707.6A(4)", 'CASE DATA'!E190="707.7(1)", 'CASE DATA'!E190="707.7(3)", 'CASE DATA'!E190="707.7(2)", 'CASE DATA'!E190="707.8(1)", 'CASE DATA'!E190="707.8(2)", 'CASE DATA'!E190="707.8(3)", 'CASE DATA'!E190="707.8(4)", 'CASE DATA'!E190="707.8(5)", 'CASE DATA'!E190="707.8(6)", 'CASE DATA'!E190="707.9", 'CASE DATA'!E190="707.11", 'CASE DATA'!E190="707A.2", 'CASE DATA'!E190="708.2(4)", 'CASE DATA'!E190="708.2(5)", 'CASE DATA'!E190="708.2A(4)", 'CASE DATA'!E190="708.2A(5)", 'CASE DATA'!E190="708.2C(2)", 'CASE DATA'!E190="708.2C(4)", 'CASE DATA'!E190="708.3(1)", 'CASE DATA'!E190="708.3(2)", 'CASE DATA'!E190="708.3A(1)", 'CASE DATA'!E190="708.3A(2)", 'CASE DATA'!E190="708.3B", 'CASE DATA'!E190="708.4(1)", 'CASE DATA'!E190="708.4(2)", 'CASE DATA'!E190="708.5", 'CASE DATA'!E190="708.8", 'CASE DATA'!E190="708.11(3)(a)", 'CASE DATA'!E190="708.11(3)(b)", 'CASE DATA'!E190="708.12(3)(f)", 'CASE DATA'!E190="708.13(3)", 'CASE DATA'!E190="708.14", 'CASE DATA'!E190="708A.2", 'CASE DATA'!E190="708A.4(1)", 'CASE DATA'!E190="708A.4(2)", 'CASE DATA'!E190="708A.5", 'CASE DATA'!E190="708A.6(1)", 'CASE DATA'!E190="708.A.6(2)", 'CASE DATA'!E190="709.2", 'CASE DATA'!E190="709.3", 'CASE DATA'!E190="709.4", 'CASE DATA'!E190="709.8(1)(a)", 'CASE DATA'!E190="709.8(1)(b)", 'CASE DATA'!E190="709.8(1)(c)", 'CASE DATA'!E190="709.8(1)(d)", 'CASE DATA'!E190="709.8(1)(e)", 'CASE DATA'!E190="709.11(1)", 'CASE DATA'!E190="709.11(2)", 'CASE DATA'!E190="709.15(2)(a)(1)", 'CASE DATA'!E190="709.15(3)(a)(1)", 'CASE DATA'!E190="709.18", 'CASE DATA'!E190="709A.6(2)", 'CASE DATA'!E190="709D.3(1)", 'CASE DATA'!E190="709D.3(2)", 'CASE DATA'!E190="709.D.3(3)", 'CASE DATA'!E190="710.2", 'CASE DATA'!E190="710.3", 'CASE DATA'!E190="710.4", 'CASE DATA'!E190="710.5", 'CASE DATA'!E190="710.10(1)", 'CASE DATA'!E190="710.10(2)", 'CASE DATA'!E190="710.10(3)", 'CASE DATA'!E190="710.11", 'CASE DATA'!E190="710A.2(1)", 'CASE DATA'!E190="710A.2(2)", 'CASE DATA'!E190="710A.2(3)", 'CASE DATA'!E190="710A.2(4)", 'CASE DATA'!E190="710A.2(5)", 'CASE DATA'!E190="710A.2(6)", 'CASE DATA'!E190="710A.2(7)", 'CASE DATA'!E190="710A.2A", 'CASE DATA'!E190="711.2", 'CASE DATA'!E190="711.3", 'CASE DATA'!E190="711.4", 'CASE DATA'!E190="712.2", 'CASE DATA'!E190="712.3", 'CASE DATA'!E190="712.6(1)", 'CASE DATA'!E190="712.7", 'CASE DATA'!E190="712.8", 'CASE DATA'!E190="", 'CASE DATA'!E190="713.3", 'CASE DATA'!E190="713.4", 'CASE DATA'!E190="713.5", 'CASE DATA'!E190="713.6", 'CASE DATA'!E190="713.6A(1)", 'CASE DATA'!E190="714.2(1)", 'CASE DATA'!E190="714.2(2)", 'CASE DATA'!E190="714.3A(2)(b)", 'CASE DATA'!E190="714.9", 'CASE DATA'!E190="714.10", 'CASE DATA'!E190="714.26(2)(a)", 'CASE DATA'!E190="714.26(2)(b)", 'CASE DATA'!E190="715A.2(2)(a)", 'CASE DATA'!E190="715A.6(2)(a)", 'CASE DATA'!E190="715A.6(2)(b)", 'CASE DATA'!E190="715A.8(3)(a)", 'CASE DATA'!E190="715A.8(3)(b)", 'CASE DATA'!E190="715A.10(1)", 'CASE DATA'!E190="715A.10(2)", 'CASE DATA'!E190="716.3", 'CASE DATA'!E190="716.4", 'CASE DATA'!E190="716.8(6)", 'CASE DATA'!E190="716.10(2)(a)", 'CASE DATA'!E190="716.10(2)(b)", 'CASE DATA'!E190="716.10(2)(c)", 'CASE DATA'!E190="716.10(2)(d)", 'CASE DATA'!E190="716.12", 'CASE DATA'!E190="719.1(1)(f)", 'CASE DATA'!E190="719.1(2)(e)", 'CASE DATA'!E190="719.1(2)(f)", 'CASE DATA'!E190="719.1(2)(g)", 'CASE DATA'!E190="719.4(1)", 'CASE DATA'!E190="719.4(4)", 'CASE DATA'!E190="719.5(1)", 'CASE DATA'!E190="719.5(2)", 'CASE DATA'!E190="719.6(1)", 'CASE DATA'!E190="719.6(2)", 'CASE DATA'!E190="719.7(4)(a)", 'CASE DATA'!E190="719.7(4)(b)", 'CASE DATA'!E190="719.7A(3)", 'CASE DATA'!E190="719.9", 'CASE DATA'!E190="719.8", 'CASE DATA'!E190="720.2", 'CASE DATA'!E190="720.3", 'CASE DATA'!E190="721.1", 'CASE DATA'!E190="722.1", 'CASE DATA'!E190="", 'CASE DATA'!E190="722.2", 'CASE DATA'!E190="722.10", 'CASE DATA'!E190="723(5)(3)(c)", 'CASE DATA'!E190="723A.2", 'CASE DATA'!E190="723A.3(1)", 'CASE DATA'!E190="723A.3(2)", 'CASE DATA'!E190="724.1B", 'CASE DATA'!E190="724.1C", 'CASE DATA'!E190="724.3", 'CASE DATA'!E190="724.4B", 'CASE DATA'!E190="724.10", 'CASE DATA'!E190="724.16(2)", 'CASE DATA'!E190="724.16A(1)(a)", 'CASE DATA'!E190="724.16A(1)(b)", 'CASE DATA'!E190="724.17", 'CASE DATA'!E190="724.21", 'CASE DATA'!E190="724.26(1)", 'CASE DATA'!E190="922(g)(8)", 'CASE DATA'!E190="724.29A(2)", 'CASE DATA'!E190="724.29A(3)", 'CASE DATA'!E190="724.30(1)", 'CASE DATA'!E190="724.30(2)", 'CASE DATA'!E190="725.1(2)(b)", 'CASE DATA'!E190="725.2(1)", 'CASE DATA'!E190="725.2(2)", 'CASE DATA'!E190="725.3(2)", 'CASE DATA'!E190="725.3(1)", 'CASE DATA'!E190="725.7(2)(a)(3)", 'CASE DATA'!E190="725.7(2)(a)(4)", 'CASE DATA'!E190="725.7(2)(b)(2)", 'CASE DATA'!E190="725.7(2)(b(3)", 'CASE DATA'!E190="726.7(2)(c)(1)", 'CASE DATA'!E190="726.7(2)(c)(2)", 'CASE DATA'!E190="725.7(2)(d)", 'CASE DATA'!E190="726.2", 'CASE DATA'!E190="726.3", 'CASE DATA'!E190="726.5", 'CASE DATA'!E190="726.6(4)", 'CASE DATA'!E190="726.6(5)", 'CASE DATA'!E190="726.6(6)", 'CASE DATA'!E190="726.6A", 'CASE DATA'!E190="726.7(2)", 'CASE DATA'!E190="726.8(2)", 'CASE DATA'!E190="728.12(1)", 'CASE DATA'!E190="728.12(2)"),"felony","eligible"),"N/A")</f>
        <v>N/A</v>
      </c>
      <c r="M189" s="185" t="str">
        <f>IF(L189="eligible",IF(OR('CASE DATA'!E190="123.46",'CASE DATA'!E190="123.47",'CASE DATA'!E190="235B.20",'CASE DATA'!E190="321.218",'CASE DATA'!E190="321A.32",'CASE DATA'!E190="321J.21",'CASE DATA'!E190="321J.2",'CASE DATA'!E190="707.5",'CASE DATA'!E190="708.2(3)",'CASE DATA'!E190="708.2A",'CASE DATA'!E190="708.7",'CASE DATA'!E190="708.11",'CASE DATA'!E190="708.12",'CASE DATA'!E190="716.8(3)",'CASE DATA'!E190="716.8(4)", LEFT('CASE DATA'!E190,4)="717C", LEFT('CASE DATA'!E190, 3)="719", LEFT('CASE DATA'!E190,3)="720", 'CASE DATA'!E190="721.2", 'CASE DATA'!E190="721.10", 'CASE DATA'!E190="723.1", LEFT('CASE DATA'!E190,3)="724", LEFT('CASE DATA'!E190,3)="726", LEFT('CASE DATA'!E190,3)="728", LEFT('CASE DATA'!E190,4)="901A"),"ineligible misd", "eligible"),"N/A")</f>
        <v>N/A</v>
      </c>
      <c r="N189" s="185" t="str">
        <f>IF(L189="eligible",IF(COUNTIF('CASE DATA'!$C$4:$C$200, "")-COUNTIF('CASE DATA'!$A$4:$A$200, "")&gt;0, "YES","NO"),"N/A")</f>
        <v>N/A</v>
      </c>
      <c r="O189" s="185" t="str">
        <f xml:space="preserve"> IF(M189="eligible",'CASE DATA'!K190,"N/A")</f>
        <v>N/A</v>
      </c>
      <c r="P189" s="185" t="str">
        <f xml:space="preserve"> IF(M189="eligible",'CASE DATA'!I190+'CASE DATA'!J190+'CASE DATA'!L190+'CASE DATA'!M190+'CASE DATA'!N190+'CASE DATA'!O190+'CASE DATA'!M190+'CASE DATA'!Q190+'CASE DATA'!R190,"N/A")</f>
        <v>N/A</v>
      </c>
      <c r="Q189" s="11" t="str">
        <f>IF(M189="eligible",IF(C189+730.5&lt;'BASIC INFO'!$B$3, "YES", "NO"),"N/A")</f>
        <v>N/A</v>
      </c>
      <c r="R189" s="186" t="str">
        <f xml:space="preserve"> IF(OR('CASE DATA'!F190="DEF"), "YES", "NO")</f>
        <v>NO</v>
      </c>
      <c r="S189" s="162" t="str">
        <f>IF(R189="YES",'CASE DATA'!H190,"N/A")</f>
        <v>N/A</v>
      </c>
      <c r="T189" s="185" t="str">
        <f xml:space="preserve"> IF(R189="YES",'CASE DATA'!K190,"N/A")</f>
        <v>N/A</v>
      </c>
      <c r="U189" s="185" t="str">
        <f>IF(R189="YES",'CASE DATA'!I190+'CASE DATA'!J190+'CASE DATA'!L190+'CASE DATA'!M190+'CASE DATA'!N190+'CASE DATA'!O190+'CASE DATA'!P190+'CASE DATA'!Q190+'CASE DATA'!R190,"N/A")</f>
        <v>N/A</v>
      </c>
      <c r="V189" s="189" t="str">
        <f>IF(OR('CASE DATA'!E190="123.46",'CASE DATA'!E190="123.47"),"YES","NO")</f>
        <v>NO</v>
      </c>
      <c r="W189" s="189"/>
      <c r="X189" s="185" t="str">
        <f>IF(V189="YES",IF(C189+730.5&lt;'BASIC INFO'!$B$3, "YES","NO"), "N/A")</f>
        <v>N/A</v>
      </c>
      <c r="Y189" s="189" t="str">
        <f t="shared" si="3"/>
        <v>NO</v>
      </c>
      <c r="Z189" s="187" t="str">
        <f xml:space="preserve"> IF('BASIC INFO'!$B$6+6574.5&gt;C189, "YES", "NO")</f>
        <v>YES</v>
      </c>
    </row>
    <row r="190" spans="1:26" x14ac:dyDescent="0.25">
      <c r="A190" s="162">
        <f xml:space="preserve"> 'CASE DATA'!A191</f>
        <v>0</v>
      </c>
      <c r="B190" s="162">
        <f xml:space="preserve"> 'CASE DATA'!E191</f>
        <v>0</v>
      </c>
      <c r="C190" s="163">
        <f xml:space="preserve"> 'CASE DATA'!C191</f>
        <v>0</v>
      </c>
      <c r="D190" s="11" t="str">
        <f xml:space="preserve"> IF(OR('CASE DATA'!F191="JUV", 'CASE DATA'!F191="JWV"), "YES", "NO")</f>
        <v>NO</v>
      </c>
      <c r="E190" s="11"/>
      <c r="F190" s="11" t="str">
        <f>IF(D190="YES",IF(COUNTIF('CASE DATA'!$C$4:$C$200, "")-COUNTIF('CASE DATA'!$A$4:$A$200, "")&gt;0, "YES","NO"),"N/A")</f>
        <v>N/A</v>
      </c>
      <c r="G190" s="164" t="str">
        <f xml:space="preserve"> _xlfn.IFS(D190="NO", "N/A", AND('BASIC INFO'!$B$3&gt;'BASIC INFO'!$B$6+6574.5, C190+730.5&lt;'BASIC INFO'!$B$3), "YES", 'BASIC INFO'!$B$3&lt;('BASIC INFO'!$B$6+6574.5), "NOT YET 18", C190+730.5&gt;'BASIC INFO'!$B$3, "NOT YET 2 YEARS")</f>
        <v>N/A</v>
      </c>
      <c r="H190" s="186" t="str">
        <f xml:space="preserve"> IF(LEFT('CASE DATA'!E191,4)&lt;&gt;"321.",IF(OR('CASE DATA'!F191="DISM", 'CASE DATA'!F191="ACQ", 'CASE DATA'!F191="NOTF", 'CASE DATA'!F191="WTHD", 'CASE DATA'!F191="TNSF"), "YES", "NO"), "TRAFFIC")</f>
        <v>NO</v>
      </c>
      <c r="I190" s="185" t="str">
        <f xml:space="preserve"> IF(H190="YES",'CASE DATA'!K191,"N/A")</f>
        <v>N/A</v>
      </c>
      <c r="J190" s="185" t="str">
        <f>IF(H190="YES",'CASE DATA'!I191+'CASE DATA'!J191+'CASE DATA'!L191+'CASE DATA'!M191+'CASE DATA'!N191+'CASE DATA'!O191+'CASE DATA'!P191+'CASE DATA'!Q191+'CASE DATA'!R191,"N/A")</f>
        <v>N/A</v>
      </c>
      <c r="K190" s="162" t="str">
        <f xml:space="preserve"> IF(H190="YES",IF(C190+180&lt;'BASIC INFO'!$B$3, "YES", "NO"),"N/A")</f>
        <v>N/A</v>
      </c>
      <c r="L190" s="185" t="str">
        <f>IF(OR('CASE DATA'!F191="GTR", 'CASE DATA'!F191="GPL"),IF(OR('CASE DATA'!E191="81.6(2)", 'CASE DATA'!E191="99F.15(6)(b)(1)", 'CASE DATA'!E191= "124.401(1)(a)", 'CASE DATA'!E191= "124.401(1)(b)", 'CASE DATA'!E191= "124.401(1)(c)", 'CASE DATA'!E191= "124.401(1)(d)", 'CASE DATA'!E191="124.401(4)", 'CASE DATA'!E191="124.401(1)(b)", 'CASE DATA'!E191="124.401(1)(c)", 'CASE DATA'!E191="124.401D(2)(b)", 'CASE DATA'!E191="124.401D(2)(c)", 'CASE DATA'!E191="124.406(1)(a)", 'CASE DATA'!E191="124.406(1)(b) ", 'CASE DATA'!E191="124.406(2)(a)", 'CASE DATA'!E191="124.406(2)(b) ", 'CASE DATA'!E191="124.406(3)", 'CASE DATA'!E191="124.406A ", 'CASE DATA'!E191="124.407(2)(a)", 'CASE DATA'!E191="124B.9(1)", 'CASE DATA'!E191="124B.9(2)", 'CASE DATA'!E191="321J.2(2)(c)", 'CASE DATA'!E191="453B.12(2)", 'CASE DATA'!E191="453B.12(3)", 'CASE DATA'!E191="453B.12(4)", 'CASE DATA'!E191="462A.14(2)(c)", 'CASE DATA'!E191="462A.14(2)(d)", 'CASE DATA'!E191="462A.14(2)(e)", 'CASE DATA'!E191="705.1(2)", 'CASE DATA'!E191="706.3(1)", 'CASE DATA'!E191="706.3(2)", 'CASE DATA'!E191="706A.2(1)", 'CASE DATA'!E191="706A.2(2)", 'CASE DATA'!E191="706A.2(4)", 'CASE DATA'!E191="706B.2(1)(a)", 'CASE DATA'!E191="706B.2(1)(b)", 'CASE DATA'!E191="706B.2(1)(c)", 'CASE DATA'!E191="706B.2(1)(d)", 'CASE DATA'!E191="707.2", 'CASE DATA'!E191="707.3", 'CASE DATA'!E191="707.3A", 'CASE DATA'!E191="707.4", 'CASE DATA'!E191="707.5(1)(a)", 'CASE DATA'!E191="707.6A(1)", 'CASE DATA'!E191="707.6A(2)", 'CASE DATA'!E191="707.6A(3)", 'CASE DATA'!E191="707.6A(4)", 'CASE DATA'!E191="707.7(1)", 'CASE DATA'!E191="707.7(3)", 'CASE DATA'!E191="707.7(2)", 'CASE DATA'!E191="707.8(1)", 'CASE DATA'!E191="707.8(2)", 'CASE DATA'!E191="707.8(3)", 'CASE DATA'!E191="707.8(4)", 'CASE DATA'!E191="707.8(5)", 'CASE DATA'!E191="707.8(6)", 'CASE DATA'!E191="707.9", 'CASE DATA'!E191="707.11", 'CASE DATA'!E191="707A.2", 'CASE DATA'!E191="708.2(4)", 'CASE DATA'!E191="708.2(5)", 'CASE DATA'!E191="708.2A(4)", 'CASE DATA'!E191="708.2A(5)", 'CASE DATA'!E191="708.2C(2)", 'CASE DATA'!E191="708.2C(4)", 'CASE DATA'!E191="708.3(1)", 'CASE DATA'!E191="708.3(2)", 'CASE DATA'!E191="708.3A(1)", 'CASE DATA'!E191="708.3A(2)", 'CASE DATA'!E191="708.3B", 'CASE DATA'!E191="708.4(1)", 'CASE DATA'!E191="708.4(2)", 'CASE DATA'!E191="708.5", 'CASE DATA'!E191="708.8", 'CASE DATA'!E191="708.11(3)(a)", 'CASE DATA'!E191="708.11(3)(b)", 'CASE DATA'!E191="708.12(3)(f)", 'CASE DATA'!E191="708.13(3)", 'CASE DATA'!E191="708.14", 'CASE DATA'!E191="708A.2", 'CASE DATA'!E191="708A.4(1)", 'CASE DATA'!E191="708A.4(2)", 'CASE DATA'!E191="708A.5", 'CASE DATA'!E191="708A.6(1)", 'CASE DATA'!E191="708.A.6(2)", 'CASE DATA'!E191="709.2", 'CASE DATA'!E191="709.3", 'CASE DATA'!E191="709.4", 'CASE DATA'!E191="709.8(1)(a)", 'CASE DATA'!E191="709.8(1)(b)", 'CASE DATA'!E191="709.8(1)(c)", 'CASE DATA'!E191="709.8(1)(d)", 'CASE DATA'!E191="709.8(1)(e)", 'CASE DATA'!E191="709.11(1)", 'CASE DATA'!E191="709.11(2)", 'CASE DATA'!E191="709.15(2)(a)(1)", 'CASE DATA'!E191="709.15(3)(a)(1)", 'CASE DATA'!E191="709.18", 'CASE DATA'!E191="709A.6(2)", 'CASE DATA'!E191="709D.3(1)", 'CASE DATA'!E191="709D.3(2)", 'CASE DATA'!E191="709.D.3(3)", 'CASE DATA'!E191="710.2", 'CASE DATA'!E191="710.3", 'CASE DATA'!E191="710.4", 'CASE DATA'!E191="710.5", 'CASE DATA'!E191="710.10(1)", 'CASE DATA'!E191="710.10(2)", 'CASE DATA'!E191="710.10(3)", 'CASE DATA'!E191="710.11", 'CASE DATA'!E191="710A.2(1)", 'CASE DATA'!E191="710A.2(2)", 'CASE DATA'!E191="710A.2(3)", 'CASE DATA'!E191="710A.2(4)", 'CASE DATA'!E191="710A.2(5)", 'CASE DATA'!E191="710A.2(6)", 'CASE DATA'!E191="710A.2(7)", 'CASE DATA'!E191="710A.2A", 'CASE DATA'!E191="711.2", 'CASE DATA'!E191="711.3", 'CASE DATA'!E191="711.4", 'CASE DATA'!E191="712.2", 'CASE DATA'!E191="712.3", 'CASE DATA'!E191="712.6(1)", 'CASE DATA'!E191="712.7", 'CASE DATA'!E191="712.8", 'CASE DATA'!E191="", 'CASE DATA'!E191="713.3", 'CASE DATA'!E191="713.4", 'CASE DATA'!E191="713.5", 'CASE DATA'!E191="713.6", 'CASE DATA'!E191="713.6A(1)", 'CASE DATA'!E191="714.2(1)", 'CASE DATA'!E191="714.2(2)", 'CASE DATA'!E191="714.3A(2)(b)", 'CASE DATA'!E191="714.9", 'CASE DATA'!E191="714.10", 'CASE DATA'!E191="714.26(2)(a)", 'CASE DATA'!E191="714.26(2)(b)", 'CASE DATA'!E191="715A.2(2)(a)", 'CASE DATA'!E191="715A.6(2)(a)", 'CASE DATA'!E191="715A.6(2)(b)", 'CASE DATA'!E191="715A.8(3)(a)", 'CASE DATA'!E191="715A.8(3)(b)", 'CASE DATA'!E191="715A.10(1)", 'CASE DATA'!E191="715A.10(2)", 'CASE DATA'!E191="716.3", 'CASE DATA'!E191="716.4", 'CASE DATA'!E191="716.8(6)", 'CASE DATA'!E191="716.10(2)(a)", 'CASE DATA'!E191="716.10(2)(b)", 'CASE DATA'!E191="716.10(2)(c)", 'CASE DATA'!E191="716.10(2)(d)", 'CASE DATA'!E191="716.12", 'CASE DATA'!E191="719.1(1)(f)", 'CASE DATA'!E191="719.1(2)(e)", 'CASE DATA'!E191="719.1(2)(f)", 'CASE DATA'!E191="719.1(2)(g)", 'CASE DATA'!E191="719.4(1)", 'CASE DATA'!E191="719.4(4)", 'CASE DATA'!E191="719.5(1)", 'CASE DATA'!E191="719.5(2)", 'CASE DATA'!E191="719.6(1)", 'CASE DATA'!E191="719.6(2)", 'CASE DATA'!E191="719.7(4)(a)", 'CASE DATA'!E191="719.7(4)(b)", 'CASE DATA'!E191="719.7A(3)", 'CASE DATA'!E191="719.9", 'CASE DATA'!E191="719.8", 'CASE DATA'!E191="720.2", 'CASE DATA'!E191="720.3", 'CASE DATA'!E191="721.1", 'CASE DATA'!E191="722.1", 'CASE DATA'!E191="", 'CASE DATA'!E191="722.2", 'CASE DATA'!E191="722.10", 'CASE DATA'!E191="723(5)(3)(c)", 'CASE DATA'!E191="723A.2", 'CASE DATA'!E191="723A.3(1)", 'CASE DATA'!E191="723A.3(2)", 'CASE DATA'!E191="724.1B", 'CASE DATA'!E191="724.1C", 'CASE DATA'!E191="724.3", 'CASE DATA'!E191="724.4B", 'CASE DATA'!E191="724.10", 'CASE DATA'!E191="724.16(2)", 'CASE DATA'!E191="724.16A(1)(a)", 'CASE DATA'!E191="724.16A(1)(b)", 'CASE DATA'!E191="724.17", 'CASE DATA'!E191="724.21", 'CASE DATA'!E191="724.26(1)", 'CASE DATA'!E191="922(g)(8)", 'CASE DATA'!E191="724.29A(2)", 'CASE DATA'!E191="724.29A(3)", 'CASE DATA'!E191="724.30(1)", 'CASE DATA'!E191="724.30(2)", 'CASE DATA'!E191="725.1(2)(b)", 'CASE DATA'!E191="725.2(1)", 'CASE DATA'!E191="725.2(2)", 'CASE DATA'!E191="725.3(2)", 'CASE DATA'!E191="725.3(1)", 'CASE DATA'!E191="725.7(2)(a)(3)", 'CASE DATA'!E191="725.7(2)(a)(4)", 'CASE DATA'!E191="725.7(2)(b)(2)", 'CASE DATA'!E191="725.7(2)(b(3)", 'CASE DATA'!E191="726.7(2)(c)(1)", 'CASE DATA'!E191="726.7(2)(c)(2)", 'CASE DATA'!E191="725.7(2)(d)", 'CASE DATA'!E191="726.2", 'CASE DATA'!E191="726.3", 'CASE DATA'!E191="726.5", 'CASE DATA'!E191="726.6(4)", 'CASE DATA'!E191="726.6(5)", 'CASE DATA'!E191="726.6(6)", 'CASE DATA'!E191="726.6A", 'CASE DATA'!E191="726.7(2)", 'CASE DATA'!E191="726.8(2)", 'CASE DATA'!E191="728.12(1)", 'CASE DATA'!E191="728.12(2)"),"felony","eligible"),"N/A")</f>
        <v>N/A</v>
      </c>
      <c r="M190" s="185" t="str">
        <f>IF(L190="eligible",IF(OR('CASE DATA'!E191="123.46",'CASE DATA'!E191="123.47",'CASE DATA'!E191="235B.20",'CASE DATA'!E191="321.218",'CASE DATA'!E191="321A.32",'CASE DATA'!E191="321J.21",'CASE DATA'!E191="321J.2",'CASE DATA'!E191="707.5",'CASE DATA'!E191="708.2(3)",'CASE DATA'!E191="708.2A",'CASE DATA'!E191="708.7",'CASE DATA'!E191="708.11",'CASE DATA'!E191="708.12",'CASE DATA'!E191="716.8(3)",'CASE DATA'!E191="716.8(4)", LEFT('CASE DATA'!E191,4)="717C", LEFT('CASE DATA'!E191, 3)="719", LEFT('CASE DATA'!E191,3)="720", 'CASE DATA'!E191="721.2", 'CASE DATA'!E191="721.10", 'CASE DATA'!E191="723.1", LEFT('CASE DATA'!E191,3)="724", LEFT('CASE DATA'!E191,3)="726", LEFT('CASE DATA'!E191,3)="728", LEFT('CASE DATA'!E191,4)="901A"),"ineligible misd", "eligible"),"N/A")</f>
        <v>N/A</v>
      </c>
      <c r="N190" s="185" t="str">
        <f>IF(L190="eligible",IF(COUNTIF('CASE DATA'!$C$4:$C$200, "")-COUNTIF('CASE DATA'!$A$4:$A$200, "")&gt;0, "YES","NO"),"N/A")</f>
        <v>N/A</v>
      </c>
      <c r="O190" s="185" t="str">
        <f xml:space="preserve"> IF(M190="eligible",'CASE DATA'!K191,"N/A")</f>
        <v>N/A</v>
      </c>
      <c r="P190" s="185" t="str">
        <f xml:space="preserve"> IF(M190="eligible",'CASE DATA'!I191+'CASE DATA'!J191+'CASE DATA'!L191+'CASE DATA'!M191+'CASE DATA'!N191+'CASE DATA'!O191+'CASE DATA'!M191+'CASE DATA'!Q191+'CASE DATA'!R191,"N/A")</f>
        <v>N/A</v>
      </c>
      <c r="Q190" s="11" t="str">
        <f>IF(M190="eligible",IF(C190+730.5&lt;'BASIC INFO'!$B$3, "YES", "NO"),"N/A")</f>
        <v>N/A</v>
      </c>
      <c r="R190" s="186" t="str">
        <f xml:space="preserve"> IF(OR('CASE DATA'!F191="DEF"), "YES", "NO")</f>
        <v>NO</v>
      </c>
      <c r="S190" s="162" t="str">
        <f>IF(R190="YES",'CASE DATA'!H191,"N/A")</f>
        <v>N/A</v>
      </c>
      <c r="T190" s="185" t="str">
        <f xml:space="preserve"> IF(R190="YES",'CASE DATA'!K191,"N/A")</f>
        <v>N/A</v>
      </c>
      <c r="U190" s="185" t="str">
        <f>IF(R190="YES",'CASE DATA'!I191+'CASE DATA'!J191+'CASE DATA'!L191+'CASE DATA'!M191+'CASE DATA'!N191+'CASE DATA'!O191+'CASE DATA'!P191+'CASE DATA'!Q191+'CASE DATA'!R191,"N/A")</f>
        <v>N/A</v>
      </c>
      <c r="V190" s="189" t="str">
        <f>IF(OR('CASE DATA'!E191="123.46",'CASE DATA'!E191="123.47"),"YES","NO")</f>
        <v>NO</v>
      </c>
      <c r="W190" s="189"/>
      <c r="X190" s="185" t="str">
        <f>IF(V190="YES",IF(C190+730.5&lt;'BASIC INFO'!$B$3, "YES","NO"), "N/A")</f>
        <v>N/A</v>
      </c>
      <c r="Y190" s="189" t="str">
        <f t="shared" si="3"/>
        <v>NO</v>
      </c>
      <c r="Z190" s="187" t="str">
        <f xml:space="preserve"> IF('BASIC INFO'!$B$6+6574.5&gt;C190, "YES", "NO")</f>
        <v>YES</v>
      </c>
    </row>
    <row r="191" spans="1:26" x14ac:dyDescent="0.25">
      <c r="A191" s="162">
        <f xml:space="preserve"> 'CASE DATA'!A192</f>
        <v>0</v>
      </c>
      <c r="B191" s="162">
        <f xml:space="preserve"> 'CASE DATA'!E192</f>
        <v>0</v>
      </c>
      <c r="C191" s="163">
        <f xml:space="preserve"> 'CASE DATA'!C192</f>
        <v>0</v>
      </c>
      <c r="D191" s="11" t="str">
        <f xml:space="preserve"> IF(OR('CASE DATA'!F192="JUV", 'CASE DATA'!F192="JWV"), "YES", "NO")</f>
        <v>NO</v>
      </c>
      <c r="E191" s="11"/>
      <c r="F191" s="11" t="str">
        <f>IF(D191="YES",IF(COUNTIF('CASE DATA'!$C$4:$C$200, "")-COUNTIF('CASE DATA'!$A$4:$A$200, "")&gt;0, "YES","NO"),"N/A")</f>
        <v>N/A</v>
      </c>
      <c r="G191" s="164" t="str">
        <f xml:space="preserve"> _xlfn.IFS(D191="NO", "N/A", AND('BASIC INFO'!$B$3&gt;'BASIC INFO'!$B$6+6574.5, C191+730.5&lt;'BASIC INFO'!$B$3), "YES", 'BASIC INFO'!$B$3&lt;('BASIC INFO'!$B$6+6574.5), "NOT YET 18", C191+730.5&gt;'BASIC INFO'!$B$3, "NOT YET 2 YEARS")</f>
        <v>N/A</v>
      </c>
      <c r="H191" s="186" t="str">
        <f xml:space="preserve"> IF(LEFT('CASE DATA'!E192,4)&lt;&gt;"321.",IF(OR('CASE DATA'!F192="DISM", 'CASE DATA'!F192="ACQ", 'CASE DATA'!F192="NOTF", 'CASE DATA'!F192="WTHD", 'CASE DATA'!F192="TNSF"), "YES", "NO"), "TRAFFIC")</f>
        <v>NO</v>
      </c>
      <c r="I191" s="185" t="str">
        <f xml:space="preserve"> IF(H191="YES",'CASE DATA'!K192,"N/A")</f>
        <v>N/A</v>
      </c>
      <c r="J191" s="185" t="str">
        <f>IF(H191="YES",'CASE DATA'!I192+'CASE DATA'!J192+'CASE DATA'!L192+'CASE DATA'!M192+'CASE DATA'!N192+'CASE DATA'!O192+'CASE DATA'!P192+'CASE DATA'!Q192+'CASE DATA'!R192,"N/A")</f>
        <v>N/A</v>
      </c>
      <c r="K191" s="162" t="str">
        <f xml:space="preserve"> IF(H191="YES",IF(C191+180&lt;'BASIC INFO'!$B$3, "YES", "NO"),"N/A")</f>
        <v>N/A</v>
      </c>
      <c r="L191" s="185" t="str">
        <f>IF(OR('CASE DATA'!F192="GTR", 'CASE DATA'!F192="GPL"),IF(OR('CASE DATA'!E192="81.6(2)", 'CASE DATA'!E192="99F.15(6)(b)(1)", 'CASE DATA'!E192= "124.401(1)(a)", 'CASE DATA'!E192= "124.401(1)(b)", 'CASE DATA'!E192= "124.401(1)(c)", 'CASE DATA'!E192= "124.401(1)(d)", 'CASE DATA'!E192="124.401(4)", 'CASE DATA'!E192="124.401(1)(b)", 'CASE DATA'!E192="124.401(1)(c)", 'CASE DATA'!E192="124.401D(2)(b)", 'CASE DATA'!E192="124.401D(2)(c)", 'CASE DATA'!E192="124.406(1)(a)", 'CASE DATA'!E192="124.406(1)(b) ", 'CASE DATA'!E192="124.406(2)(a)", 'CASE DATA'!E192="124.406(2)(b) ", 'CASE DATA'!E192="124.406(3)", 'CASE DATA'!E192="124.406A ", 'CASE DATA'!E192="124.407(2)(a)", 'CASE DATA'!E192="124B.9(1)", 'CASE DATA'!E192="124B.9(2)", 'CASE DATA'!E192="321J.2(2)(c)", 'CASE DATA'!E192="453B.12(2)", 'CASE DATA'!E192="453B.12(3)", 'CASE DATA'!E192="453B.12(4)", 'CASE DATA'!E192="462A.14(2)(c)", 'CASE DATA'!E192="462A.14(2)(d)", 'CASE DATA'!E192="462A.14(2)(e)", 'CASE DATA'!E192="705.1(2)", 'CASE DATA'!E192="706.3(1)", 'CASE DATA'!E192="706.3(2)", 'CASE DATA'!E192="706A.2(1)", 'CASE DATA'!E192="706A.2(2)", 'CASE DATA'!E192="706A.2(4)", 'CASE DATA'!E192="706B.2(1)(a)", 'CASE DATA'!E192="706B.2(1)(b)", 'CASE DATA'!E192="706B.2(1)(c)", 'CASE DATA'!E192="706B.2(1)(d)", 'CASE DATA'!E192="707.2", 'CASE DATA'!E192="707.3", 'CASE DATA'!E192="707.3A", 'CASE DATA'!E192="707.4", 'CASE DATA'!E192="707.5(1)(a)", 'CASE DATA'!E192="707.6A(1)", 'CASE DATA'!E192="707.6A(2)", 'CASE DATA'!E192="707.6A(3)", 'CASE DATA'!E192="707.6A(4)", 'CASE DATA'!E192="707.7(1)", 'CASE DATA'!E192="707.7(3)", 'CASE DATA'!E192="707.7(2)", 'CASE DATA'!E192="707.8(1)", 'CASE DATA'!E192="707.8(2)", 'CASE DATA'!E192="707.8(3)", 'CASE DATA'!E192="707.8(4)", 'CASE DATA'!E192="707.8(5)", 'CASE DATA'!E192="707.8(6)", 'CASE DATA'!E192="707.9", 'CASE DATA'!E192="707.11", 'CASE DATA'!E192="707A.2", 'CASE DATA'!E192="708.2(4)", 'CASE DATA'!E192="708.2(5)", 'CASE DATA'!E192="708.2A(4)", 'CASE DATA'!E192="708.2A(5)", 'CASE DATA'!E192="708.2C(2)", 'CASE DATA'!E192="708.2C(4)", 'CASE DATA'!E192="708.3(1)", 'CASE DATA'!E192="708.3(2)", 'CASE DATA'!E192="708.3A(1)", 'CASE DATA'!E192="708.3A(2)", 'CASE DATA'!E192="708.3B", 'CASE DATA'!E192="708.4(1)", 'CASE DATA'!E192="708.4(2)", 'CASE DATA'!E192="708.5", 'CASE DATA'!E192="708.8", 'CASE DATA'!E192="708.11(3)(a)", 'CASE DATA'!E192="708.11(3)(b)", 'CASE DATA'!E192="708.12(3)(f)", 'CASE DATA'!E192="708.13(3)", 'CASE DATA'!E192="708.14", 'CASE DATA'!E192="708A.2", 'CASE DATA'!E192="708A.4(1)", 'CASE DATA'!E192="708A.4(2)", 'CASE DATA'!E192="708A.5", 'CASE DATA'!E192="708A.6(1)", 'CASE DATA'!E192="708.A.6(2)", 'CASE DATA'!E192="709.2", 'CASE DATA'!E192="709.3", 'CASE DATA'!E192="709.4", 'CASE DATA'!E192="709.8(1)(a)", 'CASE DATA'!E192="709.8(1)(b)", 'CASE DATA'!E192="709.8(1)(c)", 'CASE DATA'!E192="709.8(1)(d)", 'CASE DATA'!E192="709.8(1)(e)", 'CASE DATA'!E192="709.11(1)", 'CASE DATA'!E192="709.11(2)", 'CASE DATA'!E192="709.15(2)(a)(1)", 'CASE DATA'!E192="709.15(3)(a)(1)", 'CASE DATA'!E192="709.18", 'CASE DATA'!E192="709A.6(2)", 'CASE DATA'!E192="709D.3(1)", 'CASE DATA'!E192="709D.3(2)", 'CASE DATA'!E192="709.D.3(3)", 'CASE DATA'!E192="710.2", 'CASE DATA'!E192="710.3", 'CASE DATA'!E192="710.4", 'CASE DATA'!E192="710.5", 'CASE DATA'!E192="710.10(1)", 'CASE DATA'!E192="710.10(2)", 'CASE DATA'!E192="710.10(3)", 'CASE DATA'!E192="710.11", 'CASE DATA'!E192="710A.2(1)", 'CASE DATA'!E192="710A.2(2)", 'CASE DATA'!E192="710A.2(3)", 'CASE DATA'!E192="710A.2(4)", 'CASE DATA'!E192="710A.2(5)", 'CASE DATA'!E192="710A.2(6)", 'CASE DATA'!E192="710A.2(7)", 'CASE DATA'!E192="710A.2A", 'CASE DATA'!E192="711.2", 'CASE DATA'!E192="711.3", 'CASE DATA'!E192="711.4", 'CASE DATA'!E192="712.2", 'CASE DATA'!E192="712.3", 'CASE DATA'!E192="712.6(1)", 'CASE DATA'!E192="712.7", 'CASE DATA'!E192="712.8", 'CASE DATA'!E192="", 'CASE DATA'!E192="713.3", 'CASE DATA'!E192="713.4", 'CASE DATA'!E192="713.5", 'CASE DATA'!E192="713.6", 'CASE DATA'!E192="713.6A(1)", 'CASE DATA'!E192="714.2(1)", 'CASE DATA'!E192="714.2(2)", 'CASE DATA'!E192="714.3A(2)(b)", 'CASE DATA'!E192="714.9", 'CASE DATA'!E192="714.10", 'CASE DATA'!E192="714.26(2)(a)", 'CASE DATA'!E192="714.26(2)(b)", 'CASE DATA'!E192="715A.2(2)(a)", 'CASE DATA'!E192="715A.6(2)(a)", 'CASE DATA'!E192="715A.6(2)(b)", 'CASE DATA'!E192="715A.8(3)(a)", 'CASE DATA'!E192="715A.8(3)(b)", 'CASE DATA'!E192="715A.10(1)", 'CASE DATA'!E192="715A.10(2)", 'CASE DATA'!E192="716.3", 'CASE DATA'!E192="716.4", 'CASE DATA'!E192="716.8(6)", 'CASE DATA'!E192="716.10(2)(a)", 'CASE DATA'!E192="716.10(2)(b)", 'CASE DATA'!E192="716.10(2)(c)", 'CASE DATA'!E192="716.10(2)(d)", 'CASE DATA'!E192="716.12", 'CASE DATA'!E192="719.1(1)(f)", 'CASE DATA'!E192="719.1(2)(e)", 'CASE DATA'!E192="719.1(2)(f)", 'CASE DATA'!E192="719.1(2)(g)", 'CASE DATA'!E192="719.4(1)", 'CASE DATA'!E192="719.4(4)", 'CASE DATA'!E192="719.5(1)", 'CASE DATA'!E192="719.5(2)", 'CASE DATA'!E192="719.6(1)", 'CASE DATA'!E192="719.6(2)", 'CASE DATA'!E192="719.7(4)(a)", 'CASE DATA'!E192="719.7(4)(b)", 'CASE DATA'!E192="719.7A(3)", 'CASE DATA'!E192="719.9", 'CASE DATA'!E192="719.8", 'CASE DATA'!E192="720.2", 'CASE DATA'!E192="720.3", 'CASE DATA'!E192="721.1", 'CASE DATA'!E192="722.1", 'CASE DATA'!E192="", 'CASE DATA'!E192="722.2", 'CASE DATA'!E192="722.10", 'CASE DATA'!E192="723(5)(3)(c)", 'CASE DATA'!E192="723A.2", 'CASE DATA'!E192="723A.3(1)", 'CASE DATA'!E192="723A.3(2)", 'CASE DATA'!E192="724.1B", 'CASE DATA'!E192="724.1C", 'CASE DATA'!E192="724.3", 'CASE DATA'!E192="724.4B", 'CASE DATA'!E192="724.10", 'CASE DATA'!E192="724.16(2)", 'CASE DATA'!E192="724.16A(1)(a)", 'CASE DATA'!E192="724.16A(1)(b)", 'CASE DATA'!E192="724.17", 'CASE DATA'!E192="724.21", 'CASE DATA'!E192="724.26(1)", 'CASE DATA'!E192="922(g)(8)", 'CASE DATA'!E192="724.29A(2)", 'CASE DATA'!E192="724.29A(3)", 'CASE DATA'!E192="724.30(1)", 'CASE DATA'!E192="724.30(2)", 'CASE DATA'!E192="725.1(2)(b)", 'CASE DATA'!E192="725.2(1)", 'CASE DATA'!E192="725.2(2)", 'CASE DATA'!E192="725.3(2)", 'CASE DATA'!E192="725.3(1)", 'CASE DATA'!E192="725.7(2)(a)(3)", 'CASE DATA'!E192="725.7(2)(a)(4)", 'CASE DATA'!E192="725.7(2)(b)(2)", 'CASE DATA'!E192="725.7(2)(b(3)", 'CASE DATA'!E192="726.7(2)(c)(1)", 'CASE DATA'!E192="726.7(2)(c)(2)", 'CASE DATA'!E192="725.7(2)(d)", 'CASE DATA'!E192="726.2", 'CASE DATA'!E192="726.3", 'CASE DATA'!E192="726.5", 'CASE DATA'!E192="726.6(4)", 'CASE DATA'!E192="726.6(5)", 'CASE DATA'!E192="726.6(6)", 'CASE DATA'!E192="726.6A", 'CASE DATA'!E192="726.7(2)", 'CASE DATA'!E192="726.8(2)", 'CASE DATA'!E192="728.12(1)", 'CASE DATA'!E192="728.12(2)"),"felony","eligible"),"N/A")</f>
        <v>N/A</v>
      </c>
      <c r="M191" s="185" t="str">
        <f>IF(L191="eligible",IF(OR('CASE DATA'!E192="123.46",'CASE DATA'!E192="123.47",'CASE DATA'!E192="235B.20",'CASE DATA'!E192="321.218",'CASE DATA'!E192="321A.32",'CASE DATA'!E192="321J.21",'CASE DATA'!E192="321J.2",'CASE DATA'!E192="707.5",'CASE DATA'!E192="708.2(3)",'CASE DATA'!E192="708.2A",'CASE DATA'!E192="708.7",'CASE DATA'!E192="708.11",'CASE DATA'!E192="708.12",'CASE DATA'!E192="716.8(3)",'CASE DATA'!E192="716.8(4)", LEFT('CASE DATA'!E192,4)="717C", LEFT('CASE DATA'!E192, 3)="719", LEFT('CASE DATA'!E192,3)="720", 'CASE DATA'!E192="721.2", 'CASE DATA'!E192="721.10", 'CASE DATA'!E192="723.1", LEFT('CASE DATA'!E192,3)="724", LEFT('CASE DATA'!E192,3)="726", LEFT('CASE DATA'!E192,3)="728", LEFT('CASE DATA'!E192,4)="901A"),"ineligible misd", "eligible"),"N/A")</f>
        <v>N/A</v>
      </c>
      <c r="N191" s="185" t="str">
        <f>IF(L191="eligible",IF(COUNTIF('CASE DATA'!$C$4:$C$200, "")-COUNTIF('CASE DATA'!$A$4:$A$200, "")&gt;0, "YES","NO"),"N/A")</f>
        <v>N/A</v>
      </c>
      <c r="O191" s="185" t="str">
        <f xml:space="preserve"> IF(M191="eligible",'CASE DATA'!K192,"N/A")</f>
        <v>N/A</v>
      </c>
      <c r="P191" s="185" t="str">
        <f xml:space="preserve"> IF(M191="eligible",'CASE DATA'!I192+'CASE DATA'!J192+'CASE DATA'!L192+'CASE DATA'!M192+'CASE DATA'!N192+'CASE DATA'!O192+'CASE DATA'!M192+'CASE DATA'!Q192+'CASE DATA'!R192,"N/A")</f>
        <v>N/A</v>
      </c>
      <c r="Q191" s="11" t="str">
        <f>IF(M191="eligible",IF(C191+730.5&lt;'BASIC INFO'!$B$3, "YES", "NO"),"N/A")</f>
        <v>N/A</v>
      </c>
      <c r="R191" s="186" t="str">
        <f xml:space="preserve"> IF(OR('CASE DATA'!F192="DEF"), "YES", "NO")</f>
        <v>NO</v>
      </c>
      <c r="S191" s="162" t="str">
        <f>IF(R191="YES",'CASE DATA'!H192,"N/A")</f>
        <v>N/A</v>
      </c>
      <c r="T191" s="185" t="str">
        <f xml:space="preserve"> IF(R191="YES",'CASE DATA'!K192,"N/A")</f>
        <v>N/A</v>
      </c>
      <c r="U191" s="185" t="str">
        <f>IF(R191="YES",'CASE DATA'!I192+'CASE DATA'!J192+'CASE DATA'!L192+'CASE DATA'!M192+'CASE DATA'!N192+'CASE DATA'!O192+'CASE DATA'!P192+'CASE DATA'!Q192+'CASE DATA'!R192,"N/A")</f>
        <v>N/A</v>
      </c>
      <c r="V191" s="189" t="str">
        <f>IF(OR('CASE DATA'!E192="123.46",'CASE DATA'!E192="123.47"),"YES","NO")</f>
        <v>NO</v>
      </c>
      <c r="W191" s="189"/>
      <c r="X191" s="185" t="str">
        <f>IF(V191="YES",IF(C191+730.5&lt;'BASIC INFO'!$B$3, "YES","NO"), "N/A")</f>
        <v>N/A</v>
      </c>
      <c r="Y191" s="189" t="str">
        <f t="shared" si="3"/>
        <v>NO</v>
      </c>
      <c r="Z191" s="187" t="str">
        <f xml:space="preserve"> IF('BASIC INFO'!$B$6+6574.5&gt;C191, "YES", "NO")</f>
        <v>YES</v>
      </c>
    </row>
    <row r="192" spans="1:26" x14ac:dyDescent="0.25">
      <c r="A192" s="162">
        <f xml:space="preserve"> 'CASE DATA'!A193</f>
        <v>0</v>
      </c>
      <c r="B192" s="162">
        <f xml:space="preserve"> 'CASE DATA'!E193</f>
        <v>0</v>
      </c>
      <c r="C192" s="163">
        <f xml:space="preserve"> 'CASE DATA'!C193</f>
        <v>0</v>
      </c>
      <c r="D192" s="11" t="str">
        <f xml:space="preserve"> IF(OR('CASE DATA'!F193="JUV", 'CASE DATA'!F193="JWV"), "YES", "NO")</f>
        <v>NO</v>
      </c>
      <c r="E192" s="11"/>
      <c r="F192" s="11" t="str">
        <f>IF(D192="YES",IF(COUNTIF('CASE DATA'!$C$4:$C$200, "")-COUNTIF('CASE DATA'!$A$4:$A$200, "")&gt;0, "YES","NO"),"N/A")</f>
        <v>N/A</v>
      </c>
      <c r="G192" s="164" t="str">
        <f xml:space="preserve"> _xlfn.IFS(D192="NO", "N/A", AND('BASIC INFO'!$B$3&gt;'BASIC INFO'!$B$6+6574.5, C192+730.5&lt;'BASIC INFO'!$B$3), "YES", 'BASIC INFO'!$B$3&lt;('BASIC INFO'!$B$6+6574.5), "NOT YET 18", C192+730.5&gt;'BASIC INFO'!$B$3, "NOT YET 2 YEARS")</f>
        <v>N/A</v>
      </c>
      <c r="H192" s="186" t="str">
        <f xml:space="preserve"> IF(LEFT('CASE DATA'!E193,4)&lt;&gt;"321.",IF(OR('CASE DATA'!F193="DISM", 'CASE DATA'!F193="ACQ", 'CASE DATA'!F193="NOTF", 'CASE DATA'!F193="WTHD", 'CASE DATA'!F193="TNSF"), "YES", "NO"), "TRAFFIC")</f>
        <v>NO</v>
      </c>
      <c r="I192" s="185" t="str">
        <f xml:space="preserve"> IF(H192="YES",'CASE DATA'!K193,"N/A")</f>
        <v>N/A</v>
      </c>
      <c r="J192" s="185" t="str">
        <f>IF(H192="YES",'CASE DATA'!I193+'CASE DATA'!J193+'CASE DATA'!L193+'CASE DATA'!M193+'CASE DATA'!N193+'CASE DATA'!O193+'CASE DATA'!P193+'CASE DATA'!Q193+'CASE DATA'!R193,"N/A")</f>
        <v>N/A</v>
      </c>
      <c r="K192" s="162" t="str">
        <f xml:space="preserve"> IF(H192="YES",IF(C192+180&lt;'BASIC INFO'!$B$3, "YES", "NO"),"N/A")</f>
        <v>N/A</v>
      </c>
      <c r="L192" s="185" t="str">
        <f>IF(OR('CASE DATA'!F193="GTR", 'CASE DATA'!F193="GPL"),IF(OR('CASE DATA'!E193="81.6(2)", 'CASE DATA'!E193="99F.15(6)(b)(1)", 'CASE DATA'!E193= "124.401(1)(a)", 'CASE DATA'!E193= "124.401(1)(b)", 'CASE DATA'!E193= "124.401(1)(c)", 'CASE DATA'!E193= "124.401(1)(d)", 'CASE DATA'!E193="124.401(4)", 'CASE DATA'!E193="124.401(1)(b)", 'CASE DATA'!E193="124.401(1)(c)", 'CASE DATA'!E193="124.401D(2)(b)", 'CASE DATA'!E193="124.401D(2)(c)", 'CASE DATA'!E193="124.406(1)(a)", 'CASE DATA'!E193="124.406(1)(b) ", 'CASE DATA'!E193="124.406(2)(a)", 'CASE DATA'!E193="124.406(2)(b) ", 'CASE DATA'!E193="124.406(3)", 'CASE DATA'!E193="124.406A ", 'CASE DATA'!E193="124.407(2)(a)", 'CASE DATA'!E193="124B.9(1)", 'CASE DATA'!E193="124B.9(2)", 'CASE DATA'!E193="321J.2(2)(c)", 'CASE DATA'!E193="453B.12(2)", 'CASE DATA'!E193="453B.12(3)", 'CASE DATA'!E193="453B.12(4)", 'CASE DATA'!E193="462A.14(2)(c)", 'CASE DATA'!E193="462A.14(2)(d)", 'CASE DATA'!E193="462A.14(2)(e)", 'CASE DATA'!E193="705.1(2)", 'CASE DATA'!E193="706.3(1)", 'CASE DATA'!E193="706.3(2)", 'CASE DATA'!E193="706A.2(1)", 'CASE DATA'!E193="706A.2(2)", 'CASE DATA'!E193="706A.2(4)", 'CASE DATA'!E193="706B.2(1)(a)", 'CASE DATA'!E193="706B.2(1)(b)", 'CASE DATA'!E193="706B.2(1)(c)", 'CASE DATA'!E193="706B.2(1)(d)", 'CASE DATA'!E193="707.2", 'CASE DATA'!E193="707.3", 'CASE DATA'!E193="707.3A", 'CASE DATA'!E193="707.4", 'CASE DATA'!E193="707.5(1)(a)", 'CASE DATA'!E193="707.6A(1)", 'CASE DATA'!E193="707.6A(2)", 'CASE DATA'!E193="707.6A(3)", 'CASE DATA'!E193="707.6A(4)", 'CASE DATA'!E193="707.7(1)", 'CASE DATA'!E193="707.7(3)", 'CASE DATA'!E193="707.7(2)", 'CASE DATA'!E193="707.8(1)", 'CASE DATA'!E193="707.8(2)", 'CASE DATA'!E193="707.8(3)", 'CASE DATA'!E193="707.8(4)", 'CASE DATA'!E193="707.8(5)", 'CASE DATA'!E193="707.8(6)", 'CASE DATA'!E193="707.9", 'CASE DATA'!E193="707.11", 'CASE DATA'!E193="707A.2", 'CASE DATA'!E193="708.2(4)", 'CASE DATA'!E193="708.2(5)", 'CASE DATA'!E193="708.2A(4)", 'CASE DATA'!E193="708.2A(5)", 'CASE DATA'!E193="708.2C(2)", 'CASE DATA'!E193="708.2C(4)", 'CASE DATA'!E193="708.3(1)", 'CASE DATA'!E193="708.3(2)", 'CASE DATA'!E193="708.3A(1)", 'CASE DATA'!E193="708.3A(2)", 'CASE DATA'!E193="708.3B", 'CASE DATA'!E193="708.4(1)", 'CASE DATA'!E193="708.4(2)", 'CASE DATA'!E193="708.5", 'CASE DATA'!E193="708.8", 'CASE DATA'!E193="708.11(3)(a)", 'CASE DATA'!E193="708.11(3)(b)", 'CASE DATA'!E193="708.12(3)(f)", 'CASE DATA'!E193="708.13(3)", 'CASE DATA'!E193="708.14", 'CASE DATA'!E193="708A.2", 'CASE DATA'!E193="708A.4(1)", 'CASE DATA'!E193="708A.4(2)", 'CASE DATA'!E193="708A.5", 'CASE DATA'!E193="708A.6(1)", 'CASE DATA'!E193="708.A.6(2)", 'CASE DATA'!E193="709.2", 'CASE DATA'!E193="709.3", 'CASE DATA'!E193="709.4", 'CASE DATA'!E193="709.8(1)(a)", 'CASE DATA'!E193="709.8(1)(b)", 'CASE DATA'!E193="709.8(1)(c)", 'CASE DATA'!E193="709.8(1)(d)", 'CASE DATA'!E193="709.8(1)(e)", 'CASE DATA'!E193="709.11(1)", 'CASE DATA'!E193="709.11(2)", 'CASE DATA'!E193="709.15(2)(a)(1)", 'CASE DATA'!E193="709.15(3)(a)(1)", 'CASE DATA'!E193="709.18", 'CASE DATA'!E193="709A.6(2)", 'CASE DATA'!E193="709D.3(1)", 'CASE DATA'!E193="709D.3(2)", 'CASE DATA'!E193="709.D.3(3)", 'CASE DATA'!E193="710.2", 'CASE DATA'!E193="710.3", 'CASE DATA'!E193="710.4", 'CASE DATA'!E193="710.5", 'CASE DATA'!E193="710.10(1)", 'CASE DATA'!E193="710.10(2)", 'CASE DATA'!E193="710.10(3)", 'CASE DATA'!E193="710.11", 'CASE DATA'!E193="710A.2(1)", 'CASE DATA'!E193="710A.2(2)", 'CASE DATA'!E193="710A.2(3)", 'CASE DATA'!E193="710A.2(4)", 'CASE DATA'!E193="710A.2(5)", 'CASE DATA'!E193="710A.2(6)", 'CASE DATA'!E193="710A.2(7)", 'CASE DATA'!E193="710A.2A", 'CASE DATA'!E193="711.2", 'CASE DATA'!E193="711.3", 'CASE DATA'!E193="711.4", 'CASE DATA'!E193="712.2", 'CASE DATA'!E193="712.3", 'CASE DATA'!E193="712.6(1)", 'CASE DATA'!E193="712.7", 'CASE DATA'!E193="712.8", 'CASE DATA'!E193="", 'CASE DATA'!E193="713.3", 'CASE DATA'!E193="713.4", 'CASE DATA'!E193="713.5", 'CASE DATA'!E193="713.6", 'CASE DATA'!E193="713.6A(1)", 'CASE DATA'!E193="714.2(1)", 'CASE DATA'!E193="714.2(2)", 'CASE DATA'!E193="714.3A(2)(b)", 'CASE DATA'!E193="714.9", 'CASE DATA'!E193="714.10", 'CASE DATA'!E193="714.26(2)(a)", 'CASE DATA'!E193="714.26(2)(b)", 'CASE DATA'!E193="715A.2(2)(a)", 'CASE DATA'!E193="715A.6(2)(a)", 'CASE DATA'!E193="715A.6(2)(b)", 'CASE DATA'!E193="715A.8(3)(a)", 'CASE DATA'!E193="715A.8(3)(b)", 'CASE DATA'!E193="715A.10(1)", 'CASE DATA'!E193="715A.10(2)", 'CASE DATA'!E193="716.3", 'CASE DATA'!E193="716.4", 'CASE DATA'!E193="716.8(6)", 'CASE DATA'!E193="716.10(2)(a)", 'CASE DATA'!E193="716.10(2)(b)", 'CASE DATA'!E193="716.10(2)(c)", 'CASE DATA'!E193="716.10(2)(d)", 'CASE DATA'!E193="716.12", 'CASE DATA'!E193="719.1(1)(f)", 'CASE DATA'!E193="719.1(2)(e)", 'CASE DATA'!E193="719.1(2)(f)", 'CASE DATA'!E193="719.1(2)(g)", 'CASE DATA'!E193="719.4(1)", 'CASE DATA'!E193="719.4(4)", 'CASE DATA'!E193="719.5(1)", 'CASE DATA'!E193="719.5(2)", 'CASE DATA'!E193="719.6(1)", 'CASE DATA'!E193="719.6(2)", 'CASE DATA'!E193="719.7(4)(a)", 'CASE DATA'!E193="719.7(4)(b)", 'CASE DATA'!E193="719.7A(3)", 'CASE DATA'!E193="719.9", 'CASE DATA'!E193="719.8", 'CASE DATA'!E193="720.2", 'CASE DATA'!E193="720.3", 'CASE DATA'!E193="721.1", 'CASE DATA'!E193="722.1", 'CASE DATA'!E193="", 'CASE DATA'!E193="722.2", 'CASE DATA'!E193="722.10", 'CASE DATA'!E193="723(5)(3)(c)", 'CASE DATA'!E193="723A.2", 'CASE DATA'!E193="723A.3(1)", 'CASE DATA'!E193="723A.3(2)", 'CASE DATA'!E193="724.1B", 'CASE DATA'!E193="724.1C", 'CASE DATA'!E193="724.3", 'CASE DATA'!E193="724.4B", 'CASE DATA'!E193="724.10", 'CASE DATA'!E193="724.16(2)", 'CASE DATA'!E193="724.16A(1)(a)", 'CASE DATA'!E193="724.16A(1)(b)", 'CASE DATA'!E193="724.17", 'CASE DATA'!E193="724.21", 'CASE DATA'!E193="724.26(1)", 'CASE DATA'!E193="922(g)(8)", 'CASE DATA'!E193="724.29A(2)", 'CASE DATA'!E193="724.29A(3)", 'CASE DATA'!E193="724.30(1)", 'CASE DATA'!E193="724.30(2)", 'CASE DATA'!E193="725.1(2)(b)", 'CASE DATA'!E193="725.2(1)", 'CASE DATA'!E193="725.2(2)", 'CASE DATA'!E193="725.3(2)", 'CASE DATA'!E193="725.3(1)", 'CASE DATA'!E193="725.7(2)(a)(3)", 'CASE DATA'!E193="725.7(2)(a)(4)", 'CASE DATA'!E193="725.7(2)(b)(2)", 'CASE DATA'!E193="725.7(2)(b(3)", 'CASE DATA'!E193="726.7(2)(c)(1)", 'CASE DATA'!E193="726.7(2)(c)(2)", 'CASE DATA'!E193="725.7(2)(d)", 'CASE DATA'!E193="726.2", 'CASE DATA'!E193="726.3", 'CASE DATA'!E193="726.5", 'CASE DATA'!E193="726.6(4)", 'CASE DATA'!E193="726.6(5)", 'CASE DATA'!E193="726.6(6)", 'CASE DATA'!E193="726.6A", 'CASE DATA'!E193="726.7(2)", 'CASE DATA'!E193="726.8(2)", 'CASE DATA'!E193="728.12(1)", 'CASE DATA'!E193="728.12(2)"),"felony","eligible"),"N/A")</f>
        <v>N/A</v>
      </c>
      <c r="M192" s="185" t="str">
        <f>IF(L192="eligible",IF(OR('CASE DATA'!E193="123.46",'CASE DATA'!E193="123.47",'CASE DATA'!E193="235B.20",'CASE DATA'!E193="321.218",'CASE DATA'!E193="321A.32",'CASE DATA'!E193="321J.21",'CASE DATA'!E193="321J.2",'CASE DATA'!E193="707.5",'CASE DATA'!E193="708.2(3)",'CASE DATA'!E193="708.2A",'CASE DATA'!E193="708.7",'CASE DATA'!E193="708.11",'CASE DATA'!E193="708.12",'CASE DATA'!E193="716.8(3)",'CASE DATA'!E193="716.8(4)", LEFT('CASE DATA'!E193,4)="717C", LEFT('CASE DATA'!E193, 3)="719", LEFT('CASE DATA'!E193,3)="720", 'CASE DATA'!E193="721.2", 'CASE DATA'!E193="721.10", 'CASE DATA'!E193="723.1", LEFT('CASE DATA'!E193,3)="724", LEFT('CASE DATA'!E193,3)="726", LEFT('CASE DATA'!E193,3)="728", LEFT('CASE DATA'!E193,4)="901A"),"ineligible misd", "eligible"),"N/A")</f>
        <v>N/A</v>
      </c>
      <c r="N192" s="185" t="str">
        <f>IF(L192="eligible",IF(COUNTIF('CASE DATA'!$C$4:$C$200, "")-COUNTIF('CASE DATA'!$A$4:$A$200, "")&gt;0, "YES","NO"),"N/A")</f>
        <v>N/A</v>
      </c>
      <c r="O192" s="185" t="str">
        <f xml:space="preserve"> IF(M192="eligible",'CASE DATA'!K193,"N/A")</f>
        <v>N/A</v>
      </c>
      <c r="P192" s="185" t="str">
        <f xml:space="preserve"> IF(M192="eligible",'CASE DATA'!I193+'CASE DATA'!J193+'CASE DATA'!L193+'CASE DATA'!M193+'CASE DATA'!N193+'CASE DATA'!O193+'CASE DATA'!M193+'CASE DATA'!Q193+'CASE DATA'!R193,"N/A")</f>
        <v>N/A</v>
      </c>
      <c r="Q192" s="11" t="str">
        <f>IF(M192="eligible",IF(C192+730.5&lt;'BASIC INFO'!$B$3, "YES", "NO"),"N/A")</f>
        <v>N/A</v>
      </c>
      <c r="R192" s="186" t="str">
        <f xml:space="preserve"> IF(OR('CASE DATA'!F193="DEF"), "YES", "NO")</f>
        <v>NO</v>
      </c>
      <c r="S192" s="162" t="str">
        <f>IF(R192="YES",'CASE DATA'!H193,"N/A")</f>
        <v>N/A</v>
      </c>
      <c r="T192" s="185" t="str">
        <f xml:space="preserve"> IF(R192="YES",'CASE DATA'!K193,"N/A")</f>
        <v>N/A</v>
      </c>
      <c r="U192" s="185" t="str">
        <f>IF(R192="YES",'CASE DATA'!I193+'CASE DATA'!J193+'CASE DATA'!L193+'CASE DATA'!M193+'CASE DATA'!N193+'CASE DATA'!O193+'CASE DATA'!P193+'CASE DATA'!Q193+'CASE DATA'!R193,"N/A")</f>
        <v>N/A</v>
      </c>
      <c r="V192" s="189" t="str">
        <f>IF(OR('CASE DATA'!E193="123.46",'CASE DATA'!E193="123.47"),"YES","NO")</f>
        <v>NO</v>
      </c>
      <c r="W192" s="189"/>
      <c r="X192" s="185" t="str">
        <f>IF(V192="YES",IF(C192+730.5&lt;'BASIC INFO'!$B$3, "YES","NO"), "N/A")</f>
        <v>N/A</v>
      </c>
      <c r="Y192" s="189" t="str">
        <f t="shared" si="3"/>
        <v>NO</v>
      </c>
      <c r="Z192" s="187" t="str">
        <f xml:space="preserve"> IF('BASIC INFO'!$B$6+6574.5&gt;C192, "YES", "NO")</f>
        <v>YES</v>
      </c>
    </row>
    <row r="193" spans="1:26" x14ac:dyDescent="0.25">
      <c r="A193" s="162">
        <f xml:space="preserve"> 'CASE DATA'!A194</f>
        <v>0</v>
      </c>
      <c r="B193" s="162">
        <f xml:space="preserve"> 'CASE DATA'!E194</f>
        <v>0</v>
      </c>
      <c r="C193" s="163">
        <f xml:space="preserve"> 'CASE DATA'!C194</f>
        <v>0</v>
      </c>
      <c r="D193" s="11" t="str">
        <f xml:space="preserve"> IF(OR('CASE DATA'!F194="JUV", 'CASE DATA'!F194="JWV"), "YES", "NO")</f>
        <v>NO</v>
      </c>
      <c r="E193" s="11"/>
      <c r="F193" s="11" t="str">
        <f>IF(D193="YES",IF(COUNTIF('CASE DATA'!$C$4:$C$200, "")-COUNTIF('CASE DATA'!$A$4:$A$200, "")&gt;0, "YES","NO"),"N/A")</f>
        <v>N/A</v>
      </c>
      <c r="G193" s="164" t="str">
        <f xml:space="preserve"> _xlfn.IFS(D193="NO", "N/A", AND('BASIC INFO'!$B$3&gt;'BASIC INFO'!$B$6+6574.5, C193+730.5&lt;'BASIC INFO'!$B$3), "YES", 'BASIC INFO'!$B$3&lt;('BASIC INFO'!$B$6+6574.5), "NOT YET 18", C193+730.5&gt;'BASIC INFO'!$B$3, "NOT YET 2 YEARS")</f>
        <v>N/A</v>
      </c>
      <c r="H193" s="186" t="str">
        <f xml:space="preserve"> IF(LEFT('CASE DATA'!E194,4)&lt;&gt;"321.",IF(OR('CASE DATA'!F194="DISM", 'CASE DATA'!F194="ACQ", 'CASE DATA'!F194="NOTF", 'CASE DATA'!F194="WTHD", 'CASE DATA'!F194="TNSF"), "YES", "NO"), "TRAFFIC")</f>
        <v>NO</v>
      </c>
      <c r="I193" s="185" t="str">
        <f xml:space="preserve"> IF(H193="YES",'CASE DATA'!K194,"N/A")</f>
        <v>N/A</v>
      </c>
      <c r="J193" s="185" t="str">
        <f>IF(H193="YES",'CASE DATA'!I194+'CASE DATA'!J194+'CASE DATA'!L194+'CASE DATA'!M194+'CASE DATA'!N194+'CASE DATA'!O194+'CASE DATA'!P194+'CASE DATA'!Q194+'CASE DATA'!R194,"N/A")</f>
        <v>N/A</v>
      </c>
      <c r="K193" s="162" t="str">
        <f xml:space="preserve"> IF(H193="YES",IF(C193+180&lt;'BASIC INFO'!$B$3, "YES", "NO"),"N/A")</f>
        <v>N/A</v>
      </c>
      <c r="L193" s="185" t="str">
        <f>IF(OR('CASE DATA'!F194="GTR", 'CASE DATA'!F194="GPL"),IF(OR('CASE DATA'!E194="81.6(2)", 'CASE DATA'!E194="99F.15(6)(b)(1)", 'CASE DATA'!E194= "124.401(1)(a)", 'CASE DATA'!E194= "124.401(1)(b)", 'CASE DATA'!E194= "124.401(1)(c)", 'CASE DATA'!E194= "124.401(1)(d)", 'CASE DATA'!E194="124.401(4)", 'CASE DATA'!E194="124.401(1)(b)", 'CASE DATA'!E194="124.401(1)(c)", 'CASE DATA'!E194="124.401D(2)(b)", 'CASE DATA'!E194="124.401D(2)(c)", 'CASE DATA'!E194="124.406(1)(a)", 'CASE DATA'!E194="124.406(1)(b) ", 'CASE DATA'!E194="124.406(2)(a)", 'CASE DATA'!E194="124.406(2)(b) ", 'CASE DATA'!E194="124.406(3)", 'CASE DATA'!E194="124.406A ", 'CASE DATA'!E194="124.407(2)(a)", 'CASE DATA'!E194="124B.9(1)", 'CASE DATA'!E194="124B.9(2)", 'CASE DATA'!E194="321J.2(2)(c)", 'CASE DATA'!E194="453B.12(2)", 'CASE DATA'!E194="453B.12(3)", 'CASE DATA'!E194="453B.12(4)", 'CASE DATA'!E194="462A.14(2)(c)", 'CASE DATA'!E194="462A.14(2)(d)", 'CASE DATA'!E194="462A.14(2)(e)", 'CASE DATA'!E194="705.1(2)", 'CASE DATA'!E194="706.3(1)", 'CASE DATA'!E194="706.3(2)", 'CASE DATA'!E194="706A.2(1)", 'CASE DATA'!E194="706A.2(2)", 'CASE DATA'!E194="706A.2(4)", 'CASE DATA'!E194="706B.2(1)(a)", 'CASE DATA'!E194="706B.2(1)(b)", 'CASE DATA'!E194="706B.2(1)(c)", 'CASE DATA'!E194="706B.2(1)(d)", 'CASE DATA'!E194="707.2", 'CASE DATA'!E194="707.3", 'CASE DATA'!E194="707.3A", 'CASE DATA'!E194="707.4", 'CASE DATA'!E194="707.5(1)(a)", 'CASE DATA'!E194="707.6A(1)", 'CASE DATA'!E194="707.6A(2)", 'CASE DATA'!E194="707.6A(3)", 'CASE DATA'!E194="707.6A(4)", 'CASE DATA'!E194="707.7(1)", 'CASE DATA'!E194="707.7(3)", 'CASE DATA'!E194="707.7(2)", 'CASE DATA'!E194="707.8(1)", 'CASE DATA'!E194="707.8(2)", 'CASE DATA'!E194="707.8(3)", 'CASE DATA'!E194="707.8(4)", 'CASE DATA'!E194="707.8(5)", 'CASE DATA'!E194="707.8(6)", 'CASE DATA'!E194="707.9", 'CASE DATA'!E194="707.11", 'CASE DATA'!E194="707A.2", 'CASE DATA'!E194="708.2(4)", 'CASE DATA'!E194="708.2(5)", 'CASE DATA'!E194="708.2A(4)", 'CASE DATA'!E194="708.2A(5)", 'CASE DATA'!E194="708.2C(2)", 'CASE DATA'!E194="708.2C(4)", 'CASE DATA'!E194="708.3(1)", 'CASE DATA'!E194="708.3(2)", 'CASE DATA'!E194="708.3A(1)", 'CASE DATA'!E194="708.3A(2)", 'CASE DATA'!E194="708.3B", 'CASE DATA'!E194="708.4(1)", 'CASE DATA'!E194="708.4(2)", 'CASE DATA'!E194="708.5", 'CASE DATA'!E194="708.8", 'CASE DATA'!E194="708.11(3)(a)", 'CASE DATA'!E194="708.11(3)(b)", 'CASE DATA'!E194="708.12(3)(f)", 'CASE DATA'!E194="708.13(3)", 'CASE DATA'!E194="708.14", 'CASE DATA'!E194="708A.2", 'CASE DATA'!E194="708A.4(1)", 'CASE DATA'!E194="708A.4(2)", 'CASE DATA'!E194="708A.5", 'CASE DATA'!E194="708A.6(1)", 'CASE DATA'!E194="708.A.6(2)", 'CASE DATA'!E194="709.2", 'CASE DATA'!E194="709.3", 'CASE DATA'!E194="709.4", 'CASE DATA'!E194="709.8(1)(a)", 'CASE DATA'!E194="709.8(1)(b)", 'CASE DATA'!E194="709.8(1)(c)", 'CASE DATA'!E194="709.8(1)(d)", 'CASE DATA'!E194="709.8(1)(e)", 'CASE DATA'!E194="709.11(1)", 'CASE DATA'!E194="709.11(2)", 'CASE DATA'!E194="709.15(2)(a)(1)", 'CASE DATA'!E194="709.15(3)(a)(1)", 'CASE DATA'!E194="709.18", 'CASE DATA'!E194="709A.6(2)", 'CASE DATA'!E194="709D.3(1)", 'CASE DATA'!E194="709D.3(2)", 'CASE DATA'!E194="709.D.3(3)", 'CASE DATA'!E194="710.2", 'CASE DATA'!E194="710.3", 'CASE DATA'!E194="710.4", 'CASE DATA'!E194="710.5", 'CASE DATA'!E194="710.10(1)", 'CASE DATA'!E194="710.10(2)", 'CASE DATA'!E194="710.10(3)", 'CASE DATA'!E194="710.11", 'CASE DATA'!E194="710A.2(1)", 'CASE DATA'!E194="710A.2(2)", 'CASE DATA'!E194="710A.2(3)", 'CASE DATA'!E194="710A.2(4)", 'CASE DATA'!E194="710A.2(5)", 'CASE DATA'!E194="710A.2(6)", 'CASE DATA'!E194="710A.2(7)", 'CASE DATA'!E194="710A.2A", 'CASE DATA'!E194="711.2", 'CASE DATA'!E194="711.3", 'CASE DATA'!E194="711.4", 'CASE DATA'!E194="712.2", 'CASE DATA'!E194="712.3", 'CASE DATA'!E194="712.6(1)", 'CASE DATA'!E194="712.7", 'CASE DATA'!E194="712.8", 'CASE DATA'!E194="", 'CASE DATA'!E194="713.3", 'CASE DATA'!E194="713.4", 'CASE DATA'!E194="713.5", 'CASE DATA'!E194="713.6", 'CASE DATA'!E194="713.6A(1)", 'CASE DATA'!E194="714.2(1)", 'CASE DATA'!E194="714.2(2)", 'CASE DATA'!E194="714.3A(2)(b)", 'CASE DATA'!E194="714.9", 'CASE DATA'!E194="714.10", 'CASE DATA'!E194="714.26(2)(a)", 'CASE DATA'!E194="714.26(2)(b)", 'CASE DATA'!E194="715A.2(2)(a)", 'CASE DATA'!E194="715A.6(2)(a)", 'CASE DATA'!E194="715A.6(2)(b)", 'CASE DATA'!E194="715A.8(3)(a)", 'CASE DATA'!E194="715A.8(3)(b)", 'CASE DATA'!E194="715A.10(1)", 'CASE DATA'!E194="715A.10(2)", 'CASE DATA'!E194="716.3", 'CASE DATA'!E194="716.4", 'CASE DATA'!E194="716.8(6)", 'CASE DATA'!E194="716.10(2)(a)", 'CASE DATA'!E194="716.10(2)(b)", 'CASE DATA'!E194="716.10(2)(c)", 'CASE DATA'!E194="716.10(2)(d)", 'CASE DATA'!E194="716.12", 'CASE DATA'!E194="719.1(1)(f)", 'CASE DATA'!E194="719.1(2)(e)", 'CASE DATA'!E194="719.1(2)(f)", 'CASE DATA'!E194="719.1(2)(g)", 'CASE DATA'!E194="719.4(1)", 'CASE DATA'!E194="719.4(4)", 'CASE DATA'!E194="719.5(1)", 'CASE DATA'!E194="719.5(2)", 'CASE DATA'!E194="719.6(1)", 'CASE DATA'!E194="719.6(2)", 'CASE DATA'!E194="719.7(4)(a)", 'CASE DATA'!E194="719.7(4)(b)", 'CASE DATA'!E194="719.7A(3)", 'CASE DATA'!E194="719.9", 'CASE DATA'!E194="719.8", 'CASE DATA'!E194="720.2", 'CASE DATA'!E194="720.3", 'CASE DATA'!E194="721.1", 'CASE DATA'!E194="722.1", 'CASE DATA'!E194="", 'CASE DATA'!E194="722.2", 'CASE DATA'!E194="722.10", 'CASE DATA'!E194="723(5)(3)(c)", 'CASE DATA'!E194="723A.2", 'CASE DATA'!E194="723A.3(1)", 'CASE DATA'!E194="723A.3(2)", 'CASE DATA'!E194="724.1B", 'CASE DATA'!E194="724.1C", 'CASE DATA'!E194="724.3", 'CASE DATA'!E194="724.4B", 'CASE DATA'!E194="724.10", 'CASE DATA'!E194="724.16(2)", 'CASE DATA'!E194="724.16A(1)(a)", 'CASE DATA'!E194="724.16A(1)(b)", 'CASE DATA'!E194="724.17", 'CASE DATA'!E194="724.21", 'CASE DATA'!E194="724.26(1)", 'CASE DATA'!E194="922(g)(8)", 'CASE DATA'!E194="724.29A(2)", 'CASE DATA'!E194="724.29A(3)", 'CASE DATA'!E194="724.30(1)", 'CASE DATA'!E194="724.30(2)", 'CASE DATA'!E194="725.1(2)(b)", 'CASE DATA'!E194="725.2(1)", 'CASE DATA'!E194="725.2(2)", 'CASE DATA'!E194="725.3(2)", 'CASE DATA'!E194="725.3(1)", 'CASE DATA'!E194="725.7(2)(a)(3)", 'CASE DATA'!E194="725.7(2)(a)(4)", 'CASE DATA'!E194="725.7(2)(b)(2)", 'CASE DATA'!E194="725.7(2)(b(3)", 'CASE DATA'!E194="726.7(2)(c)(1)", 'CASE DATA'!E194="726.7(2)(c)(2)", 'CASE DATA'!E194="725.7(2)(d)", 'CASE DATA'!E194="726.2", 'CASE DATA'!E194="726.3", 'CASE DATA'!E194="726.5", 'CASE DATA'!E194="726.6(4)", 'CASE DATA'!E194="726.6(5)", 'CASE DATA'!E194="726.6(6)", 'CASE DATA'!E194="726.6A", 'CASE DATA'!E194="726.7(2)", 'CASE DATA'!E194="726.8(2)", 'CASE DATA'!E194="728.12(1)", 'CASE DATA'!E194="728.12(2)"),"felony","eligible"),"N/A")</f>
        <v>N/A</v>
      </c>
      <c r="M193" s="185" t="str">
        <f>IF(L193="eligible",IF(OR('CASE DATA'!E194="123.46",'CASE DATA'!E194="123.47",'CASE DATA'!E194="235B.20",'CASE DATA'!E194="321.218",'CASE DATA'!E194="321A.32",'CASE DATA'!E194="321J.21",'CASE DATA'!E194="321J.2",'CASE DATA'!E194="707.5",'CASE DATA'!E194="708.2(3)",'CASE DATA'!E194="708.2A",'CASE DATA'!E194="708.7",'CASE DATA'!E194="708.11",'CASE DATA'!E194="708.12",'CASE DATA'!E194="716.8(3)",'CASE DATA'!E194="716.8(4)", LEFT('CASE DATA'!E194,4)="717C", LEFT('CASE DATA'!E194, 3)="719", LEFT('CASE DATA'!E194,3)="720", 'CASE DATA'!E194="721.2", 'CASE DATA'!E194="721.10", 'CASE DATA'!E194="723.1", LEFT('CASE DATA'!E194,3)="724", LEFT('CASE DATA'!E194,3)="726", LEFT('CASE DATA'!E194,3)="728", LEFT('CASE DATA'!E194,4)="901A"),"ineligible misd", "eligible"),"N/A")</f>
        <v>N/A</v>
      </c>
      <c r="N193" s="185" t="str">
        <f>IF(L193="eligible",IF(COUNTIF('CASE DATA'!$C$4:$C$200, "")-COUNTIF('CASE DATA'!$A$4:$A$200, "")&gt;0, "YES","NO"),"N/A")</f>
        <v>N/A</v>
      </c>
      <c r="O193" s="185" t="str">
        <f xml:space="preserve"> IF(M193="eligible",'CASE DATA'!K194,"N/A")</f>
        <v>N/A</v>
      </c>
      <c r="P193" s="185" t="str">
        <f xml:space="preserve"> IF(M193="eligible",'CASE DATA'!I194+'CASE DATA'!J194+'CASE DATA'!L194+'CASE DATA'!M194+'CASE DATA'!N194+'CASE DATA'!O194+'CASE DATA'!M194+'CASE DATA'!Q194+'CASE DATA'!R194,"N/A")</f>
        <v>N/A</v>
      </c>
      <c r="Q193" s="11" t="str">
        <f>IF(M193="eligible",IF(C193+730.5&lt;'BASIC INFO'!$B$3, "YES", "NO"),"N/A")</f>
        <v>N/A</v>
      </c>
      <c r="R193" s="186" t="str">
        <f xml:space="preserve"> IF(OR('CASE DATA'!F194="DEF"), "YES", "NO")</f>
        <v>NO</v>
      </c>
      <c r="S193" s="162" t="str">
        <f>IF(R193="YES",'CASE DATA'!H194,"N/A")</f>
        <v>N/A</v>
      </c>
      <c r="T193" s="185" t="str">
        <f xml:space="preserve"> IF(R193="YES",'CASE DATA'!K194,"N/A")</f>
        <v>N/A</v>
      </c>
      <c r="U193" s="185" t="str">
        <f>IF(R193="YES",'CASE DATA'!I194+'CASE DATA'!J194+'CASE DATA'!L194+'CASE DATA'!M194+'CASE DATA'!N194+'CASE DATA'!O194+'CASE DATA'!P194+'CASE DATA'!Q194+'CASE DATA'!R194,"N/A")</f>
        <v>N/A</v>
      </c>
      <c r="V193" s="189" t="str">
        <f>IF(OR('CASE DATA'!E194="123.46",'CASE DATA'!E194="123.47"),"YES","NO")</f>
        <v>NO</v>
      </c>
      <c r="W193" s="189"/>
      <c r="X193" s="185" t="str">
        <f>IF(V193="YES",IF(C193+730.5&lt;'BASIC INFO'!$B$3, "YES","NO"), "N/A")</f>
        <v>N/A</v>
      </c>
      <c r="Y193" s="189" t="str">
        <f t="shared" si="3"/>
        <v>NO</v>
      </c>
      <c r="Z193" s="187" t="str">
        <f xml:space="preserve"> IF('BASIC INFO'!$B$6+6574.5&gt;C193, "YES", "NO")</f>
        <v>YES</v>
      </c>
    </row>
    <row r="194" spans="1:26" x14ac:dyDescent="0.25">
      <c r="A194" s="162">
        <f xml:space="preserve"> 'CASE DATA'!A195</f>
        <v>0</v>
      </c>
      <c r="B194" s="162">
        <f xml:space="preserve"> 'CASE DATA'!E195</f>
        <v>0</v>
      </c>
      <c r="C194" s="163">
        <f xml:space="preserve"> 'CASE DATA'!C195</f>
        <v>0</v>
      </c>
      <c r="D194" s="11" t="str">
        <f xml:space="preserve"> IF(OR('CASE DATA'!F195="JUV", 'CASE DATA'!F195="JWV"), "YES", "NO")</f>
        <v>NO</v>
      </c>
      <c r="E194" s="11"/>
      <c r="F194" s="11" t="str">
        <f>IF(D194="YES",IF(COUNTIF('CASE DATA'!$C$4:$C$200, "")-COUNTIF('CASE DATA'!$A$4:$A$200, "")&gt;0, "YES","NO"),"N/A")</f>
        <v>N/A</v>
      </c>
      <c r="G194" s="164" t="str">
        <f xml:space="preserve"> _xlfn.IFS(D194="NO", "N/A", AND('BASIC INFO'!$B$3&gt;'BASIC INFO'!$B$6+6574.5, C194+730.5&lt;'BASIC INFO'!$B$3), "YES", 'BASIC INFO'!$B$3&lt;('BASIC INFO'!$B$6+6574.5), "NOT YET 18", C194+730.5&gt;'BASIC INFO'!$B$3, "NOT YET 2 YEARS")</f>
        <v>N/A</v>
      </c>
      <c r="H194" s="186" t="str">
        <f xml:space="preserve"> IF(LEFT('CASE DATA'!E195,4)&lt;&gt;"321.",IF(OR('CASE DATA'!F195="DISM", 'CASE DATA'!F195="ACQ", 'CASE DATA'!F195="NOTF", 'CASE DATA'!F195="WTHD", 'CASE DATA'!F195="TNSF"), "YES", "NO"), "TRAFFIC")</f>
        <v>NO</v>
      </c>
      <c r="I194" s="185" t="str">
        <f xml:space="preserve"> IF(H194="YES",'CASE DATA'!K195,"N/A")</f>
        <v>N/A</v>
      </c>
      <c r="J194" s="185" t="str">
        <f>IF(H194="YES",'CASE DATA'!I195+'CASE DATA'!J195+'CASE DATA'!L195+'CASE DATA'!M195+'CASE DATA'!N195+'CASE DATA'!O195+'CASE DATA'!P195+'CASE DATA'!Q195+'CASE DATA'!R195,"N/A")</f>
        <v>N/A</v>
      </c>
      <c r="K194" s="162" t="str">
        <f xml:space="preserve"> IF(H194="YES",IF(C194+180&lt;'BASIC INFO'!$B$3, "YES", "NO"),"N/A")</f>
        <v>N/A</v>
      </c>
      <c r="L194" s="185" t="str">
        <f>IF(OR('CASE DATA'!F195="GTR", 'CASE DATA'!F195="GPL"),IF(OR('CASE DATA'!E195="81.6(2)", 'CASE DATA'!E195="99F.15(6)(b)(1)", 'CASE DATA'!E195= "124.401(1)(a)", 'CASE DATA'!E195= "124.401(1)(b)", 'CASE DATA'!E195= "124.401(1)(c)", 'CASE DATA'!E195= "124.401(1)(d)", 'CASE DATA'!E195="124.401(4)", 'CASE DATA'!E195="124.401(1)(b)", 'CASE DATA'!E195="124.401(1)(c)", 'CASE DATA'!E195="124.401D(2)(b)", 'CASE DATA'!E195="124.401D(2)(c)", 'CASE DATA'!E195="124.406(1)(a)", 'CASE DATA'!E195="124.406(1)(b) ", 'CASE DATA'!E195="124.406(2)(a)", 'CASE DATA'!E195="124.406(2)(b) ", 'CASE DATA'!E195="124.406(3)", 'CASE DATA'!E195="124.406A ", 'CASE DATA'!E195="124.407(2)(a)", 'CASE DATA'!E195="124B.9(1)", 'CASE DATA'!E195="124B.9(2)", 'CASE DATA'!E195="321J.2(2)(c)", 'CASE DATA'!E195="453B.12(2)", 'CASE DATA'!E195="453B.12(3)", 'CASE DATA'!E195="453B.12(4)", 'CASE DATA'!E195="462A.14(2)(c)", 'CASE DATA'!E195="462A.14(2)(d)", 'CASE DATA'!E195="462A.14(2)(e)", 'CASE DATA'!E195="705.1(2)", 'CASE DATA'!E195="706.3(1)", 'CASE DATA'!E195="706.3(2)", 'CASE DATA'!E195="706A.2(1)", 'CASE DATA'!E195="706A.2(2)", 'CASE DATA'!E195="706A.2(4)", 'CASE DATA'!E195="706B.2(1)(a)", 'CASE DATA'!E195="706B.2(1)(b)", 'CASE DATA'!E195="706B.2(1)(c)", 'CASE DATA'!E195="706B.2(1)(d)", 'CASE DATA'!E195="707.2", 'CASE DATA'!E195="707.3", 'CASE DATA'!E195="707.3A", 'CASE DATA'!E195="707.4", 'CASE DATA'!E195="707.5(1)(a)", 'CASE DATA'!E195="707.6A(1)", 'CASE DATA'!E195="707.6A(2)", 'CASE DATA'!E195="707.6A(3)", 'CASE DATA'!E195="707.6A(4)", 'CASE DATA'!E195="707.7(1)", 'CASE DATA'!E195="707.7(3)", 'CASE DATA'!E195="707.7(2)", 'CASE DATA'!E195="707.8(1)", 'CASE DATA'!E195="707.8(2)", 'CASE DATA'!E195="707.8(3)", 'CASE DATA'!E195="707.8(4)", 'CASE DATA'!E195="707.8(5)", 'CASE DATA'!E195="707.8(6)", 'CASE DATA'!E195="707.9", 'CASE DATA'!E195="707.11", 'CASE DATA'!E195="707A.2", 'CASE DATA'!E195="708.2(4)", 'CASE DATA'!E195="708.2(5)", 'CASE DATA'!E195="708.2A(4)", 'CASE DATA'!E195="708.2A(5)", 'CASE DATA'!E195="708.2C(2)", 'CASE DATA'!E195="708.2C(4)", 'CASE DATA'!E195="708.3(1)", 'CASE DATA'!E195="708.3(2)", 'CASE DATA'!E195="708.3A(1)", 'CASE DATA'!E195="708.3A(2)", 'CASE DATA'!E195="708.3B", 'CASE DATA'!E195="708.4(1)", 'CASE DATA'!E195="708.4(2)", 'CASE DATA'!E195="708.5", 'CASE DATA'!E195="708.8", 'CASE DATA'!E195="708.11(3)(a)", 'CASE DATA'!E195="708.11(3)(b)", 'CASE DATA'!E195="708.12(3)(f)", 'CASE DATA'!E195="708.13(3)", 'CASE DATA'!E195="708.14", 'CASE DATA'!E195="708A.2", 'CASE DATA'!E195="708A.4(1)", 'CASE DATA'!E195="708A.4(2)", 'CASE DATA'!E195="708A.5", 'CASE DATA'!E195="708A.6(1)", 'CASE DATA'!E195="708.A.6(2)", 'CASE DATA'!E195="709.2", 'CASE DATA'!E195="709.3", 'CASE DATA'!E195="709.4", 'CASE DATA'!E195="709.8(1)(a)", 'CASE DATA'!E195="709.8(1)(b)", 'CASE DATA'!E195="709.8(1)(c)", 'CASE DATA'!E195="709.8(1)(d)", 'CASE DATA'!E195="709.8(1)(e)", 'CASE DATA'!E195="709.11(1)", 'CASE DATA'!E195="709.11(2)", 'CASE DATA'!E195="709.15(2)(a)(1)", 'CASE DATA'!E195="709.15(3)(a)(1)", 'CASE DATA'!E195="709.18", 'CASE DATA'!E195="709A.6(2)", 'CASE DATA'!E195="709D.3(1)", 'CASE DATA'!E195="709D.3(2)", 'CASE DATA'!E195="709.D.3(3)", 'CASE DATA'!E195="710.2", 'CASE DATA'!E195="710.3", 'CASE DATA'!E195="710.4", 'CASE DATA'!E195="710.5", 'CASE DATA'!E195="710.10(1)", 'CASE DATA'!E195="710.10(2)", 'CASE DATA'!E195="710.10(3)", 'CASE DATA'!E195="710.11", 'CASE DATA'!E195="710A.2(1)", 'CASE DATA'!E195="710A.2(2)", 'CASE DATA'!E195="710A.2(3)", 'CASE DATA'!E195="710A.2(4)", 'CASE DATA'!E195="710A.2(5)", 'CASE DATA'!E195="710A.2(6)", 'CASE DATA'!E195="710A.2(7)", 'CASE DATA'!E195="710A.2A", 'CASE DATA'!E195="711.2", 'CASE DATA'!E195="711.3", 'CASE DATA'!E195="711.4", 'CASE DATA'!E195="712.2", 'CASE DATA'!E195="712.3", 'CASE DATA'!E195="712.6(1)", 'CASE DATA'!E195="712.7", 'CASE DATA'!E195="712.8", 'CASE DATA'!E195="", 'CASE DATA'!E195="713.3", 'CASE DATA'!E195="713.4", 'CASE DATA'!E195="713.5", 'CASE DATA'!E195="713.6", 'CASE DATA'!E195="713.6A(1)", 'CASE DATA'!E195="714.2(1)", 'CASE DATA'!E195="714.2(2)", 'CASE DATA'!E195="714.3A(2)(b)", 'CASE DATA'!E195="714.9", 'CASE DATA'!E195="714.10", 'CASE DATA'!E195="714.26(2)(a)", 'CASE DATA'!E195="714.26(2)(b)", 'CASE DATA'!E195="715A.2(2)(a)", 'CASE DATA'!E195="715A.6(2)(a)", 'CASE DATA'!E195="715A.6(2)(b)", 'CASE DATA'!E195="715A.8(3)(a)", 'CASE DATA'!E195="715A.8(3)(b)", 'CASE DATA'!E195="715A.10(1)", 'CASE DATA'!E195="715A.10(2)", 'CASE DATA'!E195="716.3", 'CASE DATA'!E195="716.4", 'CASE DATA'!E195="716.8(6)", 'CASE DATA'!E195="716.10(2)(a)", 'CASE DATA'!E195="716.10(2)(b)", 'CASE DATA'!E195="716.10(2)(c)", 'CASE DATA'!E195="716.10(2)(d)", 'CASE DATA'!E195="716.12", 'CASE DATA'!E195="719.1(1)(f)", 'CASE DATA'!E195="719.1(2)(e)", 'CASE DATA'!E195="719.1(2)(f)", 'CASE DATA'!E195="719.1(2)(g)", 'CASE DATA'!E195="719.4(1)", 'CASE DATA'!E195="719.4(4)", 'CASE DATA'!E195="719.5(1)", 'CASE DATA'!E195="719.5(2)", 'CASE DATA'!E195="719.6(1)", 'CASE DATA'!E195="719.6(2)", 'CASE DATA'!E195="719.7(4)(a)", 'CASE DATA'!E195="719.7(4)(b)", 'CASE DATA'!E195="719.7A(3)", 'CASE DATA'!E195="719.9", 'CASE DATA'!E195="719.8", 'CASE DATA'!E195="720.2", 'CASE DATA'!E195="720.3", 'CASE DATA'!E195="721.1", 'CASE DATA'!E195="722.1", 'CASE DATA'!E195="", 'CASE DATA'!E195="722.2", 'CASE DATA'!E195="722.10", 'CASE DATA'!E195="723(5)(3)(c)", 'CASE DATA'!E195="723A.2", 'CASE DATA'!E195="723A.3(1)", 'CASE DATA'!E195="723A.3(2)", 'CASE DATA'!E195="724.1B", 'CASE DATA'!E195="724.1C", 'CASE DATA'!E195="724.3", 'CASE DATA'!E195="724.4B", 'CASE DATA'!E195="724.10", 'CASE DATA'!E195="724.16(2)", 'CASE DATA'!E195="724.16A(1)(a)", 'CASE DATA'!E195="724.16A(1)(b)", 'CASE DATA'!E195="724.17", 'CASE DATA'!E195="724.21", 'CASE DATA'!E195="724.26(1)", 'CASE DATA'!E195="922(g)(8)", 'CASE DATA'!E195="724.29A(2)", 'CASE DATA'!E195="724.29A(3)", 'CASE DATA'!E195="724.30(1)", 'CASE DATA'!E195="724.30(2)", 'CASE DATA'!E195="725.1(2)(b)", 'CASE DATA'!E195="725.2(1)", 'CASE DATA'!E195="725.2(2)", 'CASE DATA'!E195="725.3(2)", 'CASE DATA'!E195="725.3(1)", 'CASE DATA'!E195="725.7(2)(a)(3)", 'CASE DATA'!E195="725.7(2)(a)(4)", 'CASE DATA'!E195="725.7(2)(b)(2)", 'CASE DATA'!E195="725.7(2)(b(3)", 'CASE DATA'!E195="726.7(2)(c)(1)", 'CASE DATA'!E195="726.7(2)(c)(2)", 'CASE DATA'!E195="725.7(2)(d)", 'CASE DATA'!E195="726.2", 'CASE DATA'!E195="726.3", 'CASE DATA'!E195="726.5", 'CASE DATA'!E195="726.6(4)", 'CASE DATA'!E195="726.6(5)", 'CASE DATA'!E195="726.6(6)", 'CASE DATA'!E195="726.6A", 'CASE DATA'!E195="726.7(2)", 'CASE DATA'!E195="726.8(2)", 'CASE DATA'!E195="728.12(1)", 'CASE DATA'!E195="728.12(2)"),"felony","eligible"),"N/A")</f>
        <v>N/A</v>
      </c>
      <c r="M194" s="185" t="str">
        <f>IF(L194="eligible",IF(OR('CASE DATA'!E195="123.46",'CASE DATA'!E195="123.47",'CASE DATA'!E195="235B.20",'CASE DATA'!E195="321.218",'CASE DATA'!E195="321A.32",'CASE DATA'!E195="321J.21",'CASE DATA'!E195="321J.2",'CASE DATA'!E195="707.5",'CASE DATA'!E195="708.2(3)",'CASE DATA'!E195="708.2A",'CASE DATA'!E195="708.7",'CASE DATA'!E195="708.11",'CASE DATA'!E195="708.12",'CASE DATA'!E195="716.8(3)",'CASE DATA'!E195="716.8(4)", LEFT('CASE DATA'!E195,4)="717C", LEFT('CASE DATA'!E195, 3)="719", LEFT('CASE DATA'!E195,3)="720", 'CASE DATA'!E195="721.2", 'CASE DATA'!E195="721.10", 'CASE DATA'!E195="723.1", LEFT('CASE DATA'!E195,3)="724", LEFT('CASE DATA'!E195,3)="726", LEFT('CASE DATA'!E195,3)="728", LEFT('CASE DATA'!E195,4)="901A"),"ineligible misd", "eligible"),"N/A")</f>
        <v>N/A</v>
      </c>
      <c r="N194" s="185" t="str">
        <f>IF(L194="eligible",IF(COUNTIF('CASE DATA'!$C$4:$C$200, "")-COUNTIF('CASE DATA'!$A$4:$A$200, "")&gt;0, "YES","NO"),"N/A")</f>
        <v>N/A</v>
      </c>
      <c r="O194" s="185" t="str">
        <f xml:space="preserve"> IF(M194="eligible",'CASE DATA'!K195,"N/A")</f>
        <v>N/A</v>
      </c>
      <c r="P194" s="185" t="str">
        <f xml:space="preserve"> IF(M194="eligible",'CASE DATA'!I195+'CASE DATA'!J195+'CASE DATA'!L195+'CASE DATA'!M195+'CASE DATA'!N195+'CASE DATA'!O195+'CASE DATA'!M195+'CASE DATA'!Q195+'CASE DATA'!R195,"N/A")</f>
        <v>N/A</v>
      </c>
      <c r="Q194" s="11" t="str">
        <f>IF(M194="eligible",IF(C194+730.5&lt;'BASIC INFO'!$B$3, "YES", "NO"),"N/A")</f>
        <v>N/A</v>
      </c>
      <c r="R194" s="186" t="str">
        <f xml:space="preserve"> IF(OR('CASE DATA'!F195="DEF"), "YES", "NO")</f>
        <v>NO</v>
      </c>
      <c r="S194" s="162" t="str">
        <f>IF(R194="YES",'CASE DATA'!H195,"N/A")</f>
        <v>N/A</v>
      </c>
      <c r="T194" s="185" t="str">
        <f xml:space="preserve"> IF(R194="YES",'CASE DATA'!K195,"N/A")</f>
        <v>N/A</v>
      </c>
      <c r="U194" s="185" t="str">
        <f>IF(R194="YES",'CASE DATA'!I195+'CASE DATA'!J195+'CASE DATA'!L195+'CASE DATA'!M195+'CASE DATA'!N195+'CASE DATA'!O195+'CASE DATA'!P195+'CASE DATA'!Q195+'CASE DATA'!R195,"N/A")</f>
        <v>N/A</v>
      </c>
      <c r="V194" s="189" t="str">
        <f>IF(OR('CASE DATA'!E195="123.46",'CASE DATA'!E195="123.47"),"YES","NO")</f>
        <v>NO</v>
      </c>
      <c r="W194" s="189"/>
      <c r="X194" s="185" t="str">
        <f>IF(V194="YES",IF(C194+730.5&lt;'BASIC INFO'!$B$3, "YES","NO"), "N/A")</f>
        <v>N/A</v>
      </c>
      <c r="Y194" s="189" t="str">
        <f t="shared" si="3"/>
        <v>NO</v>
      </c>
      <c r="Z194" s="187" t="str">
        <f xml:space="preserve"> IF('BASIC INFO'!$B$6+6574.5&gt;C194, "YES", "NO")</f>
        <v>YES</v>
      </c>
    </row>
    <row r="195" spans="1:26" x14ac:dyDescent="0.25">
      <c r="A195" s="162">
        <f xml:space="preserve"> 'CASE DATA'!A196</f>
        <v>0</v>
      </c>
      <c r="B195" s="162">
        <f xml:space="preserve"> 'CASE DATA'!E196</f>
        <v>0</v>
      </c>
      <c r="C195" s="163">
        <f xml:space="preserve"> 'CASE DATA'!C196</f>
        <v>0</v>
      </c>
      <c r="D195" s="11" t="str">
        <f xml:space="preserve"> IF(OR('CASE DATA'!F196="JUV", 'CASE DATA'!F196="JWV"), "YES", "NO")</f>
        <v>NO</v>
      </c>
      <c r="E195" s="11"/>
      <c r="F195" s="11" t="str">
        <f>IF(D195="YES",IF(COUNTIF('CASE DATA'!$C$4:$C$200, "")-COUNTIF('CASE DATA'!$A$4:$A$200, "")&gt;0, "YES","NO"),"N/A")</f>
        <v>N/A</v>
      </c>
      <c r="G195" s="164" t="str">
        <f xml:space="preserve"> _xlfn.IFS(D195="NO", "N/A", AND('BASIC INFO'!$B$3&gt;'BASIC INFO'!$B$6+6574.5, C195+730.5&lt;'BASIC INFO'!$B$3), "YES", 'BASIC INFO'!$B$3&lt;('BASIC INFO'!$B$6+6574.5), "NOT YET 18", C195+730.5&gt;'BASIC INFO'!$B$3, "NOT YET 2 YEARS")</f>
        <v>N/A</v>
      </c>
      <c r="H195" s="186" t="str">
        <f xml:space="preserve"> IF(LEFT('CASE DATA'!E196,4)&lt;&gt;"321.",IF(OR('CASE DATA'!F196="DISM", 'CASE DATA'!F196="ACQ", 'CASE DATA'!F196="NOTF", 'CASE DATA'!F196="WTHD", 'CASE DATA'!F196="TNSF"), "YES", "NO"), "TRAFFIC")</f>
        <v>NO</v>
      </c>
      <c r="I195" s="185" t="str">
        <f xml:space="preserve"> IF(H195="YES",'CASE DATA'!K196,"N/A")</f>
        <v>N/A</v>
      </c>
      <c r="J195" s="185" t="str">
        <f>IF(H195="YES",'CASE DATA'!I196+'CASE DATA'!J196+'CASE DATA'!L196+'CASE DATA'!M196+'CASE DATA'!N196+'CASE DATA'!O196+'CASE DATA'!P196+'CASE DATA'!Q196+'CASE DATA'!R196,"N/A")</f>
        <v>N/A</v>
      </c>
      <c r="K195" s="162" t="str">
        <f xml:space="preserve"> IF(H195="YES",IF(C195+180&lt;'BASIC INFO'!$B$3, "YES", "NO"),"N/A")</f>
        <v>N/A</v>
      </c>
      <c r="L195" s="185" t="str">
        <f>IF(OR('CASE DATA'!F196="GTR", 'CASE DATA'!F196="GPL"),IF(OR('CASE DATA'!E196="81.6(2)", 'CASE DATA'!E196="99F.15(6)(b)(1)", 'CASE DATA'!E196= "124.401(1)(a)", 'CASE DATA'!E196= "124.401(1)(b)", 'CASE DATA'!E196= "124.401(1)(c)", 'CASE DATA'!E196= "124.401(1)(d)", 'CASE DATA'!E196="124.401(4)", 'CASE DATA'!E196="124.401(1)(b)", 'CASE DATA'!E196="124.401(1)(c)", 'CASE DATA'!E196="124.401D(2)(b)", 'CASE DATA'!E196="124.401D(2)(c)", 'CASE DATA'!E196="124.406(1)(a)", 'CASE DATA'!E196="124.406(1)(b) ", 'CASE DATA'!E196="124.406(2)(a)", 'CASE DATA'!E196="124.406(2)(b) ", 'CASE DATA'!E196="124.406(3)", 'CASE DATA'!E196="124.406A ", 'CASE DATA'!E196="124.407(2)(a)", 'CASE DATA'!E196="124B.9(1)", 'CASE DATA'!E196="124B.9(2)", 'CASE DATA'!E196="321J.2(2)(c)", 'CASE DATA'!E196="453B.12(2)", 'CASE DATA'!E196="453B.12(3)", 'CASE DATA'!E196="453B.12(4)", 'CASE DATA'!E196="462A.14(2)(c)", 'CASE DATA'!E196="462A.14(2)(d)", 'CASE DATA'!E196="462A.14(2)(e)", 'CASE DATA'!E196="705.1(2)", 'CASE DATA'!E196="706.3(1)", 'CASE DATA'!E196="706.3(2)", 'CASE DATA'!E196="706A.2(1)", 'CASE DATA'!E196="706A.2(2)", 'CASE DATA'!E196="706A.2(4)", 'CASE DATA'!E196="706B.2(1)(a)", 'CASE DATA'!E196="706B.2(1)(b)", 'CASE DATA'!E196="706B.2(1)(c)", 'CASE DATA'!E196="706B.2(1)(d)", 'CASE DATA'!E196="707.2", 'CASE DATA'!E196="707.3", 'CASE DATA'!E196="707.3A", 'CASE DATA'!E196="707.4", 'CASE DATA'!E196="707.5(1)(a)", 'CASE DATA'!E196="707.6A(1)", 'CASE DATA'!E196="707.6A(2)", 'CASE DATA'!E196="707.6A(3)", 'CASE DATA'!E196="707.6A(4)", 'CASE DATA'!E196="707.7(1)", 'CASE DATA'!E196="707.7(3)", 'CASE DATA'!E196="707.7(2)", 'CASE DATA'!E196="707.8(1)", 'CASE DATA'!E196="707.8(2)", 'CASE DATA'!E196="707.8(3)", 'CASE DATA'!E196="707.8(4)", 'CASE DATA'!E196="707.8(5)", 'CASE DATA'!E196="707.8(6)", 'CASE DATA'!E196="707.9", 'CASE DATA'!E196="707.11", 'CASE DATA'!E196="707A.2", 'CASE DATA'!E196="708.2(4)", 'CASE DATA'!E196="708.2(5)", 'CASE DATA'!E196="708.2A(4)", 'CASE DATA'!E196="708.2A(5)", 'CASE DATA'!E196="708.2C(2)", 'CASE DATA'!E196="708.2C(4)", 'CASE DATA'!E196="708.3(1)", 'CASE DATA'!E196="708.3(2)", 'CASE DATA'!E196="708.3A(1)", 'CASE DATA'!E196="708.3A(2)", 'CASE DATA'!E196="708.3B", 'CASE DATA'!E196="708.4(1)", 'CASE DATA'!E196="708.4(2)", 'CASE DATA'!E196="708.5", 'CASE DATA'!E196="708.8", 'CASE DATA'!E196="708.11(3)(a)", 'CASE DATA'!E196="708.11(3)(b)", 'CASE DATA'!E196="708.12(3)(f)", 'CASE DATA'!E196="708.13(3)", 'CASE DATA'!E196="708.14", 'CASE DATA'!E196="708A.2", 'CASE DATA'!E196="708A.4(1)", 'CASE DATA'!E196="708A.4(2)", 'CASE DATA'!E196="708A.5", 'CASE DATA'!E196="708A.6(1)", 'CASE DATA'!E196="708.A.6(2)", 'CASE DATA'!E196="709.2", 'CASE DATA'!E196="709.3", 'CASE DATA'!E196="709.4", 'CASE DATA'!E196="709.8(1)(a)", 'CASE DATA'!E196="709.8(1)(b)", 'CASE DATA'!E196="709.8(1)(c)", 'CASE DATA'!E196="709.8(1)(d)", 'CASE DATA'!E196="709.8(1)(e)", 'CASE DATA'!E196="709.11(1)", 'CASE DATA'!E196="709.11(2)", 'CASE DATA'!E196="709.15(2)(a)(1)", 'CASE DATA'!E196="709.15(3)(a)(1)", 'CASE DATA'!E196="709.18", 'CASE DATA'!E196="709A.6(2)", 'CASE DATA'!E196="709D.3(1)", 'CASE DATA'!E196="709D.3(2)", 'CASE DATA'!E196="709.D.3(3)", 'CASE DATA'!E196="710.2", 'CASE DATA'!E196="710.3", 'CASE DATA'!E196="710.4", 'CASE DATA'!E196="710.5", 'CASE DATA'!E196="710.10(1)", 'CASE DATA'!E196="710.10(2)", 'CASE DATA'!E196="710.10(3)", 'CASE DATA'!E196="710.11", 'CASE DATA'!E196="710A.2(1)", 'CASE DATA'!E196="710A.2(2)", 'CASE DATA'!E196="710A.2(3)", 'CASE DATA'!E196="710A.2(4)", 'CASE DATA'!E196="710A.2(5)", 'CASE DATA'!E196="710A.2(6)", 'CASE DATA'!E196="710A.2(7)", 'CASE DATA'!E196="710A.2A", 'CASE DATA'!E196="711.2", 'CASE DATA'!E196="711.3", 'CASE DATA'!E196="711.4", 'CASE DATA'!E196="712.2", 'CASE DATA'!E196="712.3", 'CASE DATA'!E196="712.6(1)", 'CASE DATA'!E196="712.7", 'CASE DATA'!E196="712.8", 'CASE DATA'!E196="", 'CASE DATA'!E196="713.3", 'CASE DATA'!E196="713.4", 'CASE DATA'!E196="713.5", 'CASE DATA'!E196="713.6", 'CASE DATA'!E196="713.6A(1)", 'CASE DATA'!E196="714.2(1)", 'CASE DATA'!E196="714.2(2)", 'CASE DATA'!E196="714.3A(2)(b)", 'CASE DATA'!E196="714.9", 'CASE DATA'!E196="714.10", 'CASE DATA'!E196="714.26(2)(a)", 'CASE DATA'!E196="714.26(2)(b)", 'CASE DATA'!E196="715A.2(2)(a)", 'CASE DATA'!E196="715A.6(2)(a)", 'CASE DATA'!E196="715A.6(2)(b)", 'CASE DATA'!E196="715A.8(3)(a)", 'CASE DATA'!E196="715A.8(3)(b)", 'CASE DATA'!E196="715A.10(1)", 'CASE DATA'!E196="715A.10(2)", 'CASE DATA'!E196="716.3", 'CASE DATA'!E196="716.4", 'CASE DATA'!E196="716.8(6)", 'CASE DATA'!E196="716.10(2)(a)", 'CASE DATA'!E196="716.10(2)(b)", 'CASE DATA'!E196="716.10(2)(c)", 'CASE DATA'!E196="716.10(2)(d)", 'CASE DATA'!E196="716.12", 'CASE DATA'!E196="719.1(1)(f)", 'CASE DATA'!E196="719.1(2)(e)", 'CASE DATA'!E196="719.1(2)(f)", 'CASE DATA'!E196="719.1(2)(g)", 'CASE DATA'!E196="719.4(1)", 'CASE DATA'!E196="719.4(4)", 'CASE DATA'!E196="719.5(1)", 'CASE DATA'!E196="719.5(2)", 'CASE DATA'!E196="719.6(1)", 'CASE DATA'!E196="719.6(2)", 'CASE DATA'!E196="719.7(4)(a)", 'CASE DATA'!E196="719.7(4)(b)", 'CASE DATA'!E196="719.7A(3)", 'CASE DATA'!E196="719.9", 'CASE DATA'!E196="719.8", 'CASE DATA'!E196="720.2", 'CASE DATA'!E196="720.3", 'CASE DATA'!E196="721.1", 'CASE DATA'!E196="722.1", 'CASE DATA'!E196="", 'CASE DATA'!E196="722.2", 'CASE DATA'!E196="722.10", 'CASE DATA'!E196="723(5)(3)(c)", 'CASE DATA'!E196="723A.2", 'CASE DATA'!E196="723A.3(1)", 'CASE DATA'!E196="723A.3(2)", 'CASE DATA'!E196="724.1B", 'CASE DATA'!E196="724.1C", 'CASE DATA'!E196="724.3", 'CASE DATA'!E196="724.4B", 'CASE DATA'!E196="724.10", 'CASE DATA'!E196="724.16(2)", 'CASE DATA'!E196="724.16A(1)(a)", 'CASE DATA'!E196="724.16A(1)(b)", 'CASE DATA'!E196="724.17", 'CASE DATA'!E196="724.21", 'CASE DATA'!E196="724.26(1)", 'CASE DATA'!E196="922(g)(8)", 'CASE DATA'!E196="724.29A(2)", 'CASE DATA'!E196="724.29A(3)", 'CASE DATA'!E196="724.30(1)", 'CASE DATA'!E196="724.30(2)", 'CASE DATA'!E196="725.1(2)(b)", 'CASE DATA'!E196="725.2(1)", 'CASE DATA'!E196="725.2(2)", 'CASE DATA'!E196="725.3(2)", 'CASE DATA'!E196="725.3(1)", 'CASE DATA'!E196="725.7(2)(a)(3)", 'CASE DATA'!E196="725.7(2)(a)(4)", 'CASE DATA'!E196="725.7(2)(b)(2)", 'CASE DATA'!E196="725.7(2)(b(3)", 'CASE DATA'!E196="726.7(2)(c)(1)", 'CASE DATA'!E196="726.7(2)(c)(2)", 'CASE DATA'!E196="725.7(2)(d)", 'CASE DATA'!E196="726.2", 'CASE DATA'!E196="726.3", 'CASE DATA'!E196="726.5", 'CASE DATA'!E196="726.6(4)", 'CASE DATA'!E196="726.6(5)", 'CASE DATA'!E196="726.6(6)", 'CASE DATA'!E196="726.6A", 'CASE DATA'!E196="726.7(2)", 'CASE DATA'!E196="726.8(2)", 'CASE DATA'!E196="728.12(1)", 'CASE DATA'!E196="728.12(2)"),"felony","eligible"),"N/A")</f>
        <v>N/A</v>
      </c>
      <c r="M195" s="185" t="str">
        <f>IF(L195="eligible",IF(OR('CASE DATA'!E196="123.46",'CASE DATA'!E196="123.47",'CASE DATA'!E196="235B.20",'CASE DATA'!E196="321.218",'CASE DATA'!E196="321A.32",'CASE DATA'!E196="321J.21",'CASE DATA'!E196="321J.2",'CASE DATA'!E196="707.5",'CASE DATA'!E196="708.2(3)",'CASE DATA'!E196="708.2A",'CASE DATA'!E196="708.7",'CASE DATA'!E196="708.11",'CASE DATA'!E196="708.12",'CASE DATA'!E196="716.8(3)",'CASE DATA'!E196="716.8(4)", LEFT('CASE DATA'!E196,4)="717C", LEFT('CASE DATA'!E196, 3)="719", LEFT('CASE DATA'!E196,3)="720", 'CASE DATA'!E196="721.2", 'CASE DATA'!E196="721.10", 'CASE DATA'!E196="723.1", LEFT('CASE DATA'!E196,3)="724", LEFT('CASE DATA'!E196,3)="726", LEFT('CASE DATA'!E196,3)="728", LEFT('CASE DATA'!E196,4)="901A"),"ineligible misd", "eligible"),"N/A")</f>
        <v>N/A</v>
      </c>
      <c r="N195" s="185" t="str">
        <f>IF(L195="eligible",IF(COUNTIF('CASE DATA'!$C$4:$C$200, "")-COUNTIF('CASE DATA'!$A$4:$A$200, "")&gt;0, "YES","NO"),"N/A")</f>
        <v>N/A</v>
      </c>
      <c r="O195" s="185" t="str">
        <f xml:space="preserve"> IF(M195="eligible",'CASE DATA'!K196,"N/A")</f>
        <v>N/A</v>
      </c>
      <c r="P195" s="185" t="str">
        <f xml:space="preserve"> IF(M195="eligible",'CASE DATA'!I196+'CASE DATA'!J196+'CASE DATA'!L196+'CASE DATA'!M196+'CASE DATA'!N196+'CASE DATA'!O196+'CASE DATA'!M196+'CASE DATA'!Q196+'CASE DATA'!R196,"N/A")</f>
        <v>N/A</v>
      </c>
      <c r="Q195" s="11" t="str">
        <f>IF(M195="eligible",IF(C195+730.5&lt;'BASIC INFO'!$B$3, "YES", "NO"),"N/A")</f>
        <v>N/A</v>
      </c>
      <c r="R195" s="186" t="str">
        <f xml:space="preserve"> IF(OR('CASE DATA'!F196="DEF"), "YES", "NO")</f>
        <v>NO</v>
      </c>
      <c r="S195" s="162" t="str">
        <f>IF(R195="YES",'CASE DATA'!H196,"N/A")</f>
        <v>N/A</v>
      </c>
      <c r="T195" s="185" t="str">
        <f xml:space="preserve"> IF(R195="YES",'CASE DATA'!K196,"N/A")</f>
        <v>N/A</v>
      </c>
      <c r="U195" s="185" t="str">
        <f>IF(R195="YES",'CASE DATA'!I196+'CASE DATA'!J196+'CASE DATA'!L196+'CASE DATA'!M196+'CASE DATA'!N196+'CASE DATA'!O196+'CASE DATA'!P196+'CASE DATA'!Q196+'CASE DATA'!R196,"N/A")</f>
        <v>N/A</v>
      </c>
      <c r="V195" s="189" t="str">
        <f>IF(OR('CASE DATA'!E196="123.46",'CASE DATA'!E196="123.47"),"YES","NO")</f>
        <v>NO</v>
      </c>
      <c r="W195" s="189"/>
      <c r="X195" s="185" t="str">
        <f>IF(V195="YES",IF(C195+730.5&lt;'BASIC INFO'!$B$3, "YES","NO"), "N/A")</f>
        <v>N/A</v>
      </c>
      <c r="Y195" s="189" t="str">
        <f t="shared" si="3"/>
        <v>NO</v>
      </c>
      <c r="Z195" s="187" t="str">
        <f xml:space="preserve"> IF('BASIC INFO'!$B$6+6574.5&gt;C195, "YES", "NO")</f>
        <v>YES</v>
      </c>
    </row>
    <row r="196" spans="1:26" x14ac:dyDescent="0.25">
      <c r="A196" s="162">
        <f xml:space="preserve"> 'CASE DATA'!A197</f>
        <v>0</v>
      </c>
      <c r="B196" s="162">
        <f xml:space="preserve"> 'CASE DATA'!E197</f>
        <v>0</v>
      </c>
      <c r="C196" s="163">
        <f xml:space="preserve"> 'CASE DATA'!C197</f>
        <v>0</v>
      </c>
      <c r="D196" s="11" t="str">
        <f xml:space="preserve"> IF(OR('CASE DATA'!F197="JUV", 'CASE DATA'!F197="JWV"), "YES", "NO")</f>
        <v>NO</v>
      </c>
      <c r="E196" s="11"/>
      <c r="F196" s="11" t="str">
        <f>IF(D196="YES",IF(COUNTIF('CASE DATA'!$C$4:$C$200, "")-COUNTIF('CASE DATA'!$A$4:$A$200, "")&gt;0, "YES","NO"),"N/A")</f>
        <v>N/A</v>
      </c>
      <c r="G196" s="164" t="str">
        <f xml:space="preserve"> _xlfn.IFS(D196="NO", "N/A", AND('BASIC INFO'!$B$3&gt;'BASIC INFO'!$B$6+6574.5, C196+730.5&lt;'BASIC INFO'!$B$3), "YES", 'BASIC INFO'!$B$3&lt;('BASIC INFO'!$B$6+6574.5), "NOT YET 18", C196+730.5&gt;'BASIC INFO'!$B$3, "NOT YET 2 YEARS")</f>
        <v>N/A</v>
      </c>
      <c r="H196" s="186" t="str">
        <f xml:space="preserve"> IF(LEFT('CASE DATA'!E197,4)&lt;&gt;"321.",IF(OR('CASE DATA'!F197="DISM", 'CASE DATA'!F197="ACQ", 'CASE DATA'!F197="NOTF", 'CASE DATA'!F197="WTHD", 'CASE DATA'!F197="TNSF"), "YES", "NO"), "TRAFFIC")</f>
        <v>NO</v>
      </c>
      <c r="I196" s="185" t="str">
        <f xml:space="preserve"> IF(H196="YES",'CASE DATA'!K197,"N/A")</f>
        <v>N/A</v>
      </c>
      <c r="J196" s="185" t="str">
        <f>IF(H196="YES",'CASE DATA'!I197+'CASE DATA'!J197+'CASE DATA'!L197+'CASE DATA'!M197+'CASE DATA'!N197+'CASE DATA'!O197+'CASE DATA'!P197+'CASE DATA'!Q197+'CASE DATA'!R197,"N/A")</f>
        <v>N/A</v>
      </c>
      <c r="K196" s="162" t="str">
        <f xml:space="preserve"> IF(H196="YES",IF(C196+180&lt;'BASIC INFO'!$B$3, "YES", "NO"),"N/A")</f>
        <v>N/A</v>
      </c>
      <c r="L196" s="185" t="str">
        <f>IF(OR('CASE DATA'!F197="GTR", 'CASE DATA'!F197="GPL"),IF(OR('CASE DATA'!E197="81.6(2)", 'CASE DATA'!E197="99F.15(6)(b)(1)", 'CASE DATA'!E197= "124.401(1)(a)", 'CASE DATA'!E197= "124.401(1)(b)", 'CASE DATA'!E197= "124.401(1)(c)", 'CASE DATA'!E197= "124.401(1)(d)", 'CASE DATA'!E197="124.401(4)", 'CASE DATA'!E197="124.401(1)(b)", 'CASE DATA'!E197="124.401(1)(c)", 'CASE DATA'!E197="124.401D(2)(b)", 'CASE DATA'!E197="124.401D(2)(c)", 'CASE DATA'!E197="124.406(1)(a)", 'CASE DATA'!E197="124.406(1)(b) ", 'CASE DATA'!E197="124.406(2)(a)", 'CASE DATA'!E197="124.406(2)(b) ", 'CASE DATA'!E197="124.406(3)", 'CASE DATA'!E197="124.406A ", 'CASE DATA'!E197="124.407(2)(a)", 'CASE DATA'!E197="124B.9(1)", 'CASE DATA'!E197="124B.9(2)", 'CASE DATA'!E197="321J.2(2)(c)", 'CASE DATA'!E197="453B.12(2)", 'CASE DATA'!E197="453B.12(3)", 'CASE DATA'!E197="453B.12(4)", 'CASE DATA'!E197="462A.14(2)(c)", 'CASE DATA'!E197="462A.14(2)(d)", 'CASE DATA'!E197="462A.14(2)(e)", 'CASE DATA'!E197="705.1(2)", 'CASE DATA'!E197="706.3(1)", 'CASE DATA'!E197="706.3(2)", 'CASE DATA'!E197="706A.2(1)", 'CASE DATA'!E197="706A.2(2)", 'CASE DATA'!E197="706A.2(4)", 'CASE DATA'!E197="706B.2(1)(a)", 'CASE DATA'!E197="706B.2(1)(b)", 'CASE DATA'!E197="706B.2(1)(c)", 'CASE DATA'!E197="706B.2(1)(d)", 'CASE DATA'!E197="707.2", 'CASE DATA'!E197="707.3", 'CASE DATA'!E197="707.3A", 'CASE DATA'!E197="707.4", 'CASE DATA'!E197="707.5(1)(a)", 'CASE DATA'!E197="707.6A(1)", 'CASE DATA'!E197="707.6A(2)", 'CASE DATA'!E197="707.6A(3)", 'CASE DATA'!E197="707.6A(4)", 'CASE DATA'!E197="707.7(1)", 'CASE DATA'!E197="707.7(3)", 'CASE DATA'!E197="707.7(2)", 'CASE DATA'!E197="707.8(1)", 'CASE DATA'!E197="707.8(2)", 'CASE DATA'!E197="707.8(3)", 'CASE DATA'!E197="707.8(4)", 'CASE DATA'!E197="707.8(5)", 'CASE DATA'!E197="707.8(6)", 'CASE DATA'!E197="707.9", 'CASE DATA'!E197="707.11", 'CASE DATA'!E197="707A.2", 'CASE DATA'!E197="708.2(4)", 'CASE DATA'!E197="708.2(5)", 'CASE DATA'!E197="708.2A(4)", 'CASE DATA'!E197="708.2A(5)", 'CASE DATA'!E197="708.2C(2)", 'CASE DATA'!E197="708.2C(4)", 'CASE DATA'!E197="708.3(1)", 'CASE DATA'!E197="708.3(2)", 'CASE DATA'!E197="708.3A(1)", 'CASE DATA'!E197="708.3A(2)", 'CASE DATA'!E197="708.3B", 'CASE DATA'!E197="708.4(1)", 'CASE DATA'!E197="708.4(2)", 'CASE DATA'!E197="708.5", 'CASE DATA'!E197="708.8", 'CASE DATA'!E197="708.11(3)(a)", 'CASE DATA'!E197="708.11(3)(b)", 'CASE DATA'!E197="708.12(3)(f)", 'CASE DATA'!E197="708.13(3)", 'CASE DATA'!E197="708.14", 'CASE DATA'!E197="708A.2", 'CASE DATA'!E197="708A.4(1)", 'CASE DATA'!E197="708A.4(2)", 'CASE DATA'!E197="708A.5", 'CASE DATA'!E197="708A.6(1)", 'CASE DATA'!E197="708.A.6(2)", 'CASE DATA'!E197="709.2", 'CASE DATA'!E197="709.3", 'CASE DATA'!E197="709.4", 'CASE DATA'!E197="709.8(1)(a)", 'CASE DATA'!E197="709.8(1)(b)", 'CASE DATA'!E197="709.8(1)(c)", 'CASE DATA'!E197="709.8(1)(d)", 'CASE DATA'!E197="709.8(1)(e)", 'CASE DATA'!E197="709.11(1)", 'CASE DATA'!E197="709.11(2)", 'CASE DATA'!E197="709.15(2)(a)(1)", 'CASE DATA'!E197="709.15(3)(a)(1)", 'CASE DATA'!E197="709.18", 'CASE DATA'!E197="709A.6(2)", 'CASE DATA'!E197="709D.3(1)", 'CASE DATA'!E197="709D.3(2)", 'CASE DATA'!E197="709.D.3(3)", 'CASE DATA'!E197="710.2", 'CASE DATA'!E197="710.3", 'CASE DATA'!E197="710.4", 'CASE DATA'!E197="710.5", 'CASE DATA'!E197="710.10(1)", 'CASE DATA'!E197="710.10(2)", 'CASE DATA'!E197="710.10(3)", 'CASE DATA'!E197="710.11", 'CASE DATA'!E197="710A.2(1)", 'CASE DATA'!E197="710A.2(2)", 'CASE DATA'!E197="710A.2(3)", 'CASE DATA'!E197="710A.2(4)", 'CASE DATA'!E197="710A.2(5)", 'CASE DATA'!E197="710A.2(6)", 'CASE DATA'!E197="710A.2(7)", 'CASE DATA'!E197="710A.2A", 'CASE DATA'!E197="711.2", 'CASE DATA'!E197="711.3", 'CASE DATA'!E197="711.4", 'CASE DATA'!E197="712.2", 'CASE DATA'!E197="712.3", 'CASE DATA'!E197="712.6(1)", 'CASE DATA'!E197="712.7", 'CASE DATA'!E197="712.8", 'CASE DATA'!E197="", 'CASE DATA'!E197="713.3", 'CASE DATA'!E197="713.4", 'CASE DATA'!E197="713.5", 'CASE DATA'!E197="713.6", 'CASE DATA'!E197="713.6A(1)", 'CASE DATA'!E197="714.2(1)", 'CASE DATA'!E197="714.2(2)", 'CASE DATA'!E197="714.3A(2)(b)", 'CASE DATA'!E197="714.9", 'CASE DATA'!E197="714.10", 'CASE DATA'!E197="714.26(2)(a)", 'CASE DATA'!E197="714.26(2)(b)", 'CASE DATA'!E197="715A.2(2)(a)", 'CASE DATA'!E197="715A.6(2)(a)", 'CASE DATA'!E197="715A.6(2)(b)", 'CASE DATA'!E197="715A.8(3)(a)", 'CASE DATA'!E197="715A.8(3)(b)", 'CASE DATA'!E197="715A.10(1)", 'CASE DATA'!E197="715A.10(2)", 'CASE DATA'!E197="716.3", 'CASE DATA'!E197="716.4", 'CASE DATA'!E197="716.8(6)", 'CASE DATA'!E197="716.10(2)(a)", 'CASE DATA'!E197="716.10(2)(b)", 'CASE DATA'!E197="716.10(2)(c)", 'CASE DATA'!E197="716.10(2)(d)", 'CASE DATA'!E197="716.12", 'CASE DATA'!E197="719.1(1)(f)", 'CASE DATA'!E197="719.1(2)(e)", 'CASE DATA'!E197="719.1(2)(f)", 'CASE DATA'!E197="719.1(2)(g)", 'CASE DATA'!E197="719.4(1)", 'CASE DATA'!E197="719.4(4)", 'CASE DATA'!E197="719.5(1)", 'CASE DATA'!E197="719.5(2)", 'CASE DATA'!E197="719.6(1)", 'CASE DATA'!E197="719.6(2)", 'CASE DATA'!E197="719.7(4)(a)", 'CASE DATA'!E197="719.7(4)(b)", 'CASE DATA'!E197="719.7A(3)", 'CASE DATA'!E197="719.9", 'CASE DATA'!E197="719.8", 'CASE DATA'!E197="720.2", 'CASE DATA'!E197="720.3", 'CASE DATA'!E197="721.1", 'CASE DATA'!E197="722.1", 'CASE DATA'!E197="", 'CASE DATA'!E197="722.2", 'CASE DATA'!E197="722.10", 'CASE DATA'!E197="723(5)(3)(c)", 'CASE DATA'!E197="723A.2", 'CASE DATA'!E197="723A.3(1)", 'CASE DATA'!E197="723A.3(2)", 'CASE DATA'!E197="724.1B", 'CASE DATA'!E197="724.1C", 'CASE DATA'!E197="724.3", 'CASE DATA'!E197="724.4B", 'CASE DATA'!E197="724.10", 'CASE DATA'!E197="724.16(2)", 'CASE DATA'!E197="724.16A(1)(a)", 'CASE DATA'!E197="724.16A(1)(b)", 'CASE DATA'!E197="724.17", 'CASE DATA'!E197="724.21", 'CASE DATA'!E197="724.26(1)", 'CASE DATA'!E197="922(g)(8)", 'CASE DATA'!E197="724.29A(2)", 'CASE DATA'!E197="724.29A(3)", 'CASE DATA'!E197="724.30(1)", 'CASE DATA'!E197="724.30(2)", 'CASE DATA'!E197="725.1(2)(b)", 'CASE DATA'!E197="725.2(1)", 'CASE DATA'!E197="725.2(2)", 'CASE DATA'!E197="725.3(2)", 'CASE DATA'!E197="725.3(1)", 'CASE DATA'!E197="725.7(2)(a)(3)", 'CASE DATA'!E197="725.7(2)(a)(4)", 'CASE DATA'!E197="725.7(2)(b)(2)", 'CASE DATA'!E197="725.7(2)(b(3)", 'CASE DATA'!E197="726.7(2)(c)(1)", 'CASE DATA'!E197="726.7(2)(c)(2)", 'CASE DATA'!E197="725.7(2)(d)", 'CASE DATA'!E197="726.2", 'CASE DATA'!E197="726.3", 'CASE DATA'!E197="726.5", 'CASE DATA'!E197="726.6(4)", 'CASE DATA'!E197="726.6(5)", 'CASE DATA'!E197="726.6(6)", 'CASE DATA'!E197="726.6A", 'CASE DATA'!E197="726.7(2)", 'CASE DATA'!E197="726.8(2)", 'CASE DATA'!E197="728.12(1)", 'CASE DATA'!E197="728.12(2)"),"felony","eligible"),"N/A")</f>
        <v>N/A</v>
      </c>
      <c r="M196" s="185" t="str">
        <f>IF(L196="eligible",IF(OR('CASE DATA'!E197="123.46",'CASE DATA'!E197="123.47",'CASE DATA'!E197="235B.20",'CASE DATA'!E197="321.218",'CASE DATA'!E197="321A.32",'CASE DATA'!E197="321J.21",'CASE DATA'!E197="321J.2",'CASE DATA'!E197="707.5",'CASE DATA'!E197="708.2(3)",'CASE DATA'!E197="708.2A",'CASE DATA'!E197="708.7",'CASE DATA'!E197="708.11",'CASE DATA'!E197="708.12",'CASE DATA'!E197="716.8(3)",'CASE DATA'!E197="716.8(4)", LEFT('CASE DATA'!E197,4)="717C", LEFT('CASE DATA'!E197, 3)="719", LEFT('CASE DATA'!E197,3)="720", 'CASE DATA'!E197="721.2", 'CASE DATA'!E197="721.10", 'CASE DATA'!E197="723.1", LEFT('CASE DATA'!E197,3)="724", LEFT('CASE DATA'!E197,3)="726", LEFT('CASE DATA'!E197,3)="728", LEFT('CASE DATA'!E197,4)="901A"),"ineligible misd", "eligible"),"N/A")</f>
        <v>N/A</v>
      </c>
      <c r="N196" s="185" t="str">
        <f>IF(L196="eligible",IF(COUNTIF('CASE DATA'!$C$4:$C$200, "")-COUNTIF('CASE DATA'!$A$4:$A$200, "")&gt;0, "YES","NO"),"N/A")</f>
        <v>N/A</v>
      </c>
      <c r="O196" s="185" t="str">
        <f xml:space="preserve"> IF(M196="eligible",'CASE DATA'!K197,"N/A")</f>
        <v>N/A</v>
      </c>
      <c r="P196" s="185" t="str">
        <f xml:space="preserve"> IF(M196="eligible",'CASE DATA'!I197+'CASE DATA'!J197+'CASE DATA'!L197+'CASE DATA'!M197+'CASE DATA'!N197+'CASE DATA'!O197+'CASE DATA'!M197+'CASE DATA'!Q197+'CASE DATA'!R197,"N/A")</f>
        <v>N/A</v>
      </c>
      <c r="Q196" s="11" t="str">
        <f>IF(M196="eligible",IF(C196+730.5&lt;'BASIC INFO'!$B$3, "YES", "NO"),"N/A")</f>
        <v>N/A</v>
      </c>
      <c r="R196" s="186" t="str">
        <f xml:space="preserve"> IF(OR('CASE DATA'!F197="DEF"), "YES", "NO")</f>
        <v>NO</v>
      </c>
      <c r="S196" s="162" t="str">
        <f>IF(R196="YES",'CASE DATA'!H197,"N/A")</f>
        <v>N/A</v>
      </c>
      <c r="T196" s="185" t="str">
        <f xml:space="preserve"> IF(R196="YES",'CASE DATA'!K197,"N/A")</f>
        <v>N/A</v>
      </c>
      <c r="U196" s="185" t="str">
        <f>IF(R196="YES",'CASE DATA'!I197+'CASE DATA'!J197+'CASE DATA'!L197+'CASE DATA'!M197+'CASE DATA'!N197+'CASE DATA'!O197+'CASE DATA'!P197+'CASE DATA'!Q197+'CASE DATA'!R197,"N/A")</f>
        <v>N/A</v>
      </c>
      <c r="V196" s="189" t="str">
        <f>IF(OR('CASE DATA'!E197="123.46",'CASE DATA'!E197="123.47"),"YES","NO")</f>
        <v>NO</v>
      </c>
      <c r="W196" s="189"/>
      <c r="X196" s="185" t="str">
        <f>IF(V196="YES",IF(C196+730.5&lt;'BASIC INFO'!$B$3, "YES","NO"), "N/A")</f>
        <v>N/A</v>
      </c>
      <c r="Y196" s="189" t="str">
        <f t="shared" si="3"/>
        <v>NO</v>
      </c>
      <c r="Z196" s="187" t="str">
        <f xml:space="preserve"> IF('BASIC INFO'!$B$6+6574.5&gt;C196, "YES", "NO")</f>
        <v>YES</v>
      </c>
    </row>
    <row r="197" spans="1:26" x14ac:dyDescent="0.25">
      <c r="A197" s="162">
        <f xml:space="preserve"> 'CASE DATA'!A198</f>
        <v>0</v>
      </c>
      <c r="B197" s="162">
        <f xml:space="preserve"> 'CASE DATA'!E198</f>
        <v>0</v>
      </c>
      <c r="C197" s="163">
        <f xml:space="preserve"> 'CASE DATA'!C198</f>
        <v>0</v>
      </c>
      <c r="D197" s="11" t="str">
        <f xml:space="preserve"> IF(OR('CASE DATA'!F198="JUV", 'CASE DATA'!F198="JWV"), "YES", "NO")</f>
        <v>NO</v>
      </c>
      <c r="E197" s="11"/>
      <c r="F197" s="11" t="str">
        <f>IF(D197="YES",IF(COUNTIF('CASE DATA'!$C$4:$C$200, "")-COUNTIF('CASE DATA'!$A$4:$A$200, "")&gt;0, "YES","NO"),"N/A")</f>
        <v>N/A</v>
      </c>
      <c r="G197" s="164" t="str">
        <f xml:space="preserve"> _xlfn.IFS(D197="NO", "N/A", AND('BASIC INFO'!$B$3&gt;'BASIC INFO'!$B$6+6574.5, C197+730.5&lt;'BASIC INFO'!$B$3), "YES", 'BASIC INFO'!$B$3&lt;('BASIC INFO'!$B$6+6574.5), "NOT YET 18", C197+730.5&gt;'BASIC INFO'!$B$3, "NOT YET 2 YEARS")</f>
        <v>N/A</v>
      </c>
      <c r="H197" s="186" t="str">
        <f xml:space="preserve"> IF(LEFT('CASE DATA'!E198,4)&lt;&gt;"321.",IF(OR('CASE DATA'!F198="DISM", 'CASE DATA'!F198="ACQ", 'CASE DATA'!F198="NOTF", 'CASE DATA'!F198="WTHD", 'CASE DATA'!F198="TNSF"), "YES", "NO"), "TRAFFIC")</f>
        <v>NO</v>
      </c>
      <c r="I197" s="185" t="str">
        <f xml:space="preserve"> IF(H197="YES",'CASE DATA'!K198,"N/A")</f>
        <v>N/A</v>
      </c>
      <c r="J197" s="185" t="str">
        <f>IF(H197="YES",'CASE DATA'!I198+'CASE DATA'!J198+'CASE DATA'!L198+'CASE DATA'!M198+'CASE DATA'!N198+'CASE DATA'!O198+'CASE DATA'!P198+'CASE DATA'!Q198+'CASE DATA'!R198,"N/A")</f>
        <v>N/A</v>
      </c>
      <c r="K197" s="162" t="str">
        <f xml:space="preserve"> IF(H197="YES",IF(C197+180&lt;'BASIC INFO'!$B$3, "YES", "NO"),"N/A")</f>
        <v>N/A</v>
      </c>
      <c r="L197" s="185" t="str">
        <f>IF(OR('CASE DATA'!F198="GTR", 'CASE DATA'!F198="GPL"),IF(OR('CASE DATA'!E198="81.6(2)", 'CASE DATA'!E198="99F.15(6)(b)(1)", 'CASE DATA'!E198= "124.401(1)(a)", 'CASE DATA'!E198= "124.401(1)(b)", 'CASE DATA'!E198= "124.401(1)(c)", 'CASE DATA'!E198= "124.401(1)(d)", 'CASE DATA'!E198="124.401(4)", 'CASE DATA'!E198="124.401(1)(b)", 'CASE DATA'!E198="124.401(1)(c)", 'CASE DATA'!E198="124.401D(2)(b)", 'CASE DATA'!E198="124.401D(2)(c)", 'CASE DATA'!E198="124.406(1)(a)", 'CASE DATA'!E198="124.406(1)(b) ", 'CASE DATA'!E198="124.406(2)(a)", 'CASE DATA'!E198="124.406(2)(b) ", 'CASE DATA'!E198="124.406(3)", 'CASE DATA'!E198="124.406A ", 'CASE DATA'!E198="124.407(2)(a)", 'CASE DATA'!E198="124B.9(1)", 'CASE DATA'!E198="124B.9(2)", 'CASE DATA'!E198="321J.2(2)(c)", 'CASE DATA'!E198="453B.12(2)", 'CASE DATA'!E198="453B.12(3)", 'CASE DATA'!E198="453B.12(4)", 'CASE DATA'!E198="462A.14(2)(c)", 'CASE DATA'!E198="462A.14(2)(d)", 'CASE DATA'!E198="462A.14(2)(e)", 'CASE DATA'!E198="705.1(2)", 'CASE DATA'!E198="706.3(1)", 'CASE DATA'!E198="706.3(2)", 'CASE DATA'!E198="706A.2(1)", 'CASE DATA'!E198="706A.2(2)", 'CASE DATA'!E198="706A.2(4)", 'CASE DATA'!E198="706B.2(1)(a)", 'CASE DATA'!E198="706B.2(1)(b)", 'CASE DATA'!E198="706B.2(1)(c)", 'CASE DATA'!E198="706B.2(1)(d)", 'CASE DATA'!E198="707.2", 'CASE DATA'!E198="707.3", 'CASE DATA'!E198="707.3A", 'CASE DATA'!E198="707.4", 'CASE DATA'!E198="707.5(1)(a)", 'CASE DATA'!E198="707.6A(1)", 'CASE DATA'!E198="707.6A(2)", 'CASE DATA'!E198="707.6A(3)", 'CASE DATA'!E198="707.6A(4)", 'CASE DATA'!E198="707.7(1)", 'CASE DATA'!E198="707.7(3)", 'CASE DATA'!E198="707.7(2)", 'CASE DATA'!E198="707.8(1)", 'CASE DATA'!E198="707.8(2)", 'CASE DATA'!E198="707.8(3)", 'CASE DATA'!E198="707.8(4)", 'CASE DATA'!E198="707.8(5)", 'CASE DATA'!E198="707.8(6)", 'CASE DATA'!E198="707.9", 'CASE DATA'!E198="707.11", 'CASE DATA'!E198="707A.2", 'CASE DATA'!E198="708.2(4)", 'CASE DATA'!E198="708.2(5)", 'CASE DATA'!E198="708.2A(4)", 'CASE DATA'!E198="708.2A(5)", 'CASE DATA'!E198="708.2C(2)", 'CASE DATA'!E198="708.2C(4)", 'CASE DATA'!E198="708.3(1)", 'CASE DATA'!E198="708.3(2)", 'CASE DATA'!E198="708.3A(1)", 'CASE DATA'!E198="708.3A(2)", 'CASE DATA'!E198="708.3B", 'CASE DATA'!E198="708.4(1)", 'CASE DATA'!E198="708.4(2)", 'CASE DATA'!E198="708.5", 'CASE DATA'!E198="708.8", 'CASE DATA'!E198="708.11(3)(a)", 'CASE DATA'!E198="708.11(3)(b)", 'CASE DATA'!E198="708.12(3)(f)", 'CASE DATA'!E198="708.13(3)", 'CASE DATA'!E198="708.14", 'CASE DATA'!E198="708A.2", 'CASE DATA'!E198="708A.4(1)", 'CASE DATA'!E198="708A.4(2)", 'CASE DATA'!E198="708A.5", 'CASE DATA'!E198="708A.6(1)", 'CASE DATA'!E198="708.A.6(2)", 'CASE DATA'!E198="709.2", 'CASE DATA'!E198="709.3", 'CASE DATA'!E198="709.4", 'CASE DATA'!E198="709.8(1)(a)", 'CASE DATA'!E198="709.8(1)(b)", 'CASE DATA'!E198="709.8(1)(c)", 'CASE DATA'!E198="709.8(1)(d)", 'CASE DATA'!E198="709.8(1)(e)", 'CASE DATA'!E198="709.11(1)", 'CASE DATA'!E198="709.11(2)", 'CASE DATA'!E198="709.15(2)(a)(1)", 'CASE DATA'!E198="709.15(3)(a)(1)", 'CASE DATA'!E198="709.18", 'CASE DATA'!E198="709A.6(2)", 'CASE DATA'!E198="709D.3(1)", 'CASE DATA'!E198="709D.3(2)", 'CASE DATA'!E198="709.D.3(3)", 'CASE DATA'!E198="710.2", 'CASE DATA'!E198="710.3", 'CASE DATA'!E198="710.4", 'CASE DATA'!E198="710.5", 'CASE DATA'!E198="710.10(1)", 'CASE DATA'!E198="710.10(2)", 'CASE DATA'!E198="710.10(3)", 'CASE DATA'!E198="710.11", 'CASE DATA'!E198="710A.2(1)", 'CASE DATA'!E198="710A.2(2)", 'CASE DATA'!E198="710A.2(3)", 'CASE DATA'!E198="710A.2(4)", 'CASE DATA'!E198="710A.2(5)", 'CASE DATA'!E198="710A.2(6)", 'CASE DATA'!E198="710A.2(7)", 'CASE DATA'!E198="710A.2A", 'CASE DATA'!E198="711.2", 'CASE DATA'!E198="711.3", 'CASE DATA'!E198="711.4", 'CASE DATA'!E198="712.2", 'CASE DATA'!E198="712.3", 'CASE DATA'!E198="712.6(1)", 'CASE DATA'!E198="712.7", 'CASE DATA'!E198="712.8", 'CASE DATA'!E198="", 'CASE DATA'!E198="713.3", 'CASE DATA'!E198="713.4", 'CASE DATA'!E198="713.5", 'CASE DATA'!E198="713.6", 'CASE DATA'!E198="713.6A(1)", 'CASE DATA'!E198="714.2(1)", 'CASE DATA'!E198="714.2(2)", 'CASE DATA'!E198="714.3A(2)(b)", 'CASE DATA'!E198="714.9", 'CASE DATA'!E198="714.10", 'CASE DATA'!E198="714.26(2)(a)", 'CASE DATA'!E198="714.26(2)(b)", 'CASE DATA'!E198="715A.2(2)(a)", 'CASE DATA'!E198="715A.6(2)(a)", 'CASE DATA'!E198="715A.6(2)(b)", 'CASE DATA'!E198="715A.8(3)(a)", 'CASE DATA'!E198="715A.8(3)(b)", 'CASE DATA'!E198="715A.10(1)", 'CASE DATA'!E198="715A.10(2)", 'CASE DATA'!E198="716.3", 'CASE DATA'!E198="716.4", 'CASE DATA'!E198="716.8(6)", 'CASE DATA'!E198="716.10(2)(a)", 'CASE DATA'!E198="716.10(2)(b)", 'CASE DATA'!E198="716.10(2)(c)", 'CASE DATA'!E198="716.10(2)(d)", 'CASE DATA'!E198="716.12", 'CASE DATA'!E198="719.1(1)(f)", 'CASE DATA'!E198="719.1(2)(e)", 'CASE DATA'!E198="719.1(2)(f)", 'CASE DATA'!E198="719.1(2)(g)", 'CASE DATA'!E198="719.4(1)", 'CASE DATA'!E198="719.4(4)", 'CASE DATA'!E198="719.5(1)", 'CASE DATA'!E198="719.5(2)", 'CASE DATA'!E198="719.6(1)", 'CASE DATA'!E198="719.6(2)", 'CASE DATA'!E198="719.7(4)(a)", 'CASE DATA'!E198="719.7(4)(b)", 'CASE DATA'!E198="719.7A(3)", 'CASE DATA'!E198="719.9", 'CASE DATA'!E198="719.8", 'CASE DATA'!E198="720.2", 'CASE DATA'!E198="720.3", 'CASE DATA'!E198="721.1", 'CASE DATA'!E198="722.1", 'CASE DATA'!E198="", 'CASE DATA'!E198="722.2", 'CASE DATA'!E198="722.10", 'CASE DATA'!E198="723(5)(3)(c)", 'CASE DATA'!E198="723A.2", 'CASE DATA'!E198="723A.3(1)", 'CASE DATA'!E198="723A.3(2)", 'CASE DATA'!E198="724.1B", 'CASE DATA'!E198="724.1C", 'CASE DATA'!E198="724.3", 'CASE DATA'!E198="724.4B", 'CASE DATA'!E198="724.10", 'CASE DATA'!E198="724.16(2)", 'CASE DATA'!E198="724.16A(1)(a)", 'CASE DATA'!E198="724.16A(1)(b)", 'CASE DATA'!E198="724.17", 'CASE DATA'!E198="724.21", 'CASE DATA'!E198="724.26(1)", 'CASE DATA'!E198="922(g)(8)", 'CASE DATA'!E198="724.29A(2)", 'CASE DATA'!E198="724.29A(3)", 'CASE DATA'!E198="724.30(1)", 'CASE DATA'!E198="724.30(2)", 'CASE DATA'!E198="725.1(2)(b)", 'CASE DATA'!E198="725.2(1)", 'CASE DATA'!E198="725.2(2)", 'CASE DATA'!E198="725.3(2)", 'CASE DATA'!E198="725.3(1)", 'CASE DATA'!E198="725.7(2)(a)(3)", 'CASE DATA'!E198="725.7(2)(a)(4)", 'CASE DATA'!E198="725.7(2)(b)(2)", 'CASE DATA'!E198="725.7(2)(b(3)", 'CASE DATA'!E198="726.7(2)(c)(1)", 'CASE DATA'!E198="726.7(2)(c)(2)", 'CASE DATA'!E198="725.7(2)(d)", 'CASE DATA'!E198="726.2", 'CASE DATA'!E198="726.3", 'CASE DATA'!E198="726.5", 'CASE DATA'!E198="726.6(4)", 'CASE DATA'!E198="726.6(5)", 'CASE DATA'!E198="726.6(6)", 'CASE DATA'!E198="726.6A", 'CASE DATA'!E198="726.7(2)", 'CASE DATA'!E198="726.8(2)", 'CASE DATA'!E198="728.12(1)", 'CASE DATA'!E198="728.12(2)"),"felony","eligible"),"N/A")</f>
        <v>N/A</v>
      </c>
      <c r="M197" s="185" t="str">
        <f>IF(L197="eligible",IF(OR('CASE DATA'!E198="123.46",'CASE DATA'!E198="123.47",'CASE DATA'!E198="235B.20",'CASE DATA'!E198="321.218",'CASE DATA'!E198="321A.32",'CASE DATA'!E198="321J.21",'CASE DATA'!E198="321J.2",'CASE DATA'!E198="707.5",'CASE DATA'!E198="708.2(3)",'CASE DATA'!E198="708.2A",'CASE DATA'!E198="708.7",'CASE DATA'!E198="708.11",'CASE DATA'!E198="708.12",'CASE DATA'!E198="716.8(3)",'CASE DATA'!E198="716.8(4)", LEFT('CASE DATA'!E198,4)="717C", LEFT('CASE DATA'!E198, 3)="719", LEFT('CASE DATA'!E198,3)="720", 'CASE DATA'!E198="721.2", 'CASE DATA'!E198="721.10", 'CASE DATA'!E198="723.1", LEFT('CASE DATA'!E198,3)="724", LEFT('CASE DATA'!E198,3)="726", LEFT('CASE DATA'!E198,3)="728", LEFT('CASE DATA'!E198,4)="901A"),"ineligible misd", "eligible"),"N/A")</f>
        <v>N/A</v>
      </c>
      <c r="N197" s="185" t="str">
        <f>IF(L197="eligible",IF(COUNTIF('CASE DATA'!$C$4:$C$200, "")-COUNTIF('CASE DATA'!$A$4:$A$200, "")&gt;0, "YES","NO"),"N/A")</f>
        <v>N/A</v>
      </c>
      <c r="O197" s="185" t="str">
        <f xml:space="preserve"> IF(M197="eligible",'CASE DATA'!K198,"N/A")</f>
        <v>N/A</v>
      </c>
      <c r="P197" s="185" t="str">
        <f xml:space="preserve"> IF(M197="eligible",'CASE DATA'!I198+'CASE DATA'!J198+'CASE DATA'!L198+'CASE DATA'!M198+'CASE DATA'!N198+'CASE DATA'!O198+'CASE DATA'!M198+'CASE DATA'!Q198+'CASE DATA'!R198,"N/A")</f>
        <v>N/A</v>
      </c>
      <c r="Q197" s="11" t="str">
        <f>IF(M197="eligible",IF(C197+730.5&lt;'BASIC INFO'!$B$3, "YES", "NO"),"N/A")</f>
        <v>N/A</v>
      </c>
      <c r="R197" s="186" t="str">
        <f xml:space="preserve"> IF(OR('CASE DATA'!F198="DEF"), "YES", "NO")</f>
        <v>NO</v>
      </c>
      <c r="S197" s="162" t="str">
        <f>IF(R197="YES",'CASE DATA'!H198,"N/A")</f>
        <v>N/A</v>
      </c>
      <c r="T197" s="185" t="str">
        <f xml:space="preserve"> IF(R197="YES",'CASE DATA'!K198,"N/A")</f>
        <v>N/A</v>
      </c>
      <c r="U197" s="185" t="str">
        <f>IF(R197="YES",'CASE DATA'!I198+'CASE DATA'!J198+'CASE DATA'!L198+'CASE DATA'!M198+'CASE DATA'!N198+'CASE DATA'!O198+'CASE DATA'!P198+'CASE DATA'!Q198+'CASE DATA'!R198,"N/A")</f>
        <v>N/A</v>
      </c>
      <c r="V197" s="189" t="str">
        <f>IF(OR('CASE DATA'!E198="123.46",'CASE DATA'!E198="123.47"),"YES","NO")</f>
        <v>NO</v>
      </c>
      <c r="W197" s="189"/>
      <c r="X197" s="185" t="str">
        <f>IF(V197="YES",IF(C197+730.5&lt;'BASIC INFO'!$B$3, "YES","NO"), "N/A")</f>
        <v>N/A</v>
      </c>
      <c r="Y197" s="189" t="str">
        <f t="shared" si="3"/>
        <v>NO</v>
      </c>
      <c r="Z197" s="187" t="str">
        <f xml:space="preserve"> IF('BASIC INFO'!$B$6+6574.5&gt;C197, "YES", "NO")</f>
        <v>YES</v>
      </c>
    </row>
    <row r="198" spans="1:26" x14ac:dyDescent="0.25">
      <c r="A198" s="162">
        <f xml:space="preserve"> 'CASE DATA'!A199</f>
        <v>0</v>
      </c>
      <c r="B198" s="162">
        <f xml:space="preserve"> 'CASE DATA'!E199</f>
        <v>0</v>
      </c>
      <c r="C198" s="163">
        <f xml:space="preserve"> 'CASE DATA'!C199</f>
        <v>0</v>
      </c>
      <c r="D198" s="11" t="str">
        <f xml:space="preserve"> IF(OR('CASE DATA'!F199="JUV", 'CASE DATA'!F199="JWV"), "YES", "NO")</f>
        <v>NO</v>
      </c>
      <c r="E198" s="11"/>
      <c r="F198" s="11" t="str">
        <f>IF(D198="YES",IF(COUNTIF('CASE DATA'!$C$4:$C$200, "")-COUNTIF('CASE DATA'!$A$4:$A$200, "")&gt;0, "YES","NO"),"N/A")</f>
        <v>N/A</v>
      </c>
      <c r="G198" s="164" t="str">
        <f xml:space="preserve"> _xlfn.IFS(D198="NO", "N/A", AND('BASIC INFO'!$B$3&gt;'BASIC INFO'!$B$6+6574.5, C198+730.5&lt;'BASIC INFO'!$B$3), "YES", 'BASIC INFO'!$B$3&lt;('BASIC INFO'!$B$6+6574.5), "NOT YET 18", C198+730.5&gt;'BASIC INFO'!$B$3, "NOT YET 2 YEARS")</f>
        <v>N/A</v>
      </c>
      <c r="H198" s="186" t="str">
        <f xml:space="preserve"> IF(LEFT('CASE DATA'!E199,4)&lt;&gt;"321.",IF(OR('CASE DATA'!F199="DISM", 'CASE DATA'!F199="ACQ", 'CASE DATA'!F199="NOTF", 'CASE DATA'!F199="WTHD", 'CASE DATA'!F199="TNSF"), "YES", "NO"), "TRAFFIC")</f>
        <v>NO</v>
      </c>
      <c r="I198" s="185" t="str">
        <f xml:space="preserve"> IF(H198="YES",'CASE DATA'!K199,"N/A")</f>
        <v>N/A</v>
      </c>
      <c r="J198" s="185" t="str">
        <f>IF(H198="YES",'CASE DATA'!I199+'CASE DATA'!J199+'CASE DATA'!L199+'CASE DATA'!M199+'CASE DATA'!N199+'CASE DATA'!O199+'CASE DATA'!P199+'CASE DATA'!Q199+'CASE DATA'!R199,"N/A")</f>
        <v>N/A</v>
      </c>
      <c r="K198" s="162" t="str">
        <f xml:space="preserve"> IF(H198="YES",IF(C198+180&lt;'BASIC INFO'!$B$3, "YES", "NO"),"N/A")</f>
        <v>N/A</v>
      </c>
      <c r="L198" s="185" t="str">
        <f>IF(OR('CASE DATA'!F199="GTR", 'CASE DATA'!F199="GPL"),IF(OR('CASE DATA'!E199="81.6(2)", 'CASE DATA'!E199="99F.15(6)(b)(1)", 'CASE DATA'!E199= "124.401(1)(a)", 'CASE DATA'!E199= "124.401(1)(b)", 'CASE DATA'!E199= "124.401(1)(c)", 'CASE DATA'!E199= "124.401(1)(d)", 'CASE DATA'!E199="124.401(4)", 'CASE DATA'!E199="124.401(1)(b)", 'CASE DATA'!E199="124.401(1)(c)", 'CASE DATA'!E199="124.401D(2)(b)", 'CASE DATA'!E199="124.401D(2)(c)", 'CASE DATA'!E199="124.406(1)(a)", 'CASE DATA'!E199="124.406(1)(b) ", 'CASE DATA'!E199="124.406(2)(a)", 'CASE DATA'!E199="124.406(2)(b) ", 'CASE DATA'!E199="124.406(3)", 'CASE DATA'!E199="124.406A ", 'CASE DATA'!E199="124.407(2)(a)", 'CASE DATA'!E199="124B.9(1)", 'CASE DATA'!E199="124B.9(2)", 'CASE DATA'!E199="321J.2(2)(c)", 'CASE DATA'!E199="453B.12(2)", 'CASE DATA'!E199="453B.12(3)", 'CASE DATA'!E199="453B.12(4)", 'CASE DATA'!E199="462A.14(2)(c)", 'CASE DATA'!E199="462A.14(2)(d)", 'CASE DATA'!E199="462A.14(2)(e)", 'CASE DATA'!E199="705.1(2)", 'CASE DATA'!E199="706.3(1)", 'CASE DATA'!E199="706.3(2)", 'CASE DATA'!E199="706A.2(1)", 'CASE DATA'!E199="706A.2(2)", 'CASE DATA'!E199="706A.2(4)", 'CASE DATA'!E199="706B.2(1)(a)", 'CASE DATA'!E199="706B.2(1)(b)", 'CASE DATA'!E199="706B.2(1)(c)", 'CASE DATA'!E199="706B.2(1)(d)", 'CASE DATA'!E199="707.2", 'CASE DATA'!E199="707.3", 'CASE DATA'!E199="707.3A", 'CASE DATA'!E199="707.4", 'CASE DATA'!E199="707.5(1)(a)", 'CASE DATA'!E199="707.6A(1)", 'CASE DATA'!E199="707.6A(2)", 'CASE DATA'!E199="707.6A(3)", 'CASE DATA'!E199="707.6A(4)", 'CASE DATA'!E199="707.7(1)", 'CASE DATA'!E199="707.7(3)", 'CASE DATA'!E199="707.7(2)", 'CASE DATA'!E199="707.8(1)", 'CASE DATA'!E199="707.8(2)", 'CASE DATA'!E199="707.8(3)", 'CASE DATA'!E199="707.8(4)", 'CASE DATA'!E199="707.8(5)", 'CASE DATA'!E199="707.8(6)", 'CASE DATA'!E199="707.9", 'CASE DATA'!E199="707.11", 'CASE DATA'!E199="707A.2", 'CASE DATA'!E199="708.2(4)", 'CASE DATA'!E199="708.2(5)", 'CASE DATA'!E199="708.2A(4)", 'CASE DATA'!E199="708.2A(5)", 'CASE DATA'!E199="708.2C(2)", 'CASE DATA'!E199="708.2C(4)", 'CASE DATA'!E199="708.3(1)", 'CASE DATA'!E199="708.3(2)", 'CASE DATA'!E199="708.3A(1)", 'CASE DATA'!E199="708.3A(2)", 'CASE DATA'!E199="708.3B", 'CASE DATA'!E199="708.4(1)", 'CASE DATA'!E199="708.4(2)", 'CASE DATA'!E199="708.5", 'CASE DATA'!E199="708.8", 'CASE DATA'!E199="708.11(3)(a)", 'CASE DATA'!E199="708.11(3)(b)", 'CASE DATA'!E199="708.12(3)(f)", 'CASE DATA'!E199="708.13(3)", 'CASE DATA'!E199="708.14", 'CASE DATA'!E199="708A.2", 'CASE DATA'!E199="708A.4(1)", 'CASE DATA'!E199="708A.4(2)", 'CASE DATA'!E199="708A.5", 'CASE DATA'!E199="708A.6(1)", 'CASE DATA'!E199="708.A.6(2)", 'CASE DATA'!E199="709.2", 'CASE DATA'!E199="709.3", 'CASE DATA'!E199="709.4", 'CASE DATA'!E199="709.8(1)(a)", 'CASE DATA'!E199="709.8(1)(b)", 'CASE DATA'!E199="709.8(1)(c)", 'CASE DATA'!E199="709.8(1)(d)", 'CASE DATA'!E199="709.8(1)(e)", 'CASE DATA'!E199="709.11(1)", 'CASE DATA'!E199="709.11(2)", 'CASE DATA'!E199="709.15(2)(a)(1)", 'CASE DATA'!E199="709.15(3)(a)(1)", 'CASE DATA'!E199="709.18", 'CASE DATA'!E199="709A.6(2)", 'CASE DATA'!E199="709D.3(1)", 'CASE DATA'!E199="709D.3(2)", 'CASE DATA'!E199="709.D.3(3)", 'CASE DATA'!E199="710.2", 'CASE DATA'!E199="710.3", 'CASE DATA'!E199="710.4", 'CASE DATA'!E199="710.5", 'CASE DATA'!E199="710.10(1)", 'CASE DATA'!E199="710.10(2)", 'CASE DATA'!E199="710.10(3)", 'CASE DATA'!E199="710.11", 'CASE DATA'!E199="710A.2(1)", 'CASE DATA'!E199="710A.2(2)", 'CASE DATA'!E199="710A.2(3)", 'CASE DATA'!E199="710A.2(4)", 'CASE DATA'!E199="710A.2(5)", 'CASE DATA'!E199="710A.2(6)", 'CASE DATA'!E199="710A.2(7)", 'CASE DATA'!E199="710A.2A", 'CASE DATA'!E199="711.2", 'CASE DATA'!E199="711.3", 'CASE DATA'!E199="711.4", 'CASE DATA'!E199="712.2", 'CASE DATA'!E199="712.3", 'CASE DATA'!E199="712.6(1)", 'CASE DATA'!E199="712.7", 'CASE DATA'!E199="712.8", 'CASE DATA'!E199="", 'CASE DATA'!E199="713.3", 'CASE DATA'!E199="713.4", 'CASE DATA'!E199="713.5", 'CASE DATA'!E199="713.6", 'CASE DATA'!E199="713.6A(1)", 'CASE DATA'!E199="714.2(1)", 'CASE DATA'!E199="714.2(2)", 'CASE DATA'!E199="714.3A(2)(b)", 'CASE DATA'!E199="714.9", 'CASE DATA'!E199="714.10", 'CASE DATA'!E199="714.26(2)(a)", 'CASE DATA'!E199="714.26(2)(b)", 'CASE DATA'!E199="715A.2(2)(a)", 'CASE DATA'!E199="715A.6(2)(a)", 'CASE DATA'!E199="715A.6(2)(b)", 'CASE DATA'!E199="715A.8(3)(a)", 'CASE DATA'!E199="715A.8(3)(b)", 'CASE DATA'!E199="715A.10(1)", 'CASE DATA'!E199="715A.10(2)", 'CASE DATA'!E199="716.3", 'CASE DATA'!E199="716.4", 'CASE DATA'!E199="716.8(6)", 'CASE DATA'!E199="716.10(2)(a)", 'CASE DATA'!E199="716.10(2)(b)", 'CASE DATA'!E199="716.10(2)(c)", 'CASE DATA'!E199="716.10(2)(d)", 'CASE DATA'!E199="716.12", 'CASE DATA'!E199="719.1(1)(f)", 'CASE DATA'!E199="719.1(2)(e)", 'CASE DATA'!E199="719.1(2)(f)", 'CASE DATA'!E199="719.1(2)(g)", 'CASE DATA'!E199="719.4(1)", 'CASE DATA'!E199="719.4(4)", 'CASE DATA'!E199="719.5(1)", 'CASE DATA'!E199="719.5(2)", 'CASE DATA'!E199="719.6(1)", 'CASE DATA'!E199="719.6(2)", 'CASE DATA'!E199="719.7(4)(a)", 'CASE DATA'!E199="719.7(4)(b)", 'CASE DATA'!E199="719.7A(3)", 'CASE DATA'!E199="719.9", 'CASE DATA'!E199="719.8", 'CASE DATA'!E199="720.2", 'CASE DATA'!E199="720.3", 'CASE DATA'!E199="721.1", 'CASE DATA'!E199="722.1", 'CASE DATA'!E199="", 'CASE DATA'!E199="722.2", 'CASE DATA'!E199="722.10", 'CASE DATA'!E199="723(5)(3)(c)", 'CASE DATA'!E199="723A.2", 'CASE DATA'!E199="723A.3(1)", 'CASE DATA'!E199="723A.3(2)", 'CASE DATA'!E199="724.1B", 'CASE DATA'!E199="724.1C", 'CASE DATA'!E199="724.3", 'CASE DATA'!E199="724.4B", 'CASE DATA'!E199="724.10", 'CASE DATA'!E199="724.16(2)", 'CASE DATA'!E199="724.16A(1)(a)", 'CASE DATA'!E199="724.16A(1)(b)", 'CASE DATA'!E199="724.17", 'CASE DATA'!E199="724.21", 'CASE DATA'!E199="724.26(1)", 'CASE DATA'!E199="922(g)(8)", 'CASE DATA'!E199="724.29A(2)", 'CASE DATA'!E199="724.29A(3)", 'CASE DATA'!E199="724.30(1)", 'CASE DATA'!E199="724.30(2)", 'CASE DATA'!E199="725.1(2)(b)", 'CASE DATA'!E199="725.2(1)", 'CASE DATA'!E199="725.2(2)", 'CASE DATA'!E199="725.3(2)", 'CASE DATA'!E199="725.3(1)", 'CASE DATA'!E199="725.7(2)(a)(3)", 'CASE DATA'!E199="725.7(2)(a)(4)", 'CASE DATA'!E199="725.7(2)(b)(2)", 'CASE DATA'!E199="725.7(2)(b(3)", 'CASE DATA'!E199="726.7(2)(c)(1)", 'CASE DATA'!E199="726.7(2)(c)(2)", 'CASE DATA'!E199="725.7(2)(d)", 'CASE DATA'!E199="726.2", 'CASE DATA'!E199="726.3", 'CASE DATA'!E199="726.5", 'CASE DATA'!E199="726.6(4)", 'CASE DATA'!E199="726.6(5)", 'CASE DATA'!E199="726.6(6)", 'CASE DATA'!E199="726.6A", 'CASE DATA'!E199="726.7(2)", 'CASE DATA'!E199="726.8(2)", 'CASE DATA'!E199="728.12(1)", 'CASE DATA'!E199="728.12(2)"),"felony","eligible"),"N/A")</f>
        <v>N/A</v>
      </c>
      <c r="M198" s="185" t="str">
        <f>IF(L198="eligible",IF(OR('CASE DATA'!E199="123.46",'CASE DATA'!E199="123.47",'CASE DATA'!E199="235B.20",'CASE DATA'!E199="321.218",'CASE DATA'!E199="321A.32",'CASE DATA'!E199="321J.21",'CASE DATA'!E199="321J.2",'CASE DATA'!E199="707.5",'CASE DATA'!E199="708.2(3)",'CASE DATA'!E199="708.2A",'CASE DATA'!E199="708.7",'CASE DATA'!E199="708.11",'CASE DATA'!E199="708.12",'CASE DATA'!E199="716.8(3)",'CASE DATA'!E199="716.8(4)", LEFT('CASE DATA'!E199,4)="717C", LEFT('CASE DATA'!E199, 3)="719", LEFT('CASE DATA'!E199,3)="720", 'CASE DATA'!E199="721.2", 'CASE DATA'!E199="721.10", 'CASE DATA'!E199="723.1", LEFT('CASE DATA'!E199,3)="724", LEFT('CASE DATA'!E199,3)="726", LEFT('CASE DATA'!E199,3)="728", LEFT('CASE DATA'!E199,4)="901A"),"ineligible misd", "eligible"),"N/A")</f>
        <v>N/A</v>
      </c>
      <c r="N198" s="185" t="str">
        <f>IF(L198="eligible",IF(COUNTIF('CASE DATA'!$C$4:$C$200, "")-COUNTIF('CASE DATA'!$A$4:$A$200, "")&gt;0, "YES","NO"),"N/A")</f>
        <v>N/A</v>
      </c>
      <c r="O198" s="185" t="str">
        <f xml:space="preserve"> IF(M198="eligible",'CASE DATA'!K199,"N/A")</f>
        <v>N/A</v>
      </c>
      <c r="P198" s="185" t="str">
        <f xml:space="preserve"> IF(M198="eligible",'CASE DATA'!I199+'CASE DATA'!J199+'CASE DATA'!L199+'CASE DATA'!M199+'CASE DATA'!N199+'CASE DATA'!O199+'CASE DATA'!M199+'CASE DATA'!Q199+'CASE DATA'!R199,"N/A")</f>
        <v>N/A</v>
      </c>
      <c r="Q198" s="11" t="str">
        <f>IF(M198="eligible",IF(C198+730.5&lt;'BASIC INFO'!$B$3, "YES", "NO"),"N/A")</f>
        <v>N/A</v>
      </c>
      <c r="R198" s="186" t="str">
        <f xml:space="preserve"> IF(OR('CASE DATA'!F199="DEF"), "YES", "NO")</f>
        <v>NO</v>
      </c>
      <c r="S198" s="162" t="str">
        <f>IF(R198="YES",'CASE DATA'!H199,"N/A")</f>
        <v>N/A</v>
      </c>
      <c r="T198" s="185" t="str">
        <f xml:space="preserve"> IF(R198="YES",'CASE DATA'!K199,"N/A")</f>
        <v>N/A</v>
      </c>
      <c r="U198" s="185" t="str">
        <f>IF(R198="YES",'CASE DATA'!I199+'CASE DATA'!J199+'CASE DATA'!L199+'CASE DATA'!M199+'CASE DATA'!N199+'CASE DATA'!O199+'CASE DATA'!P199+'CASE DATA'!Q199+'CASE DATA'!R199,"N/A")</f>
        <v>N/A</v>
      </c>
      <c r="V198" s="189" t="str">
        <f>IF(OR('CASE DATA'!E199="123.46",'CASE DATA'!E199="123.47"),"YES","NO")</f>
        <v>NO</v>
      </c>
      <c r="W198" s="189"/>
      <c r="X198" s="185" t="str">
        <f>IF(V198="YES",IF(C198+730.5&lt;'BASIC INFO'!$B$3, "YES","NO"), "N/A")</f>
        <v>N/A</v>
      </c>
      <c r="Y198" s="189" t="str">
        <f t="shared" si="3"/>
        <v>NO</v>
      </c>
      <c r="Z198" s="187" t="str">
        <f xml:space="preserve"> IF('BASIC INFO'!$B$6+6574.5&gt;C198, "YES", "NO")</f>
        <v>YES</v>
      </c>
    </row>
    <row r="199" spans="1:26" x14ac:dyDescent="0.25">
      <c r="A199" s="162">
        <f xml:space="preserve"> 'CASE DATA'!A200</f>
        <v>0</v>
      </c>
      <c r="B199" s="162">
        <f xml:space="preserve"> 'CASE DATA'!E200</f>
        <v>0</v>
      </c>
      <c r="C199" s="163">
        <f xml:space="preserve"> 'CASE DATA'!C200</f>
        <v>0</v>
      </c>
      <c r="D199" s="11" t="str">
        <f xml:space="preserve"> IF(OR('CASE DATA'!F200="JUV", 'CASE DATA'!F200="JWV"), "YES", "NO")</f>
        <v>NO</v>
      </c>
      <c r="E199" s="11"/>
      <c r="F199" s="11" t="str">
        <f>IF(D199="YES",IF(COUNTIF('CASE DATA'!$C$4:$C$200, "")-COUNTIF('CASE DATA'!$A$4:$A$200, "")&gt;0, "YES","NO"),"N/A")</f>
        <v>N/A</v>
      </c>
      <c r="G199" s="164" t="str">
        <f xml:space="preserve"> _xlfn.IFS(D199="NO", "N/A", AND('BASIC INFO'!$B$3&gt;'BASIC INFO'!$B$6+6574.5, C199+730.5&lt;'BASIC INFO'!$B$3), "YES", 'BASIC INFO'!$B$3&lt;('BASIC INFO'!$B$6+6574.5), "NOT YET 18", C199+730.5&gt;'BASIC INFO'!$B$3, "NOT YET 2 YEARS")</f>
        <v>N/A</v>
      </c>
      <c r="H199" s="186" t="str">
        <f xml:space="preserve"> IF(LEFT('CASE DATA'!E200,4)&lt;&gt;"321.",IF(OR('CASE DATA'!F200="DISM", 'CASE DATA'!F200="ACQ", 'CASE DATA'!F200="NOTF", 'CASE DATA'!F200="WTHD", 'CASE DATA'!F200="TNSF"), "YES", "NO"), "TRAFFIC")</f>
        <v>NO</v>
      </c>
      <c r="I199" s="185" t="str">
        <f xml:space="preserve"> IF(H199="YES",'CASE DATA'!K200,"N/A")</f>
        <v>N/A</v>
      </c>
      <c r="J199" s="185" t="str">
        <f>IF(H199="YES",'CASE DATA'!I200+'CASE DATA'!J200+'CASE DATA'!L200+'CASE DATA'!M200+'CASE DATA'!N200+'CASE DATA'!O200+'CASE DATA'!P200+'CASE DATA'!Q200+'CASE DATA'!R200,"N/A")</f>
        <v>N/A</v>
      </c>
      <c r="K199" s="162" t="str">
        <f xml:space="preserve"> IF(H199="YES",IF(C199+180&lt;'BASIC INFO'!$B$3, "YES", "NO"),"N/A")</f>
        <v>N/A</v>
      </c>
      <c r="L199" s="185" t="str">
        <f>IF(OR('CASE DATA'!F200="GTR", 'CASE DATA'!F200="GPL"),IF(OR('CASE DATA'!E200="81.6(2)", 'CASE DATA'!E200="99F.15(6)(b)(1)", 'CASE DATA'!E200= "124.401(1)(a)", 'CASE DATA'!E200= "124.401(1)(b)", 'CASE DATA'!E200= "124.401(1)(c)", 'CASE DATA'!E200= "124.401(1)(d)", 'CASE DATA'!E200="124.401(4)", 'CASE DATA'!E200="124.401(1)(b)", 'CASE DATA'!E200="124.401(1)(c)", 'CASE DATA'!E200="124.401D(2)(b)", 'CASE DATA'!E200="124.401D(2)(c)", 'CASE DATA'!E200="124.406(1)(a)", 'CASE DATA'!E200="124.406(1)(b) ", 'CASE DATA'!E200="124.406(2)(a)", 'CASE DATA'!E200="124.406(2)(b) ", 'CASE DATA'!E200="124.406(3)", 'CASE DATA'!E200="124.406A ", 'CASE DATA'!E200="124.407(2)(a)", 'CASE DATA'!E200="124B.9(1)", 'CASE DATA'!E200="124B.9(2)", 'CASE DATA'!E200="321J.2(2)(c)", 'CASE DATA'!E200="453B.12(2)", 'CASE DATA'!E200="453B.12(3)", 'CASE DATA'!E200="453B.12(4)", 'CASE DATA'!E200="462A.14(2)(c)", 'CASE DATA'!E200="462A.14(2)(d)", 'CASE DATA'!E200="462A.14(2)(e)", 'CASE DATA'!E200="705.1(2)", 'CASE DATA'!E200="706.3(1)", 'CASE DATA'!E200="706.3(2)", 'CASE DATA'!E200="706A.2(1)", 'CASE DATA'!E200="706A.2(2)", 'CASE DATA'!E200="706A.2(4)", 'CASE DATA'!E200="706B.2(1)(a)", 'CASE DATA'!E200="706B.2(1)(b)", 'CASE DATA'!E200="706B.2(1)(c)", 'CASE DATA'!E200="706B.2(1)(d)", 'CASE DATA'!E200="707.2", 'CASE DATA'!E200="707.3", 'CASE DATA'!E200="707.3A", 'CASE DATA'!E200="707.4", 'CASE DATA'!E200="707.5(1)(a)", 'CASE DATA'!E200="707.6A(1)", 'CASE DATA'!E200="707.6A(2)", 'CASE DATA'!E200="707.6A(3)", 'CASE DATA'!E200="707.6A(4)", 'CASE DATA'!E200="707.7(1)", 'CASE DATA'!E200="707.7(3)", 'CASE DATA'!E200="707.7(2)", 'CASE DATA'!E200="707.8(1)", 'CASE DATA'!E200="707.8(2)", 'CASE DATA'!E200="707.8(3)", 'CASE DATA'!E200="707.8(4)", 'CASE DATA'!E200="707.8(5)", 'CASE DATA'!E200="707.8(6)", 'CASE DATA'!E200="707.9", 'CASE DATA'!E200="707.11", 'CASE DATA'!E200="707A.2", 'CASE DATA'!E200="708.2(4)", 'CASE DATA'!E200="708.2(5)", 'CASE DATA'!E200="708.2A(4)", 'CASE DATA'!E200="708.2A(5)", 'CASE DATA'!E200="708.2C(2)", 'CASE DATA'!E200="708.2C(4)", 'CASE DATA'!E200="708.3(1)", 'CASE DATA'!E200="708.3(2)", 'CASE DATA'!E200="708.3A(1)", 'CASE DATA'!E200="708.3A(2)", 'CASE DATA'!E200="708.3B", 'CASE DATA'!E200="708.4(1)", 'CASE DATA'!E200="708.4(2)", 'CASE DATA'!E200="708.5", 'CASE DATA'!E200="708.8", 'CASE DATA'!E200="708.11(3)(a)", 'CASE DATA'!E200="708.11(3)(b)", 'CASE DATA'!E200="708.12(3)(f)", 'CASE DATA'!E200="708.13(3)", 'CASE DATA'!E200="708.14", 'CASE DATA'!E200="708A.2", 'CASE DATA'!E200="708A.4(1)", 'CASE DATA'!E200="708A.4(2)", 'CASE DATA'!E200="708A.5", 'CASE DATA'!E200="708A.6(1)", 'CASE DATA'!E200="708.A.6(2)", 'CASE DATA'!E200="709.2", 'CASE DATA'!E200="709.3", 'CASE DATA'!E200="709.4", 'CASE DATA'!E200="709.8(1)(a)", 'CASE DATA'!E200="709.8(1)(b)", 'CASE DATA'!E200="709.8(1)(c)", 'CASE DATA'!E200="709.8(1)(d)", 'CASE DATA'!E200="709.8(1)(e)", 'CASE DATA'!E200="709.11(1)", 'CASE DATA'!E200="709.11(2)", 'CASE DATA'!E200="709.15(2)(a)(1)", 'CASE DATA'!E200="709.15(3)(a)(1)", 'CASE DATA'!E200="709.18", 'CASE DATA'!E200="709A.6(2)", 'CASE DATA'!E200="709D.3(1)", 'CASE DATA'!E200="709D.3(2)", 'CASE DATA'!E200="709.D.3(3)", 'CASE DATA'!E200="710.2", 'CASE DATA'!E200="710.3", 'CASE DATA'!E200="710.4", 'CASE DATA'!E200="710.5", 'CASE DATA'!E200="710.10(1)", 'CASE DATA'!E200="710.10(2)", 'CASE DATA'!E200="710.10(3)", 'CASE DATA'!E200="710.11", 'CASE DATA'!E200="710A.2(1)", 'CASE DATA'!E200="710A.2(2)", 'CASE DATA'!E200="710A.2(3)", 'CASE DATA'!E200="710A.2(4)", 'CASE DATA'!E200="710A.2(5)", 'CASE DATA'!E200="710A.2(6)", 'CASE DATA'!E200="710A.2(7)", 'CASE DATA'!E200="710A.2A", 'CASE DATA'!E200="711.2", 'CASE DATA'!E200="711.3", 'CASE DATA'!E200="711.4", 'CASE DATA'!E200="712.2", 'CASE DATA'!E200="712.3", 'CASE DATA'!E200="712.6(1)", 'CASE DATA'!E200="712.7", 'CASE DATA'!E200="712.8", 'CASE DATA'!E200="", 'CASE DATA'!E200="713.3", 'CASE DATA'!E200="713.4", 'CASE DATA'!E200="713.5", 'CASE DATA'!E200="713.6", 'CASE DATA'!E200="713.6A(1)", 'CASE DATA'!E200="714.2(1)", 'CASE DATA'!E200="714.2(2)", 'CASE DATA'!E200="714.3A(2)(b)", 'CASE DATA'!E200="714.9", 'CASE DATA'!E200="714.10", 'CASE DATA'!E200="714.26(2)(a)", 'CASE DATA'!E200="714.26(2)(b)", 'CASE DATA'!E200="715A.2(2)(a)", 'CASE DATA'!E200="715A.6(2)(a)", 'CASE DATA'!E200="715A.6(2)(b)", 'CASE DATA'!E200="715A.8(3)(a)", 'CASE DATA'!E200="715A.8(3)(b)", 'CASE DATA'!E200="715A.10(1)", 'CASE DATA'!E200="715A.10(2)", 'CASE DATA'!E200="716.3", 'CASE DATA'!E200="716.4", 'CASE DATA'!E200="716.8(6)", 'CASE DATA'!E200="716.10(2)(a)", 'CASE DATA'!E200="716.10(2)(b)", 'CASE DATA'!E200="716.10(2)(c)", 'CASE DATA'!E200="716.10(2)(d)", 'CASE DATA'!E200="716.12", 'CASE DATA'!E200="719.1(1)(f)", 'CASE DATA'!E200="719.1(2)(e)", 'CASE DATA'!E200="719.1(2)(f)", 'CASE DATA'!E200="719.1(2)(g)", 'CASE DATA'!E200="719.4(1)", 'CASE DATA'!E200="719.4(4)", 'CASE DATA'!E200="719.5(1)", 'CASE DATA'!E200="719.5(2)", 'CASE DATA'!E200="719.6(1)", 'CASE DATA'!E200="719.6(2)", 'CASE DATA'!E200="719.7(4)(a)", 'CASE DATA'!E200="719.7(4)(b)", 'CASE DATA'!E200="719.7A(3)", 'CASE DATA'!E200="719.9", 'CASE DATA'!E200="719.8", 'CASE DATA'!E200="720.2", 'CASE DATA'!E200="720.3", 'CASE DATA'!E200="721.1", 'CASE DATA'!E200="722.1", 'CASE DATA'!E200="", 'CASE DATA'!E200="722.2", 'CASE DATA'!E200="722.10", 'CASE DATA'!E200="723(5)(3)(c)", 'CASE DATA'!E200="723A.2", 'CASE DATA'!E200="723A.3(1)", 'CASE DATA'!E200="723A.3(2)", 'CASE DATA'!E200="724.1B", 'CASE DATA'!E200="724.1C", 'CASE DATA'!E200="724.3", 'CASE DATA'!E200="724.4B", 'CASE DATA'!E200="724.10", 'CASE DATA'!E200="724.16(2)", 'CASE DATA'!E200="724.16A(1)(a)", 'CASE DATA'!E200="724.16A(1)(b)", 'CASE DATA'!E200="724.17", 'CASE DATA'!E200="724.21", 'CASE DATA'!E200="724.26(1)", 'CASE DATA'!E200="922(g)(8)", 'CASE DATA'!E200="724.29A(2)", 'CASE DATA'!E200="724.29A(3)", 'CASE DATA'!E200="724.30(1)", 'CASE DATA'!E200="724.30(2)", 'CASE DATA'!E200="725.1(2)(b)", 'CASE DATA'!E200="725.2(1)", 'CASE DATA'!E200="725.2(2)", 'CASE DATA'!E200="725.3(2)", 'CASE DATA'!E200="725.3(1)", 'CASE DATA'!E200="725.7(2)(a)(3)", 'CASE DATA'!E200="725.7(2)(a)(4)", 'CASE DATA'!E200="725.7(2)(b)(2)", 'CASE DATA'!E200="725.7(2)(b(3)", 'CASE DATA'!E200="726.7(2)(c)(1)", 'CASE DATA'!E200="726.7(2)(c)(2)", 'CASE DATA'!E200="725.7(2)(d)", 'CASE DATA'!E200="726.2", 'CASE DATA'!E200="726.3", 'CASE DATA'!E200="726.5", 'CASE DATA'!E200="726.6(4)", 'CASE DATA'!E200="726.6(5)", 'CASE DATA'!E200="726.6(6)", 'CASE DATA'!E200="726.6A", 'CASE DATA'!E200="726.7(2)", 'CASE DATA'!E200="726.8(2)", 'CASE DATA'!E200="728.12(1)", 'CASE DATA'!E200="728.12(2)"),"felony","eligible"),"N/A")</f>
        <v>N/A</v>
      </c>
      <c r="M199" s="185" t="str">
        <f>IF(L199="eligible",IF(OR('CASE DATA'!E200="123.46",'CASE DATA'!E200="123.47",'CASE DATA'!E200="235B.20",'CASE DATA'!E200="321.218",'CASE DATA'!E200="321A.32",'CASE DATA'!E200="321J.21",'CASE DATA'!E200="321J.2",'CASE DATA'!E200="707.5",'CASE DATA'!E200="708.2(3)",'CASE DATA'!E200="708.2A",'CASE DATA'!E200="708.7",'CASE DATA'!E200="708.11",'CASE DATA'!E200="708.12",'CASE DATA'!E200="716.8(3)",'CASE DATA'!E200="716.8(4)", LEFT('CASE DATA'!E200,4)="717C", LEFT('CASE DATA'!E200, 3)="719", LEFT('CASE DATA'!E200,3)="720", 'CASE DATA'!E200="721.2", 'CASE DATA'!E200="721.10", 'CASE DATA'!E200="723.1", LEFT('CASE DATA'!E200,3)="724", LEFT('CASE DATA'!E200,3)="726", LEFT('CASE DATA'!E200,3)="728", LEFT('CASE DATA'!E200,4)="901A"),"ineligible misd", "eligible"),"N/A")</f>
        <v>N/A</v>
      </c>
      <c r="N199" s="185" t="str">
        <f>IF(L199="eligible",IF(COUNTIF('CASE DATA'!$C$4:$C$200, "")-COUNTIF('CASE DATA'!$A$4:$A$200, "")&gt;0, "YES","NO"),"N/A")</f>
        <v>N/A</v>
      </c>
      <c r="O199" s="185" t="str">
        <f xml:space="preserve"> IF(M199="eligible",'CASE DATA'!K200,"N/A")</f>
        <v>N/A</v>
      </c>
      <c r="P199" s="185" t="str">
        <f xml:space="preserve"> IF(M199="eligible",'CASE DATA'!I200+'CASE DATA'!J200+'CASE DATA'!L200+'CASE DATA'!M200+'CASE DATA'!N200+'CASE DATA'!O200+'CASE DATA'!M200+'CASE DATA'!Q200+'CASE DATA'!R200,"N/A")</f>
        <v>N/A</v>
      </c>
      <c r="Q199" s="11" t="str">
        <f>IF(M199="eligible",IF(C199+730.5&lt;'BASIC INFO'!$B$3, "YES", "NO"),"N/A")</f>
        <v>N/A</v>
      </c>
      <c r="R199" s="186" t="str">
        <f xml:space="preserve"> IF(OR('CASE DATA'!F200="DEF"), "YES", "NO")</f>
        <v>NO</v>
      </c>
      <c r="S199" s="162" t="str">
        <f>IF(R199="YES",'CASE DATA'!H200,"N/A")</f>
        <v>N/A</v>
      </c>
      <c r="T199" s="185" t="str">
        <f xml:space="preserve"> IF(R199="YES",'CASE DATA'!K200,"N/A")</f>
        <v>N/A</v>
      </c>
      <c r="U199" s="185" t="str">
        <f>IF(R199="YES",'CASE DATA'!I200+'CASE DATA'!J200+'CASE DATA'!L200+'CASE DATA'!M200+'CASE DATA'!N200+'CASE DATA'!O200+'CASE DATA'!P200+'CASE DATA'!Q200+'CASE DATA'!R200,"N/A")</f>
        <v>N/A</v>
      </c>
      <c r="V199" s="189" t="str">
        <f>IF(OR('CASE DATA'!E200="123.46",'CASE DATA'!E200="123.47"),"YES","NO")</f>
        <v>NO</v>
      </c>
      <c r="W199" s="189"/>
      <c r="X199" s="185" t="str">
        <f>IF(V199="YES",IF(C199+730.5&lt;'BASIC INFO'!$B$3, "YES","NO"), "N/A")</f>
        <v>N/A</v>
      </c>
      <c r="Y199" s="189" t="str">
        <f t="shared" si="3"/>
        <v>NO</v>
      </c>
      <c r="Z199" s="187" t="str">
        <f xml:space="preserve"> IF('BASIC INFO'!$B$6+6574.5&gt;C199, "YES", "NO")</f>
        <v>YES</v>
      </c>
    </row>
    <row r="200" spans="1:26" x14ac:dyDescent="0.25">
      <c r="A200" s="162">
        <f xml:space="preserve"> 'CASE DATA'!A201</f>
        <v>0</v>
      </c>
      <c r="B200" s="162">
        <f xml:space="preserve"> 'CASE DATA'!E201</f>
        <v>0</v>
      </c>
      <c r="C200" s="163">
        <f xml:space="preserve"> 'CASE DATA'!C201</f>
        <v>0</v>
      </c>
      <c r="D200" s="11" t="str">
        <f xml:space="preserve"> IF(OR('CASE DATA'!F201="JUV", 'CASE DATA'!F201="JWV"), "YES", "NO")</f>
        <v>NO</v>
      </c>
      <c r="E200" s="11"/>
      <c r="F200" s="11" t="str">
        <f>IF(D200="YES",IF(COUNTIF('CASE DATA'!$C$4:$C$200, "")-COUNTIF('CASE DATA'!$A$4:$A$200, "")&gt;0, "YES","NO"),"N/A")</f>
        <v>N/A</v>
      </c>
      <c r="G200" s="164" t="str">
        <f xml:space="preserve"> _xlfn.IFS(D200="NO", "N/A", AND('BASIC INFO'!$B$3&gt;'BASIC INFO'!$B$6+6574.5, C200+730.5&lt;'BASIC INFO'!$B$3), "YES", 'BASIC INFO'!$B$3&lt;('BASIC INFO'!$B$6+6574.5), "NOT YET 18", C200+730.5&gt;'BASIC INFO'!$B$3, "NOT YET 2 YEARS")</f>
        <v>N/A</v>
      </c>
      <c r="H200" s="186" t="str">
        <f xml:space="preserve"> IF(LEFT('CASE DATA'!E201,4)&lt;&gt;"321.",IF(OR('CASE DATA'!F201="DISM", 'CASE DATA'!F201="ACQ", 'CASE DATA'!F201="NOTF", 'CASE DATA'!F201="WTHD", 'CASE DATA'!F201="TNSF"), "YES", "NO"), "TRAFFIC")</f>
        <v>NO</v>
      </c>
      <c r="I200" s="185" t="str">
        <f xml:space="preserve"> IF(H200="YES",'CASE DATA'!K201,"N/A")</f>
        <v>N/A</v>
      </c>
      <c r="J200" s="185" t="str">
        <f>IF(H200="YES",'CASE DATA'!I201+'CASE DATA'!J201+'CASE DATA'!L201+'CASE DATA'!M201+'CASE DATA'!N201+'CASE DATA'!O201+'CASE DATA'!P201+'CASE DATA'!Q201+'CASE DATA'!R201,"N/A")</f>
        <v>N/A</v>
      </c>
      <c r="K200" s="162" t="str">
        <f xml:space="preserve"> IF(H200="YES",IF(C200+180&lt;'BASIC INFO'!$B$3, "YES", "NO"),"N/A")</f>
        <v>N/A</v>
      </c>
      <c r="L200" s="185" t="str">
        <f>IF(OR('CASE DATA'!F201="GTR", 'CASE DATA'!F201="GPL"),IF(OR('CASE DATA'!E201="81.6(2)", 'CASE DATA'!E201="99F.15(6)(b)(1)", 'CASE DATA'!E201= "124.401(1)(a)", 'CASE DATA'!E201= "124.401(1)(b)", 'CASE DATA'!E201= "124.401(1)(c)", 'CASE DATA'!E201= "124.401(1)(d)", 'CASE DATA'!E201="124.401(4)", 'CASE DATA'!E201="124.401(1)(b)", 'CASE DATA'!E201="124.401(1)(c)", 'CASE DATA'!E201="124.401D(2)(b)", 'CASE DATA'!E201="124.401D(2)(c)", 'CASE DATA'!E201="124.406(1)(a)", 'CASE DATA'!E201="124.406(1)(b) ", 'CASE DATA'!E201="124.406(2)(a)", 'CASE DATA'!E201="124.406(2)(b) ", 'CASE DATA'!E201="124.406(3)", 'CASE DATA'!E201="124.406A ", 'CASE DATA'!E201="124.407(2)(a)", 'CASE DATA'!E201="124B.9(1)", 'CASE DATA'!E201="124B.9(2)", 'CASE DATA'!E201="321J.2(2)(c)", 'CASE DATA'!E201="453B.12(2)", 'CASE DATA'!E201="453B.12(3)", 'CASE DATA'!E201="453B.12(4)", 'CASE DATA'!E201="462A.14(2)(c)", 'CASE DATA'!E201="462A.14(2)(d)", 'CASE DATA'!E201="462A.14(2)(e)", 'CASE DATA'!E201="705.1(2)", 'CASE DATA'!E201="706.3(1)", 'CASE DATA'!E201="706.3(2)", 'CASE DATA'!E201="706A.2(1)", 'CASE DATA'!E201="706A.2(2)", 'CASE DATA'!E201="706A.2(4)", 'CASE DATA'!E201="706B.2(1)(a)", 'CASE DATA'!E201="706B.2(1)(b)", 'CASE DATA'!E201="706B.2(1)(c)", 'CASE DATA'!E201="706B.2(1)(d)", 'CASE DATA'!E201="707.2", 'CASE DATA'!E201="707.3", 'CASE DATA'!E201="707.3A", 'CASE DATA'!E201="707.4", 'CASE DATA'!E201="707.5(1)(a)", 'CASE DATA'!E201="707.6A(1)", 'CASE DATA'!E201="707.6A(2)", 'CASE DATA'!E201="707.6A(3)", 'CASE DATA'!E201="707.6A(4)", 'CASE DATA'!E201="707.7(1)", 'CASE DATA'!E201="707.7(3)", 'CASE DATA'!E201="707.7(2)", 'CASE DATA'!E201="707.8(1)", 'CASE DATA'!E201="707.8(2)", 'CASE DATA'!E201="707.8(3)", 'CASE DATA'!E201="707.8(4)", 'CASE DATA'!E201="707.8(5)", 'CASE DATA'!E201="707.8(6)", 'CASE DATA'!E201="707.9", 'CASE DATA'!E201="707.11", 'CASE DATA'!E201="707A.2", 'CASE DATA'!E201="708.2(4)", 'CASE DATA'!E201="708.2(5)", 'CASE DATA'!E201="708.2A(4)", 'CASE DATA'!E201="708.2A(5)", 'CASE DATA'!E201="708.2C(2)", 'CASE DATA'!E201="708.2C(4)", 'CASE DATA'!E201="708.3(1)", 'CASE DATA'!E201="708.3(2)", 'CASE DATA'!E201="708.3A(1)", 'CASE DATA'!E201="708.3A(2)", 'CASE DATA'!E201="708.3B", 'CASE DATA'!E201="708.4(1)", 'CASE DATA'!E201="708.4(2)", 'CASE DATA'!E201="708.5", 'CASE DATA'!E201="708.8", 'CASE DATA'!E201="708.11(3)(a)", 'CASE DATA'!E201="708.11(3)(b)", 'CASE DATA'!E201="708.12(3)(f)", 'CASE DATA'!E201="708.13(3)", 'CASE DATA'!E201="708.14", 'CASE DATA'!E201="708A.2", 'CASE DATA'!E201="708A.4(1)", 'CASE DATA'!E201="708A.4(2)", 'CASE DATA'!E201="708A.5", 'CASE DATA'!E201="708A.6(1)", 'CASE DATA'!E201="708.A.6(2)", 'CASE DATA'!E201="709.2", 'CASE DATA'!E201="709.3", 'CASE DATA'!E201="709.4", 'CASE DATA'!E201="709.8(1)(a)", 'CASE DATA'!E201="709.8(1)(b)", 'CASE DATA'!E201="709.8(1)(c)", 'CASE DATA'!E201="709.8(1)(d)", 'CASE DATA'!E201="709.8(1)(e)", 'CASE DATA'!E201="709.11(1)", 'CASE DATA'!E201="709.11(2)", 'CASE DATA'!E201="709.15(2)(a)(1)", 'CASE DATA'!E201="709.15(3)(a)(1)", 'CASE DATA'!E201="709.18", 'CASE DATA'!E201="709A.6(2)", 'CASE DATA'!E201="709D.3(1)", 'CASE DATA'!E201="709D.3(2)", 'CASE DATA'!E201="709.D.3(3)", 'CASE DATA'!E201="710.2", 'CASE DATA'!E201="710.3", 'CASE DATA'!E201="710.4", 'CASE DATA'!E201="710.5", 'CASE DATA'!E201="710.10(1)", 'CASE DATA'!E201="710.10(2)", 'CASE DATA'!E201="710.10(3)", 'CASE DATA'!E201="710.11", 'CASE DATA'!E201="710A.2(1)", 'CASE DATA'!E201="710A.2(2)", 'CASE DATA'!E201="710A.2(3)", 'CASE DATA'!E201="710A.2(4)", 'CASE DATA'!E201="710A.2(5)", 'CASE DATA'!E201="710A.2(6)", 'CASE DATA'!E201="710A.2(7)", 'CASE DATA'!E201="710A.2A", 'CASE DATA'!E201="711.2", 'CASE DATA'!E201="711.3", 'CASE DATA'!E201="711.4", 'CASE DATA'!E201="712.2", 'CASE DATA'!E201="712.3", 'CASE DATA'!E201="712.6(1)", 'CASE DATA'!E201="712.7", 'CASE DATA'!E201="712.8", 'CASE DATA'!E201="", 'CASE DATA'!E201="713.3", 'CASE DATA'!E201="713.4", 'CASE DATA'!E201="713.5", 'CASE DATA'!E201="713.6", 'CASE DATA'!E201="713.6A(1)", 'CASE DATA'!E201="714.2(1)", 'CASE DATA'!E201="714.2(2)", 'CASE DATA'!E201="714.3A(2)(b)", 'CASE DATA'!E201="714.9", 'CASE DATA'!E201="714.10", 'CASE DATA'!E201="714.26(2)(a)", 'CASE DATA'!E201="714.26(2)(b)", 'CASE DATA'!E201="715A.2(2)(a)", 'CASE DATA'!E201="715A.6(2)(a)", 'CASE DATA'!E201="715A.6(2)(b)", 'CASE DATA'!E201="715A.8(3)(a)", 'CASE DATA'!E201="715A.8(3)(b)", 'CASE DATA'!E201="715A.10(1)", 'CASE DATA'!E201="715A.10(2)", 'CASE DATA'!E201="716.3", 'CASE DATA'!E201="716.4", 'CASE DATA'!E201="716.8(6)", 'CASE DATA'!E201="716.10(2)(a)", 'CASE DATA'!E201="716.10(2)(b)", 'CASE DATA'!E201="716.10(2)(c)", 'CASE DATA'!E201="716.10(2)(d)", 'CASE DATA'!E201="716.12", 'CASE DATA'!E201="719.1(1)(f)", 'CASE DATA'!E201="719.1(2)(e)", 'CASE DATA'!E201="719.1(2)(f)", 'CASE DATA'!E201="719.1(2)(g)", 'CASE DATA'!E201="719.4(1)", 'CASE DATA'!E201="719.4(4)", 'CASE DATA'!E201="719.5(1)", 'CASE DATA'!E201="719.5(2)", 'CASE DATA'!E201="719.6(1)", 'CASE DATA'!E201="719.6(2)", 'CASE DATA'!E201="719.7(4)(a)", 'CASE DATA'!E201="719.7(4)(b)", 'CASE DATA'!E201="719.7A(3)", 'CASE DATA'!E201="719.9", 'CASE DATA'!E201="719.8", 'CASE DATA'!E201="720.2", 'CASE DATA'!E201="720.3", 'CASE DATA'!E201="721.1", 'CASE DATA'!E201="722.1", 'CASE DATA'!E201="", 'CASE DATA'!E201="722.2", 'CASE DATA'!E201="722.10", 'CASE DATA'!E201="723(5)(3)(c)", 'CASE DATA'!E201="723A.2", 'CASE DATA'!E201="723A.3(1)", 'CASE DATA'!E201="723A.3(2)", 'CASE DATA'!E201="724.1B", 'CASE DATA'!E201="724.1C", 'CASE DATA'!E201="724.3", 'CASE DATA'!E201="724.4B", 'CASE DATA'!E201="724.10", 'CASE DATA'!E201="724.16(2)", 'CASE DATA'!E201="724.16A(1)(a)", 'CASE DATA'!E201="724.16A(1)(b)", 'CASE DATA'!E201="724.17", 'CASE DATA'!E201="724.21", 'CASE DATA'!E201="724.26(1)", 'CASE DATA'!E201="922(g)(8)", 'CASE DATA'!E201="724.29A(2)", 'CASE DATA'!E201="724.29A(3)", 'CASE DATA'!E201="724.30(1)", 'CASE DATA'!E201="724.30(2)", 'CASE DATA'!E201="725.1(2)(b)", 'CASE DATA'!E201="725.2(1)", 'CASE DATA'!E201="725.2(2)", 'CASE DATA'!E201="725.3(2)", 'CASE DATA'!E201="725.3(1)", 'CASE DATA'!E201="725.7(2)(a)(3)", 'CASE DATA'!E201="725.7(2)(a)(4)", 'CASE DATA'!E201="725.7(2)(b)(2)", 'CASE DATA'!E201="725.7(2)(b(3)", 'CASE DATA'!E201="726.7(2)(c)(1)", 'CASE DATA'!E201="726.7(2)(c)(2)", 'CASE DATA'!E201="725.7(2)(d)", 'CASE DATA'!E201="726.2", 'CASE DATA'!E201="726.3", 'CASE DATA'!E201="726.5", 'CASE DATA'!E201="726.6(4)", 'CASE DATA'!E201="726.6(5)", 'CASE DATA'!E201="726.6(6)", 'CASE DATA'!E201="726.6A", 'CASE DATA'!E201="726.7(2)", 'CASE DATA'!E201="726.8(2)", 'CASE DATA'!E201="728.12(1)", 'CASE DATA'!E201="728.12(2)"),"felony","eligible"),"N/A")</f>
        <v>N/A</v>
      </c>
      <c r="M200" s="185" t="str">
        <f>IF(L200="eligible",IF(OR('CASE DATA'!E201="123.46",'CASE DATA'!E201="123.47",'CASE DATA'!E201="235B.20",'CASE DATA'!E201="321.218",'CASE DATA'!E201="321A.32",'CASE DATA'!E201="321J.21",'CASE DATA'!E201="321J.2",'CASE DATA'!E201="707.5",'CASE DATA'!E201="708.2(3)",'CASE DATA'!E201="708.2A",'CASE DATA'!E201="708.7",'CASE DATA'!E201="708.11",'CASE DATA'!E201="708.12",'CASE DATA'!E201="716.8(3)",'CASE DATA'!E201="716.8(4)", LEFT('CASE DATA'!E201,4)="717C", LEFT('CASE DATA'!E201, 3)="719", LEFT('CASE DATA'!E201,3)="720", 'CASE DATA'!E201="721.2", 'CASE DATA'!E201="721.10", 'CASE DATA'!E201="723.1", LEFT('CASE DATA'!E201,3)="724", LEFT('CASE DATA'!E201,3)="726", LEFT('CASE DATA'!E201,3)="728", LEFT('CASE DATA'!E201,4)="901A"),"ineligible misd", "eligible"),"N/A")</f>
        <v>N/A</v>
      </c>
      <c r="N200" s="185" t="str">
        <f>IF(L200="eligible",IF(COUNTIF('CASE DATA'!$C$4:$C$200, "")-COUNTIF('CASE DATA'!$A$4:$A$200, "")&gt;0, "YES","NO"),"N/A")</f>
        <v>N/A</v>
      </c>
      <c r="O200" s="185" t="str">
        <f xml:space="preserve"> IF(M200="eligible",'CASE DATA'!K201,"N/A")</f>
        <v>N/A</v>
      </c>
      <c r="P200" s="185" t="str">
        <f xml:space="preserve"> IF(M200="eligible",'CASE DATA'!I201+'CASE DATA'!J201+'CASE DATA'!L201+'CASE DATA'!M201+'CASE DATA'!N201+'CASE DATA'!O201+'CASE DATA'!M201+'CASE DATA'!Q201+'CASE DATA'!R201,"N/A")</f>
        <v>N/A</v>
      </c>
      <c r="Q200" s="11" t="str">
        <f>IF(M200="eligible",IF(C200+730.5&lt;'BASIC INFO'!$B$3, "YES", "NO"),"N/A")</f>
        <v>N/A</v>
      </c>
      <c r="R200" s="186" t="str">
        <f xml:space="preserve"> IF(OR('CASE DATA'!F201="DEF"), "YES", "NO")</f>
        <v>NO</v>
      </c>
      <c r="S200" s="162" t="str">
        <f>IF(R200="YES",'CASE DATA'!H201,"N/A")</f>
        <v>N/A</v>
      </c>
      <c r="T200" s="185" t="str">
        <f xml:space="preserve"> IF(R200="YES",'CASE DATA'!K201,"N/A")</f>
        <v>N/A</v>
      </c>
      <c r="U200" s="185" t="str">
        <f>IF(R200="YES",'CASE DATA'!I201+'CASE DATA'!J201+'CASE DATA'!L201+'CASE DATA'!M201+'CASE DATA'!N201+'CASE DATA'!O201+'CASE DATA'!P201+'CASE DATA'!Q201+'CASE DATA'!R201,"N/A")</f>
        <v>N/A</v>
      </c>
      <c r="V200" s="189" t="str">
        <f>IF(OR('CASE DATA'!E201="123.46",'CASE DATA'!E201="123.47"),"YES","NO")</f>
        <v>NO</v>
      </c>
      <c r="W200" s="189"/>
      <c r="X200" s="185" t="str">
        <f>IF(V200="YES",IF(C200+730.5&lt;'BASIC INFO'!$B$3, "YES","NO"), "N/A")</f>
        <v>N/A</v>
      </c>
      <c r="Y200" s="189" t="str">
        <f t="shared" si="3"/>
        <v>NO</v>
      </c>
      <c r="Z200" s="187" t="str">
        <f xml:space="preserve"> IF('BASIC INFO'!$B$6+6574.5&gt;C200, "YES", "NO")</f>
        <v>YES</v>
      </c>
    </row>
  </sheetData>
  <sortState xmlns:xlrd2="http://schemas.microsoft.com/office/spreadsheetml/2017/richdata2" ref="A3:X41">
    <sortCondition descending="1" ref="A3:A41"/>
  </sortState>
  <mergeCells count="9">
    <mergeCell ref="Y1:AA1"/>
    <mergeCell ref="A1:A2"/>
    <mergeCell ref="D1:G1"/>
    <mergeCell ref="H1:K1"/>
    <mergeCell ref="C1:C2"/>
    <mergeCell ref="B1:B2"/>
    <mergeCell ref="L1:Q1"/>
    <mergeCell ref="R1:U1"/>
    <mergeCell ref="V1:X1"/>
  </mergeCells>
  <conditionalFormatting sqref="H3:H100">
    <cfRule type="cellIs" dxfId="189" priority="473" operator="equal">
      <formula>"YES"</formula>
    </cfRule>
  </conditionalFormatting>
  <conditionalFormatting sqref="R3:R100">
    <cfRule type="cellIs" dxfId="188" priority="471" operator="equal">
      <formula>"YES"</formula>
    </cfRule>
  </conditionalFormatting>
  <conditionalFormatting sqref="R42:R100">
    <cfRule type="cellIs" dxfId="187" priority="468" operator="equal">
      <formula>"YES"</formula>
    </cfRule>
  </conditionalFormatting>
  <conditionalFormatting sqref="J3:J14">
    <cfRule type="cellIs" dxfId="186" priority="416" stopIfTrue="1" operator="equal">
      <formula>0</formula>
    </cfRule>
    <cfRule type="cellIs" dxfId="185" priority="417" stopIfTrue="1" operator="equal">
      <formula>"N/A"</formula>
    </cfRule>
    <cfRule type="cellIs" dxfId="184" priority="463" operator="greaterThan">
      <formula>0</formula>
    </cfRule>
  </conditionalFormatting>
  <conditionalFormatting sqref="H3:H100">
    <cfRule type="cellIs" dxfId="183" priority="461" operator="equal">
      <formula>"NO"</formula>
    </cfRule>
  </conditionalFormatting>
  <conditionalFormatting sqref="I3:I5 U3:U100">
    <cfRule type="cellIs" dxfId="182" priority="247" stopIfTrue="1" operator="equal">
      <formula>"N/A"</formula>
    </cfRule>
  </conditionalFormatting>
  <conditionalFormatting sqref="I4 U3:U100">
    <cfRule type="cellIs" dxfId="181" priority="455" stopIfTrue="1" operator="equal">
      <formula>0</formula>
    </cfRule>
    <cfRule type="cellIs" dxfId="180" priority="458" operator="greaterThan">
      <formula>0</formula>
    </cfRule>
  </conditionalFormatting>
  <conditionalFormatting sqref="T4:T100">
    <cfRule type="cellIs" dxfId="179" priority="409" stopIfTrue="1" operator="equal">
      <formula>"N/A"</formula>
    </cfRule>
  </conditionalFormatting>
  <conditionalFormatting sqref="T4:T100">
    <cfRule type="cellIs" dxfId="178" priority="408" stopIfTrue="1" operator="equal">
      <formula>0</formula>
    </cfRule>
    <cfRule type="cellIs" dxfId="177" priority="410" operator="greaterThan">
      <formula>0</formula>
    </cfRule>
  </conditionalFormatting>
  <conditionalFormatting sqref="R3:R100">
    <cfRule type="cellIs" dxfId="176" priority="404" operator="equal">
      <formula>"YES"</formula>
    </cfRule>
  </conditionalFormatting>
  <conditionalFormatting sqref="R3:R100">
    <cfRule type="cellIs" dxfId="175" priority="403" operator="equal">
      <formula>"NO"</formula>
    </cfRule>
  </conditionalFormatting>
  <conditionalFormatting sqref="T3">
    <cfRule type="cellIs" dxfId="174" priority="401" stopIfTrue="1" operator="equal">
      <formula>"N/A"</formula>
    </cfRule>
  </conditionalFormatting>
  <conditionalFormatting sqref="T3">
    <cfRule type="cellIs" dxfId="173" priority="400" stopIfTrue="1" operator="equal">
      <formula>0</formula>
    </cfRule>
    <cfRule type="cellIs" dxfId="172" priority="402" operator="greaterThan">
      <formula>0</formula>
    </cfRule>
  </conditionalFormatting>
  <conditionalFormatting sqref="K3">
    <cfRule type="cellIs" dxfId="171" priority="376" operator="equal">
      <formula>"YES"</formula>
    </cfRule>
    <cfRule type="cellIs" dxfId="170" priority="377" operator="equal">
      <formula>"NO"</formula>
    </cfRule>
    <cfRule type="cellIs" dxfId="169" priority="378" operator="equal">
      <formula>"N/A"</formula>
    </cfRule>
  </conditionalFormatting>
  <conditionalFormatting sqref="J16 J20:J100">
    <cfRule type="cellIs" dxfId="168" priority="343" stopIfTrue="1" operator="equal">
      <formula>0</formula>
    </cfRule>
    <cfRule type="cellIs" dxfId="167" priority="344" stopIfTrue="1" operator="equal">
      <formula>"N/A"</formula>
    </cfRule>
    <cfRule type="cellIs" dxfId="166" priority="350" operator="greaterThan">
      <formula>0</formula>
    </cfRule>
  </conditionalFormatting>
  <conditionalFormatting sqref="J15">
    <cfRule type="cellIs" dxfId="165" priority="299" stopIfTrue="1" operator="equal">
      <formula>0</formula>
    </cfRule>
    <cfRule type="cellIs" dxfId="164" priority="300" stopIfTrue="1" operator="equal">
      <formula>"N/A"</formula>
    </cfRule>
    <cfRule type="cellIs" dxfId="163" priority="301" operator="greaterThan">
      <formula>0</formula>
    </cfRule>
  </conditionalFormatting>
  <conditionalFormatting sqref="J17">
    <cfRule type="cellIs" dxfId="162" priority="290" stopIfTrue="1" operator="equal">
      <formula>0</formula>
    </cfRule>
    <cfRule type="cellIs" dxfId="161" priority="291" stopIfTrue="1" operator="equal">
      <formula>"N/A"</formula>
    </cfRule>
    <cfRule type="cellIs" dxfId="160" priority="292" operator="greaterThan">
      <formula>0</formula>
    </cfRule>
  </conditionalFormatting>
  <conditionalFormatting sqref="J19">
    <cfRule type="cellIs" dxfId="159" priority="287" stopIfTrue="1" operator="equal">
      <formula>0</formula>
    </cfRule>
    <cfRule type="cellIs" dxfId="158" priority="288" stopIfTrue="1" operator="equal">
      <formula>"N/A"</formula>
    </cfRule>
    <cfRule type="cellIs" dxfId="157" priority="289" operator="greaterThan">
      <formula>0</formula>
    </cfRule>
  </conditionalFormatting>
  <conditionalFormatting sqref="J18">
    <cfRule type="cellIs" dxfId="156" priority="284" stopIfTrue="1" operator="equal">
      <formula>0</formula>
    </cfRule>
    <cfRule type="cellIs" dxfId="155" priority="285" stopIfTrue="1" operator="equal">
      <formula>"N/A"</formula>
    </cfRule>
    <cfRule type="cellIs" dxfId="154" priority="286" operator="greaterThan">
      <formula>0</formula>
    </cfRule>
  </conditionalFormatting>
  <conditionalFormatting sqref="D3:E100">
    <cfRule type="cellIs" dxfId="153" priority="275" operator="equal">
      <formula>"NO"</formula>
    </cfRule>
    <cfRule type="cellIs" dxfId="152" priority="276" operator="equal">
      <formula>"YES"</formula>
    </cfRule>
  </conditionalFormatting>
  <conditionalFormatting sqref="G3:G100">
    <cfRule type="cellIs" dxfId="151" priority="270" operator="equal">
      <formula>"NOT YET 18"</formula>
    </cfRule>
    <cfRule type="cellIs" dxfId="150" priority="271" operator="equal">
      <formula>"NOT YET 2 YEARS"</formula>
    </cfRule>
    <cfRule type="cellIs" dxfId="149" priority="272" operator="equal">
      <formula>"N/A"</formula>
    </cfRule>
    <cfRule type="cellIs" dxfId="148" priority="273" operator="equal">
      <formula>"NO"</formula>
    </cfRule>
    <cfRule type="cellIs" dxfId="147" priority="274" operator="equal">
      <formula>"YES"</formula>
    </cfRule>
  </conditionalFormatting>
  <conditionalFormatting sqref="I3">
    <cfRule type="cellIs" dxfId="146" priority="268" operator="equal">
      <formula>0</formula>
    </cfRule>
    <cfRule type="cellIs" dxfId="145" priority="419" operator="greaterThan">
      <formula>0</formula>
    </cfRule>
  </conditionalFormatting>
  <conditionalFormatting sqref="I5">
    <cfRule type="cellIs" dxfId="144" priority="248" stopIfTrue="1" operator="equal">
      <formula>0</formula>
    </cfRule>
    <cfRule type="cellIs" dxfId="143" priority="267" stopIfTrue="1" operator="greaterThan">
      <formula>0</formula>
    </cfRule>
  </conditionalFormatting>
  <conditionalFormatting sqref="K5:K100">
    <cfRule type="cellIs" dxfId="142" priority="230" operator="equal">
      <formula>"YES"</formula>
    </cfRule>
    <cfRule type="cellIs" dxfId="141" priority="231" operator="equal">
      <formula>"NO"</formula>
    </cfRule>
    <cfRule type="cellIs" dxfId="140" priority="232" operator="equal">
      <formula>"N/A"</formula>
    </cfRule>
  </conditionalFormatting>
  <conditionalFormatting sqref="I6:I100">
    <cfRule type="cellIs" dxfId="139" priority="223" stopIfTrue="1" operator="equal">
      <formula>"N/A"</formula>
    </cfRule>
  </conditionalFormatting>
  <conditionalFormatting sqref="I6:I100">
    <cfRule type="cellIs" dxfId="138" priority="224" stopIfTrue="1" operator="equal">
      <formula>0</formula>
    </cfRule>
    <cfRule type="cellIs" dxfId="137" priority="225" stopIfTrue="1" operator="greaterThan">
      <formula>0</formula>
    </cfRule>
  </conditionalFormatting>
  <conditionalFormatting sqref="W3">
    <cfRule type="cellIs" dxfId="136" priority="217" operator="equal">
      <formula>"NO"</formula>
    </cfRule>
    <cfRule type="cellIs" dxfId="135" priority="218" operator="equal">
      <formula>"YES"</formula>
    </cfRule>
  </conditionalFormatting>
  <conditionalFormatting sqref="W4:W100">
    <cfRule type="cellIs" dxfId="134" priority="215" operator="equal">
      <formula>"NO"</formula>
    </cfRule>
    <cfRule type="cellIs" dxfId="133" priority="216" operator="equal">
      <formula>"YES"</formula>
    </cfRule>
  </conditionalFormatting>
  <conditionalFormatting sqref="S3">
    <cfRule type="cellIs" dxfId="132" priority="212" operator="equal">
      <formula>"NO"</formula>
    </cfRule>
    <cfRule type="cellIs" dxfId="131" priority="213" operator="equal">
      <formula>"YES"</formula>
    </cfRule>
    <cfRule type="cellIs" dxfId="130" priority="214" operator="equal">
      <formula>"N/A"</formula>
    </cfRule>
  </conditionalFormatting>
  <conditionalFormatting sqref="S5:S100">
    <cfRule type="cellIs" dxfId="129" priority="209" operator="equal">
      <formula>"NO"</formula>
    </cfRule>
    <cfRule type="cellIs" dxfId="128" priority="210" operator="equal">
      <formula>"YES"</formula>
    </cfRule>
    <cfRule type="cellIs" dxfId="127" priority="211" operator="equal">
      <formula>"N/A"</formula>
    </cfRule>
  </conditionalFormatting>
  <conditionalFormatting sqref="F4:F100">
    <cfRule type="cellIs" dxfId="126" priority="191" operator="equal">
      <formula>"N/A"</formula>
    </cfRule>
    <cfRule type="cellIs" dxfId="125" priority="192" operator="equal">
      <formula>"NO"</formula>
    </cfRule>
    <cfRule type="cellIs" dxfId="124" priority="193" operator="equal">
      <formula>"YES"</formula>
    </cfRule>
  </conditionalFormatting>
  <conditionalFormatting sqref="H7:H100">
    <cfRule type="cellIs" dxfId="123" priority="178" operator="equal">
      <formula>"YES"</formula>
    </cfRule>
  </conditionalFormatting>
  <conditionalFormatting sqref="H7:H100">
    <cfRule type="cellIs" dxfId="122" priority="177" operator="equal">
      <formula>"NO"</formula>
    </cfRule>
  </conditionalFormatting>
  <conditionalFormatting sqref="H4">
    <cfRule type="cellIs" dxfId="121" priority="176" operator="equal">
      <formula>"TRAFFIC"</formula>
    </cfRule>
  </conditionalFormatting>
  <conditionalFormatting sqref="H3">
    <cfRule type="cellIs" dxfId="120" priority="175" operator="equal">
      <formula>"TRAFFIC"</formula>
    </cfRule>
  </conditionalFormatting>
  <conditionalFormatting sqref="H5:H100">
    <cfRule type="cellIs" dxfId="119" priority="174" operator="equal">
      <formula>"TRAFFIC"</formula>
    </cfRule>
  </conditionalFormatting>
  <conditionalFormatting sqref="V3:V6">
    <cfRule type="cellIs" dxfId="118" priority="169" operator="equal">
      <formula>"YES"</formula>
    </cfRule>
  </conditionalFormatting>
  <conditionalFormatting sqref="S4">
    <cfRule type="cellIs" dxfId="117" priority="163" operator="equal">
      <formula>"NO"</formula>
    </cfRule>
    <cfRule type="cellIs" dxfId="116" priority="164" operator="equal">
      <formula>"YES"</formula>
    </cfRule>
    <cfRule type="cellIs" dxfId="115" priority="165" operator="equal">
      <formula>"N/A"</formula>
    </cfRule>
  </conditionalFormatting>
  <conditionalFormatting sqref="F3">
    <cfRule type="cellIs" dxfId="114" priority="160" operator="equal">
      <formula>"N/A"</formula>
    </cfRule>
    <cfRule type="cellIs" dxfId="113" priority="161" operator="equal">
      <formula>"NO"</formula>
    </cfRule>
    <cfRule type="cellIs" dxfId="112" priority="162" operator="equal">
      <formula>"YES"</formula>
    </cfRule>
  </conditionalFormatting>
  <conditionalFormatting sqref="H4">
    <cfRule type="cellIs" dxfId="111" priority="159" operator="equal">
      <formula>"TRAFFIC"</formula>
    </cfRule>
  </conditionalFormatting>
  <conditionalFormatting sqref="K4">
    <cfRule type="cellIs" dxfId="110" priority="156" operator="equal">
      <formula>"YES"</formula>
    </cfRule>
    <cfRule type="cellIs" dxfId="109" priority="157" operator="equal">
      <formula>"NO"</formula>
    </cfRule>
    <cfRule type="cellIs" dxfId="108" priority="158" operator="equal">
      <formula>"N/A"</formula>
    </cfRule>
  </conditionalFormatting>
  <conditionalFormatting sqref="H101:H200">
    <cfRule type="cellIs" dxfId="107" priority="143" operator="equal">
      <formula>"YES"</formula>
    </cfRule>
  </conditionalFormatting>
  <conditionalFormatting sqref="H101:H200">
    <cfRule type="cellIs" dxfId="106" priority="142" operator="equal">
      <formula>"NO"</formula>
    </cfRule>
  </conditionalFormatting>
  <conditionalFormatting sqref="J101:J200">
    <cfRule type="cellIs" dxfId="105" priority="139" stopIfTrue="1" operator="equal">
      <formula>0</formula>
    </cfRule>
    <cfRule type="cellIs" dxfId="104" priority="140" stopIfTrue="1" operator="equal">
      <formula>"N/A"</formula>
    </cfRule>
    <cfRule type="cellIs" dxfId="103" priority="141" operator="greaterThan">
      <formula>0</formula>
    </cfRule>
  </conditionalFormatting>
  <conditionalFormatting sqref="D101:E200">
    <cfRule type="cellIs" dxfId="102" priority="137" operator="equal">
      <formula>"NO"</formula>
    </cfRule>
    <cfRule type="cellIs" dxfId="101" priority="138" operator="equal">
      <formula>"YES"</formula>
    </cfRule>
  </conditionalFormatting>
  <conditionalFormatting sqref="G101:G200">
    <cfRule type="cellIs" dxfId="100" priority="132" operator="equal">
      <formula>"NOT YET 18"</formula>
    </cfRule>
    <cfRule type="cellIs" dxfId="99" priority="133" operator="equal">
      <formula>"NOT YET 2 YEARS"</formula>
    </cfRule>
    <cfRule type="cellIs" dxfId="98" priority="134" operator="equal">
      <formula>"N/A"</formula>
    </cfRule>
    <cfRule type="cellIs" dxfId="97" priority="135" operator="equal">
      <formula>"NO"</formula>
    </cfRule>
    <cfRule type="cellIs" dxfId="96" priority="136" operator="equal">
      <formula>"YES"</formula>
    </cfRule>
  </conditionalFormatting>
  <conditionalFormatting sqref="K101:K200">
    <cfRule type="cellIs" dxfId="95" priority="129" operator="equal">
      <formula>"YES"</formula>
    </cfRule>
    <cfRule type="cellIs" dxfId="94" priority="130" operator="equal">
      <formula>"NO"</formula>
    </cfRule>
    <cfRule type="cellIs" dxfId="93" priority="131" operator="equal">
      <formula>"N/A"</formula>
    </cfRule>
  </conditionalFormatting>
  <conditionalFormatting sqref="I101:I200">
    <cfRule type="cellIs" dxfId="92" priority="126" stopIfTrue="1" operator="equal">
      <formula>"N/A"</formula>
    </cfRule>
  </conditionalFormatting>
  <conditionalFormatting sqref="I101:I200">
    <cfRule type="cellIs" dxfId="91" priority="127" stopIfTrue="1" operator="equal">
      <formula>0</formula>
    </cfRule>
    <cfRule type="cellIs" dxfId="90" priority="128" stopIfTrue="1" operator="greaterThan">
      <formula>0</formula>
    </cfRule>
  </conditionalFormatting>
  <conditionalFormatting sqref="F101:F200">
    <cfRule type="cellIs" dxfId="89" priority="123" operator="equal">
      <formula>"N/A"</formula>
    </cfRule>
    <cfRule type="cellIs" dxfId="88" priority="124" operator="equal">
      <formula>"NO"</formula>
    </cfRule>
    <cfRule type="cellIs" dxfId="87" priority="125" operator="equal">
      <formula>"YES"</formula>
    </cfRule>
  </conditionalFormatting>
  <conditionalFormatting sqref="H101:H200">
    <cfRule type="cellIs" dxfId="86" priority="122" operator="equal">
      <formula>"YES"</formula>
    </cfRule>
  </conditionalFormatting>
  <conditionalFormatting sqref="H101:H200">
    <cfRule type="cellIs" dxfId="85" priority="121" operator="equal">
      <formula>"NO"</formula>
    </cfRule>
  </conditionalFormatting>
  <conditionalFormatting sqref="H101:H200">
    <cfRule type="cellIs" dxfId="84" priority="120" operator="equal">
      <formula>"TRAFFIC"</formula>
    </cfRule>
  </conditionalFormatting>
  <conditionalFormatting sqref="R101">
    <cfRule type="cellIs" dxfId="83" priority="119" operator="equal">
      <formula>"YES"</formula>
    </cfRule>
  </conditionalFormatting>
  <conditionalFormatting sqref="R101">
    <cfRule type="cellIs" dxfId="82" priority="118" operator="equal">
      <formula>"YES"</formula>
    </cfRule>
  </conditionalFormatting>
  <conditionalFormatting sqref="U101">
    <cfRule type="cellIs" dxfId="81" priority="110" stopIfTrue="1" operator="equal">
      <formula>"N/A"</formula>
    </cfRule>
  </conditionalFormatting>
  <conditionalFormatting sqref="U101">
    <cfRule type="cellIs" dxfId="80" priority="116" stopIfTrue="1" operator="equal">
      <formula>0</formula>
    </cfRule>
    <cfRule type="cellIs" dxfId="79" priority="117" operator="greaterThan">
      <formula>0</formula>
    </cfRule>
  </conditionalFormatting>
  <conditionalFormatting sqref="T101">
    <cfRule type="cellIs" dxfId="78" priority="114" stopIfTrue="1" operator="equal">
      <formula>"N/A"</formula>
    </cfRule>
  </conditionalFormatting>
  <conditionalFormatting sqref="T101">
    <cfRule type="cellIs" dxfId="77" priority="113" stopIfTrue="1" operator="equal">
      <formula>0</formula>
    </cfRule>
    <cfRule type="cellIs" dxfId="76" priority="115" operator="greaterThan">
      <formula>0</formula>
    </cfRule>
  </conditionalFormatting>
  <conditionalFormatting sqref="R101">
    <cfRule type="cellIs" dxfId="75" priority="112" operator="equal">
      <formula>"YES"</formula>
    </cfRule>
  </conditionalFormatting>
  <conditionalFormatting sqref="R101">
    <cfRule type="cellIs" dxfId="74" priority="111" operator="equal">
      <formula>"NO"</formula>
    </cfRule>
  </conditionalFormatting>
  <conditionalFormatting sqref="W101">
    <cfRule type="cellIs" dxfId="73" priority="108" operator="equal">
      <formula>"NO"</formula>
    </cfRule>
    <cfRule type="cellIs" dxfId="72" priority="109" operator="equal">
      <formula>"YES"</formula>
    </cfRule>
  </conditionalFormatting>
  <conditionalFormatting sqref="S101">
    <cfRule type="cellIs" dxfId="71" priority="105" operator="equal">
      <formula>"NO"</formula>
    </cfRule>
    <cfRule type="cellIs" dxfId="70" priority="106" operator="equal">
      <formula>"YES"</formula>
    </cfRule>
    <cfRule type="cellIs" dxfId="69" priority="107" operator="equal">
      <formula>"N/A"</formula>
    </cfRule>
  </conditionalFormatting>
  <conditionalFormatting sqref="R102:R200">
    <cfRule type="cellIs" dxfId="68" priority="102" operator="equal">
      <formula>"YES"</formula>
    </cfRule>
  </conditionalFormatting>
  <conditionalFormatting sqref="R102:R200">
    <cfRule type="cellIs" dxfId="67" priority="101" operator="equal">
      <formula>"YES"</formula>
    </cfRule>
  </conditionalFormatting>
  <conditionalFormatting sqref="U102:U200">
    <cfRule type="cellIs" dxfId="66" priority="93" stopIfTrue="1" operator="equal">
      <formula>"N/A"</formula>
    </cfRule>
  </conditionalFormatting>
  <conditionalFormatting sqref="U102:U200">
    <cfRule type="cellIs" dxfId="65" priority="99" stopIfTrue="1" operator="equal">
      <formula>0</formula>
    </cfRule>
    <cfRule type="cellIs" dxfId="64" priority="100" operator="greaterThan">
      <formula>0</formula>
    </cfRule>
  </conditionalFormatting>
  <conditionalFormatting sqref="T102:T200">
    <cfRule type="cellIs" dxfId="63" priority="97" stopIfTrue="1" operator="equal">
      <formula>"N/A"</formula>
    </cfRule>
  </conditionalFormatting>
  <conditionalFormatting sqref="T102:T200">
    <cfRule type="cellIs" dxfId="62" priority="96" stopIfTrue="1" operator="equal">
      <formula>0</formula>
    </cfRule>
    <cfRule type="cellIs" dxfId="61" priority="98" operator="greaterThan">
      <formula>0</formula>
    </cfRule>
  </conditionalFormatting>
  <conditionalFormatting sqref="R102:R200">
    <cfRule type="cellIs" dxfId="60" priority="95" operator="equal">
      <formula>"YES"</formula>
    </cfRule>
  </conditionalFormatting>
  <conditionalFormatting sqref="R102:R200">
    <cfRule type="cellIs" dxfId="59" priority="94" operator="equal">
      <formula>"NO"</formula>
    </cfRule>
  </conditionalFormatting>
  <conditionalFormatting sqref="W102:W200">
    <cfRule type="cellIs" dxfId="58" priority="91" operator="equal">
      <formula>"NO"</formula>
    </cfRule>
    <cfRule type="cellIs" dxfId="57" priority="92" operator="equal">
      <formula>"YES"</formula>
    </cfRule>
  </conditionalFormatting>
  <conditionalFormatting sqref="S102:S200">
    <cfRule type="cellIs" dxfId="56" priority="88" operator="equal">
      <formula>"NO"</formula>
    </cfRule>
    <cfRule type="cellIs" dxfId="55" priority="89" operator="equal">
      <formula>"YES"</formula>
    </cfRule>
    <cfRule type="cellIs" dxfId="54" priority="90" operator="equal">
      <formula>"N/A"</formula>
    </cfRule>
  </conditionalFormatting>
  <conditionalFormatting sqref="M3">
    <cfRule type="cellIs" dxfId="53" priority="78" operator="equal">
      <formula>"eligible"</formula>
    </cfRule>
    <cfRule type="cellIs" dxfId="52" priority="77" operator="equal">
      <formula>"ineligible misd"</formula>
    </cfRule>
    <cfRule type="cellIs" dxfId="51" priority="76" operator="equal">
      <formula>"N/A"</formula>
    </cfRule>
  </conditionalFormatting>
  <conditionalFormatting sqref="M4:M200">
    <cfRule type="cellIs" dxfId="50" priority="73" operator="equal">
      <formula>"N/A"</formula>
    </cfRule>
    <cfRule type="cellIs" dxfId="49" priority="74" operator="equal">
      <formula>"ineligible misd"</formula>
    </cfRule>
    <cfRule type="cellIs" dxfId="48" priority="75" operator="equal">
      <formula>"eligible"</formula>
    </cfRule>
  </conditionalFormatting>
  <conditionalFormatting sqref="N3">
    <cfRule type="cellIs" dxfId="47" priority="70" operator="equal">
      <formula>"N/A"</formula>
    </cfRule>
    <cfRule type="cellIs" dxfId="46" priority="71" operator="equal">
      <formula>"YES"</formula>
    </cfRule>
    <cfRule type="cellIs" dxfId="45" priority="72" operator="equal">
      <formula>"NO"</formula>
    </cfRule>
  </conditionalFormatting>
  <conditionalFormatting sqref="N4:N200">
    <cfRule type="cellIs" dxfId="44" priority="67" operator="equal">
      <formula>"N/A"</formula>
    </cfRule>
    <cfRule type="cellIs" dxfId="43" priority="68" operator="equal">
      <formula>"YES"</formula>
    </cfRule>
    <cfRule type="cellIs" dxfId="42" priority="69" operator="equal">
      <formula>"NO"</formula>
    </cfRule>
  </conditionalFormatting>
  <conditionalFormatting sqref="Q3">
    <cfRule type="cellIs" dxfId="41" priority="66" operator="equal">
      <formula>"YES"</formula>
    </cfRule>
    <cfRule type="cellIs" dxfId="40" priority="65" operator="equal">
      <formula>"NO"</formula>
    </cfRule>
    <cfRule type="cellIs" dxfId="39" priority="64" operator="equal">
      <formula>"N/A"</formula>
    </cfRule>
  </conditionalFormatting>
  <conditionalFormatting sqref="Q4:Q200">
    <cfRule type="cellIs" dxfId="38" priority="61" operator="equal">
      <formula>"N/A"</formula>
    </cfRule>
    <cfRule type="cellIs" dxfId="37" priority="62" operator="equal">
      <formula>"NO"</formula>
    </cfRule>
    <cfRule type="cellIs" dxfId="36" priority="63" operator="equal">
      <formula>"YES"</formula>
    </cfRule>
  </conditionalFormatting>
  <conditionalFormatting sqref="L3">
    <cfRule type="cellIs" dxfId="35" priority="51" operator="equal">
      <formula>"N/A"</formula>
    </cfRule>
    <cfRule type="cellIs" dxfId="34" priority="52" stopIfTrue="1" operator="equal">
      <formula>"felony"</formula>
    </cfRule>
    <cfRule type="cellIs" dxfId="33" priority="53" operator="equal">
      <formula>"eligible"</formula>
    </cfRule>
  </conditionalFormatting>
  <conditionalFormatting sqref="O5:O200">
    <cfRule type="cellIs" dxfId="32" priority="37" operator="equal">
      <formula>"N/A"</formula>
    </cfRule>
    <cfRule type="cellIs" dxfId="31" priority="38" operator="greaterThan">
      <formula>0</formula>
    </cfRule>
    <cfRule type="cellIs" dxfId="30" priority="36" stopIfTrue="1" operator="equal">
      <formula>0</formula>
    </cfRule>
  </conditionalFormatting>
  <conditionalFormatting sqref="O3">
    <cfRule type="cellIs" dxfId="29" priority="33" stopIfTrue="1" operator="equal">
      <formula>0</formula>
    </cfRule>
    <cfRule type="cellIs" dxfId="28" priority="34" operator="equal">
      <formula>"N/A"</formula>
    </cfRule>
    <cfRule type="cellIs" dxfId="27" priority="35" operator="greaterThan">
      <formula>0</formula>
    </cfRule>
  </conditionalFormatting>
  <conditionalFormatting sqref="O4">
    <cfRule type="cellIs" dxfId="26" priority="30" stopIfTrue="1" operator="equal">
      <formula>0</formula>
    </cfRule>
    <cfRule type="cellIs" dxfId="25" priority="31" operator="equal">
      <formula>"N/A"</formula>
    </cfRule>
    <cfRule type="cellIs" dxfId="24" priority="32" operator="greaterThan">
      <formula>0</formula>
    </cfRule>
  </conditionalFormatting>
  <conditionalFormatting sqref="P3">
    <cfRule type="cellIs" dxfId="23" priority="27" stopIfTrue="1" operator="equal">
      <formula>0</formula>
    </cfRule>
    <cfRule type="cellIs" dxfId="22" priority="28" operator="equal">
      <formula>"N/A"</formula>
    </cfRule>
    <cfRule type="cellIs" dxfId="21" priority="29" operator="greaterThan">
      <formula>0</formula>
    </cfRule>
  </conditionalFormatting>
  <conditionalFormatting sqref="P4:P200">
    <cfRule type="cellIs" dxfId="20" priority="24" stopIfTrue="1" operator="equal">
      <formula>0</formula>
    </cfRule>
    <cfRule type="cellIs" dxfId="19" priority="25" operator="equal">
      <formula>"N/A"</formula>
    </cfRule>
    <cfRule type="cellIs" dxfId="18" priority="26" operator="greaterThan">
      <formula>0</formula>
    </cfRule>
  </conditionalFormatting>
  <conditionalFormatting sqref="X3:X200">
    <cfRule type="cellIs" dxfId="17" priority="23" operator="equal">
      <formula>"N/A"</formula>
    </cfRule>
    <cfRule type="cellIs" dxfId="16" priority="21" operator="equal">
      <formula>"YES"</formula>
    </cfRule>
    <cfRule type="cellIs" dxfId="15" priority="20" operator="equal">
      <formula>"NO"</formula>
    </cfRule>
  </conditionalFormatting>
  <conditionalFormatting sqref="V6">
    <cfRule type="cellIs" dxfId="14" priority="17" operator="equal">
      <formula>"NO"</formula>
    </cfRule>
  </conditionalFormatting>
  <conditionalFormatting sqref="V5">
    <cfRule type="cellIs" dxfId="13" priority="14" operator="equal">
      <formula>"NO"</formula>
    </cfRule>
  </conditionalFormatting>
  <conditionalFormatting sqref="V4">
    <cfRule type="cellIs" dxfId="12" priority="13" operator="equal">
      <formula>"NO"</formula>
    </cfRule>
  </conditionalFormatting>
  <conditionalFormatting sqref="V3">
    <cfRule type="cellIs" dxfId="11" priority="12" operator="equal">
      <formula>"NO"</formula>
    </cfRule>
  </conditionalFormatting>
  <conditionalFormatting sqref="V7:V200">
    <cfRule type="cellIs" dxfId="10" priority="11" operator="equal">
      <formula>"YES"</formula>
    </cfRule>
  </conditionalFormatting>
  <conditionalFormatting sqref="V7:V200">
    <cfRule type="cellIs" dxfId="9" priority="10" operator="equal">
      <formula>"NO"</formula>
    </cfRule>
  </conditionalFormatting>
  <conditionalFormatting sqref="L4">
    <cfRule type="cellIs" dxfId="8" priority="7" operator="equal">
      <formula>"N/A"</formula>
    </cfRule>
    <cfRule type="cellIs" dxfId="7" priority="8" stopIfTrue="1" operator="equal">
      <formula>"felony"</formula>
    </cfRule>
    <cfRule type="cellIs" dxfId="6" priority="9" operator="equal">
      <formula>"eligible"</formula>
    </cfRule>
  </conditionalFormatting>
  <conditionalFormatting sqref="L5">
    <cfRule type="cellIs" dxfId="5" priority="4" operator="equal">
      <formula>"N/A"</formula>
    </cfRule>
    <cfRule type="cellIs" dxfId="4" priority="5" stopIfTrue="1" operator="equal">
      <formula>"felony"</formula>
    </cfRule>
    <cfRule type="cellIs" dxfId="3" priority="6" operator="equal">
      <formula>"eligible"</formula>
    </cfRule>
  </conditionalFormatting>
  <conditionalFormatting sqref="L6:L200">
    <cfRule type="cellIs" dxfId="2" priority="1" operator="equal">
      <formula>"N/A"</formula>
    </cfRule>
    <cfRule type="cellIs" dxfId="1" priority="2" stopIfTrue="1" operator="equal">
      <formula>"felony"</formula>
    </cfRule>
    <cfRule type="cellIs" dxfId="0" priority="3" operator="equal">
      <formula>"eligible"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01"/>
  <sheetViews>
    <sheetView workbookViewId="0">
      <pane ySplit="1" topLeftCell="A2" activePane="bottomLeft" state="frozen"/>
      <selection pane="bottomLeft" activeCell="B7" sqref="B7"/>
    </sheetView>
  </sheetViews>
  <sheetFormatPr defaultRowHeight="15" x14ac:dyDescent="0.25"/>
  <cols>
    <col min="1" max="5" width="20.7109375" customWidth="1"/>
    <col min="6" max="6" width="14.7109375" customWidth="1"/>
  </cols>
  <sheetData>
    <row r="1" spans="1:6" x14ac:dyDescent="0.25">
      <c r="A1" s="224" t="s">
        <v>9</v>
      </c>
      <c r="B1" s="249"/>
      <c r="C1" s="18">
        <f>SUM(C4:C100)</f>
        <v>0</v>
      </c>
      <c r="D1" s="19">
        <f>SUM(D4:D100)</f>
        <v>0</v>
      </c>
      <c r="E1" s="20">
        <f>SUM(E4:E100)</f>
        <v>0</v>
      </c>
      <c r="F1" s="150">
        <f xml:space="preserve"> SUM(C1:E1)</f>
        <v>0</v>
      </c>
    </row>
    <row r="2" spans="1:6" x14ac:dyDescent="0.25">
      <c r="A2" s="248" t="s">
        <v>11</v>
      </c>
      <c r="B2" s="223" t="s">
        <v>55</v>
      </c>
      <c r="C2" s="224"/>
      <c r="D2" s="224"/>
      <c r="E2" s="224"/>
      <c r="F2" s="187"/>
    </row>
    <row r="3" spans="1:6" x14ac:dyDescent="0.25">
      <c r="A3" s="248"/>
      <c r="B3" s="143" t="s">
        <v>14</v>
      </c>
      <c r="C3" s="15" t="s">
        <v>29</v>
      </c>
      <c r="D3" s="16" t="s">
        <v>56</v>
      </c>
      <c r="E3" s="17" t="s">
        <v>57</v>
      </c>
      <c r="F3" s="150"/>
    </row>
    <row r="4" spans="1:6" x14ac:dyDescent="0.25">
      <c r="A4" s="162">
        <f xml:space="preserve"> 'CASE DATA'!A4</f>
        <v>0</v>
      </c>
      <c r="B4" s="185">
        <f xml:space="preserve"> 'CASE DATA'!F4</f>
        <v>0</v>
      </c>
      <c r="C4" s="166">
        <f xml:space="preserve"> IF(OR(B4="DISM", B4="JWV", B4="JUV", B4="CIV"), SUM('CASE DATA'!I4:R4), 'CASE DATA'!K4+'CASE DATA'!O4)</f>
        <v>0</v>
      </c>
      <c r="D4" s="167">
        <f xml:space="preserve"> IF(OR(B4="DISM", B4="JWV", B4="JUV", B4="CIV"), 0, 'CASE DATA'!J4+'CASE DATA'!L4+'CASE DATA'!M4+'CASE DATA'!P4+'CASE DATA'!Q4+'CASE DATA'!R4)</f>
        <v>0</v>
      </c>
      <c r="E4" s="168">
        <f xml:space="preserve"> IF(OR(B4="DISM", B4="JWV", B4="JUV", B4="CIV"), 0, 'CASE DATA'!I4+'CASE DATA'!N4)</f>
        <v>0</v>
      </c>
      <c r="F4" s="187"/>
    </row>
    <row r="5" spans="1:6" x14ac:dyDescent="0.25">
      <c r="A5" s="162">
        <f xml:space="preserve"> 'CASE DATA'!A5</f>
        <v>0</v>
      </c>
      <c r="B5" s="185">
        <f xml:space="preserve"> 'CASE DATA'!F5</f>
        <v>0</v>
      </c>
      <c r="C5" s="166">
        <f xml:space="preserve"> IF(OR(B5="DISM", B5="JWV", B5="JUV", B5="CIV"), SUM('CASE DATA'!I5:R5), 'CASE DATA'!K5+'CASE DATA'!O5)</f>
        <v>0</v>
      </c>
      <c r="D5" s="167">
        <f xml:space="preserve"> IF(OR(B5="DISM", B5="JWV", B5="JUV", B5="CIV"), 0, 'CASE DATA'!J5+'CASE DATA'!L5+'CASE DATA'!M5+'CASE DATA'!P5+'CASE DATA'!Q5+'CASE DATA'!R5)</f>
        <v>0</v>
      </c>
      <c r="E5" s="168">
        <f xml:space="preserve"> IF(OR(B5="DISM", B5="JWV", B5="JUV", B5="CIV"), 0, 'CASE DATA'!I5+'CASE DATA'!N5)</f>
        <v>0</v>
      </c>
      <c r="F5" s="187"/>
    </row>
    <row r="6" spans="1:6" x14ac:dyDescent="0.25">
      <c r="A6" s="162">
        <f xml:space="preserve"> 'CASE DATA'!A6</f>
        <v>0</v>
      </c>
      <c r="B6" s="185">
        <f xml:space="preserve"> 'CASE DATA'!F6</f>
        <v>0</v>
      </c>
      <c r="C6" s="166">
        <f xml:space="preserve"> IF(OR(B6="DISM", B6="JWV", B6="JUV", B6="CIV"), SUM('CASE DATA'!I6:R6), 'CASE DATA'!K6+'CASE DATA'!O6)</f>
        <v>0</v>
      </c>
      <c r="D6" s="167">
        <f xml:space="preserve"> IF(OR(B6="DISM", B6="JWV", B6="JUV", B6="CIV"), 0, 'CASE DATA'!J6+'CASE DATA'!L6+'CASE DATA'!M6+'CASE DATA'!P6+'CASE DATA'!Q6+'CASE DATA'!R6)</f>
        <v>0</v>
      </c>
      <c r="E6" s="168">
        <f xml:space="preserve"> IF(OR(B6="DISM", B6="JWV", B6="JUV", B6="CIV"), 0, 'CASE DATA'!I6+'CASE DATA'!N6)</f>
        <v>0</v>
      </c>
      <c r="F6" s="187"/>
    </row>
    <row r="7" spans="1:6" x14ac:dyDescent="0.25">
      <c r="A7" s="162">
        <f xml:space="preserve"> 'CASE DATA'!A7</f>
        <v>0</v>
      </c>
      <c r="B7" s="185">
        <f xml:space="preserve"> 'CASE DATA'!F7</f>
        <v>0</v>
      </c>
      <c r="C7" s="166">
        <f xml:space="preserve"> IF(OR(B7="DISM", B7="JWV", B7="JUV", B7="CIV"), SUM('CASE DATA'!I7:R7), 'CASE DATA'!K7+'CASE DATA'!O7)</f>
        <v>0</v>
      </c>
      <c r="D7" s="167">
        <f xml:space="preserve"> IF(OR(B7="DISM", B7="JWV", B7="JUV", B7="CIV"), 0, 'CASE DATA'!J8+'CASE DATA'!L7+'CASE DATA'!M7+'CASE DATA'!P7+'CASE DATA'!Q7+'CASE DATA'!R7)</f>
        <v>0</v>
      </c>
      <c r="E7" s="168">
        <f xml:space="preserve"> IF(OR(B7="DISM", B7="JWV", B7="JUV", B7="CIV"), 0, 'CASE DATA'!I7+'CASE DATA'!N7)</f>
        <v>0</v>
      </c>
      <c r="F7" s="187"/>
    </row>
    <row r="8" spans="1:6" x14ac:dyDescent="0.25">
      <c r="A8" s="162">
        <f xml:space="preserve"> 'CASE DATA'!A8</f>
        <v>0</v>
      </c>
      <c r="B8" s="185">
        <f xml:space="preserve"> 'CASE DATA'!F8</f>
        <v>0</v>
      </c>
      <c r="C8" s="166">
        <f xml:space="preserve"> IF(OR(B8="DISM", B8="JWV", B8="JUV", B8="CIV"), SUM('CASE DATA'!I8:R8), 'CASE DATA'!K8+'CASE DATA'!O8)</f>
        <v>0</v>
      </c>
      <c r="D8" s="167">
        <f xml:space="preserve"> IF(OR(B8="DISM", B8="JWV", B8="JUV", B8="CIV"), 0, 'CASE DATA'!J8+'CASE DATA'!L8+'CASE DATA'!M8+'CASE DATA'!P8+'CASE DATA'!Q8+'CASE DATA'!R8)</f>
        <v>0</v>
      </c>
      <c r="E8" s="168">
        <f xml:space="preserve"> IF(OR(B8="DISM", B8="JWV", B8="JUV", B8="CIV"), 0, 'CASE DATA'!I8+'CASE DATA'!N8)</f>
        <v>0</v>
      </c>
      <c r="F8" s="187"/>
    </row>
    <row r="9" spans="1:6" x14ac:dyDescent="0.25">
      <c r="A9" s="162">
        <f xml:space="preserve"> 'CASE DATA'!A9</f>
        <v>0</v>
      </c>
      <c r="B9" s="185">
        <f xml:space="preserve"> 'CASE DATA'!F9</f>
        <v>0</v>
      </c>
      <c r="C9" s="166">
        <f xml:space="preserve"> IF(OR(B9="DISM", B9="JWV", B9="JUV", B9="CIV"), SUM('CASE DATA'!I9:R9), 'CASE DATA'!K9+'CASE DATA'!O9)</f>
        <v>0</v>
      </c>
      <c r="D9" s="167">
        <f xml:space="preserve"> IF(OR(B9="DISM", B9="JWV", B9="JUV", B9="CIV"), 0, 'CASE DATA'!J9+'CASE DATA'!L9+'CASE DATA'!M9+'CASE DATA'!P9+'CASE DATA'!Q9+'CASE DATA'!R9)</f>
        <v>0</v>
      </c>
      <c r="E9" s="168">
        <f xml:space="preserve"> IF(OR(B9="DISM", B9="JWV", B9="JUV", B9="CIV"), 0, 'CASE DATA'!I9+'CASE DATA'!N9)</f>
        <v>0</v>
      </c>
      <c r="F9" s="187"/>
    </row>
    <row r="10" spans="1:6" x14ac:dyDescent="0.25">
      <c r="A10" s="162">
        <f xml:space="preserve"> 'CASE DATA'!A10</f>
        <v>0</v>
      </c>
      <c r="B10" s="185">
        <f xml:space="preserve"> 'CASE DATA'!F10</f>
        <v>0</v>
      </c>
      <c r="C10" s="166">
        <f xml:space="preserve"> IF(OR(B10="DISM", B10="JWV", B10="JUV", B10="CIV"), SUM('CASE DATA'!I10:R10), 'CASE DATA'!K10+'CASE DATA'!O10)</f>
        <v>0</v>
      </c>
      <c r="D10" s="167">
        <f xml:space="preserve"> IF(OR(B10="DISM", B10="JWV", B10="JUV", B10="CIV"), 0, 'CASE DATA'!J10+'CASE DATA'!L10+'CASE DATA'!M10+'CASE DATA'!P10+'CASE DATA'!Q10+'CASE DATA'!R10)</f>
        <v>0</v>
      </c>
      <c r="E10" s="168">
        <f xml:space="preserve"> IF(OR(B10="DISM", B10="JWV", B10="JUV", B10="CIV"), 0, 'CASE DATA'!I10+'CASE DATA'!N10)</f>
        <v>0</v>
      </c>
      <c r="F10" s="187"/>
    </row>
    <row r="11" spans="1:6" x14ac:dyDescent="0.25">
      <c r="A11" s="162">
        <f xml:space="preserve"> 'CASE DATA'!A11</f>
        <v>0</v>
      </c>
      <c r="B11" s="185">
        <f xml:space="preserve"> 'CASE DATA'!F11</f>
        <v>0</v>
      </c>
      <c r="C11" s="166">
        <f xml:space="preserve"> IF(OR(B11="DISM", B11="JWV", B11="JUV", B11="CIV"), SUM('CASE DATA'!I11:R11), 'CASE DATA'!K11+'CASE DATA'!O11)</f>
        <v>0</v>
      </c>
      <c r="D11" s="167">
        <f xml:space="preserve"> IF(OR(B11="DISM", B11="JWV", B11="JUV", B11="CIV"), 0, 'CASE DATA'!J11+'CASE DATA'!L11+'CASE DATA'!M11+'CASE DATA'!P11+'CASE DATA'!Q11+'CASE DATA'!R11)</f>
        <v>0</v>
      </c>
      <c r="E11" s="168">
        <f xml:space="preserve"> IF(OR(B11="DISM", B11="JWV", B11="JUV", B11="CIV"), 0, 'CASE DATA'!I11+'CASE DATA'!N11)</f>
        <v>0</v>
      </c>
      <c r="F11" s="187"/>
    </row>
    <row r="12" spans="1:6" x14ac:dyDescent="0.25">
      <c r="A12" s="162">
        <f xml:space="preserve"> 'CASE DATA'!A12</f>
        <v>0</v>
      </c>
      <c r="B12" s="185">
        <f xml:space="preserve"> 'CASE DATA'!F12</f>
        <v>0</v>
      </c>
      <c r="C12" s="166">
        <f xml:space="preserve"> IF(OR(B12="DISM", B12="JWV", B12="JUV", B12="CIV"), SUM('CASE DATA'!I12:R12), 'CASE DATA'!K12+'CASE DATA'!O12)</f>
        <v>0</v>
      </c>
      <c r="D12" s="167">
        <f xml:space="preserve"> IF(OR(B12="DISM", B12="JWV", B12="JUV", B12="CIV"), 0, 'CASE DATA'!J12+'CASE DATA'!L12+'CASE DATA'!M12+'CASE DATA'!P12+'CASE DATA'!Q12+'CASE DATA'!R12)</f>
        <v>0</v>
      </c>
      <c r="E12" s="168">
        <f xml:space="preserve"> IF(OR(B12="DISM", B12="JWV", B12="JUV", B12="CIV"), 0, 'CASE DATA'!I12+'CASE DATA'!N12)</f>
        <v>0</v>
      </c>
      <c r="F12" s="187"/>
    </row>
    <row r="13" spans="1:6" x14ac:dyDescent="0.25">
      <c r="A13" s="162">
        <f xml:space="preserve"> 'CASE DATA'!A13</f>
        <v>0</v>
      </c>
      <c r="B13" s="185">
        <f xml:space="preserve"> 'CASE DATA'!F13</f>
        <v>0</v>
      </c>
      <c r="C13" s="166">
        <f xml:space="preserve"> IF(OR(B13="DISM", B13="JWV", B13="JUV", B13="CIV"), SUM('CASE DATA'!I13:R13), 'CASE DATA'!K13+'CASE DATA'!O13)</f>
        <v>0</v>
      </c>
      <c r="D13" s="167">
        <f xml:space="preserve"> IF(OR(B13="DISM", B13="JWV", B13="JUV", B13="CIV"), 0, 'CASE DATA'!J13+'CASE DATA'!L13+'CASE DATA'!M13+'CASE DATA'!P13+'CASE DATA'!Q13+'CASE DATA'!R13)</f>
        <v>0</v>
      </c>
      <c r="E13" s="168">
        <f xml:space="preserve"> IF(OR(B13="DISM", B13="JWV", B13="JUV", B13="CIV"), 0, 'CASE DATA'!I13+'CASE DATA'!N13)</f>
        <v>0</v>
      </c>
      <c r="F13" s="187"/>
    </row>
    <row r="14" spans="1:6" x14ac:dyDescent="0.25">
      <c r="A14" s="162">
        <f xml:space="preserve"> 'CASE DATA'!A14</f>
        <v>0</v>
      </c>
      <c r="B14" s="185">
        <f xml:space="preserve"> 'CASE DATA'!F14</f>
        <v>0</v>
      </c>
      <c r="C14" s="166">
        <f xml:space="preserve"> IF(OR(B14="DISM", B14="JWV", B14="JUV", B14="CIV"), SUM('CASE DATA'!I14:R14), 'CASE DATA'!K14+'CASE DATA'!O14)</f>
        <v>0</v>
      </c>
      <c r="D14" s="167">
        <f xml:space="preserve"> IF(OR(B14="DISM", B14="JWV", B14="JUV", B14="CIV"), 0, 'CASE DATA'!J14+'CASE DATA'!L14+'CASE DATA'!M14+'CASE DATA'!P14+'CASE DATA'!Q14+'CASE DATA'!R14)</f>
        <v>0</v>
      </c>
      <c r="E14" s="168">
        <f xml:space="preserve"> IF(OR(B14="DISM", B14="JWV", B14="JUV", B14="CIV"), 0, 'CASE DATA'!I14+'CASE DATA'!N14)</f>
        <v>0</v>
      </c>
      <c r="F14" s="187"/>
    </row>
    <row r="15" spans="1:6" x14ac:dyDescent="0.25">
      <c r="A15" s="162">
        <f xml:space="preserve"> 'CASE DATA'!A15</f>
        <v>0</v>
      </c>
      <c r="B15" s="185">
        <f xml:space="preserve"> 'CASE DATA'!F15</f>
        <v>0</v>
      </c>
      <c r="C15" s="166">
        <f xml:space="preserve"> IF(OR(B15="DISM", B15="JWV", B15="JUV", B15="CIV"), SUM('CASE DATA'!I15:R15), 'CASE DATA'!K15+'CASE DATA'!O15)</f>
        <v>0</v>
      </c>
      <c r="D15" s="167">
        <f xml:space="preserve"> IF(OR(B15="DISM", B15="JWV", B15="JUV", B15="CIV"), 0, 'CASE DATA'!J15+'CASE DATA'!L15+'CASE DATA'!M15+'CASE DATA'!P15+'CASE DATA'!Q15+'CASE DATA'!R15)</f>
        <v>0</v>
      </c>
      <c r="E15" s="168">
        <f xml:space="preserve"> IF(OR(B15="DISM", B15="JWV", B15="JUV", B15="CIV"), 0, 'CASE DATA'!I15+'CASE DATA'!N15)</f>
        <v>0</v>
      </c>
      <c r="F15" s="187"/>
    </row>
    <row r="16" spans="1:6" x14ac:dyDescent="0.25">
      <c r="A16" s="162">
        <f xml:space="preserve"> 'CASE DATA'!A16</f>
        <v>0</v>
      </c>
      <c r="B16" s="185">
        <f xml:space="preserve"> 'CASE DATA'!F16</f>
        <v>0</v>
      </c>
      <c r="C16" s="166">
        <f xml:space="preserve"> IF(OR(B16="DISM", B16="JWV", B16="JUV", B16="CIV"), SUM('CASE DATA'!I16:R16), 'CASE DATA'!K16+'CASE DATA'!O16)</f>
        <v>0</v>
      </c>
      <c r="D16" s="167">
        <f xml:space="preserve"> IF(OR(B16="DISM", B16="JWV", B16="JUV", B16="CIV"), 0, 'CASE DATA'!J16+'CASE DATA'!L16+'CASE DATA'!M16+'CASE DATA'!P16+'CASE DATA'!Q16+'CASE DATA'!R16)</f>
        <v>0</v>
      </c>
      <c r="E16" s="168">
        <f xml:space="preserve"> IF(OR(B16="DISM", B16="JWV", B16="JUV", B16="CIV"), 0, 'CASE DATA'!I16+'CASE DATA'!N16)</f>
        <v>0</v>
      </c>
      <c r="F16" s="187"/>
    </row>
    <row r="17" spans="1:6" x14ac:dyDescent="0.25">
      <c r="A17" s="162">
        <f xml:space="preserve"> 'CASE DATA'!A17</f>
        <v>0</v>
      </c>
      <c r="B17" s="185">
        <f xml:space="preserve"> 'CASE DATA'!F17</f>
        <v>0</v>
      </c>
      <c r="C17" s="166">
        <f xml:space="preserve"> IF(OR(B17="DISM", B17="JWV", B17="JUV", B17="CIV"), SUM('CASE DATA'!I17:R17), 'CASE DATA'!K17+'CASE DATA'!O17)</f>
        <v>0</v>
      </c>
      <c r="D17" s="167">
        <f xml:space="preserve"> IF(OR(B17="DISM", B17="JWV", B17="JUV", B17="CIV"), 0, 'CASE DATA'!J17+'CASE DATA'!L17+'CASE DATA'!M17+'CASE DATA'!P17+'CASE DATA'!Q17+'CASE DATA'!R17)</f>
        <v>0</v>
      </c>
      <c r="E17" s="168">
        <f xml:space="preserve"> IF(OR(B17="DISM", B17="JWV", B17="JUV", B17="CIV"), 0, 'CASE DATA'!I17+'CASE DATA'!N17)</f>
        <v>0</v>
      </c>
      <c r="F17" s="187"/>
    </row>
    <row r="18" spans="1:6" x14ac:dyDescent="0.25">
      <c r="A18" s="162">
        <f xml:space="preserve"> 'CASE DATA'!A18</f>
        <v>0</v>
      </c>
      <c r="B18" s="185">
        <f xml:space="preserve"> 'CASE DATA'!F18</f>
        <v>0</v>
      </c>
      <c r="C18" s="166">
        <f xml:space="preserve"> IF(OR(B18="DISM", B18="JWV", B18="JUV", B18="CIV"), SUM('CASE DATA'!I18:R18), 'CASE DATA'!K18+'CASE DATA'!O18)</f>
        <v>0</v>
      </c>
      <c r="D18" s="167">
        <f xml:space="preserve"> IF(OR(B18="DISM", B18="JWV", B18="JUV", B18="CIV"), 0, 'CASE DATA'!J18+'CASE DATA'!L18+'CASE DATA'!M18+'CASE DATA'!P18+'CASE DATA'!Q18+'CASE DATA'!R18)</f>
        <v>0</v>
      </c>
      <c r="E18" s="168">
        <f xml:space="preserve"> IF(OR(B18="DISM", B18="JWV", B18="JUV", B18="CIV"), 0, 'CASE DATA'!I18+'CASE DATA'!N18)</f>
        <v>0</v>
      </c>
      <c r="F18" s="187"/>
    </row>
    <row r="19" spans="1:6" x14ac:dyDescent="0.25">
      <c r="A19" s="162">
        <f xml:space="preserve"> 'CASE DATA'!A19</f>
        <v>0</v>
      </c>
      <c r="B19" s="185">
        <f xml:space="preserve"> 'CASE DATA'!F19</f>
        <v>0</v>
      </c>
      <c r="C19" s="166">
        <f xml:space="preserve"> IF(OR(B19="DISM", B19="JWV", B19="JUV", B19="CIV"), SUM('CASE DATA'!I19:R19), 'CASE DATA'!K19+'CASE DATA'!O19)</f>
        <v>0</v>
      </c>
      <c r="D19" s="167">
        <f xml:space="preserve"> IF(OR(B19="DISM", B19="JWV", B19="JUV", B19="CIV"), 0, 'CASE DATA'!J19+'CASE DATA'!L19+'CASE DATA'!M19+'CASE DATA'!P19+'CASE DATA'!Q19+'CASE DATA'!R19)</f>
        <v>0</v>
      </c>
      <c r="E19" s="168">
        <f xml:space="preserve"> IF(OR(B19="DISM", B19="JWV", B19="JUV", B19="CIV"), 0, 'CASE DATA'!I19+'CASE DATA'!N19)</f>
        <v>0</v>
      </c>
      <c r="F19" s="187"/>
    </row>
    <row r="20" spans="1:6" x14ac:dyDescent="0.25">
      <c r="A20" s="162">
        <f xml:space="preserve"> 'CASE DATA'!A20</f>
        <v>0</v>
      </c>
      <c r="B20" s="185">
        <f xml:space="preserve"> 'CASE DATA'!F20</f>
        <v>0</v>
      </c>
      <c r="C20" s="166">
        <f xml:space="preserve"> IF(OR(B20="DISM", B20="JWV", B20="JUV", B20="CIV"), SUM('CASE DATA'!I20:R20), 'CASE DATA'!K20+'CASE DATA'!O20)</f>
        <v>0</v>
      </c>
      <c r="D20" s="167">
        <f xml:space="preserve"> IF(OR(B20="DISM", B20="JWV", B20="JUV", B20="CIV"), 0, 'CASE DATA'!J20+'CASE DATA'!L20+'CASE DATA'!M20+'CASE DATA'!P20+'CASE DATA'!Q20+'CASE DATA'!R20)</f>
        <v>0</v>
      </c>
      <c r="E20" s="168">
        <f xml:space="preserve"> IF(OR(B20="DISM", B20="JWV", B20="JUV", B20="CIV"), 0, 'CASE DATA'!I20+'CASE DATA'!N20)</f>
        <v>0</v>
      </c>
      <c r="F20" s="187"/>
    </row>
    <row r="21" spans="1:6" x14ac:dyDescent="0.25">
      <c r="A21" s="162">
        <f xml:space="preserve"> 'CASE DATA'!A21</f>
        <v>0</v>
      </c>
      <c r="B21" s="185">
        <f xml:space="preserve"> 'CASE DATA'!F21</f>
        <v>0</v>
      </c>
      <c r="C21" s="166">
        <f xml:space="preserve"> IF(OR(B21="DISM", B21="JWV", B21="JUV", B21="CIV"), SUM('CASE DATA'!I21:R21), 'CASE DATA'!K21+'CASE DATA'!O21)</f>
        <v>0</v>
      </c>
      <c r="D21" s="167">
        <f xml:space="preserve"> IF(OR(B21="DISM", B21="JWV", B21="JUV", B21="CIV"), 0, 'CASE DATA'!J21+'CASE DATA'!L21+'CASE DATA'!M21+'CASE DATA'!P21+'CASE DATA'!Q21+'CASE DATA'!R21)</f>
        <v>0</v>
      </c>
      <c r="E21" s="168">
        <f xml:space="preserve"> IF(OR(B21="DISM", B21="JWV", B21="JUV", B21="CIV"), 0, 'CASE DATA'!I21+'CASE DATA'!N21)</f>
        <v>0</v>
      </c>
      <c r="F21" s="187"/>
    </row>
    <row r="22" spans="1:6" x14ac:dyDescent="0.25">
      <c r="A22" s="162">
        <f xml:space="preserve"> 'CASE DATA'!A22</f>
        <v>0</v>
      </c>
      <c r="B22" s="185">
        <f xml:space="preserve"> 'CASE DATA'!F22</f>
        <v>0</v>
      </c>
      <c r="C22" s="166">
        <f xml:space="preserve"> IF(OR(B22="DISM", B22="JWV", B22="JUV", B22="CIV"), SUM('CASE DATA'!I22:R22), 'CASE DATA'!K22+'CASE DATA'!O22)</f>
        <v>0</v>
      </c>
      <c r="D22" s="167">
        <f xml:space="preserve"> IF(OR(B22="DISM", B22="JWV", B22="JUV", B22="CIV"), 0, 'CASE DATA'!J22+'CASE DATA'!L22+'CASE DATA'!M22+'CASE DATA'!P22+'CASE DATA'!Q22+'CASE DATA'!R22)</f>
        <v>0</v>
      </c>
      <c r="E22" s="168">
        <f xml:space="preserve"> IF(OR(B22="DISM", B22="JWV", B22="JUV", B22="CIV"), 0, 'CASE DATA'!I22+'CASE DATA'!N22)</f>
        <v>0</v>
      </c>
      <c r="F22" s="187"/>
    </row>
    <row r="23" spans="1:6" x14ac:dyDescent="0.25">
      <c r="A23" s="162">
        <f xml:space="preserve"> 'CASE DATA'!A23</f>
        <v>0</v>
      </c>
      <c r="B23" s="185">
        <f xml:space="preserve"> 'CASE DATA'!F23</f>
        <v>0</v>
      </c>
      <c r="C23" s="166">
        <f xml:space="preserve"> IF(OR(B23="DISM", B23="JWV", B23="JUV", B23="CIV"), SUM('CASE DATA'!I23:R23), 'CASE DATA'!K23+'CASE DATA'!O23)</f>
        <v>0</v>
      </c>
      <c r="D23" s="167">
        <f xml:space="preserve"> IF(OR(B23="DISM", B23="JWV", B23="JUV", B23="CIV"), 0, 'CASE DATA'!J23+'CASE DATA'!L23+'CASE DATA'!M23+'CASE DATA'!P23+'CASE DATA'!Q23+'CASE DATA'!R23)</f>
        <v>0</v>
      </c>
      <c r="E23" s="168">
        <f xml:space="preserve"> IF(OR(B23="DISM", B23="JWV", B23="JUV", B23="CIV"), 0, 'CASE DATA'!I23+'CASE DATA'!N23)</f>
        <v>0</v>
      </c>
      <c r="F23" s="187"/>
    </row>
    <row r="24" spans="1:6" x14ac:dyDescent="0.25">
      <c r="A24" s="162">
        <f xml:space="preserve"> 'CASE DATA'!A24</f>
        <v>0</v>
      </c>
      <c r="B24" s="185">
        <f xml:space="preserve"> 'CASE DATA'!F24</f>
        <v>0</v>
      </c>
      <c r="C24" s="166">
        <f xml:space="preserve"> IF(OR(B24="DISM", B24="JWV", B24="JUV", B24="CIV"), SUM('CASE DATA'!I24:R24), 'CASE DATA'!K24+'CASE DATA'!O24)</f>
        <v>0</v>
      </c>
      <c r="D24" s="167">
        <f xml:space="preserve"> IF(OR(B24="DISM", B24="JWV", B24="JUV", B24="CIV"), 0, 'CASE DATA'!J24+'CASE DATA'!L24+'CASE DATA'!M24+'CASE DATA'!P24+'CASE DATA'!Q24+'CASE DATA'!R24)</f>
        <v>0</v>
      </c>
      <c r="E24" s="168">
        <f xml:space="preserve"> IF(OR(B24="DISM", B24="JWV", B24="JUV", B24="CIV"), 0, 'CASE DATA'!I24+'CASE DATA'!N24)</f>
        <v>0</v>
      </c>
      <c r="F24" s="187"/>
    </row>
    <row r="25" spans="1:6" x14ac:dyDescent="0.25">
      <c r="A25" s="162">
        <f xml:space="preserve"> 'CASE DATA'!A25</f>
        <v>0</v>
      </c>
      <c r="B25" s="185">
        <f xml:space="preserve"> 'CASE DATA'!F25</f>
        <v>0</v>
      </c>
      <c r="C25" s="166">
        <f xml:space="preserve"> IF(OR(B25="DISM", B25="JWV", B25="JUV", B25="CIV"), SUM('CASE DATA'!I25:R25), 'CASE DATA'!K25+'CASE DATA'!O25)</f>
        <v>0</v>
      </c>
      <c r="D25" s="167">
        <f xml:space="preserve"> IF(OR(B25="DISM", B25="JWV", B25="JUV", B25="CIV"), 0, 'CASE DATA'!J25+'CASE DATA'!L25+'CASE DATA'!M25+'CASE DATA'!P25+'CASE DATA'!Q25+'CASE DATA'!R25)</f>
        <v>0</v>
      </c>
      <c r="E25" s="168">
        <f xml:space="preserve"> IF(OR(B25="DISM", B25="JWV", B25="JUV", B25="CIV"), 0, 'CASE DATA'!I25+'CASE DATA'!N25)</f>
        <v>0</v>
      </c>
      <c r="F25" s="187"/>
    </row>
    <row r="26" spans="1:6" x14ac:dyDescent="0.25">
      <c r="A26" s="162">
        <f xml:space="preserve"> 'CASE DATA'!A26</f>
        <v>0</v>
      </c>
      <c r="B26" s="185">
        <f xml:space="preserve"> 'CASE DATA'!F26</f>
        <v>0</v>
      </c>
      <c r="C26" s="166">
        <f xml:space="preserve"> IF(OR(B26="DISM", B26="JWV", B26="JUV", B26="CIV"), SUM('CASE DATA'!I26:R26), 'CASE DATA'!K26+'CASE DATA'!O26)</f>
        <v>0</v>
      </c>
      <c r="D26" s="167">
        <f xml:space="preserve"> IF(OR(B26="DISM", B26="JWV", B26="JUV", B26="CIV"), 0, 'CASE DATA'!J26+'CASE DATA'!L26+'CASE DATA'!M26+'CASE DATA'!P26+'CASE DATA'!Q26+'CASE DATA'!R26)</f>
        <v>0</v>
      </c>
      <c r="E26" s="168">
        <f xml:space="preserve"> IF(OR(B26="DISM", B26="JWV", B26="JUV", B26="CIV"), 0, 'CASE DATA'!I26+'CASE DATA'!N26)</f>
        <v>0</v>
      </c>
      <c r="F26" s="187"/>
    </row>
    <row r="27" spans="1:6" x14ac:dyDescent="0.25">
      <c r="A27" s="162">
        <f xml:space="preserve"> 'CASE DATA'!A27</f>
        <v>0</v>
      </c>
      <c r="B27" s="185">
        <f xml:space="preserve"> 'CASE DATA'!F27</f>
        <v>0</v>
      </c>
      <c r="C27" s="166">
        <f xml:space="preserve"> IF(OR(B27="DISM", B27="JWV", B27="JUV", B27="CIV"), SUM('CASE DATA'!I27:R27), 'CASE DATA'!K27+'CASE DATA'!O27)</f>
        <v>0</v>
      </c>
      <c r="D27" s="167">
        <f xml:space="preserve"> IF(OR(B27="DISM", B27="JWV", B27="JUV", B27="CIV"), 0, 'CASE DATA'!J27+'CASE DATA'!L27+'CASE DATA'!M27+'CASE DATA'!P27+'CASE DATA'!Q27+'CASE DATA'!R27)</f>
        <v>0</v>
      </c>
      <c r="E27" s="168">
        <f xml:space="preserve"> IF(OR(B27="DISM", B27="JWV", B27="JUV", B27="CIV"), 0, 'CASE DATA'!I27+'CASE DATA'!N27)</f>
        <v>0</v>
      </c>
      <c r="F27" s="187"/>
    </row>
    <row r="28" spans="1:6" x14ac:dyDescent="0.25">
      <c r="A28" s="162">
        <f xml:space="preserve"> 'CASE DATA'!A28</f>
        <v>0</v>
      </c>
      <c r="B28" s="185">
        <f xml:space="preserve"> 'CASE DATA'!F28</f>
        <v>0</v>
      </c>
      <c r="C28" s="166">
        <f xml:space="preserve"> IF(OR(B28="DISM", B28="JWV", B28="JUV", B28="CIV"), SUM('CASE DATA'!I28:R28), 'CASE DATA'!K28+'CASE DATA'!O28)</f>
        <v>0</v>
      </c>
      <c r="D28" s="167">
        <f xml:space="preserve"> IF(OR(B28="DISM", B28="JWV", B28="JUV", B28="CIV"), 0, 'CASE DATA'!J28+'CASE DATA'!L28+'CASE DATA'!M28+'CASE DATA'!P28+'CASE DATA'!Q28+'CASE DATA'!R28)</f>
        <v>0</v>
      </c>
      <c r="E28" s="168">
        <f xml:space="preserve"> IF(OR(B28="DISM", B28="JWV", B28="JUV", B28="CIV"), 0, 'CASE DATA'!I28+'CASE DATA'!N28)</f>
        <v>0</v>
      </c>
      <c r="F28" s="187"/>
    </row>
    <row r="29" spans="1:6" x14ac:dyDescent="0.25">
      <c r="A29" s="162">
        <f xml:space="preserve"> 'CASE DATA'!A29</f>
        <v>0</v>
      </c>
      <c r="B29" s="185">
        <f xml:space="preserve"> 'CASE DATA'!F29</f>
        <v>0</v>
      </c>
      <c r="C29" s="166">
        <f xml:space="preserve"> IF(OR(B29="DISM", B29="JWV", B29="JUV", B29="CIV"), SUM('CASE DATA'!I29:R29), 'CASE DATA'!K29+'CASE DATA'!O29)</f>
        <v>0</v>
      </c>
      <c r="D29" s="167">
        <f xml:space="preserve"> IF(OR(B29="DISM", B29="JWV", B29="JUV", B29="CIV"), 0, 'CASE DATA'!J29+'CASE DATA'!L29+'CASE DATA'!M29+'CASE DATA'!P29+'CASE DATA'!Q29+'CASE DATA'!R29)</f>
        <v>0</v>
      </c>
      <c r="E29" s="168">
        <f xml:space="preserve"> IF(OR(B29="DISM", B29="JWV", B29="JUV", B29="CIV"), 0, 'CASE DATA'!I29+'CASE DATA'!N29)</f>
        <v>0</v>
      </c>
      <c r="F29" s="187"/>
    </row>
    <row r="30" spans="1:6" x14ac:dyDescent="0.25">
      <c r="A30" s="162">
        <f xml:space="preserve"> 'CASE DATA'!A30</f>
        <v>0</v>
      </c>
      <c r="B30" s="185">
        <f xml:space="preserve"> 'CASE DATA'!F30</f>
        <v>0</v>
      </c>
      <c r="C30" s="166">
        <f xml:space="preserve"> IF(OR(B30="DISM", B30="JWV", B30="JUV", B30="CIV"), SUM('CASE DATA'!I30:R30), 'CASE DATA'!K30+'CASE DATA'!O30)</f>
        <v>0</v>
      </c>
      <c r="D30" s="167">
        <f xml:space="preserve"> IF(OR(B30="DISM", B30="JWV", B30="JUV", B30="CIV"), 0, 'CASE DATA'!J30+'CASE DATA'!L30+'CASE DATA'!M30+'CASE DATA'!P30+'CASE DATA'!Q30+'CASE DATA'!R30)</f>
        <v>0</v>
      </c>
      <c r="E30" s="168">
        <f xml:space="preserve"> IF(OR(B30="DISM", B30="JWV", B30="JUV", B30="CIV"), 0, 'CASE DATA'!I30+'CASE DATA'!N30)</f>
        <v>0</v>
      </c>
      <c r="F30" s="187"/>
    </row>
    <row r="31" spans="1:6" x14ac:dyDescent="0.25">
      <c r="A31" s="162">
        <f xml:space="preserve"> 'CASE DATA'!A31</f>
        <v>0</v>
      </c>
      <c r="B31" s="185">
        <f xml:space="preserve"> 'CASE DATA'!F31</f>
        <v>0</v>
      </c>
      <c r="C31" s="166">
        <f xml:space="preserve"> IF(OR(B31="DISM", B31="JWV", B31="JUV", B31="CIV"), SUM('CASE DATA'!I31:R31), 'CASE DATA'!K31+'CASE DATA'!O31)</f>
        <v>0</v>
      </c>
      <c r="D31" s="167">
        <f xml:space="preserve"> IF(OR(B31="DISM", B31="JWV", B31="JUV", B31="CIV"), 0, 'CASE DATA'!J31+'CASE DATA'!L31+'CASE DATA'!M31+'CASE DATA'!P31+'CASE DATA'!Q31+'CASE DATA'!R31)</f>
        <v>0</v>
      </c>
      <c r="E31" s="168">
        <f xml:space="preserve"> IF(OR(B31="DISM", B31="JWV", B31="JUV", B31="CIV"), 0, 'CASE DATA'!I31+'CASE DATA'!N31)</f>
        <v>0</v>
      </c>
      <c r="F31" s="187"/>
    </row>
    <row r="32" spans="1:6" x14ac:dyDescent="0.25">
      <c r="A32" s="162">
        <f xml:space="preserve"> 'CASE DATA'!A32</f>
        <v>0</v>
      </c>
      <c r="B32" s="185">
        <f xml:space="preserve"> 'CASE DATA'!F32</f>
        <v>0</v>
      </c>
      <c r="C32" s="166">
        <f xml:space="preserve"> IF(OR(B32="DISM", B32="JWV", B32="JUV", B32="CIV"), SUM('CASE DATA'!I32:R32), 'CASE DATA'!K32+'CASE DATA'!O32)</f>
        <v>0</v>
      </c>
      <c r="D32" s="167">
        <f xml:space="preserve"> IF(OR(B32="DISM", B32="JWV", B32="JUV", B32="CIV"), 0, 'CASE DATA'!J32+'CASE DATA'!L32+'CASE DATA'!M32+'CASE DATA'!P32+'CASE DATA'!Q32+'CASE DATA'!R32)</f>
        <v>0</v>
      </c>
      <c r="E32" s="168">
        <f xml:space="preserve"> IF(OR(B32="DISM", B32="JWV", B32="JUV", B32="CIV"), 0, 'CASE DATA'!I32+'CASE DATA'!N32)</f>
        <v>0</v>
      </c>
      <c r="F32" s="187"/>
    </row>
    <row r="33" spans="1:6" x14ac:dyDescent="0.25">
      <c r="A33" s="162">
        <f xml:space="preserve"> 'CASE DATA'!A33</f>
        <v>0</v>
      </c>
      <c r="B33" s="185">
        <f xml:space="preserve"> 'CASE DATA'!F33</f>
        <v>0</v>
      </c>
      <c r="C33" s="166">
        <f xml:space="preserve"> IF(OR(B33="DISM", B33="JWV", B33="JUV", B33="CIV"), SUM('CASE DATA'!I33:R33), 'CASE DATA'!K33+'CASE DATA'!O33)</f>
        <v>0</v>
      </c>
      <c r="D33" s="167">
        <f xml:space="preserve"> IF(OR(B33="DISM", B33="JWV", B33="JUV", B33="CIV"), 0, 'CASE DATA'!J33+'CASE DATA'!L33+'CASE DATA'!M33+'CASE DATA'!P33+'CASE DATA'!Q33+'CASE DATA'!R33)</f>
        <v>0</v>
      </c>
      <c r="E33" s="168">
        <f xml:space="preserve"> IF(OR(B33="DISM", B33="JWV", B33="JUV", B33="CIV"), 0, 'CASE DATA'!I33+'CASE DATA'!N33)</f>
        <v>0</v>
      </c>
      <c r="F33" s="187"/>
    </row>
    <row r="34" spans="1:6" x14ac:dyDescent="0.25">
      <c r="A34" s="162">
        <f xml:space="preserve"> 'CASE DATA'!A34</f>
        <v>0</v>
      </c>
      <c r="B34" s="185">
        <f xml:space="preserve"> 'CASE DATA'!F34</f>
        <v>0</v>
      </c>
      <c r="C34" s="166">
        <f xml:space="preserve"> IF(OR(B34="DISM", B34="JWV", B34="JUV", B34="CIV"), SUM('CASE DATA'!I34:R34), 'CASE DATA'!K34+'CASE DATA'!O34)</f>
        <v>0</v>
      </c>
      <c r="D34" s="167">
        <f xml:space="preserve"> IF(OR(B34="DISM", B34="JWV", B34="JUV", B34="CIV"), 0, 'CASE DATA'!J34+'CASE DATA'!L34+'CASE DATA'!M34+'CASE DATA'!P34+'CASE DATA'!Q34+'CASE DATA'!R34)</f>
        <v>0</v>
      </c>
      <c r="E34" s="168">
        <f xml:space="preserve"> IF(OR(B34="DISM", B34="JWV", B34="JUV", B34="CIV"), 0, 'CASE DATA'!I34+'CASE DATA'!N34)</f>
        <v>0</v>
      </c>
      <c r="F34" s="187"/>
    </row>
    <row r="35" spans="1:6" x14ac:dyDescent="0.25">
      <c r="A35" s="162">
        <f xml:space="preserve"> 'CASE DATA'!A35</f>
        <v>0</v>
      </c>
      <c r="B35" s="185">
        <f xml:space="preserve"> 'CASE DATA'!F35</f>
        <v>0</v>
      </c>
      <c r="C35" s="166">
        <f xml:space="preserve"> IF(OR(B35="DISM", B35="JWV", B35="JUV", B35="CIV"), SUM('CASE DATA'!I35:R35), 'CASE DATA'!K35+'CASE DATA'!O35)</f>
        <v>0</v>
      </c>
      <c r="D35" s="167">
        <f xml:space="preserve"> IF(OR(B35="DISM", B35="JWV", B35="JUV", B35="CIV"), 0, 'CASE DATA'!J35+'CASE DATA'!L35+'CASE DATA'!M35+'CASE DATA'!P35+'CASE DATA'!Q35+'CASE DATA'!R35)</f>
        <v>0</v>
      </c>
      <c r="E35" s="168">
        <f xml:space="preserve"> IF(OR(B35="DISM", B35="JWV", B35="JUV", B35="CIV"), 0, 'CASE DATA'!I35+'CASE DATA'!N35)</f>
        <v>0</v>
      </c>
      <c r="F35" s="187"/>
    </row>
    <row r="36" spans="1:6" x14ac:dyDescent="0.25">
      <c r="A36" s="162">
        <f xml:space="preserve"> 'CASE DATA'!A36</f>
        <v>0</v>
      </c>
      <c r="B36" s="185">
        <f xml:space="preserve"> 'CASE DATA'!F36</f>
        <v>0</v>
      </c>
      <c r="C36" s="166">
        <f xml:space="preserve"> IF(OR(B36="DISM", B36="JWV", B36="JUV", B36="CIV"), SUM('CASE DATA'!I36:R36), 'CASE DATA'!K36+'CASE DATA'!O36)</f>
        <v>0</v>
      </c>
      <c r="D36" s="167">
        <f xml:space="preserve"> IF(OR(B36="DISM", B36="JWV", B36="JUV", B36="CIV"), 0, 'CASE DATA'!J36+'CASE DATA'!L36+'CASE DATA'!M36+'CASE DATA'!P36+'CASE DATA'!Q36+'CASE DATA'!R36)</f>
        <v>0</v>
      </c>
      <c r="E36" s="168">
        <f xml:space="preserve"> IF(OR(B36="DISM", B36="JWV", B36="JUV", B36="CIV"), 0, 'CASE DATA'!I36+'CASE DATA'!N36)</f>
        <v>0</v>
      </c>
      <c r="F36" s="187"/>
    </row>
    <row r="37" spans="1:6" x14ac:dyDescent="0.25">
      <c r="A37" s="162">
        <f xml:space="preserve"> 'CASE DATA'!A37</f>
        <v>0</v>
      </c>
      <c r="B37" s="185">
        <f xml:space="preserve"> 'CASE DATA'!F37</f>
        <v>0</v>
      </c>
      <c r="C37" s="166">
        <f xml:space="preserve"> IF(OR(B37="DISM", B37="JWV", B37="JUV", B37="CIV"), SUM('CASE DATA'!I37:R37), 'CASE DATA'!K37+'CASE DATA'!O37)</f>
        <v>0</v>
      </c>
      <c r="D37" s="167">
        <f xml:space="preserve"> IF(OR(B37="DISM", B37="JWV", B37="JUV", B37="CIV"), 0, 'CASE DATA'!J37+'CASE DATA'!L37+'CASE DATA'!M37+'CASE DATA'!P37+'CASE DATA'!Q37+'CASE DATA'!R37)</f>
        <v>0</v>
      </c>
      <c r="E37" s="168">
        <f xml:space="preserve"> IF(OR(B37="DISM", B37="JWV", B37="JUV", B37="CIV"), 0, 'CASE DATA'!I37+'CASE DATA'!N37)</f>
        <v>0</v>
      </c>
      <c r="F37" s="187"/>
    </row>
    <row r="38" spans="1:6" x14ac:dyDescent="0.25">
      <c r="A38" s="162">
        <f xml:space="preserve"> 'CASE DATA'!A38</f>
        <v>0</v>
      </c>
      <c r="B38" s="185">
        <f xml:space="preserve"> 'CASE DATA'!F38</f>
        <v>0</v>
      </c>
      <c r="C38" s="166">
        <f xml:space="preserve"> IF(OR(B38="DISM", B38="JWV", B38="JUV", B38="CIV"), SUM('CASE DATA'!I38:R38), 'CASE DATA'!K38+'CASE DATA'!O38)</f>
        <v>0</v>
      </c>
      <c r="D38" s="167">
        <f xml:space="preserve"> IF(OR(B38="DISM", B38="JWV", B38="JUV", B38="CIV"), 0, 'CASE DATA'!J38+'CASE DATA'!L38+'CASE DATA'!M38+'CASE DATA'!P38+'CASE DATA'!Q38+'CASE DATA'!R38)</f>
        <v>0</v>
      </c>
      <c r="E38" s="168">
        <f xml:space="preserve"> IF(OR(B38="DISM", B38="JWV", B38="JUV", B38="CIV"), 0, 'CASE DATA'!I38+'CASE DATA'!N38)</f>
        <v>0</v>
      </c>
      <c r="F38" s="187"/>
    </row>
    <row r="39" spans="1:6" x14ac:dyDescent="0.25">
      <c r="A39" s="162">
        <f xml:space="preserve"> 'CASE DATA'!A39</f>
        <v>0</v>
      </c>
      <c r="B39" s="185">
        <f xml:space="preserve"> 'CASE DATA'!F39</f>
        <v>0</v>
      </c>
      <c r="C39" s="166">
        <f xml:space="preserve"> IF(OR(B39="DISM", B39="JWV", B39="JUV", B39="CIV"), SUM('CASE DATA'!I39:R39), 'CASE DATA'!K39+'CASE DATA'!O39)</f>
        <v>0</v>
      </c>
      <c r="D39" s="167">
        <f xml:space="preserve"> IF(OR(B39="DISM", B39="JWV", B39="JUV", B39="CIV"), 0, 'CASE DATA'!J39+'CASE DATA'!L39+'CASE DATA'!M39+'CASE DATA'!P39+'CASE DATA'!Q39+'CASE DATA'!R39)</f>
        <v>0</v>
      </c>
      <c r="E39" s="168">
        <f xml:space="preserve"> IF(OR(B39="DISM", B39="JWV", B39="JUV", B39="CIV"), 0, 'CASE DATA'!I39+'CASE DATA'!N39)</f>
        <v>0</v>
      </c>
      <c r="F39" s="187"/>
    </row>
    <row r="40" spans="1:6" x14ac:dyDescent="0.25">
      <c r="A40" s="162">
        <f xml:space="preserve"> 'CASE DATA'!A40</f>
        <v>0</v>
      </c>
      <c r="B40" s="185">
        <f xml:space="preserve"> 'CASE DATA'!F40</f>
        <v>0</v>
      </c>
      <c r="C40" s="166">
        <f xml:space="preserve"> IF(OR(B40="DISM", B40="JWV", B40="JUV", B40="CIV"), SUM('CASE DATA'!I40:R40), 'CASE DATA'!K40+'CASE DATA'!O40)</f>
        <v>0</v>
      </c>
      <c r="D40" s="167">
        <f xml:space="preserve"> IF(OR(B40="DISM", B40="JWV", B40="JUV", B40="CIV"), 0, 'CASE DATA'!J40+'CASE DATA'!L40+'CASE DATA'!M40+'CASE DATA'!P40+'CASE DATA'!Q40+'CASE DATA'!R40)</f>
        <v>0</v>
      </c>
      <c r="E40" s="168">
        <f xml:space="preserve"> IF(OR(B40="DISM", B40="JWV", B40="JUV", B40="CIV"), 0, 'CASE DATA'!I40+'CASE DATA'!N40)</f>
        <v>0</v>
      </c>
      <c r="F40" s="187"/>
    </row>
    <row r="41" spans="1:6" x14ac:dyDescent="0.25">
      <c r="A41" s="162">
        <f xml:space="preserve"> 'CASE DATA'!A41</f>
        <v>0</v>
      </c>
      <c r="B41" s="185">
        <f xml:space="preserve"> 'CASE DATA'!F41</f>
        <v>0</v>
      </c>
      <c r="C41" s="166">
        <f xml:space="preserve"> IF(OR(B41="DISM", B41="JWV", B41="JUV", B41="CIV"), SUM('CASE DATA'!I41:R41), 'CASE DATA'!K41+'CASE DATA'!O41)</f>
        <v>0</v>
      </c>
      <c r="D41" s="167">
        <f xml:space="preserve"> IF(OR(B41="DISM", B41="JWV", B41="JUV", B41="CIV"), 0, 'CASE DATA'!J41+'CASE DATA'!L41+'CASE DATA'!M41+'CASE DATA'!P41+'CASE DATA'!Q41+'CASE DATA'!R41)</f>
        <v>0</v>
      </c>
      <c r="E41" s="168">
        <f xml:space="preserve"> IF(OR(B41="DISM", B41="JWV", B41="JUV", B41="CIV"), 0, 'CASE DATA'!I41+'CASE DATA'!N41)</f>
        <v>0</v>
      </c>
      <c r="F41" s="187"/>
    </row>
    <row r="42" spans="1:6" x14ac:dyDescent="0.25">
      <c r="A42" s="162">
        <f xml:space="preserve"> 'CASE DATA'!A42</f>
        <v>0</v>
      </c>
      <c r="B42" s="185">
        <f xml:space="preserve"> 'CASE DATA'!F42</f>
        <v>0</v>
      </c>
      <c r="C42" s="166">
        <f xml:space="preserve"> IF(OR(B42="DISM", B42="JWV", B42="JUV", B42="CIV"), SUM('CASE DATA'!I42:R42), 'CASE DATA'!K42+'CASE DATA'!O42)</f>
        <v>0</v>
      </c>
      <c r="D42" s="167">
        <f xml:space="preserve"> IF(OR(B42="DISM", B42="JWV", B42="JUV", B42="CIV"), 0, 'CASE DATA'!J42+'CASE DATA'!L42+'CASE DATA'!M42+'CASE DATA'!P42+'CASE DATA'!Q42+'CASE DATA'!R42)</f>
        <v>0</v>
      </c>
      <c r="E42" s="168">
        <f xml:space="preserve"> IF(OR(B42="DISM", B42="JWV", B42="JUV", B42="CIV"), 0, 'CASE DATA'!I42+'CASE DATA'!N42)</f>
        <v>0</v>
      </c>
      <c r="F42" s="187"/>
    </row>
    <row r="43" spans="1:6" x14ac:dyDescent="0.25">
      <c r="A43" s="162">
        <f xml:space="preserve"> 'CASE DATA'!A43</f>
        <v>0</v>
      </c>
      <c r="B43" s="185">
        <f xml:space="preserve"> 'CASE DATA'!F43</f>
        <v>0</v>
      </c>
      <c r="C43" s="166">
        <f xml:space="preserve"> IF(OR(B43="DISM", B43="JWV", B43="JUV", B43="CIV"), SUM('CASE DATA'!I43:R43), 'CASE DATA'!K43+'CASE DATA'!O43)</f>
        <v>0</v>
      </c>
      <c r="D43" s="167">
        <f xml:space="preserve"> IF(OR(B43="DISM", B43="JWV", B43="JUV", B43="CIV"), 0, 'CASE DATA'!J43+'CASE DATA'!L43+'CASE DATA'!M43+'CASE DATA'!P43+'CASE DATA'!Q43+'CASE DATA'!R43)</f>
        <v>0</v>
      </c>
      <c r="E43" s="168">
        <f xml:space="preserve"> IF(OR(B43="DISM", B43="JWV", B43="JUV", B43="CIV"), 0, 'CASE DATA'!I43+'CASE DATA'!N43)</f>
        <v>0</v>
      </c>
      <c r="F43" s="187"/>
    </row>
    <row r="44" spans="1:6" x14ac:dyDescent="0.25">
      <c r="A44" s="162">
        <f xml:space="preserve"> 'CASE DATA'!A44</f>
        <v>0</v>
      </c>
      <c r="B44" s="185">
        <f xml:space="preserve"> 'CASE DATA'!F44</f>
        <v>0</v>
      </c>
      <c r="C44" s="166">
        <f xml:space="preserve"> IF(OR(B44="DISM", B44="JWV", B44="JUV", B44="CIV"), SUM('CASE DATA'!I44:R44), 'CASE DATA'!K44+'CASE DATA'!O44)</f>
        <v>0</v>
      </c>
      <c r="D44" s="167">
        <f xml:space="preserve"> IF(OR(B44="DISM", B44="JWV", B44="JUV", B44="CIV"), 0, 'CASE DATA'!J44+'CASE DATA'!L44+'CASE DATA'!M44+'CASE DATA'!P44+'CASE DATA'!Q44+'CASE DATA'!R44)</f>
        <v>0</v>
      </c>
      <c r="E44" s="168">
        <f xml:space="preserve"> IF(OR(B44="DISM", B44="JWV", B44="JUV", B44="CIV"), 0, 'CASE DATA'!I44+'CASE DATA'!N44)</f>
        <v>0</v>
      </c>
      <c r="F44" s="187"/>
    </row>
    <row r="45" spans="1:6" x14ac:dyDescent="0.25">
      <c r="A45" s="162">
        <f xml:space="preserve"> 'CASE DATA'!A45</f>
        <v>0</v>
      </c>
      <c r="B45" s="185">
        <f xml:space="preserve"> 'CASE DATA'!F45</f>
        <v>0</v>
      </c>
      <c r="C45" s="166">
        <f xml:space="preserve"> IF(OR(B45="DISM", B45="JWV", B45="JUV", B45="CIV"), SUM('CASE DATA'!I45:R45), 'CASE DATA'!K45+'CASE DATA'!O45)</f>
        <v>0</v>
      </c>
      <c r="D45" s="167">
        <f xml:space="preserve"> IF(OR(B45="DISM", B45="JWV", B45="JUV", B45="CIV"), 0, 'CASE DATA'!J45+'CASE DATA'!L45+'CASE DATA'!M45+'CASE DATA'!P45+'CASE DATA'!Q45+'CASE DATA'!R45)</f>
        <v>0</v>
      </c>
      <c r="E45" s="168">
        <f xml:space="preserve"> IF(OR(B45="DISM", B45="JWV", B45="JUV", B45="CIV"), 0, 'CASE DATA'!I45+'CASE DATA'!N45)</f>
        <v>0</v>
      </c>
      <c r="F45" s="150"/>
    </row>
    <row r="46" spans="1:6" x14ac:dyDescent="0.25">
      <c r="A46" s="162">
        <f xml:space="preserve"> 'CASE DATA'!A46</f>
        <v>0</v>
      </c>
      <c r="B46" s="185">
        <f xml:space="preserve"> 'CASE DATA'!F46</f>
        <v>0</v>
      </c>
      <c r="C46" s="166">
        <f xml:space="preserve"> IF(OR(B46="DISM", B46="JWV", B46="JUV", B46="CIV"), SUM('CASE DATA'!I46:R46), 'CASE DATA'!K46+'CASE DATA'!O46)</f>
        <v>0</v>
      </c>
      <c r="D46" s="167">
        <f xml:space="preserve"> IF(OR(B46="DISM", B46="JWV", B46="JUV", B46="CIV"), 0, 'CASE DATA'!J46+'CASE DATA'!L46+'CASE DATA'!M46+'CASE DATA'!P46+'CASE DATA'!Q46+'CASE DATA'!R46)</f>
        <v>0</v>
      </c>
      <c r="E46" s="168">
        <f xml:space="preserve"> IF(OR(B46="DISM", B46="JWV", B46="JUV", B46="CIV"), 0, 'CASE DATA'!I46+'CASE DATA'!N46)</f>
        <v>0</v>
      </c>
      <c r="F46" s="187"/>
    </row>
    <row r="47" spans="1:6" x14ac:dyDescent="0.25">
      <c r="A47" s="162">
        <f xml:space="preserve"> 'CASE DATA'!A47</f>
        <v>0</v>
      </c>
      <c r="B47" s="185">
        <f xml:space="preserve"> 'CASE DATA'!F47</f>
        <v>0</v>
      </c>
      <c r="C47" s="166">
        <f xml:space="preserve"> IF(OR(B47="DISM", B47="JWV", B47="JUV", B47="CIV"), SUM('CASE DATA'!I47:R47), 'CASE DATA'!K47+'CASE DATA'!O47)</f>
        <v>0</v>
      </c>
      <c r="D47" s="167">
        <f xml:space="preserve"> IF(OR(B47="DISM", B47="JWV", B47="JUV", B47="CIV"), 0, 'CASE DATA'!J47+'CASE DATA'!L47+'CASE DATA'!M47+'CASE DATA'!P47+'CASE DATA'!Q47+'CASE DATA'!R47)</f>
        <v>0</v>
      </c>
      <c r="E47" s="168">
        <f xml:space="preserve"> IF(OR(B47="DISM", B47="JWV", B47="JUV", B47="CIV"), 0, 'CASE DATA'!I47+'CASE DATA'!N47)</f>
        <v>0</v>
      </c>
      <c r="F47" s="187"/>
    </row>
    <row r="48" spans="1:6" x14ac:dyDescent="0.25">
      <c r="A48" s="162">
        <f xml:space="preserve"> 'CASE DATA'!A48</f>
        <v>0</v>
      </c>
      <c r="B48" s="185">
        <f xml:space="preserve"> 'CASE DATA'!F48</f>
        <v>0</v>
      </c>
      <c r="C48" s="166">
        <f xml:space="preserve"> IF(OR(B48="DISM", B48="JWV", B48="JUV", B48="CIV"), SUM('CASE DATA'!I48:R48), 'CASE DATA'!K48+'CASE DATA'!O48)</f>
        <v>0</v>
      </c>
      <c r="D48" s="167">
        <f xml:space="preserve"> IF(OR(B48="DISM", B48="JWV", B48="JUV", B48="CIV"), 0, 'CASE DATA'!J48+'CASE DATA'!L48+'CASE DATA'!M48+'CASE DATA'!P48+'CASE DATA'!Q48+'CASE DATA'!R48)</f>
        <v>0</v>
      </c>
      <c r="E48" s="168">
        <f xml:space="preserve"> IF(OR(B48="DISM", B48="JWV", B48="JUV", B48="CIV"), 0, 'CASE DATA'!I48+'CASE DATA'!N48)</f>
        <v>0</v>
      </c>
      <c r="F48" s="187"/>
    </row>
    <row r="49" spans="1:6" x14ac:dyDescent="0.25">
      <c r="A49" s="162">
        <f xml:space="preserve"> 'CASE DATA'!A49</f>
        <v>0</v>
      </c>
      <c r="B49" s="185">
        <f xml:space="preserve"> 'CASE DATA'!F49</f>
        <v>0</v>
      </c>
      <c r="C49" s="166">
        <f xml:space="preserve"> IF(OR(B49="DISM", B49="JWV", B49="JUV", B49="CIV"), SUM('CASE DATA'!I49:R49), 'CASE DATA'!K49+'CASE DATA'!O49)</f>
        <v>0</v>
      </c>
      <c r="D49" s="167">
        <f xml:space="preserve"> IF(OR(B49="DISM", B49="JWV", B49="JUV", B49="CIV"), 0, 'CASE DATA'!J49+'CASE DATA'!L49+'CASE DATA'!M49+'CASE DATA'!P49+'CASE DATA'!Q49+'CASE DATA'!R49)</f>
        <v>0</v>
      </c>
      <c r="E49" s="168">
        <f xml:space="preserve"> IF(OR(B49="DISM", B49="JWV", B49="JUV", B49="CIV"), 0, 'CASE DATA'!I49+'CASE DATA'!N49)</f>
        <v>0</v>
      </c>
      <c r="F49" s="187"/>
    </row>
    <row r="50" spans="1:6" x14ac:dyDescent="0.25">
      <c r="A50" s="162">
        <f xml:space="preserve"> 'CASE DATA'!A50</f>
        <v>0</v>
      </c>
      <c r="B50" s="185">
        <f xml:space="preserve"> 'CASE DATA'!F50</f>
        <v>0</v>
      </c>
      <c r="C50" s="166">
        <f xml:space="preserve"> IF(OR(B50="DISM", B50="JWV", B50="JUV", B50="CIV"), SUM('CASE DATA'!I50:R50), 'CASE DATA'!K50+'CASE DATA'!O50)</f>
        <v>0</v>
      </c>
      <c r="D50" s="167">
        <f xml:space="preserve"> IF(OR(B50="DISM", B50="JWV", B50="JUV", B50="CIV"), 0, 'CASE DATA'!J50+'CASE DATA'!L50+'CASE DATA'!M50+'CASE DATA'!P50+'CASE DATA'!Q50+'CASE DATA'!R50)</f>
        <v>0</v>
      </c>
      <c r="E50" s="168">
        <f xml:space="preserve"> IF(OR(B50="DISM", B50="JWV", B50="JUV", B50="CIV"), 0, 'CASE DATA'!I50+'CASE DATA'!N50)</f>
        <v>0</v>
      </c>
      <c r="F50" s="187"/>
    </row>
    <row r="51" spans="1:6" x14ac:dyDescent="0.25">
      <c r="A51" s="162">
        <f xml:space="preserve"> 'CASE DATA'!A51</f>
        <v>0</v>
      </c>
      <c r="B51" s="185">
        <f xml:space="preserve"> 'CASE DATA'!F51</f>
        <v>0</v>
      </c>
      <c r="C51" s="166">
        <f xml:space="preserve"> IF(OR(B51="DISM", B51="JWV", B51="JUV", B51="CIV"), SUM('CASE DATA'!I51:R51), 'CASE DATA'!K51+'CASE DATA'!O51)</f>
        <v>0</v>
      </c>
      <c r="D51" s="167">
        <f xml:space="preserve"> IF(OR(B51="DISM", B51="JWV", B51="JUV", B51="CIV"), 0, 'CASE DATA'!J51+'CASE DATA'!L51+'CASE DATA'!M51+'CASE DATA'!P51+'CASE DATA'!Q51+'CASE DATA'!R51)</f>
        <v>0</v>
      </c>
      <c r="E51" s="168">
        <f xml:space="preserve"> IF(OR(B51="DISM", B51="JWV", B51="JUV", B51="CIV"), 0, 'CASE DATA'!I51+'CASE DATA'!N51)</f>
        <v>0</v>
      </c>
      <c r="F51" s="187"/>
    </row>
    <row r="52" spans="1:6" x14ac:dyDescent="0.25">
      <c r="A52" s="162">
        <f xml:space="preserve"> 'CASE DATA'!A52</f>
        <v>0</v>
      </c>
      <c r="B52" s="185">
        <f xml:space="preserve"> 'CASE DATA'!F52</f>
        <v>0</v>
      </c>
      <c r="C52" s="166">
        <f xml:space="preserve"> IF(OR(B52="DISM", B52="JWV", B52="JUV", B52="CIV"), SUM('CASE DATA'!I52:R52), 'CASE DATA'!K52+'CASE DATA'!O52)</f>
        <v>0</v>
      </c>
      <c r="D52" s="167">
        <f xml:space="preserve"> IF(OR(B52="DISM", B52="JWV", B52="JUV", B52="CIV"), 0, 'CASE DATA'!J52+'CASE DATA'!L52+'CASE DATA'!M52+'CASE DATA'!P52+'CASE DATA'!Q52+'CASE DATA'!R52)</f>
        <v>0</v>
      </c>
      <c r="E52" s="168">
        <f xml:space="preserve"> IF(OR(B52="DISM", B52="JWV", B52="JUV", B52="CIV"), 0, 'CASE DATA'!I52+'CASE DATA'!N52)</f>
        <v>0</v>
      </c>
      <c r="F52" s="187"/>
    </row>
    <row r="53" spans="1:6" x14ac:dyDescent="0.25">
      <c r="A53" s="162">
        <f xml:space="preserve"> 'CASE DATA'!A53</f>
        <v>0</v>
      </c>
      <c r="B53" s="185">
        <f xml:space="preserve"> 'CASE DATA'!F53</f>
        <v>0</v>
      </c>
      <c r="C53" s="166">
        <f xml:space="preserve"> IF(OR(B53="DISM", B53="JWV", B53="JUV", B53="CIV"), SUM('CASE DATA'!I53:R53), 'CASE DATA'!K53+'CASE DATA'!O53)</f>
        <v>0</v>
      </c>
      <c r="D53" s="167">
        <f xml:space="preserve"> IF(OR(B53="DISM", B53="JWV", B53="JUV", B53="CIV"), 0, 'CASE DATA'!J53+'CASE DATA'!L53+'CASE DATA'!M53+'CASE DATA'!P53+'CASE DATA'!Q53+'CASE DATA'!R53)</f>
        <v>0</v>
      </c>
      <c r="E53" s="168">
        <f xml:space="preserve"> IF(OR(B53="DISM", B53="JWV", B53="JUV", B53="CIV"), 0, 'CASE DATA'!I53+'CASE DATA'!N53)</f>
        <v>0</v>
      </c>
      <c r="F53" s="187"/>
    </row>
    <row r="54" spans="1:6" x14ac:dyDescent="0.25">
      <c r="A54" s="162">
        <f xml:space="preserve"> 'CASE DATA'!A54</f>
        <v>0</v>
      </c>
      <c r="B54" s="185">
        <f xml:space="preserve"> 'CASE DATA'!F54</f>
        <v>0</v>
      </c>
      <c r="C54" s="166">
        <f xml:space="preserve"> IF(OR(B54="DISM", B54="JWV", B54="JUV", B54="CIV"), SUM('CASE DATA'!I54:R54), 'CASE DATA'!K54+'CASE DATA'!O54)</f>
        <v>0</v>
      </c>
      <c r="D54" s="167">
        <f xml:space="preserve"> IF(OR(B54="DISM", B54="JWV", B54="JUV", B54="CIV"), 0, 'CASE DATA'!J54+'CASE DATA'!L54+'CASE DATA'!M54+'CASE DATA'!P54+'CASE DATA'!Q54+'CASE DATA'!R54)</f>
        <v>0</v>
      </c>
      <c r="E54" s="168">
        <f xml:space="preserve"> IF(OR(B54="DISM", B54="JWV", B54="JUV", B54="CIV"), 0, 'CASE DATA'!I54+'CASE DATA'!N54)</f>
        <v>0</v>
      </c>
      <c r="F54" s="187"/>
    </row>
    <row r="55" spans="1:6" x14ac:dyDescent="0.25">
      <c r="A55" s="162">
        <f xml:space="preserve"> 'CASE DATA'!A55</f>
        <v>0</v>
      </c>
      <c r="B55" s="185">
        <f xml:space="preserve"> 'CASE DATA'!F55</f>
        <v>0</v>
      </c>
      <c r="C55" s="166">
        <f xml:space="preserve"> IF(OR(B55="DISM", B55="JWV", B55="JUV", B55="CIV"), SUM('CASE DATA'!I55:R55), 'CASE DATA'!K55+'CASE DATA'!O55)</f>
        <v>0</v>
      </c>
      <c r="D55" s="167">
        <f xml:space="preserve"> IF(OR(B55="DISM", B55="JWV", B55="JUV", B55="CIV"), 0, 'CASE DATA'!J55+'CASE DATA'!L55+'CASE DATA'!M55+'CASE DATA'!P55+'CASE DATA'!Q55+'CASE DATA'!R55)</f>
        <v>0</v>
      </c>
      <c r="E55" s="168">
        <f xml:space="preserve"> IF(OR(B55="DISM", B55="JWV", B55="JUV", B55="CIV"), 0, 'CASE DATA'!I55+'CASE DATA'!N55)</f>
        <v>0</v>
      </c>
      <c r="F55" s="187"/>
    </row>
    <row r="56" spans="1:6" x14ac:dyDescent="0.25">
      <c r="A56" s="162">
        <f xml:space="preserve"> 'CASE DATA'!A56</f>
        <v>0</v>
      </c>
      <c r="B56" s="185">
        <f xml:space="preserve"> 'CASE DATA'!F56</f>
        <v>0</v>
      </c>
      <c r="C56" s="166">
        <f xml:space="preserve"> IF(OR(B56="DISM", B56="JWV", B56="JUV", B56="CIV"), SUM('CASE DATA'!I56:R56), 'CASE DATA'!K56+'CASE DATA'!O56)</f>
        <v>0</v>
      </c>
      <c r="D56" s="167">
        <f xml:space="preserve"> IF(OR(B56="DISM", B56="JWV", B56="JUV", B56="CIV"), 0, 'CASE DATA'!J56+'CASE DATA'!L56+'CASE DATA'!M56+'CASE DATA'!P56+'CASE DATA'!Q56+'CASE DATA'!R56)</f>
        <v>0</v>
      </c>
      <c r="E56" s="168">
        <f xml:space="preserve"> IF(OR(B56="DISM", B56="JWV", B56="JUV", B56="CIV"), 0, 'CASE DATA'!I56+'CASE DATA'!N56)</f>
        <v>0</v>
      </c>
      <c r="F56" s="187"/>
    </row>
    <row r="57" spans="1:6" x14ac:dyDescent="0.25">
      <c r="A57" s="162">
        <f xml:space="preserve"> 'CASE DATA'!A57</f>
        <v>0</v>
      </c>
      <c r="B57" s="185">
        <f xml:space="preserve"> 'CASE DATA'!F57</f>
        <v>0</v>
      </c>
      <c r="C57" s="166">
        <f xml:space="preserve"> IF(OR(B57="DISM", B57="JWV", B57="JUV", B57="CIV"), SUM('CASE DATA'!I57:R57), 'CASE DATA'!K57+'CASE DATA'!O57)</f>
        <v>0</v>
      </c>
      <c r="D57" s="167">
        <f xml:space="preserve"> IF(OR(B57="DISM", B57="JWV", B57="JUV", B57="CIV"), 0, 'CASE DATA'!J57+'CASE DATA'!L57+'CASE DATA'!M57+'CASE DATA'!P57+'CASE DATA'!Q57+'CASE DATA'!R57)</f>
        <v>0</v>
      </c>
      <c r="E57" s="168">
        <f xml:space="preserve"> IF(OR(B57="DISM", B57="JWV", B57="JUV", B57="CIV"), 0, 'CASE DATA'!I57+'CASE DATA'!N57)</f>
        <v>0</v>
      </c>
      <c r="F57" s="187"/>
    </row>
    <row r="58" spans="1:6" x14ac:dyDescent="0.25">
      <c r="A58" s="162">
        <f xml:space="preserve"> 'CASE DATA'!A58</f>
        <v>0</v>
      </c>
      <c r="B58" s="185">
        <f xml:space="preserve"> 'CASE DATA'!F58</f>
        <v>0</v>
      </c>
      <c r="C58" s="166">
        <f xml:space="preserve"> IF(OR(B58="DISM", B58="JWV", B58="JUV", B58="CIV"), SUM('CASE DATA'!I58:R58), 'CASE DATA'!K58+'CASE DATA'!O58)</f>
        <v>0</v>
      </c>
      <c r="D58" s="167">
        <f xml:space="preserve"> IF(OR(B58="DISM", B58="JWV", B58="JUV", B58="CIV"), 0, 'CASE DATA'!J58+'CASE DATA'!L58+'CASE DATA'!M58+'CASE DATA'!P58+'CASE DATA'!Q58+'CASE DATA'!R58)</f>
        <v>0</v>
      </c>
      <c r="E58" s="168">
        <f xml:space="preserve"> IF(OR(B58="DISM", B58="JWV", B58="JUV", B58="CIV"), 0, 'CASE DATA'!I58+'CASE DATA'!N58)</f>
        <v>0</v>
      </c>
      <c r="F58" s="187"/>
    </row>
    <row r="59" spans="1:6" x14ac:dyDescent="0.25">
      <c r="A59" s="162">
        <f xml:space="preserve"> 'CASE DATA'!A59</f>
        <v>0</v>
      </c>
      <c r="B59" s="185">
        <f xml:space="preserve"> 'CASE DATA'!F59</f>
        <v>0</v>
      </c>
      <c r="C59" s="166">
        <f xml:space="preserve"> IF(OR(B59="DISM", B59="JWV", B59="JUV", B59="CIV"), SUM('CASE DATA'!I59:R59), 'CASE DATA'!K59+'CASE DATA'!O59)</f>
        <v>0</v>
      </c>
      <c r="D59" s="167">
        <f xml:space="preserve"> IF(OR(B59="DISM", B59="JWV", B59="JUV", B59="CIV"), 0, 'CASE DATA'!J59+'CASE DATA'!L59+'CASE DATA'!M59+'CASE DATA'!P59+'CASE DATA'!Q59+'CASE DATA'!R59)</f>
        <v>0</v>
      </c>
      <c r="E59" s="168">
        <f xml:space="preserve"> IF(OR(B59="DISM", B59="JWV", B59="JUV", B59="CIV"), 0, 'CASE DATA'!I59+'CASE DATA'!N59)</f>
        <v>0</v>
      </c>
      <c r="F59" s="187"/>
    </row>
    <row r="60" spans="1:6" x14ac:dyDescent="0.25">
      <c r="A60" s="162">
        <f xml:space="preserve"> 'CASE DATA'!A60</f>
        <v>0</v>
      </c>
      <c r="B60" s="185">
        <f xml:space="preserve"> 'CASE DATA'!F60</f>
        <v>0</v>
      </c>
      <c r="C60" s="166">
        <f xml:space="preserve"> IF(OR(B60="DISM", B60="JWV", B60="JUV", B60="CIV"), SUM('CASE DATA'!I60:R60), 'CASE DATA'!K60+'CASE DATA'!O60)</f>
        <v>0</v>
      </c>
      <c r="D60" s="167">
        <f xml:space="preserve"> IF(OR(B60="DISM", B60="JWV", B60="JUV", B60="CIV"), 0, 'CASE DATA'!J60+'CASE DATA'!L60+'CASE DATA'!M60+'CASE DATA'!P60+'CASE DATA'!Q60+'CASE DATA'!R60)</f>
        <v>0</v>
      </c>
      <c r="E60" s="168">
        <f xml:space="preserve"> IF(OR(B60="DISM", B60="JWV", B60="JUV", B60="CIV"), 0, 'CASE DATA'!I60+'CASE DATA'!N60)</f>
        <v>0</v>
      </c>
      <c r="F60" s="187"/>
    </row>
    <row r="61" spans="1:6" x14ac:dyDescent="0.25">
      <c r="A61" s="162">
        <f xml:space="preserve"> 'CASE DATA'!A61</f>
        <v>0</v>
      </c>
      <c r="B61" s="185">
        <f xml:space="preserve"> 'CASE DATA'!F61</f>
        <v>0</v>
      </c>
      <c r="C61" s="166">
        <f xml:space="preserve"> IF(OR(B61="DISM", B61="JWV", B61="JUV", B61="CIV"), SUM('CASE DATA'!I61:R61), 'CASE DATA'!K61+'CASE DATA'!O61)</f>
        <v>0</v>
      </c>
      <c r="D61" s="167">
        <f xml:space="preserve"> IF(OR(B61="DISM", B61="JWV", B61="JUV", B61="CIV"), 0, 'CASE DATA'!J61+'CASE DATA'!L61+'CASE DATA'!M61+'CASE DATA'!P61+'CASE DATA'!Q61+'CASE DATA'!R61)</f>
        <v>0</v>
      </c>
      <c r="E61" s="168">
        <f xml:space="preserve"> IF(OR(B61="DISM", B61="JWV", B61="JUV", B61="CIV"), 0, 'CASE DATA'!I61+'CASE DATA'!N61)</f>
        <v>0</v>
      </c>
      <c r="F61" s="187"/>
    </row>
    <row r="62" spans="1:6" x14ac:dyDescent="0.25">
      <c r="A62" s="162">
        <f xml:space="preserve"> 'CASE DATA'!A62</f>
        <v>0</v>
      </c>
      <c r="B62" s="185">
        <f xml:space="preserve"> 'CASE DATA'!F62</f>
        <v>0</v>
      </c>
      <c r="C62" s="166">
        <f xml:space="preserve"> IF(OR(B62="DISM", B62="JWV", B62="JUV", B62="CIV"), SUM('CASE DATA'!I62:R62), 'CASE DATA'!K62+'CASE DATA'!O62)</f>
        <v>0</v>
      </c>
      <c r="D62" s="167">
        <f xml:space="preserve"> IF(OR(B62="DISM", B62="JWV", B62="JUV", B62="CIV"), 0, 'CASE DATA'!J62+'CASE DATA'!L62+'CASE DATA'!M62+'CASE DATA'!P62+'CASE DATA'!Q62+'CASE DATA'!R62)</f>
        <v>0</v>
      </c>
      <c r="E62" s="168">
        <f xml:space="preserve"> IF(OR(B62="DISM", B62="JWV", B62="JUV", B62="CIV"), 0, 'CASE DATA'!I62+'CASE DATA'!N62)</f>
        <v>0</v>
      </c>
      <c r="F62" s="187"/>
    </row>
    <row r="63" spans="1:6" x14ac:dyDescent="0.25">
      <c r="A63" s="162">
        <f xml:space="preserve"> 'CASE DATA'!A63</f>
        <v>0</v>
      </c>
      <c r="B63" s="185">
        <f xml:space="preserve"> 'CASE DATA'!F63</f>
        <v>0</v>
      </c>
      <c r="C63" s="166">
        <f xml:space="preserve"> IF(OR(B63="DISM", B63="JWV", B63="JUV", B63="CIV"), SUM('CASE DATA'!I63:R63), 'CASE DATA'!K63+'CASE DATA'!O63)</f>
        <v>0</v>
      </c>
      <c r="D63" s="167">
        <f xml:space="preserve"> IF(OR(B63="DISM", B63="JWV", B63="JUV", B63="CIV"), 0, 'CASE DATA'!J63+'CASE DATA'!L63+'CASE DATA'!M63+'CASE DATA'!P63+'CASE DATA'!Q63+'CASE DATA'!R63)</f>
        <v>0</v>
      </c>
      <c r="E63" s="168">
        <f xml:space="preserve"> IF(OR(B63="DISM", B63="JWV", B63="JUV", B63="CIV"), 0, 'CASE DATA'!I63+'CASE DATA'!N63)</f>
        <v>0</v>
      </c>
      <c r="F63" s="187"/>
    </row>
    <row r="64" spans="1:6" x14ac:dyDescent="0.25">
      <c r="A64" s="162">
        <f xml:space="preserve"> 'CASE DATA'!A64</f>
        <v>0</v>
      </c>
      <c r="B64" s="185">
        <f xml:space="preserve"> 'CASE DATA'!F64</f>
        <v>0</v>
      </c>
      <c r="C64" s="166">
        <f xml:space="preserve"> IF(OR(B64="DISM", B64="JWV", B64="JUV", B64="CIV"), SUM('CASE DATA'!I64:R64), 'CASE DATA'!K64+'CASE DATA'!O64)</f>
        <v>0</v>
      </c>
      <c r="D64" s="167">
        <f xml:space="preserve"> IF(OR(B64="DISM", B64="JWV", B64="JUV", B64="CIV"), 0, 'CASE DATA'!J64+'CASE DATA'!L64+'CASE DATA'!M64+'CASE DATA'!P64+'CASE DATA'!Q64+'CASE DATA'!R64)</f>
        <v>0</v>
      </c>
      <c r="E64" s="168">
        <f xml:space="preserve"> IF(OR(B64="DISM", B64="JWV", B64="JUV", B64="CIV"), 0, 'CASE DATA'!I64+'CASE DATA'!N64)</f>
        <v>0</v>
      </c>
      <c r="F64" s="187"/>
    </row>
    <row r="65" spans="1:6" x14ac:dyDescent="0.25">
      <c r="A65" s="162">
        <f xml:space="preserve"> 'CASE DATA'!A65</f>
        <v>0</v>
      </c>
      <c r="B65" s="185">
        <f xml:space="preserve"> 'CASE DATA'!F65</f>
        <v>0</v>
      </c>
      <c r="C65" s="166">
        <f xml:space="preserve"> IF(OR(B65="DISM", B65="JWV", B65="JUV", B65="CIV"), SUM('CASE DATA'!I65:R65), 'CASE DATA'!K65+'CASE DATA'!O65)</f>
        <v>0</v>
      </c>
      <c r="D65" s="167">
        <f xml:space="preserve"> IF(OR(B65="DISM", B65="JWV", B65="JUV", B65="CIV"), 0, 'CASE DATA'!J65+'CASE DATA'!L65+'CASE DATA'!M65+'CASE DATA'!P65+'CASE DATA'!Q65+'CASE DATA'!R65)</f>
        <v>0</v>
      </c>
      <c r="E65" s="168">
        <f xml:space="preserve"> IF(OR(B65="DISM", B65="JWV", B65="JUV", B65="CIV"), 0, 'CASE DATA'!I65+'CASE DATA'!N65)</f>
        <v>0</v>
      </c>
      <c r="F65" s="187"/>
    </row>
    <row r="66" spans="1:6" x14ac:dyDescent="0.25">
      <c r="A66" s="162">
        <f xml:space="preserve"> 'CASE DATA'!A66</f>
        <v>0</v>
      </c>
      <c r="B66" s="185">
        <f xml:space="preserve"> 'CASE DATA'!F66</f>
        <v>0</v>
      </c>
      <c r="C66" s="166">
        <f xml:space="preserve"> IF(OR(B66="DISM", B66="JWV", B66="JUV", B66="CIV"), SUM('CASE DATA'!I66:R66), 'CASE DATA'!K66+'CASE DATA'!O66)</f>
        <v>0</v>
      </c>
      <c r="D66" s="167">
        <f xml:space="preserve"> IF(OR(B66="DISM", B66="JWV", B66="JUV", B66="CIV"), 0, 'CASE DATA'!J66+'CASE DATA'!L66+'CASE DATA'!M66+'CASE DATA'!P66+'CASE DATA'!Q66+'CASE DATA'!R66)</f>
        <v>0</v>
      </c>
      <c r="E66" s="168">
        <f xml:space="preserve"> IF(OR(B66="DISM", B66="JWV", B66="JUV", B66="CIV"), 0, 'CASE DATA'!I66+'CASE DATA'!N66)</f>
        <v>0</v>
      </c>
      <c r="F66" s="187"/>
    </row>
    <row r="67" spans="1:6" x14ac:dyDescent="0.25">
      <c r="A67" s="162">
        <f xml:space="preserve"> 'CASE DATA'!A67</f>
        <v>0</v>
      </c>
      <c r="B67" s="185">
        <f xml:space="preserve"> 'CASE DATA'!F67</f>
        <v>0</v>
      </c>
      <c r="C67" s="166">
        <f xml:space="preserve"> IF(OR(B67="DISM", B67="JWV", B67="JUV", B67="CIV"), SUM('CASE DATA'!I67:R67), 'CASE DATA'!K67+'CASE DATA'!O67)</f>
        <v>0</v>
      </c>
      <c r="D67" s="167">
        <f xml:space="preserve"> IF(OR(B67="DISM", B67="JWV", B67="JUV", B67="CIV"), 0, 'CASE DATA'!J67+'CASE DATA'!L67+'CASE DATA'!M67+'CASE DATA'!P67+'CASE DATA'!Q67+'CASE DATA'!R67)</f>
        <v>0</v>
      </c>
      <c r="E67" s="168">
        <f xml:space="preserve"> IF(OR(B67="DISM", B67="JWV", B67="JUV", B67="CIV"), 0, 'CASE DATA'!I67+'CASE DATA'!N67)</f>
        <v>0</v>
      </c>
      <c r="F67" s="187"/>
    </row>
    <row r="68" spans="1:6" x14ac:dyDescent="0.25">
      <c r="A68" s="162">
        <f xml:space="preserve"> 'CASE DATA'!A68</f>
        <v>0</v>
      </c>
      <c r="B68" s="185">
        <f xml:space="preserve"> 'CASE DATA'!F68</f>
        <v>0</v>
      </c>
      <c r="C68" s="166">
        <f xml:space="preserve"> IF(OR(B68="DISM", B68="JWV", B68="JUV", B68="CIV"), SUM('CASE DATA'!I68:R68), 'CASE DATA'!K68+'CASE DATA'!O68)</f>
        <v>0</v>
      </c>
      <c r="D68" s="167">
        <f xml:space="preserve"> IF(OR(B68="DISM", B68="JWV", B68="JUV", B68="CIV"), 0, 'CASE DATA'!J68+'CASE DATA'!L68+'CASE DATA'!M68+'CASE DATA'!P68+'CASE DATA'!Q68+'CASE DATA'!R68)</f>
        <v>0</v>
      </c>
      <c r="E68" s="168">
        <f xml:space="preserve"> IF(OR(B68="DISM", B68="JWV", B68="JUV", B68="CIV"), 0, 'CASE DATA'!I68+'CASE DATA'!N68)</f>
        <v>0</v>
      </c>
      <c r="F68" s="187"/>
    </row>
    <row r="69" spans="1:6" x14ac:dyDescent="0.25">
      <c r="A69" s="162">
        <f xml:space="preserve"> 'CASE DATA'!A69</f>
        <v>0</v>
      </c>
      <c r="B69" s="185">
        <f xml:space="preserve"> 'CASE DATA'!F69</f>
        <v>0</v>
      </c>
      <c r="C69" s="166">
        <f xml:space="preserve"> IF(OR(B69="DISM", B69="JWV", B69="JUV", B69="CIV"), SUM('CASE DATA'!I69:R69), 'CASE DATA'!K69+'CASE DATA'!O69)</f>
        <v>0</v>
      </c>
      <c r="D69" s="167">
        <f xml:space="preserve"> IF(OR(B69="DISM", B69="JWV", B69="JUV", B69="CIV"), 0, 'CASE DATA'!J69+'CASE DATA'!L69+'CASE DATA'!M69+'CASE DATA'!P69+'CASE DATA'!Q69+'CASE DATA'!R69)</f>
        <v>0</v>
      </c>
      <c r="E69" s="168">
        <f xml:space="preserve"> IF(OR(B69="DISM", B69="JWV", B69="JUV", B69="CIV"), 0, 'CASE DATA'!I69+'CASE DATA'!N69)</f>
        <v>0</v>
      </c>
      <c r="F69" s="187"/>
    </row>
    <row r="70" spans="1:6" x14ac:dyDescent="0.25">
      <c r="A70" s="162">
        <f xml:space="preserve"> 'CASE DATA'!A70</f>
        <v>0</v>
      </c>
      <c r="B70" s="185">
        <f xml:space="preserve"> 'CASE DATA'!F70</f>
        <v>0</v>
      </c>
      <c r="C70" s="166">
        <f xml:space="preserve"> IF(OR(B70="DISM", B70="JWV", B70="JUV", B70="CIV"), SUM('CASE DATA'!I70:R70), 'CASE DATA'!K70+'CASE DATA'!O70)</f>
        <v>0</v>
      </c>
      <c r="D70" s="167">
        <f xml:space="preserve"> IF(OR(B70="DISM", B70="JWV", B70="JUV", B70="CIV"), 0, 'CASE DATA'!J70+'CASE DATA'!L70+'CASE DATA'!M70+'CASE DATA'!P70+'CASE DATA'!Q70+'CASE DATA'!R70)</f>
        <v>0</v>
      </c>
      <c r="E70" s="168">
        <f xml:space="preserve"> IF(OR(B70="DISM", B70="JWV", B70="JUV", B70="CIV"), 0, 'CASE DATA'!I70+'CASE DATA'!N70)</f>
        <v>0</v>
      </c>
      <c r="F70" s="187"/>
    </row>
    <row r="71" spans="1:6" x14ac:dyDescent="0.25">
      <c r="A71" s="162">
        <f xml:space="preserve"> 'CASE DATA'!A71</f>
        <v>0</v>
      </c>
      <c r="B71" s="185">
        <f xml:space="preserve"> 'CASE DATA'!F71</f>
        <v>0</v>
      </c>
      <c r="C71" s="166">
        <f xml:space="preserve"> IF(OR(B71="DISM", B71="JWV", B71="JUV", B71="CIV"), SUM('CASE DATA'!I71:R71), 'CASE DATA'!K71+'CASE DATA'!O71)</f>
        <v>0</v>
      </c>
      <c r="D71" s="167">
        <f xml:space="preserve"> IF(OR(B71="DISM", B71="JWV", B71="JUV", B71="CIV"), 0, 'CASE DATA'!J71+'CASE DATA'!L71+'CASE DATA'!M71+'CASE DATA'!P71+'CASE DATA'!Q71+'CASE DATA'!R71)</f>
        <v>0</v>
      </c>
      <c r="E71" s="168">
        <f xml:space="preserve"> IF(OR(B71="DISM", B71="JWV", B71="JUV", B71="CIV"), 0, 'CASE DATA'!I71+'CASE DATA'!N71)</f>
        <v>0</v>
      </c>
      <c r="F71" s="187"/>
    </row>
    <row r="72" spans="1:6" x14ac:dyDescent="0.25">
      <c r="A72" s="162">
        <f xml:space="preserve"> 'CASE DATA'!A72</f>
        <v>0</v>
      </c>
      <c r="B72" s="185">
        <f xml:space="preserve"> 'CASE DATA'!F72</f>
        <v>0</v>
      </c>
      <c r="C72" s="166">
        <f xml:space="preserve"> IF(OR(B72="DISM", B72="JWV", B72="JUV", B72="CIV"), SUM('CASE DATA'!I72:R72), 'CASE DATA'!K72+'CASE DATA'!O72)</f>
        <v>0</v>
      </c>
      <c r="D72" s="167">
        <f xml:space="preserve"> IF(OR(B72="DISM", B72="JWV", B72="JUV", B72="CIV"), 0, 'CASE DATA'!J72+'CASE DATA'!L72+'CASE DATA'!M72+'CASE DATA'!P72+'CASE DATA'!Q72+'CASE DATA'!R72)</f>
        <v>0</v>
      </c>
      <c r="E72" s="168">
        <f xml:space="preserve"> IF(OR(B72="DISM", B72="JWV", B72="JUV", B72="CIV"), 0, 'CASE DATA'!I72+'CASE DATA'!N72)</f>
        <v>0</v>
      </c>
      <c r="F72" s="187"/>
    </row>
    <row r="73" spans="1:6" x14ac:dyDescent="0.25">
      <c r="A73" s="162">
        <f xml:space="preserve"> 'CASE DATA'!A73</f>
        <v>0</v>
      </c>
      <c r="B73" s="185">
        <f xml:space="preserve"> 'CASE DATA'!F73</f>
        <v>0</v>
      </c>
      <c r="C73" s="166">
        <f xml:space="preserve"> IF(OR(B73="DISM", B73="JWV", B73="JUV", B73="CIV"), SUM('CASE DATA'!I73:R73), 'CASE DATA'!K73+'CASE DATA'!O73)</f>
        <v>0</v>
      </c>
      <c r="D73" s="167">
        <f xml:space="preserve"> IF(OR(B73="DISM", B73="JWV", B73="JUV", B73="CIV"), 0, 'CASE DATA'!J73+'CASE DATA'!L73+'CASE DATA'!M73+'CASE DATA'!P73+'CASE DATA'!Q73+'CASE DATA'!R73)</f>
        <v>0</v>
      </c>
      <c r="E73" s="168">
        <f xml:space="preserve"> IF(OR(B73="DISM", B73="JWV", B73="JUV", B73="CIV"), 0, 'CASE DATA'!I73+'CASE DATA'!N73)</f>
        <v>0</v>
      </c>
      <c r="F73" s="187"/>
    </row>
    <row r="74" spans="1:6" x14ac:dyDescent="0.25">
      <c r="A74" s="162">
        <f xml:space="preserve"> 'CASE DATA'!A74</f>
        <v>0</v>
      </c>
      <c r="B74" s="185">
        <f xml:space="preserve"> 'CASE DATA'!F74</f>
        <v>0</v>
      </c>
      <c r="C74" s="166">
        <f xml:space="preserve"> IF(OR(B74="DISM", B74="JWV", B74="JUV", B74="CIV"), SUM('CASE DATA'!I74:R74), 'CASE DATA'!K74+'CASE DATA'!O74)</f>
        <v>0</v>
      </c>
      <c r="D74" s="167">
        <f xml:space="preserve"> IF(OR(B74="DISM", B74="JWV", B74="JUV", B74="CIV"), 0, 'CASE DATA'!J74+'CASE DATA'!L74+'CASE DATA'!M74+'CASE DATA'!P74+'CASE DATA'!Q74+'CASE DATA'!R74)</f>
        <v>0</v>
      </c>
      <c r="E74" s="168">
        <f xml:space="preserve"> IF(OR(B74="DISM", B74="JWV", B74="JUV", B74="CIV"), 0, 'CASE DATA'!I74+'CASE DATA'!N74)</f>
        <v>0</v>
      </c>
      <c r="F74" s="187"/>
    </row>
    <row r="75" spans="1:6" x14ac:dyDescent="0.25">
      <c r="A75" s="162">
        <f xml:space="preserve"> 'CASE DATA'!A75</f>
        <v>0</v>
      </c>
      <c r="B75" s="185">
        <f xml:space="preserve"> 'CASE DATA'!F75</f>
        <v>0</v>
      </c>
      <c r="C75" s="166">
        <f xml:space="preserve"> IF(OR(B75="DISM", B75="JWV", B75="JUV", B75="CIV"), SUM('CASE DATA'!I75:R75), 'CASE DATA'!K75+'CASE DATA'!O75)</f>
        <v>0</v>
      </c>
      <c r="D75" s="167">
        <f xml:space="preserve"> IF(OR(B75="DISM", B75="JWV", B75="JUV", B75="CIV"), 0, 'CASE DATA'!J75+'CASE DATA'!L75+'CASE DATA'!M75+'CASE DATA'!P75+'CASE DATA'!Q75+'CASE DATA'!R75)</f>
        <v>0</v>
      </c>
      <c r="E75" s="168">
        <f xml:space="preserve"> IF(OR(B75="DISM", B75="JWV", B75="JUV", B75="CIV"), 0, 'CASE DATA'!I75+'CASE DATA'!N75)</f>
        <v>0</v>
      </c>
      <c r="F75" s="187"/>
    </row>
    <row r="76" spans="1:6" x14ac:dyDescent="0.25">
      <c r="A76" s="162">
        <f xml:space="preserve"> 'CASE DATA'!A76</f>
        <v>0</v>
      </c>
      <c r="B76" s="185">
        <f xml:space="preserve"> 'CASE DATA'!F76</f>
        <v>0</v>
      </c>
      <c r="C76" s="166">
        <f xml:space="preserve"> IF(OR(B76="DISM", B76="JWV", B76="JUV", B76="CIV"), SUM('CASE DATA'!I76:R76), 'CASE DATA'!K76+'CASE DATA'!O76)</f>
        <v>0</v>
      </c>
      <c r="D76" s="167">
        <f xml:space="preserve"> IF(OR(B76="DISM", B76="JWV", B76="JUV", B76="CIV"), 0, 'CASE DATA'!J76+'CASE DATA'!L76+'CASE DATA'!M76+'CASE DATA'!P76+'CASE DATA'!Q76+'CASE DATA'!R76)</f>
        <v>0</v>
      </c>
      <c r="E76" s="168">
        <f xml:space="preserve"> IF(OR(B76="DISM", B76="JWV", B76="JUV", B76="CIV"), 0, 'CASE DATA'!I76+'CASE DATA'!N76)</f>
        <v>0</v>
      </c>
      <c r="F76" s="187"/>
    </row>
    <row r="77" spans="1:6" x14ac:dyDescent="0.25">
      <c r="A77" s="162">
        <f xml:space="preserve"> 'CASE DATA'!A77</f>
        <v>0</v>
      </c>
      <c r="B77" s="185">
        <f xml:space="preserve"> 'CASE DATA'!F77</f>
        <v>0</v>
      </c>
      <c r="C77" s="166">
        <f xml:space="preserve"> IF(OR(B77="DISM", B77="JWV", B77="JUV", B77="CIV"), SUM('CASE DATA'!I77:R77), 'CASE DATA'!K77+'CASE DATA'!O77)</f>
        <v>0</v>
      </c>
      <c r="D77" s="167">
        <f xml:space="preserve"> IF(OR(B77="DISM", B77="JWV", B77="JUV", B77="CIV"), 0, 'CASE DATA'!J77+'CASE DATA'!L77+'CASE DATA'!M77+'CASE DATA'!P77+'CASE DATA'!Q77+'CASE DATA'!R77)</f>
        <v>0</v>
      </c>
      <c r="E77" s="168">
        <f xml:space="preserve"> IF(OR(B77="DISM", B77="JWV", B77="JUV", B77="CIV"), 0, 'CASE DATA'!I77+'CASE DATA'!N77)</f>
        <v>0</v>
      </c>
      <c r="F77" s="187"/>
    </row>
    <row r="78" spans="1:6" x14ac:dyDescent="0.25">
      <c r="A78" s="162">
        <f xml:space="preserve"> 'CASE DATA'!A78</f>
        <v>0</v>
      </c>
      <c r="B78" s="185">
        <f xml:space="preserve"> 'CASE DATA'!F78</f>
        <v>0</v>
      </c>
      <c r="C78" s="166">
        <f xml:space="preserve"> IF(OR(B78="DISM", B78="JWV", B78="JUV", B78="CIV"), SUM('CASE DATA'!I78:R78), 'CASE DATA'!K78+'CASE DATA'!O78)</f>
        <v>0</v>
      </c>
      <c r="D78" s="167">
        <f xml:space="preserve"> IF(OR(B78="DISM", B78="JWV", B78="JUV", B78="CIV"), 0, 'CASE DATA'!J78+'CASE DATA'!L78+'CASE DATA'!M78+'CASE DATA'!P78+'CASE DATA'!Q78+'CASE DATA'!R78)</f>
        <v>0</v>
      </c>
      <c r="E78" s="168">
        <f xml:space="preserve"> IF(OR(B78="DISM", B78="JWV", B78="JUV", B78="CIV"), 0, 'CASE DATA'!I78+'CASE DATA'!N78)</f>
        <v>0</v>
      </c>
      <c r="F78" s="187"/>
    </row>
    <row r="79" spans="1:6" x14ac:dyDescent="0.25">
      <c r="A79" s="162">
        <f xml:space="preserve"> 'CASE DATA'!A79</f>
        <v>0</v>
      </c>
      <c r="B79" s="185">
        <f xml:space="preserve"> 'CASE DATA'!F79</f>
        <v>0</v>
      </c>
      <c r="C79" s="166">
        <f xml:space="preserve"> IF(OR(B79="DISM", B79="JWV", B79="JUV", B79="CIV"), SUM('CASE DATA'!I79:R79), 'CASE DATA'!K79+'CASE DATA'!O79)</f>
        <v>0</v>
      </c>
      <c r="D79" s="167">
        <f xml:space="preserve"> IF(OR(B79="DISM", B79="JWV", B79="JUV", B79="CIV"), 0, 'CASE DATA'!J79+'CASE DATA'!L79+'CASE DATA'!M79+'CASE DATA'!P79+'CASE DATA'!Q79+'CASE DATA'!R79)</f>
        <v>0</v>
      </c>
      <c r="E79" s="168">
        <f xml:space="preserve"> IF(OR(B79="DISM", B79="JWV", B79="JUV", B79="CIV"), 0, 'CASE DATA'!I79+'CASE DATA'!N79)</f>
        <v>0</v>
      </c>
      <c r="F79" s="187"/>
    </row>
    <row r="80" spans="1:6" x14ac:dyDescent="0.25">
      <c r="A80" s="162">
        <f xml:space="preserve"> 'CASE DATA'!A80</f>
        <v>0</v>
      </c>
      <c r="B80" s="185">
        <f xml:space="preserve"> 'CASE DATA'!F80</f>
        <v>0</v>
      </c>
      <c r="C80" s="166">
        <f xml:space="preserve"> IF(OR(B80="DISM", B80="JWV", B80="JUV", B80="CIV"), SUM('CASE DATA'!I80:R80), 'CASE DATA'!K80+'CASE DATA'!O80)</f>
        <v>0</v>
      </c>
      <c r="D80" s="167">
        <f xml:space="preserve"> IF(OR(B80="DISM", B80="JWV", B80="JUV", B80="CIV"), 0, 'CASE DATA'!J80+'CASE DATA'!L80+'CASE DATA'!M80+'CASE DATA'!P80+'CASE DATA'!Q80+'CASE DATA'!R80)</f>
        <v>0</v>
      </c>
      <c r="E80" s="168">
        <f xml:space="preserve"> IF(OR(B80="DISM", B80="JWV", B80="JUV", B80="CIV"), 0, 'CASE DATA'!I80+'CASE DATA'!N80)</f>
        <v>0</v>
      </c>
      <c r="F80" s="187"/>
    </row>
    <row r="81" spans="1:6" x14ac:dyDescent="0.25">
      <c r="A81" s="162">
        <f xml:space="preserve"> 'CASE DATA'!A81</f>
        <v>0</v>
      </c>
      <c r="B81" s="185">
        <f xml:space="preserve"> 'CASE DATA'!F81</f>
        <v>0</v>
      </c>
      <c r="C81" s="166">
        <f xml:space="preserve"> IF(OR(B81="DISM", B81="JWV", B81="JUV", B81="CIV"), SUM('CASE DATA'!I81:R81), 'CASE DATA'!K81+'CASE DATA'!O81)</f>
        <v>0</v>
      </c>
      <c r="D81" s="167">
        <f xml:space="preserve"> IF(OR(B81="DISM", B81="JWV", B81="JUV", B81="CIV"), 0, 'CASE DATA'!J81+'CASE DATA'!L81+'CASE DATA'!M81+'CASE DATA'!P81+'CASE DATA'!Q81+'CASE DATA'!R81)</f>
        <v>0</v>
      </c>
      <c r="E81" s="168">
        <f xml:space="preserve"> IF(OR(B81="DISM", B81="JWV", B81="JUV", B81="CIV"), 0, 'CASE DATA'!I81+'CASE DATA'!N81)</f>
        <v>0</v>
      </c>
      <c r="F81" s="187"/>
    </row>
    <row r="82" spans="1:6" x14ac:dyDescent="0.25">
      <c r="A82" s="162">
        <f xml:space="preserve"> 'CASE DATA'!A82</f>
        <v>0</v>
      </c>
      <c r="B82" s="185">
        <f xml:space="preserve"> 'CASE DATA'!F82</f>
        <v>0</v>
      </c>
      <c r="C82" s="166">
        <f xml:space="preserve"> IF(OR(B82="DISM", B82="JWV", B82="JUV", B82="CIV"), SUM('CASE DATA'!I82:R82), 'CASE DATA'!K82+'CASE DATA'!O82)</f>
        <v>0</v>
      </c>
      <c r="D82" s="167">
        <f xml:space="preserve"> IF(OR(B82="DISM", B82="JWV", B82="JUV", B82="CIV"), 0, 'CASE DATA'!J82+'CASE DATA'!L82+'CASE DATA'!M82+'CASE DATA'!P82+'CASE DATA'!Q82+'CASE DATA'!R82)</f>
        <v>0</v>
      </c>
      <c r="E82" s="168">
        <f xml:space="preserve"> IF(OR(B82="DISM", B82="JWV", B82="JUV", B82="CIV"), 0, 'CASE DATA'!I82+'CASE DATA'!N82)</f>
        <v>0</v>
      </c>
      <c r="F82" s="187"/>
    </row>
    <row r="83" spans="1:6" x14ac:dyDescent="0.25">
      <c r="A83" s="162">
        <f xml:space="preserve"> 'CASE DATA'!A83</f>
        <v>0</v>
      </c>
      <c r="B83" s="185">
        <f xml:space="preserve"> 'CASE DATA'!F83</f>
        <v>0</v>
      </c>
      <c r="C83" s="166">
        <f xml:space="preserve"> IF(OR(B83="DISM", B83="JWV", B83="JUV", B83="CIV"), SUM('CASE DATA'!I83:R83), 'CASE DATA'!K83+'CASE DATA'!O83)</f>
        <v>0</v>
      </c>
      <c r="D83" s="167">
        <f xml:space="preserve"> IF(OR(B83="DISM", B83="JWV", B83="JUV", B83="CIV"), 0, 'CASE DATA'!J83+'CASE DATA'!L83+'CASE DATA'!M83+'CASE DATA'!P83+'CASE DATA'!Q83+'CASE DATA'!R83)</f>
        <v>0</v>
      </c>
      <c r="E83" s="168">
        <f xml:space="preserve"> IF(OR(B83="DISM", B83="JWV", B83="JUV", B83="CIV"), 0, 'CASE DATA'!I83+'CASE DATA'!N83)</f>
        <v>0</v>
      </c>
      <c r="F83" s="187"/>
    </row>
    <row r="84" spans="1:6" x14ac:dyDescent="0.25">
      <c r="A84" s="162">
        <f xml:space="preserve"> 'CASE DATA'!A84</f>
        <v>0</v>
      </c>
      <c r="B84" s="185">
        <f xml:space="preserve"> 'CASE DATA'!F84</f>
        <v>0</v>
      </c>
      <c r="C84" s="166">
        <f xml:space="preserve"> IF(OR(B84="DISM", B84="JWV", B84="JUV", B84="CIV"), SUM('CASE DATA'!I84:R84), 'CASE DATA'!K84+'CASE DATA'!O84)</f>
        <v>0</v>
      </c>
      <c r="D84" s="167">
        <f xml:space="preserve"> IF(OR(B84="DISM", B84="JWV", B84="JUV", B84="CIV"), 0, 'CASE DATA'!J84+'CASE DATA'!L84+'CASE DATA'!M84+'CASE DATA'!P84+'CASE DATA'!Q84+'CASE DATA'!R84)</f>
        <v>0</v>
      </c>
      <c r="E84" s="168">
        <f xml:space="preserve"> IF(OR(B84="DISM", B84="JWV", B84="JUV", B84="CIV"), 0, 'CASE DATA'!I84+'CASE DATA'!N84)</f>
        <v>0</v>
      </c>
      <c r="F84" s="187"/>
    </row>
    <row r="85" spans="1:6" x14ac:dyDescent="0.25">
      <c r="A85" s="162">
        <f xml:space="preserve"> 'CASE DATA'!A85</f>
        <v>0</v>
      </c>
      <c r="B85" s="185">
        <f xml:space="preserve"> 'CASE DATA'!F85</f>
        <v>0</v>
      </c>
      <c r="C85" s="166">
        <f xml:space="preserve"> IF(OR(B85="DISM", B85="JWV", B85="JUV", B85="CIV"), SUM('CASE DATA'!I85:R85), 'CASE DATA'!K85+'CASE DATA'!O85)</f>
        <v>0</v>
      </c>
      <c r="D85" s="167">
        <f xml:space="preserve"> IF(OR(B85="DISM", B85="JWV", B85="JUV", B85="CIV"), 0, 'CASE DATA'!J85+'CASE DATA'!L85+'CASE DATA'!M85+'CASE DATA'!P85+'CASE DATA'!Q85+'CASE DATA'!R85)</f>
        <v>0</v>
      </c>
      <c r="E85" s="168">
        <f xml:space="preserve"> IF(OR(B85="DISM", B85="JWV", B85="JUV", B85="CIV"), 0, 'CASE DATA'!I85+'CASE DATA'!N85)</f>
        <v>0</v>
      </c>
      <c r="F85" s="187"/>
    </row>
    <row r="86" spans="1:6" x14ac:dyDescent="0.25">
      <c r="A86" s="162">
        <f xml:space="preserve"> 'CASE DATA'!A86</f>
        <v>0</v>
      </c>
      <c r="B86" s="185">
        <f xml:space="preserve"> 'CASE DATA'!F86</f>
        <v>0</v>
      </c>
      <c r="C86" s="166">
        <f xml:space="preserve"> IF(OR(B86="DISM", B86="JWV", B86="JUV", B86="CIV"), SUM('CASE DATA'!I86:R86), 'CASE DATA'!K86+'CASE DATA'!O86)</f>
        <v>0</v>
      </c>
      <c r="D86" s="167">
        <f xml:space="preserve"> IF(OR(B86="DISM", B86="JWV", B86="JUV", B86="CIV"), 0, 'CASE DATA'!J86+'CASE DATA'!L86+'CASE DATA'!M86+'CASE DATA'!P86+'CASE DATA'!Q86+'CASE DATA'!R86)</f>
        <v>0</v>
      </c>
      <c r="E86" s="168">
        <f xml:space="preserve"> IF(OR(B86="DISM", B86="JWV", B86="JUV", B86="CIV"), 0, 'CASE DATA'!I86+'CASE DATA'!N86)</f>
        <v>0</v>
      </c>
      <c r="F86" s="187"/>
    </row>
    <row r="87" spans="1:6" x14ac:dyDescent="0.25">
      <c r="A87" s="162">
        <f xml:space="preserve"> 'CASE DATA'!A87</f>
        <v>0</v>
      </c>
      <c r="B87" s="185">
        <f xml:space="preserve"> 'CASE DATA'!F87</f>
        <v>0</v>
      </c>
      <c r="C87" s="166">
        <f xml:space="preserve"> IF(OR(B87="DISM", B87="JWV", B87="JUV", B87="CIV"), SUM('CASE DATA'!I87:R87), 'CASE DATA'!K87+'CASE DATA'!O87)</f>
        <v>0</v>
      </c>
      <c r="D87" s="167">
        <f xml:space="preserve"> IF(OR(B87="DISM", B87="JWV", B87="JUV", B87="CIV"), 0, 'CASE DATA'!J87+'CASE DATA'!L87+'CASE DATA'!M87+'CASE DATA'!P87+'CASE DATA'!Q87+'CASE DATA'!R87)</f>
        <v>0</v>
      </c>
      <c r="E87" s="168">
        <f xml:space="preserve"> IF(OR(B87="DISM", B87="JWV", B87="JUV", B87="CIV"), 0, 'CASE DATA'!I87+'CASE DATA'!N87)</f>
        <v>0</v>
      </c>
      <c r="F87" s="187"/>
    </row>
    <row r="88" spans="1:6" x14ac:dyDescent="0.25">
      <c r="A88" s="162">
        <f xml:space="preserve"> 'CASE DATA'!A88</f>
        <v>0</v>
      </c>
      <c r="B88" s="185">
        <f xml:space="preserve"> 'CASE DATA'!F88</f>
        <v>0</v>
      </c>
      <c r="C88" s="166">
        <f xml:space="preserve"> IF(OR(B88="DISM", B88="JWV", B88="JUV", B88="CIV"), SUM('CASE DATA'!I88:R88), 'CASE DATA'!K88+'CASE DATA'!O88)</f>
        <v>0</v>
      </c>
      <c r="D88" s="167">
        <f xml:space="preserve"> IF(OR(B88="DISM", B88="JWV", B88="JUV", B88="CIV"), 0, 'CASE DATA'!J88+'CASE DATA'!L88+'CASE DATA'!M88+'CASE DATA'!P88+'CASE DATA'!Q88+'CASE DATA'!R88)</f>
        <v>0</v>
      </c>
      <c r="E88" s="168">
        <f xml:space="preserve"> IF(OR(B88="DISM", B88="JWV", B88="JUV", B88="CIV"), 0, 'CASE DATA'!I88+'CASE DATA'!N88)</f>
        <v>0</v>
      </c>
      <c r="F88" s="187"/>
    </row>
    <row r="89" spans="1:6" x14ac:dyDescent="0.25">
      <c r="A89" s="162">
        <f xml:space="preserve"> 'CASE DATA'!A89</f>
        <v>0</v>
      </c>
      <c r="B89" s="185">
        <f xml:space="preserve"> 'CASE DATA'!F89</f>
        <v>0</v>
      </c>
      <c r="C89" s="166">
        <f xml:space="preserve"> IF(OR(B89="DISM", B89="JWV", B89="JUV", B89="CIV"), SUM('CASE DATA'!I89:R89), 'CASE DATA'!K89+'CASE DATA'!O89)</f>
        <v>0</v>
      </c>
      <c r="D89" s="167">
        <f xml:space="preserve"> IF(OR(B89="DISM", B89="JWV", B89="JUV", B89="CIV"), 0, 'CASE DATA'!J89+'CASE DATA'!L89+'CASE DATA'!M89+'CASE DATA'!P89+'CASE DATA'!Q89+'CASE DATA'!R89)</f>
        <v>0</v>
      </c>
      <c r="E89" s="168">
        <f xml:space="preserve"> IF(OR(B89="DISM", B89="JWV", B89="JUV", B89="CIV"), 0, 'CASE DATA'!I89+'CASE DATA'!N89)</f>
        <v>0</v>
      </c>
      <c r="F89" s="187"/>
    </row>
    <row r="90" spans="1:6" x14ac:dyDescent="0.25">
      <c r="A90" s="162">
        <f xml:space="preserve"> 'CASE DATA'!A90</f>
        <v>0</v>
      </c>
      <c r="B90" s="185">
        <f xml:space="preserve"> 'CASE DATA'!F90</f>
        <v>0</v>
      </c>
      <c r="C90" s="166">
        <f xml:space="preserve"> IF(OR(B90="DISM", B90="JWV", B90="JUV", B90="CIV"), SUM('CASE DATA'!I90:R90), 'CASE DATA'!K90+'CASE DATA'!O90)</f>
        <v>0</v>
      </c>
      <c r="D90" s="167">
        <f xml:space="preserve"> IF(OR(B90="DISM", B90="JWV", B90="JUV", B90="CIV"), 0, 'CASE DATA'!J90+'CASE DATA'!L90+'CASE DATA'!M90+'CASE DATA'!P90+'CASE DATA'!Q90+'CASE DATA'!R90)</f>
        <v>0</v>
      </c>
      <c r="E90" s="168">
        <f xml:space="preserve"> IF(OR(B90="DISM", B90="JWV", B90="JUV", B90="CIV"), 0, 'CASE DATA'!I90+'CASE DATA'!N90)</f>
        <v>0</v>
      </c>
      <c r="F90" s="187"/>
    </row>
    <row r="91" spans="1:6" x14ac:dyDescent="0.25">
      <c r="A91" s="162">
        <f xml:space="preserve"> 'CASE DATA'!A91</f>
        <v>0</v>
      </c>
      <c r="B91" s="185">
        <f xml:space="preserve"> 'CASE DATA'!F91</f>
        <v>0</v>
      </c>
      <c r="C91" s="166">
        <f xml:space="preserve"> IF(OR(B91="DISM", B91="JWV", B91="JUV", B91="CIV"), SUM('CASE DATA'!I91:R91), 'CASE DATA'!K91+'CASE DATA'!O91)</f>
        <v>0</v>
      </c>
      <c r="D91" s="167">
        <f xml:space="preserve"> IF(OR(B91="DISM", B91="JWV", B91="JUV", B91="CIV"), 0, 'CASE DATA'!J91+'CASE DATA'!L91+'CASE DATA'!M91+'CASE DATA'!P91+'CASE DATA'!Q91+'CASE DATA'!R91)</f>
        <v>0</v>
      </c>
      <c r="E91" s="168">
        <f xml:space="preserve"> IF(OR(B91="DISM", B91="JWV", B91="JUV", B91="CIV"), 0, 'CASE DATA'!I91+'CASE DATA'!N91)</f>
        <v>0</v>
      </c>
      <c r="F91" s="187"/>
    </row>
    <row r="92" spans="1:6" x14ac:dyDescent="0.25">
      <c r="A92" s="162">
        <f xml:space="preserve"> 'CASE DATA'!A92</f>
        <v>0</v>
      </c>
      <c r="B92" s="185">
        <f xml:space="preserve"> 'CASE DATA'!F92</f>
        <v>0</v>
      </c>
      <c r="C92" s="166">
        <f xml:space="preserve"> IF(OR(B92="DISM", B92="JWV", B92="JUV", B92="CIV"), SUM('CASE DATA'!I92:R92), 'CASE DATA'!K92+'CASE DATA'!O92)</f>
        <v>0</v>
      </c>
      <c r="D92" s="167">
        <f xml:space="preserve"> IF(OR(B92="DISM", B92="JWV", B92="JUV", B92="CIV"), 0, 'CASE DATA'!J92+'CASE DATA'!L92+'CASE DATA'!M92+'CASE DATA'!P92+'CASE DATA'!Q92+'CASE DATA'!R92)</f>
        <v>0</v>
      </c>
      <c r="E92" s="168">
        <f xml:space="preserve"> IF(OR(B92="DISM", B92="JWV", B92="JUV", B92="CIV"), 0, 'CASE DATA'!I92+'CASE DATA'!N92)</f>
        <v>0</v>
      </c>
      <c r="F92" s="187"/>
    </row>
    <row r="93" spans="1:6" x14ac:dyDescent="0.25">
      <c r="A93" s="162">
        <f xml:space="preserve"> 'CASE DATA'!A93</f>
        <v>0</v>
      </c>
      <c r="B93" s="185">
        <f xml:space="preserve"> 'CASE DATA'!F93</f>
        <v>0</v>
      </c>
      <c r="C93" s="166">
        <f xml:space="preserve"> IF(OR(B93="DISM", B93="JWV", B93="JUV", B93="CIV"), SUM('CASE DATA'!I93:R93), 'CASE DATA'!K93+'CASE DATA'!O93)</f>
        <v>0</v>
      </c>
      <c r="D93" s="167">
        <f xml:space="preserve"> IF(OR(B93="DISM", B93="JWV", B93="JUV", B93="CIV"), 0, 'CASE DATA'!J93+'CASE DATA'!L93+'CASE DATA'!M93+'CASE DATA'!P93+'CASE DATA'!Q93+'CASE DATA'!R93)</f>
        <v>0</v>
      </c>
      <c r="E93" s="168">
        <f xml:space="preserve"> IF(OR(B93="DISM", B93="JWV", B93="JUV", B93="CIV"), 0, 'CASE DATA'!I93+'CASE DATA'!N93)</f>
        <v>0</v>
      </c>
      <c r="F93" s="187"/>
    </row>
    <row r="94" spans="1:6" x14ac:dyDescent="0.25">
      <c r="A94" s="162">
        <f xml:space="preserve"> 'CASE DATA'!A94</f>
        <v>0</v>
      </c>
      <c r="B94" s="185">
        <f xml:space="preserve"> 'CASE DATA'!F94</f>
        <v>0</v>
      </c>
      <c r="C94" s="166">
        <f xml:space="preserve"> IF(OR(B94="DISM", B94="JWV", B94="JUV", B94="CIV"), SUM('CASE DATA'!I94:R94), 'CASE DATA'!K94+'CASE DATA'!O94)</f>
        <v>0</v>
      </c>
      <c r="D94" s="167">
        <f xml:space="preserve"> IF(OR(B94="DISM", B94="JWV", B94="JUV", B94="CIV"), 0, 'CASE DATA'!J94+'CASE DATA'!L94+'CASE DATA'!M94+'CASE DATA'!P94+'CASE DATA'!Q94+'CASE DATA'!R94)</f>
        <v>0</v>
      </c>
      <c r="E94" s="168">
        <f xml:space="preserve"> IF(OR(B94="DISM", B94="JWV", B94="JUV", B94="CIV"), 0, 'CASE DATA'!I94+'CASE DATA'!N94)</f>
        <v>0</v>
      </c>
      <c r="F94" s="187"/>
    </row>
    <row r="95" spans="1:6" x14ac:dyDescent="0.25">
      <c r="A95" s="162">
        <f xml:space="preserve"> 'CASE DATA'!A95</f>
        <v>0</v>
      </c>
      <c r="B95" s="185">
        <f xml:space="preserve"> 'CASE DATA'!F95</f>
        <v>0</v>
      </c>
      <c r="C95" s="166">
        <f xml:space="preserve"> IF(OR(B95="DISM", B95="JWV", B95="JUV", B95="CIV"), SUM('CASE DATA'!I95:R95), 'CASE DATA'!K95+'CASE DATA'!O95)</f>
        <v>0</v>
      </c>
      <c r="D95" s="167">
        <f xml:space="preserve"> IF(OR(B95="DISM", B95="JWV", B95="JUV", B95="CIV"), 0, 'CASE DATA'!J95+'CASE DATA'!L95+'CASE DATA'!M95+'CASE DATA'!P95+'CASE DATA'!Q95+'CASE DATA'!R95)</f>
        <v>0</v>
      </c>
      <c r="E95" s="168">
        <f xml:space="preserve"> IF(OR(B95="DISM", B95="JWV", B95="JUV", B95="CIV"), 0, 'CASE DATA'!I95+'CASE DATA'!N95)</f>
        <v>0</v>
      </c>
      <c r="F95" s="187"/>
    </row>
    <row r="96" spans="1:6" x14ac:dyDescent="0.25">
      <c r="A96" s="162">
        <f xml:space="preserve"> 'CASE DATA'!A96</f>
        <v>0</v>
      </c>
      <c r="B96" s="185">
        <f xml:space="preserve"> 'CASE DATA'!F96</f>
        <v>0</v>
      </c>
      <c r="C96" s="166">
        <f xml:space="preserve"> IF(OR(B96="DISM", B96="JWV", B96="JUV", B96="CIV"), SUM('CASE DATA'!I96:R96), 'CASE DATA'!K96+'CASE DATA'!O96)</f>
        <v>0</v>
      </c>
      <c r="D96" s="167">
        <f xml:space="preserve"> IF(OR(B96="DISM", B96="JWV", B96="JUV", B96="CIV"), 0, 'CASE DATA'!J96+'CASE DATA'!L96+'CASE DATA'!M96+'CASE DATA'!P96+'CASE DATA'!Q96+'CASE DATA'!R96)</f>
        <v>0</v>
      </c>
      <c r="E96" s="168">
        <f xml:space="preserve"> IF(OR(B96="DISM", B96="JWV", B96="JUV", B96="CIV"), 0, 'CASE DATA'!I96+'CASE DATA'!N96)</f>
        <v>0</v>
      </c>
      <c r="F96" s="187"/>
    </row>
    <row r="97" spans="1:6" x14ac:dyDescent="0.25">
      <c r="A97" s="162">
        <f xml:space="preserve"> 'CASE DATA'!A97</f>
        <v>0</v>
      </c>
      <c r="B97" s="185">
        <f xml:space="preserve"> 'CASE DATA'!F97</f>
        <v>0</v>
      </c>
      <c r="C97" s="166">
        <f xml:space="preserve"> IF(OR(B97="DISM", B97="JWV", B97="JUV", B97="CIV"), SUM('CASE DATA'!I97:R97), 'CASE DATA'!K97+'CASE DATA'!O97)</f>
        <v>0</v>
      </c>
      <c r="D97" s="167">
        <f xml:space="preserve"> IF(OR(B97="DISM", B97="JWV", B97="JUV", B97="CIV"), 0, 'CASE DATA'!J97+'CASE DATA'!L97+'CASE DATA'!M97+'CASE DATA'!P97+'CASE DATA'!Q97+'CASE DATA'!R97)</f>
        <v>0</v>
      </c>
      <c r="E97" s="168">
        <f xml:space="preserve"> IF(OR(B97="DISM", B97="JWV", B97="JUV", B97="CIV"), 0, 'CASE DATA'!I97+'CASE DATA'!N97)</f>
        <v>0</v>
      </c>
      <c r="F97" s="187"/>
    </row>
    <row r="98" spans="1:6" x14ac:dyDescent="0.25">
      <c r="A98" s="162">
        <f xml:space="preserve"> 'CASE DATA'!A98</f>
        <v>0</v>
      </c>
      <c r="B98" s="185">
        <f xml:space="preserve"> 'CASE DATA'!F98</f>
        <v>0</v>
      </c>
      <c r="C98" s="166">
        <f xml:space="preserve"> IF(OR(B98="DISM", B98="JWV", B98="JUV", B98="CIV"), SUM('CASE DATA'!I98:R98), 'CASE DATA'!K98+'CASE DATA'!O98)</f>
        <v>0</v>
      </c>
      <c r="D98" s="167">
        <f xml:space="preserve"> IF(OR(B98="DISM", B98="JWV", B98="JUV", B98="CIV"), 0, 'CASE DATA'!J98+'CASE DATA'!L98+'CASE DATA'!M98+'CASE DATA'!P98+'CASE DATA'!Q98+'CASE DATA'!R98)</f>
        <v>0</v>
      </c>
      <c r="E98" s="168">
        <f xml:space="preserve"> IF(OR(B98="DISM", B98="JWV", B98="JUV", B98="CIV"), 0, 'CASE DATA'!I98+'CASE DATA'!N98)</f>
        <v>0</v>
      </c>
      <c r="F98" s="187"/>
    </row>
    <row r="99" spans="1:6" x14ac:dyDescent="0.25">
      <c r="A99" s="162">
        <f xml:space="preserve"> 'CASE DATA'!A99</f>
        <v>0</v>
      </c>
      <c r="B99" s="185">
        <f xml:space="preserve"> 'CASE DATA'!F99</f>
        <v>0</v>
      </c>
      <c r="C99" s="166">
        <f xml:space="preserve"> IF(OR(B99="DISM", B99="JWV", B99="JUV", B99="CIV"), SUM('CASE DATA'!I99:R99), 'CASE DATA'!K99+'CASE DATA'!O99)</f>
        <v>0</v>
      </c>
      <c r="D99" s="167">
        <f xml:space="preserve"> IF(OR(B99="DISM", B99="JWV", B99="JUV", B99="CIV"), 0, 'CASE DATA'!J99+'CASE DATA'!L99+'CASE DATA'!M99+'CASE DATA'!P99+'CASE DATA'!Q99+'CASE DATA'!R99)</f>
        <v>0</v>
      </c>
      <c r="E99" s="168">
        <f xml:space="preserve"> IF(OR(B99="DISM", B99="JWV", B99="JUV", B99="CIV"), 0, 'CASE DATA'!I99+'CASE DATA'!N99)</f>
        <v>0</v>
      </c>
      <c r="F99" s="187"/>
    </row>
    <row r="100" spans="1:6" x14ac:dyDescent="0.25">
      <c r="A100" s="162">
        <f xml:space="preserve"> 'CASE DATA'!A101</f>
        <v>0</v>
      </c>
      <c r="B100" s="185">
        <f xml:space="preserve"> 'CASE DATA'!F100</f>
        <v>0</v>
      </c>
      <c r="C100" s="166">
        <f xml:space="preserve"> IF(OR(B100="DISM", B100="JWV", B100="JUV", B100="CIV"), SUM('CASE DATA'!I100:R100), 'CASE DATA'!K100+'CASE DATA'!O100)</f>
        <v>0</v>
      </c>
      <c r="D100" s="167">
        <f xml:space="preserve"> IF(OR(B100="DISM", B100="JWV", B100="JUV", B100="CIV"), 0, 'CASE DATA'!J100+'CASE DATA'!L100+'CASE DATA'!M100+'CASE DATA'!P100+'CASE DATA'!Q100+'CASE DATA'!R100)</f>
        <v>0</v>
      </c>
      <c r="E100" s="168">
        <f xml:space="preserve"> IF(OR(B100="DISM", B100="JWV", B100="JUV", B100="CIV"), 0, 'CASE DATA'!I100+'CASE DATA'!N100)</f>
        <v>0</v>
      </c>
      <c r="F100" s="187"/>
    </row>
    <row r="101" spans="1:6" x14ac:dyDescent="0.25">
      <c r="A101" s="162">
        <f xml:space="preserve"> 'CASE DATA'!A102</f>
        <v>0</v>
      </c>
      <c r="B101" s="185">
        <f xml:space="preserve"> 'CASE DATA'!F101</f>
        <v>0</v>
      </c>
      <c r="C101" s="166">
        <f xml:space="preserve"> IF(OR(B101="DISM", B101="JWV", B101="JUV", B101="CIV"), SUM('CASE DATA'!I101:R101), 'CASE DATA'!K101+'CASE DATA'!O101)</f>
        <v>0</v>
      </c>
      <c r="D101" s="167">
        <f xml:space="preserve"> IF(OR(B101="DISM", B101="JWV", B101="JUV", B101="CIV"), 0, 'CASE DATA'!J101+'CASE DATA'!L101+'CASE DATA'!M101+'CASE DATA'!P101+'CASE DATA'!Q101+'CASE DATA'!R101)</f>
        <v>0</v>
      </c>
      <c r="E101" s="168">
        <f xml:space="preserve"> IF(OR(B101="DISM", B101="JWV", B101="JUV", B101="CIV"), 0, 'CASE DATA'!I101+'CASE DATA'!N101)</f>
        <v>0</v>
      </c>
    </row>
    <row r="102" spans="1:6" x14ac:dyDescent="0.25">
      <c r="A102" s="162">
        <f xml:space="preserve"> 'CASE DATA'!A103</f>
        <v>0</v>
      </c>
      <c r="B102" s="185">
        <f xml:space="preserve"> 'CASE DATA'!F102</f>
        <v>0</v>
      </c>
      <c r="C102" s="166">
        <f xml:space="preserve"> IF(OR(B102="DISM", B102="JWV", B102="JUV", B102="CIV"), SUM('CASE DATA'!I102:R102), 'CASE DATA'!K102+'CASE DATA'!O102)</f>
        <v>0</v>
      </c>
      <c r="D102" s="167">
        <f xml:space="preserve"> IF(OR(B102="DISM", B102="JWV", B102="JUV", B102="CIV"), 0, 'CASE DATA'!J102+'CASE DATA'!L102+'CASE DATA'!M102+'CASE DATA'!P102+'CASE DATA'!Q102+'CASE DATA'!R102)</f>
        <v>0</v>
      </c>
      <c r="E102" s="168">
        <f xml:space="preserve"> IF(OR(B102="DISM", B102="JWV", B102="JUV", B102="CIV"), 0, 'CASE DATA'!I102+'CASE DATA'!N102)</f>
        <v>0</v>
      </c>
    </row>
    <row r="103" spans="1:6" x14ac:dyDescent="0.25">
      <c r="A103" s="162">
        <f xml:space="preserve"> 'CASE DATA'!A104</f>
        <v>0</v>
      </c>
      <c r="B103" s="185">
        <f xml:space="preserve"> 'CASE DATA'!F103</f>
        <v>0</v>
      </c>
      <c r="C103" s="166">
        <f xml:space="preserve"> IF(OR(B103="DISM", B103="JWV", B103="JUV", B103="CIV"), SUM('CASE DATA'!I103:R103), 'CASE DATA'!K103+'CASE DATA'!O103)</f>
        <v>0</v>
      </c>
      <c r="D103" s="167">
        <f xml:space="preserve"> IF(OR(B103="DISM", B103="JWV", B103="JUV", B103="CIV"), 0, 'CASE DATA'!J103+'CASE DATA'!L103+'CASE DATA'!M103+'CASE DATA'!P103+'CASE DATA'!Q103+'CASE DATA'!R103)</f>
        <v>0</v>
      </c>
      <c r="E103" s="168">
        <f xml:space="preserve"> IF(OR(B103="DISM", B103="JWV", B103="JUV", B103="CIV"), 0, 'CASE DATA'!I103+'CASE DATA'!N103)</f>
        <v>0</v>
      </c>
    </row>
    <row r="104" spans="1:6" x14ac:dyDescent="0.25">
      <c r="A104" s="162">
        <f xml:space="preserve"> 'CASE DATA'!A105</f>
        <v>0</v>
      </c>
      <c r="B104" s="185">
        <f xml:space="preserve"> 'CASE DATA'!F104</f>
        <v>0</v>
      </c>
      <c r="C104" s="166">
        <f xml:space="preserve"> IF(OR(B104="DISM", B104="JWV", B104="JUV", B104="CIV"), SUM('CASE DATA'!I104:R104), 'CASE DATA'!K104+'CASE DATA'!O104)</f>
        <v>0</v>
      </c>
      <c r="D104" s="167">
        <f xml:space="preserve"> IF(OR(B104="DISM", B104="JWV", B104="JUV", B104="CIV"), 0, 'CASE DATA'!J104+'CASE DATA'!L104+'CASE DATA'!M104+'CASE DATA'!P104+'CASE DATA'!Q104+'CASE DATA'!R104)</f>
        <v>0</v>
      </c>
      <c r="E104" s="168">
        <f xml:space="preserve"> IF(OR(B104="DISM", B104="JWV", B104="JUV", B104="CIV"), 0, 'CASE DATA'!I104+'CASE DATA'!N104)</f>
        <v>0</v>
      </c>
    </row>
    <row r="105" spans="1:6" x14ac:dyDescent="0.25">
      <c r="A105" s="162">
        <f xml:space="preserve"> 'CASE DATA'!A106</f>
        <v>0</v>
      </c>
      <c r="B105" s="185">
        <f xml:space="preserve"> 'CASE DATA'!F105</f>
        <v>0</v>
      </c>
      <c r="C105" s="166">
        <f xml:space="preserve"> IF(OR(B105="DISM", B105="JWV", B105="JUV", B105="CIV"), SUM('CASE DATA'!I105:R105), 'CASE DATA'!K105+'CASE DATA'!O105)</f>
        <v>0</v>
      </c>
      <c r="D105" s="167">
        <f xml:space="preserve"> IF(OR(B105="DISM", B105="JWV", B105="JUV", B105="CIV"), 0, 'CASE DATA'!J105+'CASE DATA'!L105+'CASE DATA'!M105+'CASE DATA'!P105+'CASE DATA'!Q105+'CASE DATA'!R105)</f>
        <v>0</v>
      </c>
      <c r="E105" s="168">
        <f xml:space="preserve"> IF(OR(B105="DISM", B105="JWV", B105="JUV", B105="CIV"), 0, 'CASE DATA'!I105+'CASE DATA'!N105)</f>
        <v>0</v>
      </c>
    </row>
    <row r="106" spans="1:6" x14ac:dyDescent="0.25">
      <c r="A106" s="162">
        <f xml:space="preserve"> 'CASE DATA'!A107</f>
        <v>0</v>
      </c>
      <c r="B106" s="185">
        <f xml:space="preserve"> 'CASE DATA'!F106</f>
        <v>0</v>
      </c>
      <c r="C106" s="166">
        <f xml:space="preserve"> IF(OR(B106="DISM", B106="JWV", B106="JUV", B106="CIV"), SUM('CASE DATA'!I106:R106), 'CASE DATA'!K106+'CASE DATA'!O106)</f>
        <v>0</v>
      </c>
      <c r="D106" s="167">
        <f xml:space="preserve"> IF(OR(B106="DISM", B106="JWV", B106="JUV", B106="CIV"), 0, 'CASE DATA'!J106+'CASE DATA'!L106+'CASE DATA'!M106+'CASE DATA'!P106+'CASE DATA'!Q106+'CASE DATA'!R106)</f>
        <v>0</v>
      </c>
      <c r="E106" s="168">
        <f xml:space="preserve"> IF(OR(B106="DISM", B106="JWV", B106="JUV", B106="CIV"), 0, 'CASE DATA'!I106+'CASE DATA'!N106)</f>
        <v>0</v>
      </c>
    </row>
    <row r="107" spans="1:6" x14ac:dyDescent="0.25">
      <c r="A107" s="162">
        <f xml:space="preserve"> 'CASE DATA'!A108</f>
        <v>0</v>
      </c>
      <c r="B107" s="185">
        <f xml:space="preserve"> 'CASE DATA'!F107</f>
        <v>0</v>
      </c>
      <c r="C107" s="166">
        <f xml:space="preserve"> IF(OR(B107="DISM", B107="JWV", B107="JUV", B107="CIV"), SUM('CASE DATA'!I107:R107), 'CASE DATA'!K107+'CASE DATA'!O107)</f>
        <v>0</v>
      </c>
      <c r="D107" s="167">
        <f xml:space="preserve"> IF(OR(B107="DISM", B107="JWV", B107="JUV", B107="CIV"), 0, 'CASE DATA'!J107+'CASE DATA'!L107+'CASE DATA'!M107+'CASE DATA'!P107+'CASE DATA'!Q107+'CASE DATA'!R107)</f>
        <v>0</v>
      </c>
      <c r="E107" s="168">
        <f xml:space="preserve"> IF(OR(B107="DISM", B107="JWV", B107="JUV", B107="CIV"), 0, 'CASE DATA'!I107+'CASE DATA'!N107)</f>
        <v>0</v>
      </c>
    </row>
    <row r="108" spans="1:6" x14ac:dyDescent="0.25">
      <c r="A108" s="162">
        <f xml:space="preserve"> 'CASE DATA'!A109</f>
        <v>0</v>
      </c>
      <c r="B108" s="185">
        <f xml:space="preserve"> 'CASE DATA'!F108</f>
        <v>0</v>
      </c>
      <c r="C108" s="166">
        <f xml:space="preserve"> IF(OR(B108="DISM", B108="JWV", B108="JUV", B108="CIV"), SUM('CASE DATA'!I108:R108), 'CASE DATA'!K108+'CASE DATA'!O108)</f>
        <v>0</v>
      </c>
      <c r="D108" s="167">
        <f xml:space="preserve"> IF(OR(B108="DISM", B108="JWV", B108="JUV", B108="CIV"), 0, 'CASE DATA'!J108+'CASE DATA'!L108+'CASE DATA'!M108+'CASE DATA'!P108+'CASE DATA'!Q108+'CASE DATA'!R108)</f>
        <v>0</v>
      </c>
      <c r="E108" s="168">
        <f xml:space="preserve"> IF(OR(B108="DISM", B108="JWV", B108="JUV", B108="CIV"), 0, 'CASE DATA'!I108+'CASE DATA'!N108)</f>
        <v>0</v>
      </c>
    </row>
    <row r="109" spans="1:6" x14ac:dyDescent="0.25">
      <c r="A109" s="162">
        <f xml:space="preserve"> 'CASE DATA'!A110</f>
        <v>0</v>
      </c>
      <c r="B109" s="185">
        <f xml:space="preserve"> 'CASE DATA'!F109</f>
        <v>0</v>
      </c>
      <c r="C109" s="166">
        <f xml:space="preserve"> IF(OR(B109="DISM", B109="JWV", B109="JUV", B109="CIV"), SUM('CASE DATA'!I109:R109), 'CASE DATA'!K109+'CASE DATA'!O109)</f>
        <v>0</v>
      </c>
      <c r="D109" s="167">
        <f xml:space="preserve"> IF(OR(B109="DISM", B109="JWV", B109="JUV", B109="CIV"), 0, 'CASE DATA'!J109+'CASE DATA'!L109+'CASE DATA'!M109+'CASE DATA'!P109+'CASE DATA'!Q109+'CASE DATA'!R109)</f>
        <v>0</v>
      </c>
      <c r="E109" s="168">
        <f xml:space="preserve"> IF(OR(B109="DISM", B109="JWV", B109="JUV", B109="CIV"), 0, 'CASE DATA'!I109+'CASE DATA'!N109)</f>
        <v>0</v>
      </c>
    </row>
    <row r="110" spans="1:6" x14ac:dyDescent="0.25">
      <c r="A110" s="162">
        <f xml:space="preserve"> 'CASE DATA'!A111</f>
        <v>0</v>
      </c>
      <c r="B110" s="185">
        <f xml:space="preserve"> 'CASE DATA'!F110</f>
        <v>0</v>
      </c>
      <c r="C110" s="166">
        <f xml:space="preserve"> IF(OR(B110="DISM", B110="JWV", B110="JUV", B110="CIV"), SUM('CASE DATA'!I110:R110), 'CASE DATA'!K110+'CASE DATA'!O110)</f>
        <v>0</v>
      </c>
      <c r="D110" s="167">
        <f xml:space="preserve"> IF(OR(B110="DISM", B110="JWV", B110="JUV", B110="CIV"), 0, 'CASE DATA'!J110+'CASE DATA'!L110+'CASE DATA'!M110+'CASE DATA'!P110+'CASE DATA'!Q110+'CASE DATA'!R110)</f>
        <v>0</v>
      </c>
      <c r="E110" s="168">
        <f xml:space="preserve"> IF(OR(B110="DISM", B110="JWV", B110="JUV", B110="CIV"), 0, 'CASE DATA'!I110+'CASE DATA'!N110)</f>
        <v>0</v>
      </c>
    </row>
    <row r="111" spans="1:6" x14ac:dyDescent="0.25">
      <c r="A111" s="162">
        <f xml:space="preserve"> 'CASE DATA'!A112</f>
        <v>0</v>
      </c>
      <c r="B111" s="185">
        <f xml:space="preserve"> 'CASE DATA'!F111</f>
        <v>0</v>
      </c>
      <c r="C111" s="166">
        <f xml:space="preserve"> IF(OR(B111="DISM", B111="JWV", B111="JUV", B111="CIV"), SUM('CASE DATA'!I111:R111), 'CASE DATA'!K111+'CASE DATA'!O111)</f>
        <v>0</v>
      </c>
      <c r="D111" s="167">
        <f xml:space="preserve"> IF(OR(B111="DISM", B111="JWV", B111="JUV", B111="CIV"), 0, 'CASE DATA'!J111+'CASE DATA'!L111+'CASE DATA'!M111+'CASE DATA'!P111+'CASE DATA'!Q111+'CASE DATA'!R111)</f>
        <v>0</v>
      </c>
      <c r="E111" s="168">
        <f xml:space="preserve"> IF(OR(B111="DISM", B111="JWV", B111="JUV", B111="CIV"), 0, 'CASE DATA'!I111+'CASE DATA'!N111)</f>
        <v>0</v>
      </c>
    </row>
    <row r="112" spans="1:6" x14ac:dyDescent="0.25">
      <c r="A112" s="162">
        <f xml:space="preserve"> 'CASE DATA'!A113</f>
        <v>0</v>
      </c>
      <c r="B112" s="185">
        <f xml:space="preserve"> 'CASE DATA'!F112</f>
        <v>0</v>
      </c>
      <c r="C112" s="166">
        <f xml:space="preserve"> IF(OR(B112="DISM", B112="JWV", B112="JUV", B112="CIV"), SUM('CASE DATA'!I112:R112), 'CASE DATA'!K112+'CASE DATA'!O112)</f>
        <v>0</v>
      </c>
      <c r="D112" s="167">
        <f xml:space="preserve"> IF(OR(B112="DISM", B112="JWV", B112="JUV", B112="CIV"), 0, 'CASE DATA'!J112+'CASE DATA'!L112+'CASE DATA'!M112+'CASE DATA'!P112+'CASE DATA'!Q112+'CASE DATA'!R112)</f>
        <v>0</v>
      </c>
      <c r="E112" s="168">
        <f xml:space="preserve"> IF(OR(B112="DISM", B112="JWV", B112="JUV", B112="CIV"), 0, 'CASE DATA'!I112+'CASE DATA'!N112)</f>
        <v>0</v>
      </c>
    </row>
    <row r="113" spans="1:5" x14ac:dyDescent="0.25">
      <c r="A113" s="162">
        <f xml:space="preserve"> 'CASE DATA'!A114</f>
        <v>0</v>
      </c>
      <c r="B113" s="185">
        <f xml:space="preserve"> 'CASE DATA'!F113</f>
        <v>0</v>
      </c>
      <c r="C113" s="166">
        <f xml:space="preserve"> IF(OR(B113="DISM", B113="JWV", B113="JUV", B113="CIV"), SUM('CASE DATA'!I113:R113), 'CASE DATA'!K113+'CASE DATA'!O113)</f>
        <v>0</v>
      </c>
      <c r="D113" s="167">
        <f xml:space="preserve"> IF(OR(B113="DISM", B113="JWV", B113="JUV", B113="CIV"), 0, 'CASE DATA'!J113+'CASE DATA'!L113+'CASE DATA'!M113+'CASE DATA'!P113+'CASE DATA'!Q113+'CASE DATA'!R113)</f>
        <v>0</v>
      </c>
      <c r="E113" s="168">
        <f xml:space="preserve"> IF(OR(B113="DISM", B113="JWV", B113="JUV", B113="CIV"), 0, 'CASE DATA'!I113+'CASE DATA'!N113)</f>
        <v>0</v>
      </c>
    </row>
    <row r="114" spans="1:5" x14ac:dyDescent="0.25">
      <c r="A114" s="162">
        <f xml:space="preserve"> 'CASE DATA'!A115</f>
        <v>0</v>
      </c>
      <c r="B114" s="185">
        <f xml:space="preserve"> 'CASE DATA'!F114</f>
        <v>0</v>
      </c>
      <c r="C114" s="166">
        <f xml:space="preserve"> IF(OR(B114="DISM", B114="JWV", B114="JUV", B114="CIV"), SUM('CASE DATA'!I114:R114), 'CASE DATA'!K114+'CASE DATA'!O114)</f>
        <v>0</v>
      </c>
      <c r="D114" s="167">
        <f xml:space="preserve"> IF(OR(B114="DISM", B114="JWV", B114="JUV", B114="CIV"), 0, 'CASE DATA'!J114+'CASE DATA'!L114+'CASE DATA'!M114+'CASE DATA'!P114+'CASE DATA'!Q114+'CASE DATA'!R114)</f>
        <v>0</v>
      </c>
      <c r="E114" s="168">
        <f xml:space="preserve"> IF(OR(B114="DISM", B114="JWV", B114="JUV", B114="CIV"), 0, 'CASE DATA'!I114+'CASE DATA'!N114)</f>
        <v>0</v>
      </c>
    </row>
    <row r="115" spans="1:5" x14ac:dyDescent="0.25">
      <c r="A115" s="162">
        <f xml:space="preserve"> 'CASE DATA'!A116</f>
        <v>0</v>
      </c>
      <c r="B115" s="185">
        <f xml:space="preserve"> 'CASE DATA'!F115</f>
        <v>0</v>
      </c>
      <c r="C115" s="166">
        <f xml:space="preserve"> IF(OR(B115="DISM", B115="JWV", B115="JUV", B115="CIV"), SUM('CASE DATA'!I115:R115), 'CASE DATA'!K115+'CASE DATA'!O115)</f>
        <v>0</v>
      </c>
      <c r="D115" s="167">
        <f xml:space="preserve"> IF(OR(B115="DISM", B115="JWV", B115="JUV", B115="CIV"), 0, 'CASE DATA'!J115+'CASE DATA'!L115+'CASE DATA'!M115+'CASE DATA'!P115+'CASE DATA'!Q115+'CASE DATA'!R115)</f>
        <v>0</v>
      </c>
      <c r="E115" s="168">
        <f xml:space="preserve"> IF(OR(B115="DISM", B115="JWV", B115="JUV", B115="CIV"), 0, 'CASE DATA'!I115+'CASE DATA'!N115)</f>
        <v>0</v>
      </c>
    </row>
    <row r="116" spans="1:5" x14ac:dyDescent="0.25">
      <c r="A116" s="162">
        <f xml:space="preserve"> 'CASE DATA'!A117</f>
        <v>0</v>
      </c>
      <c r="B116" s="185">
        <f xml:space="preserve"> 'CASE DATA'!F116</f>
        <v>0</v>
      </c>
      <c r="C116" s="166">
        <f xml:space="preserve"> IF(OR(B116="DISM", B116="JWV", B116="JUV", B116="CIV"), SUM('CASE DATA'!I116:R116), 'CASE DATA'!K116+'CASE DATA'!O116)</f>
        <v>0</v>
      </c>
      <c r="D116" s="167">
        <f xml:space="preserve"> IF(OR(B116="DISM", B116="JWV", B116="JUV", B116="CIV"), 0, 'CASE DATA'!J116+'CASE DATA'!L116+'CASE DATA'!M116+'CASE DATA'!P116+'CASE DATA'!Q116+'CASE DATA'!R116)</f>
        <v>0</v>
      </c>
      <c r="E116" s="168">
        <f xml:space="preserve"> IF(OR(B116="DISM", B116="JWV", B116="JUV", B116="CIV"), 0, 'CASE DATA'!I116+'CASE DATA'!N116)</f>
        <v>0</v>
      </c>
    </row>
    <row r="117" spans="1:5" x14ac:dyDescent="0.25">
      <c r="A117" s="162">
        <f xml:space="preserve"> 'CASE DATA'!A118</f>
        <v>0</v>
      </c>
      <c r="B117" s="185">
        <f xml:space="preserve"> 'CASE DATA'!F117</f>
        <v>0</v>
      </c>
      <c r="C117" s="166">
        <f xml:space="preserve"> IF(OR(B117="DISM", B117="JWV", B117="JUV", B117="CIV"), SUM('CASE DATA'!I117:R117), 'CASE DATA'!K117+'CASE DATA'!O117)</f>
        <v>0</v>
      </c>
      <c r="D117" s="167">
        <f xml:space="preserve"> IF(OR(B117="DISM", B117="JWV", B117="JUV", B117="CIV"), 0, 'CASE DATA'!J117+'CASE DATA'!L117+'CASE DATA'!M117+'CASE DATA'!P117+'CASE DATA'!Q117+'CASE DATA'!R117)</f>
        <v>0</v>
      </c>
      <c r="E117" s="168">
        <f xml:space="preserve"> IF(OR(B117="DISM", B117="JWV", B117="JUV", B117="CIV"), 0, 'CASE DATA'!I117+'CASE DATA'!N117)</f>
        <v>0</v>
      </c>
    </row>
    <row r="118" spans="1:5" x14ac:dyDescent="0.25">
      <c r="A118" s="162">
        <f xml:space="preserve"> 'CASE DATA'!A119</f>
        <v>0</v>
      </c>
      <c r="B118" s="185">
        <f xml:space="preserve"> 'CASE DATA'!F118</f>
        <v>0</v>
      </c>
      <c r="C118" s="166">
        <f xml:space="preserve"> IF(OR(B118="DISM", B118="JWV", B118="JUV", B118="CIV"), SUM('CASE DATA'!I118:R118), 'CASE DATA'!K118+'CASE DATA'!O118)</f>
        <v>0</v>
      </c>
      <c r="D118" s="167">
        <f xml:space="preserve"> IF(OR(B118="DISM", B118="JWV", B118="JUV", B118="CIV"), 0, 'CASE DATA'!J118+'CASE DATA'!L118+'CASE DATA'!M118+'CASE DATA'!P118+'CASE DATA'!Q118+'CASE DATA'!R118)</f>
        <v>0</v>
      </c>
      <c r="E118" s="168">
        <f xml:space="preserve"> IF(OR(B118="DISM", B118="JWV", B118="JUV", B118="CIV"), 0, 'CASE DATA'!I118+'CASE DATA'!N118)</f>
        <v>0</v>
      </c>
    </row>
    <row r="119" spans="1:5" x14ac:dyDescent="0.25">
      <c r="A119" s="162">
        <f xml:space="preserve"> 'CASE DATA'!A120</f>
        <v>0</v>
      </c>
      <c r="B119" s="185">
        <f xml:space="preserve"> 'CASE DATA'!F119</f>
        <v>0</v>
      </c>
      <c r="C119" s="166">
        <f xml:space="preserve"> IF(OR(B119="DISM", B119="JWV", B119="JUV", B119="CIV"), SUM('CASE DATA'!I119:R119), 'CASE DATA'!K119+'CASE DATA'!O119)</f>
        <v>0</v>
      </c>
      <c r="D119" s="167">
        <f xml:space="preserve"> IF(OR(B119="DISM", B119="JWV", B119="JUV", B119="CIV"), 0, 'CASE DATA'!J119+'CASE DATA'!L119+'CASE DATA'!M119+'CASE DATA'!P119+'CASE DATA'!Q119+'CASE DATA'!R119)</f>
        <v>0</v>
      </c>
      <c r="E119" s="168">
        <f xml:space="preserve"> IF(OR(B119="DISM", B119="JWV", B119="JUV", B119="CIV"), 0, 'CASE DATA'!I119+'CASE DATA'!N119)</f>
        <v>0</v>
      </c>
    </row>
    <row r="120" spans="1:5" x14ac:dyDescent="0.25">
      <c r="A120" s="162">
        <f xml:space="preserve"> 'CASE DATA'!A121</f>
        <v>0</v>
      </c>
      <c r="B120" s="185">
        <f xml:space="preserve"> 'CASE DATA'!F120</f>
        <v>0</v>
      </c>
      <c r="C120" s="166">
        <f xml:space="preserve"> IF(OR(B120="DISM", B120="JWV", B120="JUV", B120="CIV"), SUM('CASE DATA'!I120:R120), 'CASE DATA'!K120+'CASE DATA'!O120)</f>
        <v>0</v>
      </c>
      <c r="D120" s="167">
        <f xml:space="preserve"> IF(OR(B120="DISM", B120="JWV", B120="JUV", B120="CIV"), 0, 'CASE DATA'!J120+'CASE DATA'!L120+'CASE DATA'!M120+'CASE DATA'!P120+'CASE DATA'!Q120+'CASE DATA'!R120)</f>
        <v>0</v>
      </c>
      <c r="E120" s="168">
        <f xml:space="preserve"> IF(OR(B120="DISM", B120="JWV", B120="JUV", B120="CIV"), 0, 'CASE DATA'!I120+'CASE DATA'!N120)</f>
        <v>0</v>
      </c>
    </row>
    <row r="121" spans="1:5" x14ac:dyDescent="0.25">
      <c r="A121" s="162">
        <f xml:space="preserve"> 'CASE DATA'!A122</f>
        <v>0</v>
      </c>
      <c r="B121" s="185">
        <f xml:space="preserve"> 'CASE DATA'!F121</f>
        <v>0</v>
      </c>
      <c r="C121" s="166">
        <f xml:space="preserve"> IF(OR(B121="DISM", B121="JWV", B121="JUV", B121="CIV"), SUM('CASE DATA'!I121:R121), 'CASE DATA'!K121+'CASE DATA'!O121)</f>
        <v>0</v>
      </c>
      <c r="D121" s="167">
        <f xml:space="preserve"> IF(OR(B121="DISM", B121="JWV", B121="JUV", B121="CIV"), 0, 'CASE DATA'!J121+'CASE DATA'!L121+'CASE DATA'!M121+'CASE DATA'!P121+'CASE DATA'!Q121+'CASE DATA'!R121)</f>
        <v>0</v>
      </c>
      <c r="E121" s="168">
        <f xml:space="preserve"> IF(OR(B121="DISM", B121="JWV", B121="JUV", B121="CIV"), 0, 'CASE DATA'!I121+'CASE DATA'!N121)</f>
        <v>0</v>
      </c>
    </row>
    <row r="122" spans="1:5" x14ac:dyDescent="0.25">
      <c r="A122" s="162">
        <f xml:space="preserve"> 'CASE DATA'!A123</f>
        <v>0</v>
      </c>
      <c r="B122" s="185">
        <f xml:space="preserve"> 'CASE DATA'!F122</f>
        <v>0</v>
      </c>
      <c r="C122" s="166">
        <f xml:space="preserve"> IF(OR(B122="DISM", B122="JWV", B122="JUV", B122="CIV"), SUM('CASE DATA'!I122:R122), 'CASE DATA'!K122+'CASE DATA'!O122)</f>
        <v>0</v>
      </c>
      <c r="D122" s="167">
        <f xml:space="preserve"> IF(OR(B122="DISM", B122="JWV", B122="JUV", B122="CIV"), 0, 'CASE DATA'!J122+'CASE DATA'!L122+'CASE DATA'!M122+'CASE DATA'!P122+'CASE DATA'!Q122+'CASE DATA'!R122)</f>
        <v>0</v>
      </c>
      <c r="E122" s="168">
        <f xml:space="preserve"> IF(OR(B122="DISM", B122="JWV", B122="JUV", B122="CIV"), 0, 'CASE DATA'!I122+'CASE DATA'!N122)</f>
        <v>0</v>
      </c>
    </row>
    <row r="123" spans="1:5" x14ac:dyDescent="0.25">
      <c r="A123" s="162">
        <f xml:space="preserve"> 'CASE DATA'!A124</f>
        <v>0</v>
      </c>
      <c r="B123" s="185">
        <f xml:space="preserve"> 'CASE DATA'!F123</f>
        <v>0</v>
      </c>
      <c r="C123" s="166">
        <f xml:space="preserve"> IF(OR(B123="DISM", B123="JWV", B123="JUV", B123="CIV"), SUM('CASE DATA'!I123:R123), 'CASE DATA'!K123+'CASE DATA'!O123)</f>
        <v>0</v>
      </c>
      <c r="D123" s="167">
        <f xml:space="preserve"> IF(OR(B123="DISM", B123="JWV", B123="JUV", B123="CIV"), 0, 'CASE DATA'!J123+'CASE DATA'!L123+'CASE DATA'!M123+'CASE DATA'!P123+'CASE DATA'!Q123+'CASE DATA'!R123)</f>
        <v>0</v>
      </c>
      <c r="E123" s="168">
        <f xml:space="preserve"> IF(OR(B123="DISM", B123="JWV", B123="JUV", B123="CIV"), 0, 'CASE DATA'!I123+'CASE DATA'!N123)</f>
        <v>0</v>
      </c>
    </row>
    <row r="124" spans="1:5" x14ac:dyDescent="0.25">
      <c r="A124" s="162">
        <f xml:space="preserve"> 'CASE DATA'!A125</f>
        <v>0</v>
      </c>
      <c r="B124" s="185">
        <f xml:space="preserve"> 'CASE DATA'!F124</f>
        <v>0</v>
      </c>
      <c r="C124" s="166">
        <f xml:space="preserve"> IF(OR(B124="DISM", B124="JWV", B124="JUV", B124="CIV"), SUM('CASE DATA'!I124:R124), 'CASE DATA'!K124+'CASE DATA'!O124)</f>
        <v>0</v>
      </c>
      <c r="D124" s="167">
        <f xml:space="preserve"> IF(OR(B124="DISM", B124="JWV", B124="JUV", B124="CIV"), 0, 'CASE DATA'!J124+'CASE DATA'!L124+'CASE DATA'!M124+'CASE DATA'!P124+'CASE DATA'!Q124+'CASE DATA'!R124)</f>
        <v>0</v>
      </c>
      <c r="E124" s="168">
        <f xml:space="preserve"> IF(OR(B124="DISM", B124="JWV", B124="JUV", B124="CIV"), 0, 'CASE DATA'!I124+'CASE DATA'!N124)</f>
        <v>0</v>
      </c>
    </row>
    <row r="125" spans="1:5" x14ac:dyDescent="0.25">
      <c r="A125" s="162">
        <f xml:space="preserve"> 'CASE DATA'!A126</f>
        <v>0</v>
      </c>
      <c r="B125" s="185">
        <f xml:space="preserve"> 'CASE DATA'!F125</f>
        <v>0</v>
      </c>
      <c r="C125" s="166">
        <f xml:space="preserve"> IF(OR(B125="DISM", B125="JWV", B125="JUV", B125="CIV"), SUM('CASE DATA'!I125:R125), 'CASE DATA'!K125+'CASE DATA'!O125)</f>
        <v>0</v>
      </c>
      <c r="D125" s="167">
        <f xml:space="preserve"> IF(OR(B125="DISM", B125="JWV", B125="JUV", B125="CIV"), 0, 'CASE DATA'!J125+'CASE DATA'!L125+'CASE DATA'!M125+'CASE DATA'!P125+'CASE DATA'!Q125+'CASE DATA'!R125)</f>
        <v>0</v>
      </c>
      <c r="E125" s="168">
        <f xml:space="preserve"> IF(OR(B125="DISM", B125="JWV", B125="JUV", B125="CIV"), 0, 'CASE DATA'!I125+'CASE DATA'!N125)</f>
        <v>0</v>
      </c>
    </row>
    <row r="126" spans="1:5" x14ac:dyDescent="0.25">
      <c r="A126" s="162">
        <f xml:space="preserve"> 'CASE DATA'!A127</f>
        <v>0</v>
      </c>
      <c r="B126" s="185">
        <f xml:space="preserve"> 'CASE DATA'!F126</f>
        <v>0</v>
      </c>
      <c r="C126" s="166">
        <f xml:space="preserve"> IF(OR(B126="DISM", B126="JWV", B126="JUV", B126="CIV"), SUM('CASE DATA'!I126:R126), 'CASE DATA'!K126+'CASE DATA'!O126)</f>
        <v>0</v>
      </c>
      <c r="D126" s="167">
        <f xml:space="preserve"> IF(OR(B126="DISM", B126="JWV", B126="JUV", B126="CIV"), 0, 'CASE DATA'!J126+'CASE DATA'!L126+'CASE DATA'!M126+'CASE DATA'!P126+'CASE DATA'!Q126+'CASE DATA'!R126)</f>
        <v>0</v>
      </c>
      <c r="E126" s="168">
        <f xml:space="preserve"> IF(OR(B126="DISM", B126="JWV", B126="JUV", B126="CIV"), 0, 'CASE DATA'!I126+'CASE DATA'!N126)</f>
        <v>0</v>
      </c>
    </row>
    <row r="127" spans="1:5" x14ac:dyDescent="0.25">
      <c r="A127" s="162">
        <f xml:space="preserve"> 'CASE DATA'!A128</f>
        <v>0</v>
      </c>
      <c r="B127" s="185">
        <f xml:space="preserve"> 'CASE DATA'!F127</f>
        <v>0</v>
      </c>
      <c r="C127" s="166">
        <f xml:space="preserve"> IF(OR(B127="DISM", B127="JWV", B127="JUV", B127="CIV"), SUM('CASE DATA'!I127:R127), 'CASE DATA'!K127+'CASE DATA'!O127)</f>
        <v>0</v>
      </c>
      <c r="D127" s="167">
        <f xml:space="preserve"> IF(OR(B127="DISM", B127="JWV", B127="JUV", B127="CIV"), 0, 'CASE DATA'!J127+'CASE DATA'!L127+'CASE DATA'!M127+'CASE DATA'!P127+'CASE DATA'!Q127+'CASE DATA'!R127)</f>
        <v>0</v>
      </c>
      <c r="E127" s="168">
        <f xml:space="preserve"> IF(OR(B127="DISM", B127="JWV", B127="JUV", B127="CIV"), 0, 'CASE DATA'!I127+'CASE DATA'!N127)</f>
        <v>0</v>
      </c>
    </row>
    <row r="128" spans="1:5" x14ac:dyDescent="0.25">
      <c r="A128" s="162">
        <f xml:space="preserve"> 'CASE DATA'!A129</f>
        <v>0</v>
      </c>
      <c r="B128" s="185">
        <f xml:space="preserve"> 'CASE DATA'!F128</f>
        <v>0</v>
      </c>
      <c r="C128" s="166">
        <f xml:space="preserve"> IF(OR(B128="DISM", B128="JWV", B128="JUV", B128="CIV"), SUM('CASE DATA'!I128:R128), 'CASE DATA'!K128+'CASE DATA'!O128)</f>
        <v>0</v>
      </c>
      <c r="D128" s="167">
        <f xml:space="preserve"> IF(OR(B128="DISM", B128="JWV", B128="JUV", B128="CIV"), 0, 'CASE DATA'!J128+'CASE DATA'!L128+'CASE DATA'!M128+'CASE DATA'!P128+'CASE DATA'!Q128+'CASE DATA'!R128)</f>
        <v>0</v>
      </c>
      <c r="E128" s="168">
        <f xml:space="preserve"> IF(OR(B128="DISM", B128="JWV", B128="JUV", B128="CIV"), 0, 'CASE DATA'!I128+'CASE DATA'!N128)</f>
        <v>0</v>
      </c>
    </row>
    <row r="129" spans="1:5" x14ac:dyDescent="0.25">
      <c r="A129" s="162">
        <f xml:space="preserve"> 'CASE DATA'!A130</f>
        <v>0</v>
      </c>
      <c r="B129" s="185">
        <f xml:space="preserve"> 'CASE DATA'!F129</f>
        <v>0</v>
      </c>
      <c r="C129" s="166">
        <f xml:space="preserve"> IF(OR(B129="DISM", B129="JWV", B129="JUV", B129="CIV"), SUM('CASE DATA'!I129:R129), 'CASE DATA'!K129+'CASE DATA'!O129)</f>
        <v>0</v>
      </c>
      <c r="D129" s="167">
        <f xml:space="preserve"> IF(OR(B129="DISM", B129="JWV", B129="JUV", B129="CIV"), 0, 'CASE DATA'!J129+'CASE DATA'!L129+'CASE DATA'!M129+'CASE DATA'!P129+'CASE DATA'!Q129+'CASE DATA'!R129)</f>
        <v>0</v>
      </c>
      <c r="E129" s="168">
        <f xml:space="preserve"> IF(OR(B129="DISM", B129="JWV", B129="JUV", B129="CIV"), 0, 'CASE DATA'!I129+'CASE DATA'!N129)</f>
        <v>0</v>
      </c>
    </row>
    <row r="130" spans="1:5" x14ac:dyDescent="0.25">
      <c r="A130" s="162">
        <f xml:space="preserve"> 'CASE DATA'!A131</f>
        <v>0</v>
      </c>
      <c r="B130" s="185">
        <f xml:space="preserve"> 'CASE DATA'!F130</f>
        <v>0</v>
      </c>
      <c r="C130" s="166">
        <f xml:space="preserve"> IF(OR(B130="DISM", B130="JWV", B130="JUV", B130="CIV"), SUM('CASE DATA'!I130:R130), 'CASE DATA'!K130+'CASE DATA'!O130)</f>
        <v>0</v>
      </c>
      <c r="D130" s="167">
        <f xml:space="preserve"> IF(OR(B130="DISM", B130="JWV", B130="JUV", B130="CIV"), 0, 'CASE DATA'!J130+'CASE DATA'!L130+'CASE DATA'!M130+'CASE DATA'!P130+'CASE DATA'!Q130+'CASE DATA'!R130)</f>
        <v>0</v>
      </c>
      <c r="E130" s="168">
        <f xml:space="preserve"> IF(OR(B130="DISM", B130="JWV", B130="JUV", B130="CIV"), 0, 'CASE DATA'!I130+'CASE DATA'!N130)</f>
        <v>0</v>
      </c>
    </row>
    <row r="131" spans="1:5" x14ac:dyDescent="0.25">
      <c r="A131" s="162">
        <f xml:space="preserve"> 'CASE DATA'!A132</f>
        <v>0</v>
      </c>
      <c r="B131" s="185">
        <f xml:space="preserve"> 'CASE DATA'!F131</f>
        <v>0</v>
      </c>
      <c r="C131" s="166">
        <f xml:space="preserve"> IF(OR(B131="DISM", B131="JWV", B131="JUV", B131="CIV"), SUM('CASE DATA'!I131:R131), 'CASE DATA'!K131+'CASE DATA'!O131)</f>
        <v>0</v>
      </c>
      <c r="D131" s="167">
        <f xml:space="preserve"> IF(OR(B131="DISM", B131="JWV", B131="JUV", B131="CIV"), 0, 'CASE DATA'!J131+'CASE DATA'!L131+'CASE DATA'!M131+'CASE DATA'!P131+'CASE DATA'!Q131+'CASE DATA'!R131)</f>
        <v>0</v>
      </c>
      <c r="E131" s="168">
        <f xml:space="preserve"> IF(OR(B131="DISM", B131="JWV", B131="JUV", B131="CIV"), 0, 'CASE DATA'!I131+'CASE DATA'!N131)</f>
        <v>0</v>
      </c>
    </row>
    <row r="132" spans="1:5" x14ac:dyDescent="0.25">
      <c r="A132" s="162">
        <f xml:space="preserve"> 'CASE DATA'!A133</f>
        <v>0</v>
      </c>
      <c r="B132" s="185">
        <f xml:space="preserve"> 'CASE DATA'!F132</f>
        <v>0</v>
      </c>
      <c r="C132" s="166">
        <f xml:space="preserve"> IF(OR(B132="DISM", B132="JWV", B132="JUV", B132="CIV"), SUM('CASE DATA'!I132:R132), 'CASE DATA'!K132+'CASE DATA'!O132)</f>
        <v>0</v>
      </c>
      <c r="D132" s="167">
        <f xml:space="preserve"> IF(OR(B132="DISM", B132="JWV", B132="JUV", B132="CIV"), 0, 'CASE DATA'!J132+'CASE DATA'!L132+'CASE DATA'!M132+'CASE DATA'!P132+'CASE DATA'!Q132+'CASE DATA'!R132)</f>
        <v>0</v>
      </c>
      <c r="E132" s="168">
        <f xml:space="preserve"> IF(OR(B132="DISM", B132="JWV", B132="JUV", B132="CIV"), 0, 'CASE DATA'!I132+'CASE DATA'!N132)</f>
        <v>0</v>
      </c>
    </row>
    <row r="133" spans="1:5" x14ac:dyDescent="0.25">
      <c r="A133" s="162">
        <f xml:space="preserve"> 'CASE DATA'!A134</f>
        <v>0</v>
      </c>
      <c r="B133" s="185">
        <f xml:space="preserve"> 'CASE DATA'!F133</f>
        <v>0</v>
      </c>
      <c r="C133" s="166">
        <f xml:space="preserve"> IF(OR(B133="DISM", B133="JWV", B133="JUV", B133="CIV"), SUM('CASE DATA'!I133:R133), 'CASE DATA'!K133+'CASE DATA'!O133)</f>
        <v>0</v>
      </c>
      <c r="D133" s="167">
        <f xml:space="preserve"> IF(OR(B133="DISM", B133="JWV", B133="JUV", B133="CIV"), 0, 'CASE DATA'!J133+'CASE DATA'!L133+'CASE DATA'!M133+'CASE DATA'!P133+'CASE DATA'!Q133+'CASE DATA'!R133)</f>
        <v>0</v>
      </c>
      <c r="E133" s="168">
        <f xml:space="preserve"> IF(OR(B133="DISM", B133="JWV", B133="JUV", B133="CIV"), 0, 'CASE DATA'!I133+'CASE DATA'!N133)</f>
        <v>0</v>
      </c>
    </row>
    <row r="134" spans="1:5" x14ac:dyDescent="0.25">
      <c r="A134" s="162">
        <f xml:space="preserve"> 'CASE DATA'!A135</f>
        <v>0</v>
      </c>
      <c r="B134" s="185">
        <f xml:space="preserve"> 'CASE DATA'!F134</f>
        <v>0</v>
      </c>
      <c r="C134" s="166">
        <f xml:space="preserve"> IF(OR(B134="DISM", B134="JWV", B134="JUV", B134="CIV"), SUM('CASE DATA'!I134:R134), 'CASE DATA'!K134+'CASE DATA'!O134)</f>
        <v>0</v>
      </c>
      <c r="D134" s="167">
        <f xml:space="preserve"> IF(OR(B134="DISM", B134="JWV", B134="JUV", B134="CIV"), 0, 'CASE DATA'!J134+'CASE DATA'!L134+'CASE DATA'!M134+'CASE DATA'!P134+'CASE DATA'!Q134+'CASE DATA'!R134)</f>
        <v>0</v>
      </c>
      <c r="E134" s="168">
        <f xml:space="preserve"> IF(OR(B134="DISM", B134="JWV", B134="JUV", B134="CIV"), 0, 'CASE DATA'!I134+'CASE DATA'!N134)</f>
        <v>0</v>
      </c>
    </row>
    <row r="135" spans="1:5" x14ac:dyDescent="0.25">
      <c r="A135" s="162">
        <f xml:space="preserve"> 'CASE DATA'!A136</f>
        <v>0</v>
      </c>
      <c r="B135" s="185">
        <f xml:space="preserve"> 'CASE DATA'!F135</f>
        <v>0</v>
      </c>
      <c r="C135" s="166">
        <f xml:space="preserve"> IF(OR(B135="DISM", B135="JWV", B135="JUV", B135="CIV"), SUM('CASE DATA'!I135:R135), 'CASE DATA'!K135+'CASE DATA'!O135)</f>
        <v>0</v>
      </c>
      <c r="D135" s="167">
        <f xml:space="preserve"> IF(OR(B135="DISM", B135="JWV", B135="JUV", B135="CIV"), 0, 'CASE DATA'!J135+'CASE DATA'!L135+'CASE DATA'!M135+'CASE DATA'!P135+'CASE DATA'!Q135+'CASE DATA'!R135)</f>
        <v>0</v>
      </c>
      <c r="E135" s="168">
        <f xml:space="preserve"> IF(OR(B135="DISM", B135="JWV", B135="JUV", B135="CIV"), 0, 'CASE DATA'!I135+'CASE DATA'!N135)</f>
        <v>0</v>
      </c>
    </row>
    <row r="136" spans="1:5" x14ac:dyDescent="0.25">
      <c r="A136" s="162">
        <f xml:space="preserve"> 'CASE DATA'!A137</f>
        <v>0</v>
      </c>
      <c r="B136" s="185">
        <f xml:space="preserve"> 'CASE DATA'!F136</f>
        <v>0</v>
      </c>
      <c r="C136" s="166">
        <f xml:space="preserve"> IF(OR(B136="DISM", B136="JWV", B136="JUV", B136="CIV"), SUM('CASE DATA'!I136:R136), 'CASE DATA'!K136+'CASE DATA'!O136)</f>
        <v>0</v>
      </c>
      <c r="D136" s="167">
        <f xml:space="preserve"> IF(OR(B136="DISM", B136="JWV", B136="JUV", B136="CIV"), 0, 'CASE DATA'!J136+'CASE DATA'!L136+'CASE DATA'!M136+'CASE DATA'!P136+'CASE DATA'!Q136+'CASE DATA'!R136)</f>
        <v>0</v>
      </c>
      <c r="E136" s="168">
        <f xml:space="preserve"> IF(OR(B136="DISM", B136="JWV", B136="JUV", B136="CIV"), 0, 'CASE DATA'!I136+'CASE DATA'!N136)</f>
        <v>0</v>
      </c>
    </row>
    <row r="137" spans="1:5" x14ac:dyDescent="0.25">
      <c r="A137" s="162">
        <f xml:space="preserve"> 'CASE DATA'!A138</f>
        <v>0</v>
      </c>
      <c r="B137" s="185">
        <f xml:space="preserve"> 'CASE DATA'!F137</f>
        <v>0</v>
      </c>
      <c r="C137" s="166">
        <f xml:space="preserve"> IF(OR(B137="DISM", B137="JWV", B137="JUV", B137="CIV"), SUM('CASE DATA'!I137:R137), 'CASE DATA'!K137+'CASE DATA'!O137)</f>
        <v>0</v>
      </c>
      <c r="D137" s="167">
        <f xml:space="preserve"> IF(OR(B137="DISM", B137="JWV", B137="JUV", B137="CIV"), 0, 'CASE DATA'!J137+'CASE DATA'!L137+'CASE DATA'!M137+'CASE DATA'!P137+'CASE DATA'!Q137+'CASE DATA'!R137)</f>
        <v>0</v>
      </c>
      <c r="E137" s="168">
        <f xml:space="preserve"> IF(OR(B137="DISM", B137="JWV", B137="JUV", B137="CIV"), 0, 'CASE DATA'!I137+'CASE DATA'!N137)</f>
        <v>0</v>
      </c>
    </row>
    <row r="138" spans="1:5" x14ac:dyDescent="0.25">
      <c r="A138" s="162">
        <f xml:space="preserve"> 'CASE DATA'!A139</f>
        <v>0</v>
      </c>
      <c r="B138" s="185">
        <f xml:space="preserve"> 'CASE DATA'!F138</f>
        <v>0</v>
      </c>
      <c r="C138" s="166">
        <f xml:space="preserve"> IF(OR(B138="DISM", B138="JWV", B138="JUV", B138="CIV"), SUM('CASE DATA'!I138:R138), 'CASE DATA'!K138+'CASE DATA'!O138)</f>
        <v>0</v>
      </c>
      <c r="D138" s="167">
        <f xml:space="preserve"> IF(OR(B138="DISM", B138="JWV", B138="JUV", B138="CIV"), 0, 'CASE DATA'!J138+'CASE DATA'!L138+'CASE DATA'!M138+'CASE DATA'!P138+'CASE DATA'!Q138+'CASE DATA'!R138)</f>
        <v>0</v>
      </c>
      <c r="E138" s="168">
        <f xml:space="preserve"> IF(OR(B138="DISM", B138="JWV", B138="JUV", B138="CIV"), 0, 'CASE DATA'!I138+'CASE DATA'!N138)</f>
        <v>0</v>
      </c>
    </row>
    <row r="139" spans="1:5" x14ac:dyDescent="0.25">
      <c r="A139" s="162">
        <f xml:space="preserve"> 'CASE DATA'!A140</f>
        <v>0</v>
      </c>
      <c r="B139" s="185">
        <f xml:space="preserve"> 'CASE DATA'!F139</f>
        <v>0</v>
      </c>
      <c r="C139" s="166">
        <f xml:space="preserve"> IF(OR(B139="DISM", B139="JWV", B139="JUV", B139="CIV"), SUM('CASE DATA'!I139:R139), 'CASE DATA'!K139+'CASE DATA'!O139)</f>
        <v>0</v>
      </c>
      <c r="D139" s="167">
        <f xml:space="preserve"> IF(OR(B139="DISM", B139="JWV", B139="JUV", B139="CIV"), 0, 'CASE DATA'!J139+'CASE DATA'!L139+'CASE DATA'!M139+'CASE DATA'!P139+'CASE DATA'!Q139+'CASE DATA'!R139)</f>
        <v>0</v>
      </c>
      <c r="E139" s="168">
        <f xml:space="preserve"> IF(OR(B139="DISM", B139="JWV", B139="JUV", B139="CIV"), 0, 'CASE DATA'!I139+'CASE DATA'!N139)</f>
        <v>0</v>
      </c>
    </row>
    <row r="140" spans="1:5" x14ac:dyDescent="0.25">
      <c r="A140" s="162">
        <f xml:space="preserve"> 'CASE DATA'!A141</f>
        <v>0</v>
      </c>
      <c r="B140" s="185">
        <f xml:space="preserve"> 'CASE DATA'!F140</f>
        <v>0</v>
      </c>
      <c r="C140" s="166">
        <f xml:space="preserve"> IF(OR(B140="DISM", B140="JWV", B140="JUV", B140="CIV"), SUM('CASE DATA'!I140:R140), 'CASE DATA'!K140+'CASE DATA'!O140)</f>
        <v>0</v>
      </c>
      <c r="D140" s="167">
        <f xml:space="preserve"> IF(OR(B140="DISM", B140="JWV", B140="JUV", B140="CIV"), 0, 'CASE DATA'!J140+'CASE DATA'!L140+'CASE DATA'!M140+'CASE DATA'!P140+'CASE DATA'!Q140+'CASE DATA'!R140)</f>
        <v>0</v>
      </c>
      <c r="E140" s="168">
        <f xml:space="preserve"> IF(OR(B140="DISM", B140="JWV", B140="JUV", B140="CIV"), 0, 'CASE DATA'!I140+'CASE DATA'!N140)</f>
        <v>0</v>
      </c>
    </row>
    <row r="141" spans="1:5" x14ac:dyDescent="0.25">
      <c r="A141" s="162">
        <f xml:space="preserve"> 'CASE DATA'!A142</f>
        <v>0</v>
      </c>
      <c r="B141" s="185">
        <f xml:space="preserve"> 'CASE DATA'!F141</f>
        <v>0</v>
      </c>
      <c r="C141" s="166">
        <f xml:space="preserve"> IF(OR(B141="DISM", B141="JWV", B141="JUV", B141="CIV"), SUM('CASE DATA'!I141:R141), 'CASE DATA'!K141+'CASE DATA'!O141)</f>
        <v>0</v>
      </c>
      <c r="D141" s="167">
        <f xml:space="preserve"> IF(OR(B141="DISM", B141="JWV", B141="JUV", B141="CIV"), 0, 'CASE DATA'!J141+'CASE DATA'!L141+'CASE DATA'!M141+'CASE DATA'!P141+'CASE DATA'!Q141+'CASE DATA'!R141)</f>
        <v>0</v>
      </c>
      <c r="E141" s="168">
        <f xml:space="preserve"> IF(OR(B141="DISM", B141="JWV", B141="JUV", B141="CIV"), 0, 'CASE DATA'!I141+'CASE DATA'!N141)</f>
        <v>0</v>
      </c>
    </row>
    <row r="142" spans="1:5" x14ac:dyDescent="0.25">
      <c r="A142" s="162">
        <f xml:space="preserve"> 'CASE DATA'!A143</f>
        <v>0</v>
      </c>
      <c r="B142" s="185">
        <f xml:space="preserve"> 'CASE DATA'!F142</f>
        <v>0</v>
      </c>
      <c r="C142" s="166">
        <f xml:space="preserve"> IF(OR(B142="DISM", B142="JWV", B142="JUV", B142="CIV"), SUM('CASE DATA'!I142:R142), 'CASE DATA'!K142+'CASE DATA'!O142)</f>
        <v>0</v>
      </c>
      <c r="D142" s="167">
        <f xml:space="preserve"> IF(OR(B142="DISM", B142="JWV", B142="JUV", B142="CIV"), 0, 'CASE DATA'!J142+'CASE DATA'!L142+'CASE DATA'!M142+'CASE DATA'!P142+'CASE DATA'!Q142+'CASE DATA'!R142)</f>
        <v>0</v>
      </c>
      <c r="E142" s="168">
        <f xml:space="preserve"> IF(OR(B142="DISM", B142="JWV", B142="JUV", B142="CIV"), 0, 'CASE DATA'!I142+'CASE DATA'!N142)</f>
        <v>0</v>
      </c>
    </row>
    <row r="143" spans="1:5" x14ac:dyDescent="0.25">
      <c r="A143" s="162">
        <f xml:space="preserve"> 'CASE DATA'!A144</f>
        <v>0</v>
      </c>
      <c r="B143" s="185">
        <f xml:space="preserve"> 'CASE DATA'!F143</f>
        <v>0</v>
      </c>
      <c r="C143" s="166">
        <f xml:space="preserve"> IF(OR(B143="DISM", B143="JWV", B143="JUV", B143="CIV"), SUM('CASE DATA'!I143:R143), 'CASE DATA'!K143+'CASE DATA'!O143)</f>
        <v>0</v>
      </c>
      <c r="D143" s="167">
        <f xml:space="preserve"> IF(OR(B143="DISM", B143="JWV", B143="JUV", B143="CIV"), 0, 'CASE DATA'!J143+'CASE DATA'!L143+'CASE DATA'!M143+'CASE DATA'!P143+'CASE DATA'!Q143+'CASE DATA'!R143)</f>
        <v>0</v>
      </c>
      <c r="E143" s="168">
        <f xml:space="preserve"> IF(OR(B143="DISM", B143="JWV", B143="JUV", B143="CIV"), 0, 'CASE DATA'!I143+'CASE DATA'!N143)</f>
        <v>0</v>
      </c>
    </row>
    <row r="144" spans="1:5" x14ac:dyDescent="0.25">
      <c r="A144" s="162">
        <f xml:space="preserve"> 'CASE DATA'!A145</f>
        <v>0</v>
      </c>
      <c r="B144" s="185">
        <f xml:space="preserve"> 'CASE DATA'!F144</f>
        <v>0</v>
      </c>
      <c r="C144" s="166">
        <f xml:space="preserve"> IF(OR(B144="DISM", B144="JWV", B144="JUV", B144="CIV"), SUM('CASE DATA'!I144:R144), 'CASE DATA'!K144+'CASE DATA'!O144)</f>
        <v>0</v>
      </c>
      <c r="D144" s="167">
        <f xml:space="preserve"> IF(OR(B144="DISM", B144="JWV", B144="JUV", B144="CIV"), 0, 'CASE DATA'!J144+'CASE DATA'!L144+'CASE DATA'!M144+'CASE DATA'!P144+'CASE DATA'!Q144+'CASE DATA'!R144)</f>
        <v>0</v>
      </c>
      <c r="E144" s="168">
        <f xml:space="preserve"> IF(OR(B144="DISM", B144="JWV", B144="JUV", B144="CIV"), 0, 'CASE DATA'!I144+'CASE DATA'!N144)</f>
        <v>0</v>
      </c>
    </row>
    <row r="145" spans="1:5" x14ac:dyDescent="0.25">
      <c r="A145" s="162">
        <f xml:space="preserve"> 'CASE DATA'!A146</f>
        <v>0</v>
      </c>
      <c r="B145" s="185">
        <f xml:space="preserve"> 'CASE DATA'!F145</f>
        <v>0</v>
      </c>
      <c r="C145" s="166">
        <f xml:space="preserve"> IF(OR(B145="DISM", B145="JWV", B145="JUV", B145="CIV"), SUM('CASE DATA'!I145:R145), 'CASE DATA'!K145+'CASE DATA'!O145)</f>
        <v>0</v>
      </c>
      <c r="D145" s="167">
        <f xml:space="preserve"> IF(OR(B145="DISM", B145="JWV", B145="JUV", B145="CIV"), 0, 'CASE DATA'!J145+'CASE DATA'!L145+'CASE DATA'!M145+'CASE DATA'!P145+'CASE DATA'!Q145+'CASE DATA'!R145)</f>
        <v>0</v>
      </c>
      <c r="E145" s="168">
        <f xml:space="preserve"> IF(OR(B145="DISM", B145="JWV", B145="JUV", B145="CIV"), 0, 'CASE DATA'!I145+'CASE DATA'!N145)</f>
        <v>0</v>
      </c>
    </row>
    <row r="146" spans="1:5" x14ac:dyDescent="0.25">
      <c r="A146" s="162">
        <f xml:space="preserve"> 'CASE DATA'!A147</f>
        <v>0</v>
      </c>
      <c r="B146" s="185">
        <f xml:space="preserve"> 'CASE DATA'!F146</f>
        <v>0</v>
      </c>
      <c r="C146" s="166">
        <f xml:space="preserve"> IF(OR(B146="DISM", B146="JWV", B146="JUV", B146="CIV"), SUM('CASE DATA'!I146:R146), 'CASE DATA'!K146+'CASE DATA'!O146)</f>
        <v>0</v>
      </c>
      <c r="D146" s="167">
        <f xml:space="preserve"> IF(OR(B146="DISM", B146="JWV", B146="JUV", B146="CIV"), 0, 'CASE DATA'!J146+'CASE DATA'!L146+'CASE DATA'!M146+'CASE DATA'!P146+'CASE DATA'!Q146+'CASE DATA'!R146)</f>
        <v>0</v>
      </c>
      <c r="E146" s="168">
        <f xml:space="preserve"> IF(OR(B146="DISM", B146="JWV", B146="JUV", B146="CIV"), 0, 'CASE DATA'!I146+'CASE DATA'!N146)</f>
        <v>0</v>
      </c>
    </row>
    <row r="147" spans="1:5" x14ac:dyDescent="0.25">
      <c r="A147" s="162">
        <f xml:space="preserve"> 'CASE DATA'!A148</f>
        <v>0</v>
      </c>
      <c r="B147" s="185">
        <f xml:space="preserve"> 'CASE DATA'!F147</f>
        <v>0</v>
      </c>
      <c r="C147" s="166">
        <f xml:space="preserve"> IF(OR(B147="DISM", B147="JWV", B147="JUV", B147="CIV"), SUM('CASE DATA'!I147:R147), 'CASE DATA'!K147+'CASE DATA'!O147)</f>
        <v>0</v>
      </c>
      <c r="D147" s="167">
        <f xml:space="preserve"> IF(OR(B147="DISM", B147="JWV", B147="JUV", B147="CIV"), 0, 'CASE DATA'!J147+'CASE DATA'!L147+'CASE DATA'!M147+'CASE DATA'!P147+'CASE DATA'!Q147+'CASE DATA'!R147)</f>
        <v>0</v>
      </c>
      <c r="E147" s="168">
        <f xml:space="preserve"> IF(OR(B147="DISM", B147="JWV", B147="JUV", B147="CIV"), 0, 'CASE DATA'!I147+'CASE DATA'!N147)</f>
        <v>0</v>
      </c>
    </row>
    <row r="148" spans="1:5" x14ac:dyDescent="0.25">
      <c r="A148" s="162">
        <f xml:space="preserve"> 'CASE DATA'!A149</f>
        <v>0</v>
      </c>
      <c r="B148" s="185">
        <f xml:space="preserve"> 'CASE DATA'!F148</f>
        <v>0</v>
      </c>
      <c r="C148" s="166">
        <f xml:space="preserve"> IF(OR(B148="DISM", B148="JWV", B148="JUV", B148="CIV"), SUM('CASE DATA'!I148:R148), 'CASE DATA'!K148+'CASE DATA'!O148)</f>
        <v>0</v>
      </c>
      <c r="D148" s="167">
        <f xml:space="preserve"> IF(OR(B148="DISM", B148="JWV", B148="JUV", B148="CIV"), 0, 'CASE DATA'!J148+'CASE DATA'!L148+'CASE DATA'!M148+'CASE DATA'!P148+'CASE DATA'!Q148+'CASE DATA'!R148)</f>
        <v>0</v>
      </c>
      <c r="E148" s="168">
        <f xml:space="preserve"> IF(OR(B148="DISM", B148="JWV", B148="JUV", B148="CIV"), 0, 'CASE DATA'!I148+'CASE DATA'!N148)</f>
        <v>0</v>
      </c>
    </row>
    <row r="149" spans="1:5" x14ac:dyDescent="0.25">
      <c r="A149" s="162">
        <f xml:space="preserve"> 'CASE DATA'!A150</f>
        <v>0</v>
      </c>
      <c r="B149" s="185">
        <f xml:space="preserve"> 'CASE DATA'!F149</f>
        <v>0</v>
      </c>
      <c r="C149" s="166">
        <f xml:space="preserve"> IF(OR(B149="DISM", B149="JWV", B149="JUV", B149="CIV"), SUM('CASE DATA'!I149:R149), 'CASE DATA'!K149+'CASE DATA'!O149)</f>
        <v>0</v>
      </c>
      <c r="D149" s="167">
        <f xml:space="preserve"> IF(OR(B149="DISM", B149="JWV", B149="JUV", B149="CIV"), 0, 'CASE DATA'!J149+'CASE DATA'!L149+'CASE DATA'!M149+'CASE DATA'!P149+'CASE DATA'!Q149+'CASE DATA'!R149)</f>
        <v>0</v>
      </c>
      <c r="E149" s="168">
        <f xml:space="preserve"> IF(OR(B149="DISM", B149="JWV", B149="JUV", B149="CIV"), 0, 'CASE DATA'!I149+'CASE DATA'!N149)</f>
        <v>0</v>
      </c>
    </row>
    <row r="150" spans="1:5" x14ac:dyDescent="0.25">
      <c r="A150" s="162">
        <f xml:space="preserve"> 'CASE DATA'!A151</f>
        <v>0</v>
      </c>
      <c r="B150" s="185">
        <f xml:space="preserve"> 'CASE DATA'!F150</f>
        <v>0</v>
      </c>
      <c r="C150" s="166">
        <f xml:space="preserve"> IF(OR(B150="DISM", B150="JWV", B150="JUV", B150="CIV"), SUM('CASE DATA'!I150:R150), 'CASE DATA'!K150+'CASE DATA'!O150)</f>
        <v>0</v>
      </c>
      <c r="D150" s="167">
        <f xml:space="preserve"> IF(OR(B150="DISM", B150="JWV", B150="JUV", B150="CIV"), 0, 'CASE DATA'!J150+'CASE DATA'!L150+'CASE DATA'!M150+'CASE DATA'!P150+'CASE DATA'!Q150+'CASE DATA'!R150)</f>
        <v>0</v>
      </c>
      <c r="E150" s="168">
        <f xml:space="preserve"> IF(OR(B150="DISM", B150="JWV", B150="JUV", B150="CIV"), 0, 'CASE DATA'!I150+'CASE DATA'!N150)</f>
        <v>0</v>
      </c>
    </row>
    <row r="151" spans="1:5" x14ac:dyDescent="0.25">
      <c r="A151" s="162">
        <f xml:space="preserve"> 'CASE DATA'!A152</f>
        <v>0</v>
      </c>
      <c r="B151" s="185">
        <f xml:space="preserve"> 'CASE DATA'!F151</f>
        <v>0</v>
      </c>
      <c r="C151" s="166">
        <f xml:space="preserve"> IF(OR(B151="DISM", B151="JWV", B151="JUV", B151="CIV"), SUM('CASE DATA'!I151:R151), 'CASE DATA'!K151+'CASE DATA'!O151)</f>
        <v>0</v>
      </c>
      <c r="D151" s="167">
        <f xml:space="preserve"> IF(OR(B151="DISM", B151="JWV", B151="JUV", B151="CIV"), 0, 'CASE DATA'!J151+'CASE DATA'!L151+'CASE DATA'!M151+'CASE DATA'!P151+'CASE DATA'!Q151+'CASE DATA'!R151)</f>
        <v>0</v>
      </c>
      <c r="E151" s="168">
        <f xml:space="preserve"> IF(OR(B151="DISM", B151="JWV", B151="JUV", B151="CIV"), 0, 'CASE DATA'!I151+'CASE DATA'!N151)</f>
        <v>0</v>
      </c>
    </row>
    <row r="152" spans="1:5" x14ac:dyDescent="0.25">
      <c r="A152" s="162">
        <f xml:space="preserve"> 'CASE DATA'!A153</f>
        <v>0</v>
      </c>
      <c r="B152" s="185">
        <f xml:space="preserve"> 'CASE DATA'!F152</f>
        <v>0</v>
      </c>
      <c r="C152" s="166">
        <f xml:space="preserve"> IF(OR(B152="DISM", B152="JWV", B152="JUV", B152="CIV"), SUM('CASE DATA'!I152:R152), 'CASE DATA'!K152+'CASE DATA'!O152)</f>
        <v>0</v>
      </c>
      <c r="D152" s="167">
        <f xml:space="preserve"> IF(OR(B152="DISM", B152="JWV", B152="JUV", B152="CIV"), 0, 'CASE DATA'!J152+'CASE DATA'!L152+'CASE DATA'!M152+'CASE DATA'!P152+'CASE DATA'!Q152+'CASE DATA'!R152)</f>
        <v>0</v>
      </c>
      <c r="E152" s="168">
        <f xml:space="preserve"> IF(OR(B152="DISM", B152="JWV", B152="JUV", B152="CIV"), 0, 'CASE DATA'!I152+'CASE DATA'!N152)</f>
        <v>0</v>
      </c>
    </row>
    <row r="153" spans="1:5" x14ac:dyDescent="0.25">
      <c r="A153" s="162">
        <f xml:space="preserve"> 'CASE DATA'!A154</f>
        <v>0</v>
      </c>
      <c r="B153" s="185">
        <f xml:space="preserve"> 'CASE DATA'!F153</f>
        <v>0</v>
      </c>
      <c r="C153" s="166">
        <f xml:space="preserve"> IF(OR(B153="DISM", B153="JWV", B153="JUV", B153="CIV"), SUM('CASE DATA'!I153:R153), 'CASE DATA'!K153+'CASE DATA'!O153)</f>
        <v>0</v>
      </c>
      <c r="D153" s="167">
        <f xml:space="preserve"> IF(OR(B153="DISM", B153="JWV", B153="JUV", B153="CIV"), 0, 'CASE DATA'!J153+'CASE DATA'!L153+'CASE DATA'!M153+'CASE DATA'!P153+'CASE DATA'!Q153+'CASE DATA'!R153)</f>
        <v>0</v>
      </c>
      <c r="E153" s="168">
        <f xml:space="preserve"> IF(OR(B153="DISM", B153="JWV", B153="JUV", B153="CIV"), 0, 'CASE DATA'!I153+'CASE DATA'!N153)</f>
        <v>0</v>
      </c>
    </row>
    <row r="154" spans="1:5" x14ac:dyDescent="0.25">
      <c r="A154" s="162">
        <f xml:space="preserve"> 'CASE DATA'!A155</f>
        <v>0</v>
      </c>
      <c r="B154" s="185">
        <f xml:space="preserve"> 'CASE DATA'!F154</f>
        <v>0</v>
      </c>
      <c r="C154" s="166">
        <f xml:space="preserve"> IF(OR(B154="DISM", B154="JWV", B154="JUV", B154="CIV"), SUM('CASE DATA'!I154:R154), 'CASE DATA'!K154+'CASE DATA'!O154)</f>
        <v>0</v>
      </c>
      <c r="D154" s="167">
        <f xml:space="preserve"> IF(OR(B154="DISM", B154="JWV", B154="JUV", B154="CIV"), 0, 'CASE DATA'!J154+'CASE DATA'!L154+'CASE DATA'!M154+'CASE DATA'!P154+'CASE DATA'!Q154+'CASE DATA'!R154)</f>
        <v>0</v>
      </c>
      <c r="E154" s="168">
        <f xml:space="preserve"> IF(OR(B154="DISM", B154="JWV", B154="JUV", B154="CIV"), 0, 'CASE DATA'!I154+'CASE DATA'!N154)</f>
        <v>0</v>
      </c>
    </row>
    <row r="155" spans="1:5" x14ac:dyDescent="0.25">
      <c r="A155" s="162">
        <f xml:space="preserve"> 'CASE DATA'!A156</f>
        <v>0</v>
      </c>
      <c r="B155" s="185">
        <f xml:space="preserve"> 'CASE DATA'!F155</f>
        <v>0</v>
      </c>
      <c r="C155" s="166">
        <f xml:space="preserve"> IF(OR(B155="DISM", B155="JWV", B155="JUV", B155="CIV"), SUM('CASE DATA'!I155:R155), 'CASE DATA'!K155+'CASE DATA'!O155)</f>
        <v>0</v>
      </c>
      <c r="D155" s="167">
        <f xml:space="preserve"> IF(OR(B155="DISM", B155="JWV", B155="JUV", B155="CIV"), 0, 'CASE DATA'!J155+'CASE DATA'!L155+'CASE DATA'!M155+'CASE DATA'!P155+'CASE DATA'!Q155+'CASE DATA'!R155)</f>
        <v>0</v>
      </c>
      <c r="E155" s="168">
        <f xml:space="preserve"> IF(OR(B155="DISM", B155="JWV", B155="JUV", B155="CIV"), 0, 'CASE DATA'!I155+'CASE DATA'!N155)</f>
        <v>0</v>
      </c>
    </row>
    <row r="156" spans="1:5" x14ac:dyDescent="0.25">
      <c r="A156" s="162">
        <f xml:space="preserve"> 'CASE DATA'!A157</f>
        <v>0</v>
      </c>
      <c r="B156" s="185">
        <f xml:space="preserve"> 'CASE DATA'!F156</f>
        <v>0</v>
      </c>
      <c r="C156" s="166">
        <f xml:space="preserve"> IF(OR(B156="DISM", B156="JWV", B156="JUV", B156="CIV"), SUM('CASE DATA'!I156:R156), 'CASE DATA'!K156+'CASE DATA'!O156)</f>
        <v>0</v>
      </c>
      <c r="D156" s="167">
        <f xml:space="preserve"> IF(OR(B156="DISM", B156="JWV", B156="JUV", B156="CIV"), 0, 'CASE DATA'!J156+'CASE DATA'!L156+'CASE DATA'!M156+'CASE DATA'!P156+'CASE DATA'!Q156+'CASE DATA'!R156)</f>
        <v>0</v>
      </c>
      <c r="E156" s="168">
        <f xml:space="preserve"> IF(OR(B156="DISM", B156="JWV", B156="JUV", B156="CIV"), 0, 'CASE DATA'!I156+'CASE DATA'!N156)</f>
        <v>0</v>
      </c>
    </row>
    <row r="157" spans="1:5" x14ac:dyDescent="0.25">
      <c r="A157" s="162">
        <f xml:space="preserve"> 'CASE DATA'!A158</f>
        <v>0</v>
      </c>
      <c r="B157" s="185">
        <f xml:space="preserve"> 'CASE DATA'!F157</f>
        <v>0</v>
      </c>
      <c r="C157" s="166">
        <f xml:space="preserve"> IF(OR(B157="DISM", B157="JWV", B157="JUV", B157="CIV"), SUM('CASE DATA'!I157:R157), 'CASE DATA'!K157+'CASE DATA'!O157)</f>
        <v>0</v>
      </c>
      <c r="D157" s="167">
        <f xml:space="preserve"> IF(OR(B157="DISM", B157="JWV", B157="JUV", B157="CIV"), 0, 'CASE DATA'!J157+'CASE DATA'!L157+'CASE DATA'!M157+'CASE DATA'!P157+'CASE DATA'!Q157+'CASE DATA'!R157)</f>
        <v>0</v>
      </c>
      <c r="E157" s="168">
        <f xml:space="preserve"> IF(OR(B157="DISM", B157="JWV", B157="JUV", B157="CIV"), 0, 'CASE DATA'!I157+'CASE DATA'!N157)</f>
        <v>0</v>
      </c>
    </row>
    <row r="158" spans="1:5" x14ac:dyDescent="0.25">
      <c r="A158" s="162">
        <f xml:space="preserve"> 'CASE DATA'!A159</f>
        <v>0</v>
      </c>
      <c r="B158" s="185">
        <f xml:space="preserve"> 'CASE DATA'!F158</f>
        <v>0</v>
      </c>
      <c r="C158" s="166">
        <f xml:space="preserve"> IF(OR(B158="DISM", B158="JWV", B158="JUV", B158="CIV"), SUM('CASE DATA'!I158:R158), 'CASE DATA'!K158+'CASE DATA'!O158)</f>
        <v>0</v>
      </c>
      <c r="D158" s="167">
        <f xml:space="preserve"> IF(OR(B158="DISM", B158="JWV", B158="JUV", B158="CIV"), 0, 'CASE DATA'!J158+'CASE DATA'!L158+'CASE DATA'!M158+'CASE DATA'!P158+'CASE DATA'!Q158+'CASE DATA'!R158)</f>
        <v>0</v>
      </c>
      <c r="E158" s="168">
        <f xml:space="preserve"> IF(OR(B158="DISM", B158="JWV", B158="JUV", B158="CIV"), 0, 'CASE DATA'!I158+'CASE DATA'!N158)</f>
        <v>0</v>
      </c>
    </row>
    <row r="159" spans="1:5" x14ac:dyDescent="0.25">
      <c r="A159" s="162">
        <f xml:space="preserve"> 'CASE DATA'!A160</f>
        <v>0</v>
      </c>
      <c r="B159" s="185">
        <f xml:space="preserve"> 'CASE DATA'!F159</f>
        <v>0</v>
      </c>
      <c r="C159" s="166">
        <f xml:space="preserve"> IF(OR(B159="DISM", B159="JWV", B159="JUV", B159="CIV"), SUM('CASE DATA'!I159:R159), 'CASE DATA'!K159+'CASE DATA'!O159)</f>
        <v>0</v>
      </c>
      <c r="D159" s="167">
        <f xml:space="preserve"> IF(OR(B159="DISM", B159="JWV", B159="JUV", B159="CIV"), 0, 'CASE DATA'!J159+'CASE DATA'!L159+'CASE DATA'!M159+'CASE DATA'!P159+'CASE DATA'!Q159+'CASE DATA'!R159)</f>
        <v>0</v>
      </c>
      <c r="E159" s="168">
        <f xml:space="preserve"> IF(OR(B159="DISM", B159="JWV", B159="JUV", B159="CIV"), 0, 'CASE DATA'!I159+'CASE DATA'!N159)</f>
        <v>0</v>
      </c>
    </row>
    <row r="160" spans="1:5" x14ac:dyDescent="0.25">
      <c r="A160" s="162">
        <f xml:space="preserve"> 'CASE DATA'!A161</f>
        <v>0</v>
      </c>
      <c r="B160" s="185">
        <f xml:space="preserve"> 'CASE DATA'!F160</f>
        <v>0</v>
      </c>
      <c r="C160" s="166">
        <f xml:space="preserve"> IF(OR(B160="DISM", B160="JWV", B160="JUV", B160="CIV"), SUM('CASE DATA'!I160:R160), 'CASE DATA'!K160+'CASE DATA'!O160)</f>
        <v>0</v>
      </c>
      <c r="D160" s="167">
        <f xml:space="preserve"> IF(OR(B160="DISM", B160="JWV", B160="JUV", B160="CIV"), 0, 'CASE DATA'!J160+'CASE DATA'!L160+'CASE DATA'!M160+'CASE DATA'!P160+'CASE DATA'!Q160+'CASE DATA'!R160)</f>
        <v>0</v>
      </c>
      <c r="E160" s="168">
        <f xml:space="preserve"> IF(OR(B160="DISM", B160="JWV", B160="JUV", B160="CIV"), 0, 'CASE DATA'!I160+'CASE DATA'!N160)</f>
        <v>0</v>
      </c>
    </row>
    <row r="161" spans="1:5" x14ac:dyDescent="0.25">
      <c r="A161" s="162">
        <f xml:space="preserve"> 'CASE DATA'!A162</f>
        <v>0</v>
      </c>
      <c r="B161" s="185">
        <f xml:space="preserve"> 'CASE DATA'!F161</f>
        <v>0</v>
      </c>
      <c r="C161" s="166">
        <f xml:space="preserve"> IF(OR(B161="DISM", B161="JWV", B161="JUV", B161="CIV"), SUM('CASE DATA'!I161:R161), 'CASE DATA'!K161+'CASE DATA'!O161)</f>
        <v>0</v>
      </c>
      <c r="D161" s="167">
        <f xml:space="preserve"> IF(OR(B161="DISM", B161="JWV", B161="JUV", B161="CIV"), 0, 'CASE DATA'!J161+'CASE DATA'!L161+'CASE DATA'!M161+'CASE DATA'!P161+'CASE DATA'!Q161+'CASE DATA'!R161)</f>
        <v>0</v>
      </c>
      <c r="E161" s="168">
        <f xml:space="preserve"> IF(OR(B161="DISM", B161="JWV", B161="JUV", B161="CIV"), 0, 'CASE DATA'!I161+'CASE DATA'!N161)</f>
        <v>0</v>
      </c>
    </row>
    <row r="162" spans="1:5" x14ac:dyDescent="0.25">
      <c r="A162" s="162">
        <f xml:space="preserve"> 'CASE DATA'!A163</f>
        <v>0</v>
      </c>
      <c r="B162" s="185">
        <f xml:space="preserve"> 'CASE DATA'!F162</f>
        <v>0</v>
      </c>
      <c r="C162" s="166">
        <f xml:space="preserve"> IF(OR(B162="DISM", B162="JWV", B162="JUV", B162="CIV"), SUM('CASE DATA'!I162:R162), 'CASE DATA'!K162+'CASE DATA'!O162)</f>
        <v>0</v>
      </c>
      <c r="D162" s="167">
        <f xml:space="preserve"> IF(OR(B162="DISM", B162="JWV", B162="JUV", B162="CIV"), 0, 'CASE DATA'!J162+'CASE DATA'!L162+'CASE DATA'!M162+'CASE DATA'!P162+'CASE DATA'!Q162+'CASE DATA'!R162)</f>
        <v>0</v>
      </c>
      <c r="E162" s="168">
        <f xml:space="preserve"> IF(OR(B162="DISM", B162="JWV", B162="JUV", B162="CIV"), 0, 'CASE DATA'!I162+'CASE DATA'!N162)</f>
        <v>0</v>
      </c>
    </row>
    <row r="163" spans="1:5" x14ac:dyDescent="0.25">
      <c r="A163" s="162">
        <f xml:space="preserve"> 'CASE DATA'!A164</f>
        <v>0</v>
      </c>
      <c r="B163" s="185">
        <f xml:space="preserve"> 'CASE DATA'!F163</f>
        <v>0</v>
      </c>
      <c r="C163" s="166">
        <f xml:space="preserve"> IF(OR(B163="DISM", B163="JWV", B163="JUV", B163="CIV"), SUM('CASE DATA'!I163:R163), 'CASE DATA'!K163+'CASE DATA'!O163)</f>
        <v>0</v>
      </c>
      <c r="D163" s="167">
        <f xml:space="preserve"> IF(OR(B163="DISM", B163="JWV", B163="JUV", B163="CIV"), 0, 'CASE DATA'!J163+'CASE DATA'!L163+'CASE DATA'!M163+'CASE DATA'!P163+'CASE DATA'!Q163+'CASE DATA'!R163)</f>
        <v>0</v>
      </c>
      <c r="E163" s="168">
        <f xml:space="preserve"> IF(OR(B163="DISM", B163="JWV", B163="JUV", B163="CIV"), 0, 'CASE DATA'!I163+'CASE DATA'!N163)</f>
        <v>0</v>
      </c>
    </row>
    <row r="164" spans="1:5" x14ac:dyDescent="0.25">
      <c r="A164" s="162">
        <f xml:space="preserve"> 'CASE DATA'!A165</f>
        <v>0</v>
      </c>
      <c r="B164" s="185">
        <f xml:space="preserve"> 'CASE DATA'!F164</f>
        <v>0</v>
      </c>
      <c r="C164" s="166">
        <f xml:space="preserve"> IF(OR(B164="DISM", B164="JWV", B164="JUV", B164="CIV"), SUM('CASE DATA'!I164:R164), 'CASE DATA'!K164+'CASE DATA'!O164)</f>
        <v>0</v>
      </c>
      <c r="D164" s="167">
        <f xml:space="preserve"> IF(OR(B164="DISM", B164="JWV", B164="JUV", B164="CIV"), 0, 'CASE DATA'!J164+'CASE DATA'!L164+'CASE DATA'!M164+'CASE DATA'!P164+'CASE DATA'!Q164+'CASE DATA'!R164)</f>
        <v>0</v>
      </c>
      <c r="E164" s="168">
        <f xml:space="preserve"> IF(OR(B164="DISM", B164="JWV", B164="JUV", B164="CIV"), 0, 'CASE DATA'!I164+'CASE DATA'!N164)</f>
        <v>0</v>
      </c>
    </row>
    <row r="165" spans="1:5" x14ac:dyDescent="0.25">
      <c r="A165" s="162">
        <f xml:space="preserve"> 'CASE DATA'!A166</f>
        <v>0</v>
      </c>
      <c r="B165" s="185">
        <f xml:space="preserve"> 'CASE DATA'!F165</f>
        <v>0</v>
      </c>
      <c r="C165" s="166">
        <f xml:space="preserve"> IF(OR(B165="DISM", B165="JWV", B165="JUV", B165="CIV"), SUM('CASE DATA'!I165:R165), 'CASE DATA'!K165+'CASE DATA'!O165)</f>
        <v>0</v>
      </c>
      <c r="D165" s="167">
        <f xml:space="preserve"> IF(OR(B165="DISM", B165="JWV", B165="JUV", B165="CIV"), 0, 'CASE DATA'!J165+'CASE DATA'!L165+'CASE DATA'!M165+'CASE DATA'!P165+'CASE DATA'!Q165+'CASE DATA'!R165)</f>
        <v>0</v>
      </c>
      <c r="E165" s="168">
        <f xml:space="preserve"> IF(OR(B165="DISM", B165="JWV", B165="JUV", B165="CIV"), 0, 'CASE DATA'!I165+'CASE DATA'!N165)</f>
        <v>0</v>
      </c>
    </row>
    <row r="166" spans="1:5" x14ac:dyDescent="0.25">
      <c r="A166" s="162">
        <f xml:space="preserve"> 'CASE DATA'!A167</f>
        <v>0</v>
      </c>
      <c r="B166" s="185">
        <f xml:space="preserve"> 'CASE DATA'!F166</f>
        <v>0</v>
      </c>
      <c r="C166" s="166">
        <f xml:space="preserve"> IF(OR(B166="DISM", B166="JWV", B166="JUV", B166="CIV"), SUM('CASE DATA'!I166:R166), 'CASE DATA'!K166+'CASE DATA'!O166)</f>
        <v>0</v>
      </c>
      <c r="D166" s="167">
        <f xml:space="preserve"> IF(OR(B166="DISM", B166="JWV", B166="JUV", B166="CIV"), 0, 'CASE DATA'!J166+'CASE DATA'!L166+'CASE DATA'!M166+'CASE DATA'!P166+'CASE DATA'!Q166+'CASE DATA'!R166)</f>
        <v>0</v>
      </c>
      <c r="E166" s="168">
        <f xml:space="preserve"> IF(OR(B166="DISM", B166="JWV", B166="JUV", B166="CIV"), 0, 'CASE DATA'!I166+'CASE DATA'!N166)</f>
        <v>0</v>
      </c>
    </row>
    <row r="167" spans="1:5" x14ac:dyDescent="0.25">
      <c r="A167" s="162">
        <f xml:space="preserve"> 'CASE DATA'!A168</f>
        <v>0</v>
      </c>
      <c r="B167" s="185">
        <f xml:space="preserve"> 'CASE DATA'!F167</f>
        <v>0</v>
      </c>
      <c r="C167" s="166">
        <f xml:space="preserve"> IF(OR(B167="DISM", B167="JWV", B167="JUV", B167="CIV"), SUM('CASE DATA'!I167:R167), 'CASE DATA'!K167+'CASE DATA'!O167)</f>
        <v>0</v>
      </c>
      <c r="D167" s="167">
        <f xml:space="preserve"> IF(OR(B167="DISM", B167="JWV", B167="JUV", B167="CIV"), 0, 'CASE DATA'!J167+'CASE DATA'!L167+'CASE DATA'!M167+'CASE DATA'!P167+'CASE DATA'!Q167+'CASE DATA'!R167)</f>
        <v>0</v>
      </c>
      <c r="E167" s="168">
        <f xml:space="preserve"> IF(OR(B167="DISM", B167="JWV", B167="JUV", B167="CIV"), 0, 'CASE DATA'!I167+'CASE DATA'!N167)</f>
        <v>0</v>
      </c>
    </row>
    <row r="168" spans="1:5" x14ac:dyDescent="0.25">
      <c r="A168" s="162">
        <f xml:space="preserve"> 'CASE DATA'!A169</f>
        <v>0</v>
      </c>
      <c r="B168" s="185">
        <f xml:space="preserve"> 'CASE DATA'!F168</f>
        <v>0</v>
      </c>
      <c r="C168" s="166">
        <f xml:space="preserve"> IF(OR(B168="DISM", B168="JWV", B168="JUV", B168="CIV"), SUM('CASE DATA'!I168:R168), 'CASE DATA'!K168+'CASE DATA'!O168)</f>
        <v>0</v>
      </c>
      <c r="D168" s="167">
        <f xml:space="preserve"> IF(OR(B168="DISM", B168="JWV", B168="JUV", B168="CIV"), 0, 'CASE DATA'!J168+'CASE DATA'!L168+'CASE DATA'!M168+'CASE DATA'!P168+'CASE DATA'!Q168+'CASE DATA'!R168)</f>
        <v>0</v>
      </c>
      <c r="E168" s="168">
        <f xml:space="preserve"> IF(OR(B168="DISM", B168="JWV", B168="JUV", B168="CIV"), 0, 'CASE DATA'!I168+'CASE DATA'!N168)</f>
        <v>0</v>
      </c>
    </row>
    <row r="169" spans="1:5" x14ac:dyDescent="0.25">
      <c r="A169" s="162">
        <f xml:space="preserve"> 'CASE DATA'!A170</f>
        <v>0</v>
      </c>
      <c r="B169" s="185">
        <f xml:space="preserve"> 'CASE DATA'!F169</f>
        <v>0</v>
      </c>
      <c r="C169" s="166">
        <f xml:space="preserve"> IF(OR(B169="DISM", B169="JWV", B169="JUV", B169="CIV"), SUM('CASE DATA'!I169:R169), 'CASE DATA'!K169+'CASE DATA'!O169)</f>
        <v>0</v>
      </c>
      <c r="D169" s="167">
        <f xml:space="preserve"> IF(OR(B169="DISM", B169="JWV", B169="JUV", B169="CIV"), 0, 'CASE DATA'!J169+'CASE DATA'!L169+'CASE DATA'!M169+'CASE DATA'!P169+'CASE DATA'!Q169+'CASE DATA'!R169)</f>
        <v>0</v>
      </c>
      <c r="E169" s="168">
        <f xml:space="preserve"> IF(OR(B169="DISM", B169="JWV", B169="JUV", B169="CIV"), 0, 'CASE DATA'!I169+'CASE DATA'!N169)</f>
        <v>0</v>
      </c>
    </row>
    <row r="170" spans="1:5" x14ac:dyDescent="0.25">
      <c r="A170" s="162">
        <f xml:space="preserve"> 'CASE DATA'!A171</f>
        <v>0</v>
      </c>
      <c r="B170" s="185">
        <f xml:space="preserve"> 'CASE DATA'!F170</f>
        <v>0</v>
      </c>
      <c r="C170" s="166">
        <f xml:space="preserve"> IF(OR(B170="DISM", B170="JWV", B170="JUV", B170="CIV"), SUM('CASE DATA'!I170:R170), 'CASE DATA'!K170+'CASE DATA'!O170)</f>
        <v>0</v>
      </c>
      <c r="D170" s="167">
        <f xml:space="preserve"> IF(OR(B170="DISM", B170="JWV", B170="JUV", B170="CIV"), 0, 'CASE DATA'!J170+'CASE DATA'!L170+'CASE DATA'!M170+'CASE DATA'!P170+'CASE DATA'!Q170+'CASE DATA'!R170)</f>
        <v>0</v>
      </c>
      <c r="E170" s="168">
        <f xml:space="preserve"> IF(OR(B170="DISM", B170="JWV", B170="JUV", B170="CIV"), 0, 'CASE DATA'!I170+'CASE DATA'!N170)</f>
        <v>0</v>
      </c>
    </row>
    <row r="171" spans="1:5" x14ac:dyDescent="0.25">
      <c r="A171" s="162">
        <f xml:space="preserve"> 'CASE DATA'!A172</f>
        <v>0</v>
      </c>
      <c r="B171" s="185">
        <f xml:space="preserve"> 'CASE DATA'!F171</f>
        <v>0</v>
      </c>
      <c r="C171" s="166">
        <f xml:space="preserve"> IF(OR(B171="DISM", B171="JWV", B171="JUV", B171="CIV"), SUM('CASE DATA'!I171:R171), 'CASE DATA'!K171+'CASE DATA'!O171)</f>
        <v>0</v>
      </c>
      <c r="D171" s="167">
        <f xml:space="preserve"> IF(OR(B171="DISM", B171="JWV", B171="JUV", B171="CIV"), 0, 'CASE DATA'!J171+'CASE DATA'!L171+'CASE DATA'!M171+'CASE DATA'!P171+'CASE DATA'!Q171+'CASE DATA'!R171)</f>
        <v>0</v>
      </c>
      <c r="E171" s="168">
        <f xml:space="preserve"> IF(OR(B171="DISM", B171="JWV", B171="JUV", B171="CIV"), 0, 'CASE DATA'!I171+'CASE DATA'!N171)</f>
        <v>0</v>
      </c>
    </row>
    <row r="172" spans="1:5" x14ac:dyDescent="0.25">
      <c r="A172" s="162">
        <f xml:space="preserve"> 'CASE DATA'!A173</f>
        <v>0</v>
      </c>
      <c r="B172" s="185">
        <f xml:space="preserve"> 'CASE DATA'!F172</f>
        <v>0</v>
      </c>
      <c r="C172" s="166">
        <f xml:space="preserve"> IF(OR(B172="DISM", B172="JWV", B172="JUV", B172="CIV"), SUM('CASE DATA'!I172:R172), 'CASE DATA'!K172+'CASE DATA'!O172)</f>
        <v>0</v>
      </c>
      <c r="D172" s="167">
        <f xml:space="preserve"> IF(OR(B172="DISM", B172="JWV", B172="JUV", B172="CIV"), 0, 'CASE DATA'!J172+'CASE DATA'!L172+'CASE DATA'!M172+'CASE DATA'!P172+'CASE DATA'!Q172+'CASE DATA'!R172)</f>
        <v>0</v>
      </c>
      <c r="E172" s="168">
        <f xml:space="preserve"> IF(OR(B172="DISM", B172="JWV", B172="JUV", B172="CIV"), 0, 'CASE DATA'!I172+'CASE DATA'!N172)</f>
        <v>0</v>
      </c>
    </row>
    <row r="173" spans="1:5" x14ac:dyDescent="0.25">
      <c r="A173" s="162">
        <f xml:space="preserve"> 'CASE DATA'!A174</f>
        <v>0</v>
      </c>
      <c r="B173" s="185">
        <f xml:space="preserve"> 'CASE DATA'!F173</f>
        <v>0</v>
      </c>
      <c r="C173" s="166">
        <f xml:space="preserve"> IF(OR(B173="DISM", B173="JWV", B173="JUV", B173="CIV"), SUM('CASE DATA'!I173:R173), 'CASE DATA'!K173+'CASE DATA'!O173)</f>
        <v>0</v>
      </c>
      <c r="D173" s="167">
        <f xml:space="preserve"> IF(OR(B173="DISM", B173="JWV", B173="JUV", B173="CIV"), 0, 'CASE DATA'!J173+'CASE DATA'!L173+'CASE DATA'!M173+'CASE DATA'!P173+'CASE DATA'!Q173+'CASE DATA'!R173)</f>
        <v>0</v>
      </c>
      <c r="E173" s="168">
        <f xml:space="preserve"> IF(OR(B173="DISM", B173="JWV", B173="JUV", B173="CIV"), 0, 'CASE DATA'!I173+'CASE DATA'!N173)</f>
        <v>0</v>
      </c>
    </row>
    <row r="174" spans="1:5" x14ac:dyDescent="0.25">
      <c r="A174" s="162">
        <f xml:space="preserve"> 'CASE DATA'!A175</f>
        <v>0</v>
      </c>
      <c r="B174" s="185">
        <f xml:space="preserve"> 'CASE DATA'!F174</f>
        <v>0</v>
      </c>
      <c r="C174" s="166">
        <f xml:space="preserve"> IF(OR(B174="DISM", B174="JWV", B174="JUV", B174="CIV"), SUM('CASE DATA'!I174:R174), 'CASE DATA'!K174+'CASE DATA'!O174)</f>
        <v>0</v>
      </c>
      <c r="D174" s="167">
        <f xml:space="preserve"> IF(OR(B174="DISM", B174="JWV", B174="JUV", B174="CIV"), 0, 'CASE DATA'!J174+'CASE DATA'!L174+'CASE DATA'!M174+'CASE DATA'!P174+'CASE DATA'!Q174+'CASE DATA'!R174)</f>
        <v>0</v>
      </c>
      <c r="E174" s="168">
        <f xml:space="preserve"> IF(OR(B174="DISM", B174="JWV", B174="JUV", B174="CIV"), 0, 'CASE DATA'!I174+'CASE DATA'!N174)</f>
        <v>0</v>
      </c>
    </row>
    <row r="175" spans="1:5" x14ac:dyDescent="0.25">
      <c r="A175" s="162">
        <f xml:space="preserve"> 'CASE DATA'!A176</f>
        <v>0</v>
      </c>
      <c r="B175" s="185">
        <f xml:space="preserve"> 'CASE DATA'!F175</f>
        <v>0</v>
      </c>
      <c r="C175" s="166">
        <f xml:space="preserve"> IF(OR(B175="DISM", B175="JWV", B175="JUV", B175="CIV"), SUM('CASE DATA'!I175:R175), 'CASE DATA'!K175+'CASE DATA'!O175)</f>
        <v>0</v>
      </c>
      <c r="D175" s="167">
        <f xml:space="preserve"> IF(OR(B175="DISM", B175="JWV", B175="JUV", B175="CIV"), 0, 'CASE DATA'!J175+'CASE DATA'!L175+'CASE DATA'!M175+'CASE DATA'!P175+'CASE DATA'!Q175+'CASE DATA'!R175)</f>
        <v>0</v>
      </c>
      <c r="E175" s="168">
        <f xml:space="preserve"> IF(OR(B175="DISM", B175="JWV", B175="JUV", B175="CIV"), 0, 'CASE DATA'!I175+'CASE DATA'!N175)</f>
        <v>0</v>
      </c>
    </row>
    <row r="176" spans="1:5" x14ac:dyDescent="0.25">
      <c r="A176" s="162">
        <f xml:space="preserve"> 'CASE DATA'!A177</f>
        <v>0</v>
      </c>
      <c r="B176" s="185">
        <f xml:space="preserve"> 'CASE DATA'!F176</f>
        <v>0</v>
      </c>
      <c r="C176" s="166">
        <f xml:space="preserve"> IF(OR(B176="DISM", B176="JWV", B176="JUV", B176="CIV"), SUM('CASE DATA'!I176:R176), 'CASE DATA'!K176+'CASE DATA'!O176)</f>
        <v>0</v>
      </c>
      <c r="D176" s="167">
        <f xml:space="preserve"> IF(OR(B176="DISM", B176="JWV", B176="JUV", B176="CIV"), 0, 'CASE DATA'!J176+'CASE DATA'!L176+'CASE DATA'!M176+'CASE DATA'!P176+'CASE DATA'!Q176+'CASE DATA'!R176)</f>
        <v>0</v>
      </c>
      <c r="E176" s="168">
        <f xml:space="preserve"> IF(OR(B176="DISM", B176="JWV", B176="JUV", B176="CIV"), 0, 'CASE DATA'!I176+'CASE DATA'!N176)</f>
        <v>0</v>
      </c>
    </row>
    <row r="177" spans="1:5" x14ac:dyDescent="0.25">
      <c r="A177" s="162">
        <f xml:space="preserve"> 'CASE DATA'!A178</f>
        <v>0</v>
      </c>
      <c r="B177" s="185">
        <f xml:space="preserve"> 'CASE DATA'!F177</f>
        <v>0</v>
      </c>
      <c r="C177" s="166">
        <f xml:space="preserve"> IF(OR(B177="DISM", B177="JWV", B177="JUV", B177="CIV"), SUM('CASE DATA'!I177:R177), 'CASE DATA'!K177+'CASE DATA'!O177)</f>
        <v>0</v>
      </c>
      <c r="D177" s="167">
        <f xml:space="preserve"> IF(OR(B177="DISM", B177="JWV", B177="JUV", B177="CIV"), 0, 'CASE DATA'!J177+'CASE DATA'!L177+'CASE DATA'!M177+'CASE DATA'!P177+'CASE DATA'!Q177+'CASE DATA'!R177)</f>
        <v>0</v>
      </c>
      <c r="E177" s="168">
        <f xml:space="preserve"> IF(OR(B177="DISM", B177="JWV", B177="JUV", B177="CIV"), 0, 'CASE DATA'!I177+'CASE DATA'!N177)</f>
        <v>0</v>
      </c>
    </row>
    <row r="178" spans="1:5" x14ac:dyDescent="0.25">
      <c r="A178" s="162">
        <f xml:space="preserve"> 'CASE DATA'!A179</f>
        <v>0</v>
      </c>
      <c r="B178" s="185">
        <f xml:space="preserve"> 'CASE DATA'!F178</f>
        <v>0</v>
      </c>
      <c r="C178" s="166">
        <f xml:space="preserve"> IF(OR(B178="DISM", B178="JWV", B178="JUV", B178="CIV"), SUM('CASE DATA'!I178:R178), 'CASE DATA'!K178+'CASE DATA'!O178)</f>
        <v>0</v>
      </c>
      <c r="D178" s="167">
        <f xml:space="preserve"> IF(OR(B178="DISM", B178="JWV", B178="JUV", B178="CIV"), 0, 'CASE DATA'!J178+'CASE DATA'!L178+'CASE DATA'!M178+'CASE DATA'!P178+'CASE DATA'!Q178+'CASE DATA'!R178)</f>
        <v>0</v>
      </c>
      <c r="E178" s="168">
        <f xml:space="preserve"> IF(OR(B178="DISM", B178="JWV", B178="JUV", B178="CIV"), 0, 'CASE DATA'!I178+'CASE DATA'!N178)</f>
        <v>0</v>
      </c>
    </row>
    <row r="179" spans="1:5" x14ac:dyDescent="0.25">
      <c r="A179" s="162">
        <f xml:space="preserve"> 'CASE DATA'!A180</f>
        <v>0</v>
      </c>
      <c r="B179" s="185">
        <f xml:space="preserve"> 'CASE DATA'!F179</f>
        <v>0</v>
      </c>
      <c r="C179" s="166">
        <f xml:space="preserve"> IF(OR(B179="DISM", B179="JWV", B179="JUV", B179="CIV"), SUM('CASE DATA'!I179:R179), 'CASE DATA'!K179+'CASE DATA'!O179)</f>
        <v>0</v>
      </c>
      <c r="D179" s="167">
        <f xml:space="preserve"> IF(OR(B179="DISM", B179="JWV", B179="JUV", B179="CIV"), 0, 'CASE DATA'!J179+'CASE DATA'!L179+'CASE DATA'!M179+'CASE DATA'!P179+'CASE DATA'!Q179+'CASE DATA'!R179)</f>
        <v>0</v>
      </c>
      <c r="E179" s="168">
        <f xml:space="preserve"> IF(OR(B179="DISM", B179="JWV", B179="JUV", B179="CIV"), 0, 'CASE DATA'!I179+'CASE DATA'!N179)</f>
        <v>0</v>
      </c>
    </row>
    <row r="180" spans="1:5" x14ac:dyDescent="0.25">
      <c r="A180" s="162">
        <f xml:space="preserve"> 'CASE DATA'!A181</f>
        <v>0</v>
      </c>
      <c r="B180" s="185">
        <f xml:space="preserve"> 'CASE DATA'!F180</f>
        <v>0</v>
      </c>
      <c r="C180" s="166">
        <f xml:space="preserve"> IF(OR(B180="DISM", B180="JWV", B180="JUV", B180="CIV"), SUM('CASE DATA'!I180:R180), 'CASE DATA'!K180+'CASE DATA'!O180)</f>
        <v>0</v>
      </c>
      <c r="D180" s="167">
        <f xml:space="preserve"> IF(OR(B180="DISM", B180="JWV", B180="JUV", B180="CIV"), 0, 'CASE DATA'!J180+'CASE DATA'!L180+'CASE DATA'!M180+'CASE DATA'!P180+'CASE DATA'!Q180+'CASE DATA'!R180)</f>
        <v>0</v>
      </c>
      <c r="E180" s="168">
        <f xml:space="preserve"> IF(OR(B180="DISM", B180="JWV", B180="JUV", B180="CIV"), 0, 'CASE DATA'!I180+'CASE DATA'!N180)</f>
        <v>0</v>
      </c>
    </row>
    <row r="181" spans="1:5" x14ac:dyDescent="0.25">
      <c r="A181" s="162">
        <f xml:space="preserve"> 'CASE DATA'!A182</f>
        <v>0</v>
      </c>
      <c r="B181" s="185">
        <f xml:space="preserve"> 'CASE DATA'!F181</f>
        <v>0</v>
      </c>
      <c r="C181" s="166">
        <f xml:space="preserve"> IF(OR(B181="DISM", B181="JWV", B181="JUV", B181="CIV"), SUM('CASE DATA'!I181:R181), 'CASE DATA'!K181+'CASE DATA'!O181)</f>
        <v>0</v>
      </c>
      <c r="D181" s="167">
        <f xml:space="preserve"> IF(OR(B181="DISM", B181="JWV", B181="JUV", B181="CIV"), 0, 'CASE DATA'!J181+'CASE DATA'!L181+'CASE DATA'!M181+'CASE DATA'!P181+'CASE DATA'!Q181+'CASE DATA'!R181)</f>
        <v>0</v>
      </c>
      <c r="E181" s="168">
        <f xml:space="preserve"> IF(OR(B181="DISM", B181="JWV", B181="JUV", B181="CIV"), 0, 'CASE DATA'!I181+'CASE DATA'!N181)</f>
        <v>0</v>
      </c>
    </row>
    <row r="182" spans="1:5" x14ac:dyDescent="0.25">
      <c r="A182" s="162">
        <f xml:space="preserve"> 'CASE DATA'!A183</f>
        <v>0</v>
      </c>
      <c r="B182" s="185">
        <f xml:space="preserve"> 'CASE DATA'!F182</f>
        <v>0</v>
      </c>
      <c r="C182" s="166">
        <f xml:space="preserve"> IF(OR(B182="DISM", B182="JWV", B182="JUV", B182="CIV"), SUM('CASE DATA'!I182:R182), 'CASE DATA'!K182+'CASE DATA'!O182)</f>
        <v>0</v>
      </c>
      <c r="D182" s="167">
        <f xml:space="preserve"> IF(OR(B182="DISM", B182="JWV", B182="JUV", B182="CIV"), 0, 'CASE DATA'!J182+'CASE DATA'!L182+'CASE DATA'!M182+'CASE DATA'!P182+'CASE DATA'!Q182+'CASE DATA'!R182)</f>
        <v>0</v>
      </c>
      <c r="E182" s="168">
        <f xml:space="preserve"> IF(OR(B182="DISM", B182="JWV", B182="JUV", B182="CIV"), 0, 'CASE DATA'!I182+'CASE DATA'!N182)</f>
        <v>0</v>
      </c>
    </row>
    <row r="183" spans="1:5" x14ac:dyDescent="0.25">
      <c r="A183" s="162">
        <f xml:space="preserve"> 'CASE DATA'!A184</f>
        <v>0</v>
      </c>
      <c r="B183" s="185">
        <f xml:space="preserve"> 'CASE DATA'!F183</f>
        <v>0</v>
      </c>
      <c r="C183" s="166">
        <f xml:space="preserve"> IF(OR(B183="DISM", B183="JWV", B183="JUV", B183="CIV"), SUM('CASE DATA'!I183:R183), 'CASE DATA'!K183+'CASE DATA'!O183)</f>
        <v>0</v>
      </c>
      <c r="D183" s="167">
        <f xml:space="preserve"> IF(OR(B183="DISM", B183="JWV", B183="JUV", B183="CIV"), 0, 'CASE DATA'!J183+'CASE DATA'!L183+'CASE DATA'!M183+'CASE DATA'!P183+'CASE DATA'!Q183+'CASE DATA'!R183)</f>
        <v>0</v>
      </c>
      <c r="E183" s="168">
        <f xml:space="preserve"> IF(OR(B183="DISM", B183="JWV", B183="JUV", B183="CIV"), 0, 'CASE DATA'!I183+'CASE DATA'!N183)</f>
        <v>0</v>
      </c>
    </row>
    <row r="184" spans="1:5" x14ac:dyDescent="0.25">
      <c r="A184" s="162">
        <f xml:space="preserve"> 'CASE DATA'!A185</f>
        <v>0</v>
      </c>
      <c r="B184" s="185">
        <f xml:space="preserve"> 'CASE DATA'!F184</f>
        <v>0</v>
      </c>
      <c r="C184" s="166">
        <f xml:space="preserve"> IF(OR(B184="DISM", B184="JWV", B184="JUV", B184="CIV"), SUM('CASE DATA'!I184:R184), 'CASE DATA'!K184+'CASE DATA'!O184)</f>
        <v>0</v>
      </c>
      <c r="D184" s="167">
        <f xml:space="preserve"> IF(OR(B184="DISM", B184="JWV", B184="JUV", B184="CIV"), 0, 'CASE DATA'!J184+'CASE DATA'!L184+'CASE DATA'!M184+'CASE DATA'!P184+'CASE DATA'!Q184+'CASE DATA'!R184)</f>
        <v>0</v>
      </c>
      <c r="E184" s="168">
        <f xml:space="preserve"> IF(OR(B184="DISM", B184="JWV", B184="JUV", B184="CIV"), 0, 'CASE DATA'!I184+'CASE DATA'!N184)</f>
        <v>0</v>
      </c>
    </row>
    <row r="185" spans="1:5" x14ac:dyDescent="0.25">
      <c r="A185" s="162">
        <f xml:space="preserve"> 'CASE DATA'!A186</f>
        <v>0</v>
      </c>
      <c r="B185" s="185">
        <f xml:space="preserve"> 'CASE DATA'!F185</f>
        <v>0</v>
      </c>
      <c r="C185" s="166">
        <f xml:space="preserve"> IF(OR(B185="DISM", B185="JWV", B185="JUV", B185="CIV"), SUM('CASE DATA'!I185:R185), 'CASE DATA'!K185+'CASE DATA'!O185)</f>
        <v>0</v>
      </c>
      <c r="D185" s="167">
        <f xml:space="preserve"> IF(OR(B185="DISM", B185="JWV", B185="JUV", B185="CIV"), 0, 'CASE DATA'!J185+'CASE DATA'!L185+'CASE DATA'!M185+'CASE DATA'!P185+'CASE DATA'!Q185+'CASE DATA'!R185)</f>
        <v>0</v>
      </c>
      <c r="E185" s="168">
        <f xml:space="preserve"> IF(OR(B185="DISM", B185="JWV", B185="JUV", B185="CIV"), 0, 'CASE DATA'!I185+'CASE DATA'!N185)</f>
        <v>0</v>
      </c>
    </row>
    <row r="186" spans="1:5" x14ac:dyDescent="0.25">
      <c r="A186" s="162">
        <f xml:space="preserve"> 'CASE DATA'!A187</f>
        <v>0</v>
      </c>
      <c r="B186" s="185">
        <f xml:space="preserve"> 'CASE DATA'!F186</f>
        <v>0</v>
      </c>
      <c r="C186" s="166">
        <f xml:space="preserve"> IF(OR(B186="DISM", B186="JWV", B186="JUV", B186="CIV"), SUM('CASE DATA'!I186:R186), 'CASE DATA'!K186+'CASE DATA'!O186)</f>
        <v>0</v>
      </c>
      <c r="D186" s="167">
        <f xml:space="preserve"> IF(OR(B186="DISM", B186="JWV", B186="JUV", B186="CIV"), 0, 'CASE DATA'!J186+'CASE DATA'!L186+'CASE DATA'!M186+'CASE DATA'!P186+'CASE DATA'!Q186+'CASE DATA'!R186)</f>
        <v>0</v>
      </c>
      <c r="E186" s="168">
        <f xml:space="preserve"> IF(OR(B186="DISM", B186="JWV", B186="JUV", B186="CIV"), 0, 'CASE DATA'!I186+'CASE DATA'!N186)</f>
        <v>0</v>
      </c>
    </row>
    <row r="187" spans="1:5" x14ac:dyDescent="0.25">
      <c r="A187" s="162">
        <f xml:space="preserve"> 'CASE DATA'!A188</f>
        <v>0</v>
      </c>
      <c r="B187" s="185">
        <f xml:space="preserve"> 'CASE DATA'!F187</f>
        <v>0</v>
      </c>
      <c r="C187" s="166">
        <f xml:space="preserve"> IF(OR(B187="DISM", B187="JWV", B187="JUV", B187="CIV"), SUM('CASE DATA'!I187:R187), 'CASE DATA'!K187+'CASE DATA'!O187)</f>
        <v>0</v>
      </c>
      <c r="D187" s="167">
        <f xml:space="preserve"> IF(OR(B187="DISM", B187="JWV", B187="JUV", B187="CIV"), 0, 'CASE DATA'!J187+'CASE DATA'!L187+'CASE DATA'!M187+'CASE DATA'!P187+'CASE DATA'!Q187+'CASE DATA'!R187)</f>
        <v>0</v>
      </c>
      <c r="E187" s="168">
        <f xml:space="preserve"> IF(OR(B187="DISM", B187="JWV", B187="JUV", B187="CIV"), 0, 'CASE DATA'!I187+'CASE DATA'!N187)</f>
        <v>0</v>
      </c>
    </row>
    <row r="188" spans="1:5" x14ac:dyDescent="0.25">
      <c r="A188" s="162">
        <f xml:space="preserve"> 'CASE DATA'!A189</f>
        <v>0</v>
      </c>
      <c r="B188" s="185">
        <f xml:space="preserve"> 'CASE DATA'!F188</f>
        <v>0</v>
      </c>
      <c r="C188" s="166">
        <f xml:space="preserve"> IF(OR(B188="DISM", B188="JWV", B188="JUV", B188="CIV"), SUM('CASE DATA'!I188:R188), 'CASE DATA'!K188+'CASE DATA'!O188)</f>
        <v>0</v>
      </c>
      <c r="D188" s="167">
        <f xml:space="preserve"> IF(OR(B188="DISM", B188="JWV", B188="JUV", B188="CIV"), 0, 'CASE DATA'!J188+'CASE DATA'!L188+'CASE DATA'!M188+'CASE DATA'!P188+'CASE DATA'!Q188+'CASE DATA'!R188)</f>
        <v>0</v>
      </c>
      <c r="E188" s="168">
        <f xml:space="preserve"> IF(OR(B188="DISM", B188="JWV", B188="JUV", B188="CIV"), 0, 'CASE DATA'!I188+'CASE DATA'!N188)</f>
        <v>0</v>
      </c>
    </row>
    <row r="189" spans="1:5" x14ac:dyDescent="0.25">
      <c r="A189" s="162">
        <f xml:space="preserve"> 'CASE DATA'!A190</f>
        <v>0</v>
      </c>
      <c r="B189" s="185">
        <f xml:space="preserve"> 'CASE DATA'!F189</f>
        <v>0</v>
      </c>
      <c r="C189" s="166">
        <f xml:space="preserve"> IF(OR(B189="DISM", B189="JWV", B189="JUV", B189="CIV"), SUM('CASE DATA'!I189:R189), 'CASE DATA'!K189+'CASE DATA'!O189)</f>
        <v>0</v>
      </c>
      <c r="D189" s="167">
        <f xml:space="preserve"> IF(OR(B189="DISM", B189="JWV", B189="JUV", B189="CIV"), 0, 'CASE DATA'!J189+'CASE DATA'!L189+'CASE DATA'!M189+'CASE DATA'!P189+'CASE DATA'!Q189+'CASE DATA'!R189)</f>
        <v>0</v>
      </c>
      <c r="E189" s="168">
        <f xml:space="preserve"> IF(OR(B189="DISM", B189="JWV", B189="JUV", B189="CIV"), 0, 'CASE DATA'!I189+'CASE DATA'!N189)</f>
        <v>0</v>
      </c>
    </row>
    <row r="190" spans="1:5" x14ac:dyDescent="0.25">
      <c r="A190" s="162">
        <f xml:space="preserve"> 'CASE DATA'!A191</f>
        <v>0</v>
      </c>
      <c r="B190" s="185">
        <f xml:space="preserve"> 'CASE DATA'!F190</f>
        <v>0</v>
      </c>
      <c r="C190" s="166">
        <f xml:space="preserve"> IF(OR(B190="DISM", B190="JWV", B190="JUV", B190="CIV"), SUM('CASE DATA'!I190:R190), 'CASE DATA'!K190+'CASE DATA'!O190)</f>
        <v>0</v>
      </c>
      <c r="D190" s="167">
        <f xml:space="preserve"> IF(OR(B190="DISM", B190="JWV", B190="JUV", B190="CIV"), 0, 'CASE DATA'!J190+'CASE DATA'!L190+'CASE DATA'!M190+'CASE DATA'!P190+'CASE DATA'!Q190+'CASE DATA'!R190)</f>
        <v>0</v>
      </c>
      <c r="E190" s="168">
        <f xml:space="preserve"> IF(OR(B190="DISM", B190="JWV", B190="JUV", B190="CIV"), 0, 'CASE DATA'!I190+'CASE DATA'!N190)</f>
        <v>0</v>
      </c>
    </row>
    <row r="191" spans="1:5" x14ac:dyDescent="0.25">
      <c r="A191" s="162">
        <f xml:space="preserve"> 'CASE DATA'!A192</f>
        <v>0</v>
      </c>
      <c r="B191" s="185">
        <f xml:space="preserve"> 'CASE DATA'!F191</f>
        <v>0</v>
      </c>
      <c r="C191" s="166">
        <f xml:space="preserve"> IF(OR(B191="DISM", B191="JWV", B191="JUV", B191="CIV"), SUM('CASE DATA'!I191:R191), 'CASE DATA'!K191+'CASE DATA'!O191)</f>
        <v>0</v>
      </c>
      <c r="D191" s="167">
        <f xml:space="preserve"> IF(OR(B191="DISM", B191="JWV", B191="JUV", B191="CIV"), 0, 'CASE DATA'!J191+'CASE DATA'!L191+'CASE DATA'!M191+'CASE DATA'!P191+'CASE DATA'!Q191+'CASE DATA'!R191)</f>
        <v>0</v>
      </c>
      <c r="E191" s="168">
        <f xml:space="preserve"> IF(OR(B191="DISM", B191="JWV", B191="JUV", B191="CIV"), 0, 'CASE DATA'!I191+'CASE DATA'!N191)</f>
        <v>0</v>
      </c>
    </row>
    <row r="192" spans="1:5" x14ac:dyDescent="0.25">
      <c r="A192" s="162">
        <f xml:space="preserve"> 'CASE DATA'!A193</f>
        <v>0</v>
      </c>
      <c r="B192" s="185">
        <f xml:space="preserve"> 'CASE DATA'!F192</f>
        <v>0</v>
      </c>
      <c r="C192" s="166">
        <f xml:space="preserve"> IF(OR(B192="DISM", B192="JWV", B192="JUV", B192="CIV"), SUM('CASE DATA'!I192:R192), 'CASE DATA'!K192+'CASE DATA'!O192)</f>
        <v>0</v>
      </c>
      <c r="D192" s="167">
        <f xml:space="preserve"> IF(OR(B192="DISM", B192="JWV", B192="JUV", B192="CIV"), 0, 'CASE DATA'!J192+'CASE DATA'!L192+'CASE DATA'!M192+'CASE DATA'!P192+'CASE DATA'!Q192+'CASE DATA'!R192)</f>
        <v>0</v>
      </c>
      <c r="E192" s="168">
        <f xml:space="preserve"> IF(OR(B192="DISM", B192="JWV", B192="JUV", B192="CIV"), 0, 'CASE DATA'!I192+'CASE DATA'!N192)</f>
        <v>0</v>
      </c>
    </row>
    <row r="193" spans="1:5" x14ac:dyDescent="0.25">
      <c r="A193" s="162">
        <f xml:space="preserve"> 'CASE DATA'!A194</f>
        <v>0</v>
      </c>
      <c r="B193" s="185">
        <f xml:space="preserve"> 'CASE DATA'!F193</f>
        <v>0</v>
      </c>
      <c r="C193" s="166">
        <f xml:space="preserve"> IF(OR(B193="DISM", B193="JWV", B193="JUV", B193="CIV"), SUM('CASE DATA'!I193:R193), 'CASE DATA'!K193+'CASE DATA'!O193)</f>
        <v>0</v>
      </c>
      <c r="D193" s="167">
        <f xml:space="preserve"> IF(OR(B193="DISM", B193="JWV", B193="JUV", B193="CIV"), 0, 'CASE DATA'!J193+'CASE DATA'!L193+'CASE DATA'!M193+'CASE DATA'!P193+'CASE DATA'!Q193+'CASE DATA'!R193)</f>
        <v>0</v>
      </c>
      <c r="E193" s="168">
        <f xml:space="preserve"> IF(OR(B193="DISM", B193="JWV", B193="JUV", B193="CIV"), 0, 'CASE DATA'!I193+'CASE DATA'!N193)</f>
        <v>0</v>
      </c>
    </row>
    <row r="194" spans="1:5" x14ac:dyDescent="0.25">
      <c r="A194" s="162">
        <f xml:space="preserve"> 'CASE DATA'!A195</f>
        <v>0</v>
      </c>
      <c r="B194" s="185">
        <f xml:space="preserve"> 'CASE DATA'!F194</f>
        <v>0</v>
      </c>
      <c r="C194" s="166">
        <f xml:space="preserve"> IF(OR(B194="DISM", B194="JWV", B194="JUV", B194="CIV"), SUM('CASE DATA'!I194:R194), 'CASE DATA'!K194+'CASE DATA'!O194)</f>
        <v>0</v>
      </c>
      <c r="D194" s="167">
        <f xml:space="preserve"> IF(OR(B194="DISM", B194="JWV", B194="JUV", B194="CIV"), 0, 'CASE DATA'!J194+'CASE DATA'!L194+'CASE DATA'!M194+'CASE DATA'!P194+'CASE DATA'!Q194+'CASE DATA'!R194)</f>
        <v>0</v>
      </c>
      <c r="E194" s="168">
        <f xml:space="preserve"> IF(OR(B194="DISM", B194="JWV", B194="JUV", B194="CIV"), 0, 'CASE DATA'!I194+'CASE DATA'!N194)</f>
        <v>0</v>
      </c>
    </row>
    <row r="195" spans="1:5" x14ac:dyDescent="0.25">
      <c r="A195" s="162">
        <f xml:space="preserve"> 'CASE DATA'!A196</f>
        <v>0</v>
      </c>
      <c r="B195" s="185">
        <f xml:space="preserve"> 'CASE DATA'!F195</f>
        <v>0</v>
      </c>
      <c r="C195" s="166">
        <f xml:space="preserve"> IF(OR(B195="DISM", B195="JWV", B195="JUV", B195="CIV"), SUM('CASE DATA'!I195:R195), 'CASE DATA'!K195+'CASE DATA'!O195)</f>
        <v>0</v>
      </c>
      <c r="D195" s="167">
        <f xml:space="preserve"> IF(OR(B195="DISM", B195="JWV", B195="JUV", B195="CIV"), 0, 'CASE DATA'!J195+'CASE DATA'!L195+'CASE DATA'!M195+'CASE DATA'!P195+'CASE DATA'!Q195+'CASE DATA'!R195)</f>
        <v>0</v>
      </c>
      <c r="E195" s="168">
        <f xml:space="preserve"> IF(OR(B195="DISM", B195="JWV", B195="JUV", B195="CIV"), 0, 'CASE DATA'!I195+'CASE DATA'!N195)</f>
        <v>0</v>
      </c>
    </row>
    <row r="196" spans="1:5" x14ac:dyDescent="0.25">
      <c r="A196" s="162">
        <f xml:space="preserve"> 'CASE DATA'!A197</f>
        <v>0</v>
      </c>
      <c r="B196" s="185">
        <f xml:space="preserve"> 'CASE DATA'!F196</f>
        <v>0</v>
      </c>
      <c r="C196" s="166">
        <f xml:space="preserve"> IF(OR(B196="DISM", B196="JWV", B196="JUV", B196="CIV"), SUM('CASE DATA'!I196:R196), 'CASE DATA'!K196+'CASE DATA'!O196)</f>
        <v>0</v>
      </c>
      <c r="D196" s="167">
        <f xml:space="preserve"> IF(OR(B196="DISM", B196="JWV", B196="JUV", B196="CIV"), 0, 'CASE DATA'!J196+'CASE DATA'!L196+'CASE DATA'!M196+'CASE DATA'!P196+'CASE DATA'!Q196+'CASE DATA'!R196)</f>
        <v>0</v>
      </c>
      <c r="E196" s="168">
        <f xml:space="preserve"> IF(OR(B196="DISM", B196="JWV", B196="JUV", B196="CIV"), 0, 'CASE DATA'!I196+'CASE DATA'!N196)</f>
        <v>0</v>
      </c>
    </row>
    <row r="197" spans="1:5" x14ac:dyDescent="0.25">
      <c r="A197" s="162">
        <f xml:space="preserve"> 'CASE DATA'!A198</f>
        <v>0</v>
      </c>
      <c r="B197" s="185">
        <f xml:space="preserve"> 'CASE DATA'!F197</f>
        <v>0</v>
      </c>
      <c r="C197" s="166">
        <f xml:space="preserve"> IF(OR(B197="DISM", B197="JWV", B197="JUV", B197="CIV"), SUM('CASE DATA'!I197:R197), 'CASE DATA'!K197+'CASE DATA'!O197)</f>
        <v>0</v>
      </c>
      <c r="D197" s="167">
        <f xml:space="preserve"> IF(OR(B197="DISM", B197="JWV", B197="JUV", B197="CIV"), 0, 'CASE DATA'!J197+'CASE DATA'!L197+'CASE DATA'!M197+'CASE DATA'!P197+'CASE DATA'!Q197+'CASE DATA'!R197)</f>
        <v>0</v>
      </c>
      <c r="E197" s="168">
        <f xml:space="preserve"> IF(OR(B197="DISM", B197="JWV", B197="JUV", B197="CIV"), 0, 'CASE DATA'!I197+'CASE DATA'!N197)</f>
        <v>0</v>
      </c>
    </row>
    <row r="198" spans="1:5" x14ac:dyDescent="0.25">
      <c r="A198" s="162">
        <f xml:space="preserve"> 'CASE DATA'!A199</f>
        <v>0</v>
      </c>
      <c r="B198" s="185">
        <f xml:space="preserve"> 'CASE DATA'!F198</f>
        <v>0</v>
      </c>
      <c r="C198" s="166">
        <f xml:space="preserve"> IF(OR(B198="DISM", B198="JWV", B198="JUV", B198="CIV"), SUM('CASE DATA'!I198:R198), 'CASE DATA'!K198+'CASE DATA'!O198)</f>
        <v>0</v>
      </c>
      <c r="D198" s="167">
        <f xml:space="preserve"> IF(OR(B198="DISM", B198="JWV", B198="JUV", B198="CIV"), 0, 'CASE DATA'!J198+'CASE DATA'!L198+'CASE DATA'!M198+'CASE DATA'!P198+'CASE DATA'!Q198+'CASE DATA'!R198)</f>
        <v>0</v>
      </c>
      <c r="E198" s="168">
        <f xml:space="preserve"> IF(OR(B198="DISM", B198="JWV", B198="JUV", B198="CIV"), 0, 'CASE DATA'!I198+'CASE DATA'!N198)</f>
        <v>0</v>
      </c>
    </row>
    <row r="199" spans="1:5" x14ac:dyDescent="0.25">
      <c r="A199" s="162">
        <f xml:space="preserve"> 'CASE DATA'!A200</f>
        <v>0</v>
      </c>
      <c r="B199" s="185">
        <f xml:space="preserve"> 'CASE DATA'!F199</f>
        <v>0</v>
      </c>
      <c r="C199" s="166">
        <f xml:space="preserve"> IF(OR(B199="DISM", B199="JWV", B199="JUV", B199="CIV"), SUM('CASE DATA'!I199:R199), 'CASE DATA'!K199+'CASE DATA'!O199)</f>
        <v>0</v>
      </c>
      <c r="D199" s="167">
        <f xml:space="preserve"> IF(OR(B199="DISM", B199="JWV", B199="JUV", B199="CIV"), 0, 'CASE DATA'!J199+'CASE DATA'!L199+'CASE DATA'!M199+'CASE DATA'!P199+'CASE DATA'!Q199+'CASE DATA'!R199)</f>
        <v>0</v>
      </c>
      <c r="E199" s="168">
        <f xml:space="preserve"> IF(OR(B199="DISM", B199="JWV", B199="JUV", B199="CIV"), 0, 'CASE DATA'!I199+'CASE DATA'!N199)</f>
        <v>0</v>
      </c>
    </row>
    <row r="200" spans="1:5" x14ac:dyDescent="0.25">
      <c r="A200" s="162">
        <f xml:space="preserve"> 'CASE DATA'!A201</f>
        <v>0</v>
      </c>
      <c r="B200" s="185">
        <f xml:space="preserve"> 'CASE DATA'!F200</f>
        <v>0</v>
      </c>
      <c r="C200" s="166">
        <f xml:space="preserve"> IF(OR(B200="DISM", B200="JWV", B200="JUV", B200="CIV"), SUM('CASE DATA'!I200:R200), 'CASE DATA'!K200+'CASE DATA'!O200)</f>
        <v>0</v>
      </c>
      <c r="D200" s="167">
        <f xml:space="preserve"> IF(OR(B200="DISM", B200="JWV", B200="JUV", B200="CIV"), 0, 'CASE DATA'!J200+'CASE DATA'!L200+'CASE DATA'!M200+'CASE DATA'!P200+'CASE DATA'!Q200+'CASE DATA'!R200)</f>
        <v>0</v>
      </c>
      <c r="E200" s="168">
        <f xml:space="preserve"> IF(OR(B200="DISM", B200="JWV", B200="JUV", B200="CIV"), 0, 'CASE DATA'!I200+'CASE DATA'!N200)</f>
        <v>0</v>
      </c>
    </row>
    <row r="201" spans="1:5" x14ac:dyDescent="0.25">
      <c r="A201" s="162">
        <f xml:space="preserve"> 'CASE DATA'!A202</f>
        <v>0</v>
      </c>
      <c r="B201" s="185">
        <f xml:space="preserve"> 'CASE DATA'!F201</f>
        <v>0</v>
      </c>
      <c r="C201" s="166">
        <f xml:space="preserve"> IF(OR(B201="DISM", B201="JWV", B201="JUV", B201="CIV"), SUM('CASE DATA'!I201:R201), 'CASE DATA'!K201+'CASE DATA'!O201)</f>
        <v>0</v>
      </c>
      <c r="D201" s="167">
        <f xml:space="preserve"> IF(OR(B201="DISM", B201="JWV", B201="JUV", B201="CIV"), 0, 'CASE DATA'!J201+'CASE DATA'!L201+'CASE DATA'!M201+'CASE DATA'!P201+'CASE DATA'!Q201+'CASE DATA'!R201)</f>
        <v>0</v>
      </c>
      <c r="E201" s="168">
        <f xml:space="preserve"> IF(OR(B201="DISM", B201="JWV", B201="JUV", B201="CIV"), 0, 'CASE DATA'!I201+'CASE DATA'!N201)</f>
        <v>0</v>
      </c>
    </row>
  </sheetData>
  <mergeCells count="3">
    <mergeCell ref="A2:A3"/>
    <mergeCell ref="B2:E2"/>
    <mergeCell ref="A1:B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200"/>
  <sheetViews>
    <sheetView zoomScale="70" zoomScaleNormal="70" workbookViewId="0">
      <pane ySplit="1" topLeftCell="A2" activePane="bottomLeft" state="frozen"/>
      <selection pane="bottomLeft" activeCell="G6" sqref="G6"/>
    </sheetView>
  </sheetViews>
  <sheetFormatPr defaultRowHeight="15" x14ac:dyDescent="0.25"/>
  <cols>
    <col min="1" max="1" width="24" customWidth="1"/>
    <col min="2" max="2" width="10" customWidth="1"/>
    <col min="3" max="3" width="12.42578125" customWidth="1"/>
    <col min="4" max="4" width="26.7109375" customWidth="1"/>
    <col min="5" max="5" width="9.42578125" customWidth="1"/>
    <col min="6" max="15" width="20.7109375" customWidth="1"/>
    <col min="16" max="16" width="12.7109375" customWidth="1"/>
  </cols>
  <sheetData>
    <row r="1" spans="1:16" ht="15.75" thickBot="1" x14ac:dyDescent="0.3">
      <c r="A1" s="250" t="s">
        <v>58</v>
      </c>
      <c r="B1" s="251"/>
      <c r="C1" s="252"/>
      <c r="D1" s="253">
        <f xml:space="preserve"> SUM(I4:I200)</f>
        <v>0</v>
      </c>
      <c r="E1" s="254"/>
      <c r="F1" s="195" t="s">
        <v>59</v>
      </c>
      <c r="G1" s="169">
        <f xml:space="preserve"> 'CASE DATA'!S1-K1</f>
        <v>0</v>
      </c>
      <c r="H1" s="251" t="s">
        <v>60</v>
      </c>
      <c r="I1" s="251"/>
      <c r="J1" s="252"/>
      <c r="K1" s="170">
        <f xml:space="preserve"> SUM(M4:M200)</f>
        <v>0</v>
      </c>
      <c r="L1" s="93">
        <f>G1</f>
        <v>0</v>
      </c>
      <c r="M1" s="171"/>
      <c r="N1" s="4"/>
      <c r="O1" s="4"/>
      <c r="P1" s="184"/>
    </row>
    <row r="2" spans="1:16" x14ac:dyDescent="0.25">
      <c r="A2" s="258" t="s">
        <v>11</v>
      </c>
      <c r="B2" s="260" t="s">
        <v>12</v>
      </c>
      <c r="C2" s="258" t="s">
        <v>32</v>
      </c>
      <c r="D2" s="258" t="s">
        <v>61</v>
      </c>
      <c r="E2" s="261" t="s">
        <v>14</v>
      </c>
      <c r="F2" s="255" t="s">
        <v>62</v>
      </c>
      <c r="G2" s="256"/>
      <c r="H2" s="256"/>
      <c r="I2" s="256"/>
      <c r="J2" s="257" t="s">
        <v>63</v>
      </c>
      <c r="K2" s="257"/>
      <c r="L2" s="257"/>
      <c r="M2" s="257"/>
      <c r="N2" s="2"/>
      <c r="O2" s="2"/>
      <c r="P2" s="184"/>
    </row>
    <row r="3" spans="1:16" x14ac:dyDescent="0.25">
      <c r="A3" s="259"/>
      <c r="B3" s="258"/>
      <c r="C3" s="259"/>
      <c r="D3" s="259"/>
      <c r="E3" s="262"/>
      <c r="F3" s="172" t="s">
        <v>64</v>
      </c>
      <c r="G3" s="172" t="s">
        <v>44</v>
      </c>
      <c r="H3" s="173" t="s">
        <v>59</v>
      </c>
      <c r="I3" s="172" t="s">
        <v>9</v>
      </c>
      <c r="J3" s="174" t="s">
        <v>65</v>
      </c>
      <c r="K3" s="174" t="s">
        <v>44</v>
      </c>
      <c r="L3" s="175" t="s">
        <v>59</v>
      </c>
      <c r="M3" s="174" t="s">
        <v>9</v>
      </c>
      <c r="N3" s="3"/>
      <c r="O3" s="3"/>
      <c r="P3" s="5"/>
    </row>
    <row r="4" spans="1:16" x14ac:dyDescent="0.25">
      <c r="A4" s="162">
        <f xml:space="preserve"> 'CASE DATA'!A4</f>
        <v>0</v>
      </c>
      <c r="B4" s="162">
        <f xml:space="preserve"> 'CASE DATA'!B4</f>
        <v>0</v>
      </c>
      <c r="C4" s="163">
        <f xml:space="preserve"> 'CASE DATA'!C4</f>
        <v>0</v>
      </c>
      <c r="D4" s="162">
        <f xml:space="preserve"> 'CASE DATA'!E4</f>
        <v>0</v>
      </c>
      <c r="E4" s="162">
        <f xml:space="preserve"> 'CASE DATA'!F4</f>
        <v>0</v>
      </c>
      <c r="F4" s="138">
        <f xml:space="preserve"> 'CASE DATA'!G4</f>
        <v>0</v>
      </c>
      <c r="G4" s="6" t="str">
        <f>IF(AND(F4="YES", OR(E4="GTR",E4="GPL",E4="DEF",E4="JUV")), 'CASE DATA'!K4, "N/A")</f>
        <v>N/A</v>
      </c>
      <c r="H4" s="6" t="str">
        <f>IF(AND(F4="YES", OR(E4="GTR",E4="GPL",E4="DEF",E4="JUV")), (SUM('CASE DATA'!I4:J4)+SUM('CASE DATA'!L4:R4)), "N/A")</f>
        <v>N/A</v>
      </c>
      <c r="I4" s="21" t="str">
        <f>IF(AND(F4="YES", OR(E4="GTR",E4="GPL",E4="DEF",E4="JUV")),G4+H4, "N/A")</f>
        <v>N/A</v>
      </c>
      <c r="J4" s="6" t="str">
        <f t="shared" ref="J4" si="0" xml:space="preserve"> IF(OR(E4="GTR", E4="GPL", E4="DEF"), "YES", "NO")</f>
        <v>NO</v>
      </c>
      <c r="K4" s="6" t="str">
        <f>IF(J4="YES",'CASE DATA'!K4,"N/A")</f>
        <v>N/A</v>
      </c>
      <c r="L4" s="6" t="str">
        <f>IF(J4="YES", SUM('CASE DATA'!I4:J4)+SUM('CASE DATA'!L4:R4),"N/A")</f>
        <v>N/A</v>
      </c>
      <c r="M4" s="21">
        <f t="shared" ref="M4" si="1">IF(AND(J4="YES"), K4+L4, 0)</f>
        <v>0</v>
      </c>
      <c r="N4" s="3"/>
      <c r="O4" s="3"/>
      <c r="P4" s="5"/>
    </row>
    <row r="5" spans="1:16" x14ac:dyDescent="0.25">
      <c r="A5" s="162">
        <f xml:space="preserve"> 'CASE DATA'!A5</f>
        <v>0</v>
      </c>
      <c r="B5" s="162">
        <f xml:space="preserve"> 'CASE DATA'!B5</f>
        <v>0</v>
      </c>
      <c r="C5" s="163">
        <f xml:space="preserve"> 'CASE DATA'!C5</f>
        <v>0</v>
      </c>
      <c r="D5" s="162">
        <f xml:space="preserve"> 'CASE DATA'!E5</f>
        <v>0</v>
      </c>
      <c r="E5" s="162">
        <f xml:space="preserve"> 'CASE DATA'!F5</f>
        <v>0</v>
      </c>
      <c r="F5" s="138">
        <f xml:space="preserve"> 'CASE DATA'!G5</f>
        <v>0</v>
      </c>
      <c r="G5" s="6" t="str">
        <f>IF(AND(F5="YES", OR(E5="GTR",E5="GPL",E5="DEF",E5="JUV")), 'CASE DATA'!K5, "N/A")</f>
        <v>N/A</v>
      </c>
      <c r="H5" s="6" t="str">
        <f>IF(AND(F5="YES", OR(E5="GTR",E5="GPL",E5="DEF",E5="JUV")), (SUM('CASE DATA'!I5:J5)+SUM('CASE DATA'!L5:R5)), "N/A")</f>
        <v>N/A</v>
      </c>
      <c r="I5" s="21" t="str">
        <f>IF(AND(F5="YES", OR(E5="GTR",E5="GPL",E5="DEF",E5="JUV")),G5+H5, "N/A")</f>
        <v>N/A</v>
      </c>
      <c r="J5" s="6" t="str">
        <f t="shared" ref="J5" si="2" xml:space="preserve"> IF(OR(E5="GTR", E5="GPL", E5="DEF"), "YES", "NO")</f>
        <v>NO</v>
      </c>
      <c r="K5" s="6" t="str">
        <f>IF(J5="YES",'CASE DATA'!K5,"N/A")</f>
        <v>N/A</v>
      </c>
      <c r="L5" s="6" t="str">
        <f>IF(J5="YES", SUM('CASE DATA'!I5:J5)+SUM('CASE DATA'!L5:R5),"N/A")</f>
        <v>N/A</v>
      </c>
      <c r="M5" s="21">
        <f t="shared" ref="M5" si="3">IF(AND(J5="YES"), K5+L5, 0)</f>
        <v>0</v>
      </c>
      <c r="N5" s="3"/>
      <c r="O5" s="3"/>
      <c r="P5" s="5"/>
    </row>
    <row r="6" spans="1:16" x14ac:dyDescent="0.25">
      <c r="A6" s="162">
        <f xml:space="preserve"> 'CASE DATA'!A6</f>
        <v>0</v>
      </c>
      <c r="B6" s="162">
        <f xml:space="preserve"> 'CASE DATA'!B6</f>
        <v>0</v>
      </c>
      <c r="C6" s="163">
        <f xml:space="preserve"> 'CASE DATA'!C6</f>
        <v>0</v>
      </c>
      <c r="D6" s="162">
        <f xml:space="preserve"> 'CASE DATA'!E6</f>
        <v>0</v>
      </c>
      <c r="E6" s="162">
        <f xml:space="preserve"> 'CASE DATA'!F6</f>
        <v>0</v>
      </c>
      <c r="F6" s="138">
        <f xml:space="preserve"> 'CASE DATA'!G6</f>
        <v>0</v>
      </c>
      <c r="G6" s="6" t="str">
        <f>IF(AND(F6="YES", OR(E6="GTR",E6="GPL",E6="DEF",E6="JUV")), 'CASE DATA'!K6, "N/A")</f>
        <v>N/A</v>
      </c>
      <c r="H6" s="6" t="str">
        <f>IF(AND(F6="YES", OR(E6="GTR",E6="GPL",E6="DEF",E6="JUV")), (SUM('CASE DATA'!I6:J6)+SUM('CASE DATA'!L6:R6)), "N/A")</f>
        <v>N/A</v>
      </c>
      <c r="I6" s="21" t="str">
        <f>IF(AND(F6="YES", OR(E6="GTR",E6="GPL",E6="DEF",E6="JUV")),G6+H6, "N/A")</f>
        <v>N/A</v>
      </c>
      <c r="J6" s="6" t="str">
        <f t="shared" ref="J6:J10" si="4" xml:space="preserve"> IF(OR(E6="GTR", E6="GPL", E6="DEF"), "YES", "NO")</f>
        <v>NO</v>
      </c>
      <c r="K6" s="6" t="str">
        <f>IF(J6="YES",'CASE DATA'!K6,"N/A")</f>
        <v>N/A</v>
      </c>
      <c r="L6" s="6" t="str">
        <f>IF(J6="YES", SUM('CASE DATA'!I6:J6)+SUM('CASE DATA'!L6:R6),"N/A")</f>
        <v>N/A</v>
      </c>
      <c r="M6" s="21">
        <f t="shared" ref="M6:M10" si="5">IF(AND(J6="YES"), K6+L6, 0)</f>
        <v>0</v>
      </c>
      <c r="N6" s="3"/>
      <c r="O6" s="3"/>
      <c r="P6" s="5"/>
    </row>
    <row r="7" spans="1:16" x14ac:dyDescent="0.25">
      <c r="A7" s="162">
        <f xml:space="preserve"> 'CASE DATA'!A7</f>
        <v>0</v>
      </c>
      <c r="B7" s="162">
        <f xml:space="preserve"> 'CASE DATA'!B7</f>
        <v>0</v>
      </c>
      <c r="C7" s="163">
        <f xml:space="preserve"> 'CASE DATA'!C7</f>
        <v>0</v>
      </c>
      <c r="D7" s="162">
        <f xml:space="preserve"> 'CASE DATA'!E7</f>
        <v>0</v>
      </c>
      <c r="E7" s="162">
        <f xml:space="preserve"> 'CASE DATA'!F7</f>
        <v>0</v>
      </c>
      <c r="F7" s="138">
        <f xml:space="preserve"> 'CASE DATA'!G7</f>
        <v>0</v>
      </c>
      <c r="G7" s="6" t="str">
        <f>IF(AND(F7="YES", OR(E7="GTR",E7="GPL",E7="DEF",E7="JUV")), 'CASE DATA'!K7, "N/A")</f>
        <v>N/A</v>
      </c>
      <c r="H7" s="6" t="str">
        <f>IF(AND(F7="YES", OR(E7="GTR",E7="GPL",E7="DEF",E7="JUV")), (SUM('CASE DATA'!I7:J7)+SUM('CASE DATA'!L7:R7)), "N/A")</f>
        <v>N/A</v>
      </c>
      <c r="I7" s="21" t="str">
        <f>IF(AND(F7="YES", OR(E7="GTR",E7="GPL",E7="DEF",E7="JUV")),G7+H7, "N/A")</f>
        <v>N/A</v>
      </c>
      <c r="J7" s="6" t="str">
        <f t="shared" si="4"/>
        <v>NO</v>
      </c>
      <c r="K7" s="6" t="str">
        <f>IF(J7="YES",'CASE DATA'!K7,"N/A")</f>
        <v>N/A</v>
      </c>
      <c r="L7" s="6" t="str">
        <f>IF(J7="YES", SUM('CASE DATA'!I7:J7)+SUM('CASE DATA'!L7:R7),"N/A")</f>
        <v>N/A</v>
      </c>
      <c r="M7" s="21">
        <f t="shared" si="5"/>
        <v>0</v>
      </c>
      <c r="N7" s="3"/>
      <c r="O7" s="3"/>
      <c r="P7" s="5"/>
    </row>
    <row r="8" spans="1:16" x14ac:dyDescent="0.25">
      <c r="A8" s="162">
        <f xml:space="preserve"> 'CASE DATA'!A8</f>
        <v>0</v>
      </c>
      <c r="B8" s="162">
        <f xml:space="preserve"> 'CASE DATA'!B8</f>
        <v>0</v>
      </c>
      <c r="C8" s="163">
        <f xml:space="preserve"> 'CASE DATA'!C8</f>
        <v>0</v>
      </c>
      <c r="D8" s="162">
        <f xml:space="preserve"> 'CASE DATA'!E8</f>
        <v>0</v>
      </c>
      <c r="E8" s="162">
        <f xml:space="preserve"> 'CASE DATA'!F8</f>
        <v>0</v>
      </c>
      <c r="F8" s="138">
        <f xml:space="preserve"> 'CASE DATA'!G8</f>
        <v>0</v>
      </c>
      <c r="G8" s="6" t="str">
        <f>IF(AND(F8="YES", OR(E8="GTR",E8="GPL",E8="DEF",E8="JUV")), 'CASE DATA'!K8, "N/A")</f>
        <v>N/A</v>
      </c>
      <c r="H8" s="6" t="str">
        <f>IF(AND(F8="YES", OR(E8="GTR",E8="GPL",E8="DEF",E8="JUV")), (SUM('CASE DATA'!I8:J8)+SUM('CASE DATA'!L8:R8)), "N/A")</f>
        <v>N/A</v>
      </c>
      <c r="I8" s="21" t="str">
        <f t="shared" ref="I8:I70" si="6">IF(AND(F8="YES", OR(E8="GTR",E8="GPL",E8="DEF",E8="JUV")),G8+H8, "N/A")</f>
        <v>N/A</v>
      </c>
      <c r="J8" s="6" t="str">
        <f t="shared" si="4"/>
        <v>NO</v>
      </c>
      <c r="K8" s="6" t="str">
        <f>IF(J8="YES",'CASE DATA'!K8,"N/A")</f>
        <v>N/A</v>
      </c>
      <c r="L8" s="6" t="str">
        <f>IF(J8="YES", SUM('CASE DATA'!I8:J8)+SUM('CASE DATA'!L8:R8),"N/A")</f>
        <v>N/A</v>
      </c>
      <c r="M8" s="21">
        <f t="shared" si="5"/>
        <v>0</v>
      </c>
      <c r="N8" s="3"/>
      <c r="O8" s="3"/>
      <c r="P8" s="5"/>
    </row>
    <row r="9" spans="1:16" x14ac:dyDescent="0.25">
      <c r="A9" s="162">
        <f xml:space="preserve"> 'CASE DATA'!A9</f>
        <v>0</v>
      </c>
      <c r="B9" s="162">
        <f xml:space="preserve"> 'CASE DATA'!B9</f>
        <v>0</v>
      </c>
      <c r="C9" s="163">
        <f xml:space="preserve"> 'CASE DATA'!C9</f>
        <v>0</v>
      </c>
      <c r="D9" s="162">
        <f xml:space="preserve"> 'CASE DATA'!E9</f>
        <v>0</v>
      </c>
      <c r="E9" s="162">
        <f xml:space="preserve"> 'CASE DATA'!F9</f>
        <v>0</v>
      </c>
      <c r="F9" s="138">
        <f xml:space="preserve"> 'CASE DATA'!G9</f>
        <v>0</v>
      </c>
      <c r="G9" s="6" t="str">
        <f>IF(AND(F9="YES", OR(E9="GTR",E9="GPL",E9="DEF",E9="JUV")), 'CASE DATA'!K9, "N/A")</f>
        <v>N/A</v>
      </c>
      <c r="H9" s="6" t="str">
        <f>IF(AND(F9="YES", OR(E9="GTR",E9="GPL",E9="DEF",E9="JUV")), (SUM('CASE DATA'!I9:J9)+SUM('CASE DATA'!L9:R9)), "N/A")</f>
        <v>N/A</v>
      </c>
      <c r="I9" s="21" t="str">
        <f t="shared" si="6"/>
        <v>N/A</v>
      </c>
      <c r="J9" s="6" t="str">
        <f t="shared" si="4"/>
        <v>NO</v>
      </c>
      <c r="K9" s="6" t="str">
        <f>IF(J9="YES",'CASE DATA'!K9,"N/A")</f>
        <v>N/A</v>
      </c>
      <c r="L9" s="6" t="str">
        <f>IF(J9="YES", SUM('CASE DATA'!I9:J9)+SUM('CASE DATA'!L9:R9),"N/A")</f>
        <v>N/A</v>
      </c>
      <c r="M9" s="21">
        <f t="shared" si="5"/>
        <v>0</v>
      </c>
      <c r="N9" s="3"/>
      <c r="O9" s="3"/>
      <c r="P9" s="5"/>
    </row>
    <row r="10" spans="1:16" x14ac:dyDescent="0.25">
      <c r="A10" s="162">
        <f xml:space="preserve"> 'CASE DATA'!A10</f>
        <v>0</v>
      </c>
      <c r="B10" s="162">
        <f xml:space="preserve"> 'CASE DATA'!B10</f>
        <v>0</v>
      </c>
      <c r="C10" s="163">
        <f xml:space="preserve"> 'CASE DATA'!C10</f>
        <v>0</v>
      </c>
      <c r="D10" s="162">
        <f xml:space="preserve"> 'CASE DATA'!E10</f>
        <v>0</v>
      </c>
      <c r="E10" s="162">
        <f xml:space="preserve"> 'CASE DATA'!F10</f>
        <v>0</v>
      </c>
      <c r="F10" s="138">
        <f xml:space="preserve"> 'CASE DATA'!G10</f>
        <v>0</v>
      </c>
      <c r="G10" s="6" t="str">
        <f>IF(AND(F10="YES", OR(E10="GTR",E10="GPL",E10="DEF",E10="JUV")), 'CASE DATA'!K10, "N/A")</f>
        <v>N/A</v>
      </c>
      <c r="H10" s="6" t="str">
        <f>IF(AND(F10="YES", OR(E10="GTR",E10="GPL",E10="DEF",E10="JUV")), (SUM('CASE DATA'!I10:J10)+SUM('CASE DATA'!L10:R10)), "N/A")</f>
        <v>N/A</v>
      </c>
      <c r="I10" s="21" t="str">
        <f t="shared" si="6"/>
        <v>N/A</v>
      </c>
      <c r="J10" s="6" t="str">
        <f t="shared" si="4"/>
        <v>NO</v>
      </c>
      <c r="K10" s="6" t="str">
        <f>IF(J10="YES",'CASE DATA'!K10,"N/A")</f>
        <v>N/A</v>
      </c>
      <c r="L10" s="6" t="str">
        <f>IF(J10="YES", SUM('CASE DATA'!I10:J10)+SUM('CASE DATA'!L10:R10),"N/A")</f>
        <v>N/A</v>
      </c>
      <c r="M10" s="21">
        <f t="shared" si="5"/>
        <v>0</v>
      </c>
      <c r="N10" s="3"/>
      <c r="O10" s="3"/>
      <c r="P10" s="5"/>
    </row>
    <row r="11" spans="1:16" x14ac:dyDescent="0.25">
      <c r="A11" s="162">
        <f xml:space="preserve"> 'CASE DATA'!A11</f>
        <v>0</v>
      </c>
      <c r="B11" s="162">
        <f xml:space="preserve"> 'CASE DATA'!B11</f>
        <v>0</v>
      </c>
      <c r="C11" s="163">
        <f xml:space="preserve"> 'CASE DATA'!C11</f>
        <v>0</v>
      </c>
      <c r="D11" s="162">
        <f xml:space="preserve"> 'CASE DATA'!E11</f>
        <v>0</v>
      </c>
      <c r="E11" s="162">
        <f xml:space="preserve"> 'CASE DATA'!F11</f>
        <v>0</v>
      </c>
      <c r="F11" s="138">
        <f xml:space="preserve"> 'CASE DATA'!G11</f>
        <v>0</v>
      </c>
      <c r="G11" s="6" t="str">
        <f>IF(AND(F11="YES", OR(E11="GTR",E11="GPL",E11="DEF",E11="JUV")), 'CASE DATA'!K11, "N/A")</f>
        <v>N/A</v>
      </c>
      <c r="H11" s="6" t="str">
        <f>IF(AND(F11="YES", OR(E11="GTR",E11="GPL",E11="DEF",E11="JUV")), (SUM('CASE DATA'!I11:J11)+SUM('CASE DATA'!L11:R11)), "N/A")</f>
        <v>N/A</v>
      </c>
      <c r="I11" s="21" t="str">
        <f t="shared" si="6"/>
        <v>N/A</v>
      </c>
      <c r="J11" s="6" t="str">
        <f t="shared" ref="J11:J47" si="7" xml:space="preserve"> IF(OR(E11="GTR", E11="GPL", E11="DEF"), "YES", "NO")</f>
        <v>NO</v>
      </c>
      <c r="K11" s="6" t="str">
        <f>IF(J11="YES",'CASE DATA'!K11,"N/A")</f>
        <v>N/A</v>
      </c>
      <c r="L11" s="6" t="str">
        <f>IF(J11="YES", SUM('CASE DATA'!I11:J11)+SUM('CASE DATA'!L11:R11),"N/A")</f>
        <v>N/A</v>
      </c>
      <c r="M11" s="21">
        <f t="shared" ref="M11:M47" si="8">IF(AND(J11="YES"), K11+L11, 0)</f>
        <v>0</v>
      </c>
      <c r="N11" s="3"/>
      <c r="O11" s="3"/>
      <c r="P11" s="5"/>
    </row>
    <row r="12" spans="1:16" x14ac:dyDescent="0.25">
      <c r="A12" s="162">
        <f xml:space="preserve"> 'CASE DATA'!A12</f>
        <v>0</v>
      </c>
      <c r="B12" s="162">
        <f xml:space="preserve"> 'CASE DATA'!B12</f>
        <v>0</v>
      </c>
      <c r="C12" s="163">
        <f xml:space="preserve"> 'CASE DATA'!C12</f>
        <v>0</v>
      </c>
      <c r="D12" s="162">
        <f xml:space="preserve"> 'CASE DATA'!E12</f>
        <v>0</v>
      </c>
      <c r="E12" s="162">
        <f xml:space="preserve"> 'CASE DATA'!F12</f>
        <v>0</v>
      </c>
      <c r="F12" s="138">
        <f xml:space="preserve"> 'CASE DATA'!G12</f>
        <v>0</v>
      </c>
      <c r="G12" s="6" t="str">
        <f>IF(AND(F12="YES", OR(E12="GTR",E12="GPL",E12="DEF",E12="JUV")), 'CASE DATA'!K12, "N/A")</f>
        <v>N/A</v>
      </c>
      <c r="H12" s="6" t="str">
        <f>IF(AND(F12="YES", OR(E12="GTR",E12="GPL",E12="DEF",E12="JUV")), (SUM('CASE DATA'!I12:J12)+SUM('CASE DATA'!L12:R12)), "N/A")</f>
        <v>N/A</v>
      </c>
      <c r="I12" s="21" t="str">
        <f t="shared" si="6"/>
        <v>N/A</v>
      </c>
      <c r="J12" s="6" t="str">
        <f t="shared" si="7"/>
        <v>NO</v>
      </c>
      <c r="K12" s="6" t="str">
        <f>IF(J12="YES",'CASE DATA'!K12,"N/A")</f>
        <v>N/A</v>
      </c>
      <c r="L12" s="6" t="str">
        <f>IF(J12="YES", SUM('CASE DATA'!I12:J12)+SUM('CASE DATA'!L12:R12),"N/A")</f>
        <v>N/A</v>
      </c>
      <c r="M12" s="21">
        <f t="shared" si="8"/>
        <v>0</v>
      </c>
      <c r="N12" s="3"/>
      <c r="O12" s="3"/>
      <c r="P12" s="5"/>
    </row>
    <row r="13" spans="1:16" x14ac:dyDescent="0.25">
      <c r="A13" s="162">
        <f xml:space="preserve"> 'CASE DATA'!A13</f>
        <v>0</v>
      </c>
      <c r="B13" s="162">
        <f xml:space="preserve"> 'CASE DATA'!B13</f>
        <v>0</v>
      </c>
      <c r="C13" s="163">
        <f xml:space="preserve"> 'CASE DATA'!C13</f>
        <v>0</v>
      </c>
      <c r="D13" s="162">
        <f xml:space="preserve"> 'CASE DATA'!E13</f>
        <v>0</v>
      </c>
      <c r="E13" s="162">
        <f xml:space="preserve"> 'CASE DATA'!F13</f>
        <v>0</v>
      </c>
      <c r="F13" s="138">
        <f xml:space="preserve"> 'CASE DATA'!G13</f>
        <v>0</v>
      </c>
      <c r="G13" s="6" t="str">
        <f>IF(AND(F13="YES", OR(E13="GTR",E13="GPL",E13="DEF",E13="JUV")), 'CASE DATA'!K13, "N/A")</f>
        <v>N/A</v>
      </c>
      <c r="H13" s="6" t="str">
        <f>IF(AND(F13="YES", OR(E13="GTR",E13="GPL",E13="DEF",E13="JUV")), (SUM('CASE DATA'!I13:J13)+SUM('CASE DATA'!L13:R13)), "N/A")</f>
        <v>N/A</v>
      </c>
      <c r="I13" s="21" t="str">
        <f t="shared" si="6"/>
        <v>N/A</v>
      </c>
      <c r="J13" s="6" t="str">
        <f t="shared" si="7"/>
        <v>NO</v>
      </c>
      <c r="K13" s="6" t="str">
        <f>IF(J13="YES",'CASE DATA'!K13,"N/A")</f>
        <v>N/A</v>
      </c>
      <c r="L13" s="6" t="str">
        <f>IF(J13="YES", SUM('CASE DATA'!I13:J13)+SUM('CASE DATA'!L13:R13),"N/A")</f>
        <v>N/A</v>
      </c>
      <c r="M13" s="21">
        <f t="shared" si="8"/>
        <v>0</v>
      </c>
      <c r="N13" s="3"/>
      <c r="O13" s="3"/>
      <c r="P13" s="5"/>
    </row>
    <row r="14" spans="1:16" x14ac:dyDescent="0.25">
      <c r="A14" s="162">
        <f xml:space="preserve"> 'CASE DATA'!A14</f>
        <v>0</v>
      </c>
      <c r="B14" s="162">
        <f xml:space="preserve"> 'CASE DATA'!B14</f>
        <v>0</v>
      </c>
      <c r="C14" s="163">
        <f xml:space="preserve"> 'CASE DATA'!C14</f>
        <v>0</v>
      </c>
      <c r="D14" s="162">
        <f xml:space="preserve"> 'CASE DATA'!E14</f>
        <v>0</v>
      </c>
      <c r="E14" s="162">
        <f xml:space="preserve"> 'CASE DATA'!F14</f>
        <v>0</v>
      </c>
      <c r="F14" s="138">
        <f xml:space="preserve"> 'CASE DATA'!G14</f>
        <v>0</v>
      </c>
      <c r="G14" s="6" t="str">
        <f>IF(AND(F14="YES", OR(E14="GTR",E14="GPL",E14="DEF",E14="JUV")), 'CASE DATA'!K14, "N/A")</f>
        <v>N/A</v>
      </c>
      <c r="H14" s="6" t="str">
        <f>IF(AND(F14="YES", OR(E14="GTR",E14="GPL",E14="DEF",E14="JUV")), (SUM('CASE DATA'!I14:J14)+SUM('CASE DATA'!L14:R14)), "N/A")</f>
        <v>N/A</v>
      </c>
      <c r="I14" s="21" t="str">
        <f t="shared" si="6"/>
        <v>N/A</v>
      </c>
      <c r="J14" s="6" t="str">
        <f t="shared" si="7"/>
        <v>NO</v>
      </c>
      <c r="K14" s="6" t="str">
        <f>IF(J14="YES",'CASE DATA'!K14,"N/A")</f>
        <v>N/A</v>
      </c>
      <c r="L14" s="6" t="str">
        <f>IF(J14="YES", SUM('CASE DATA'!I14:J14)+SUM('CASE DATA'!L14:R14),"N/A")</f>
        <v>N/A</v>
      </c>
      <c r="M14" s="21">
        <f t="shared" si="8"/>
        <v>0</v>
      </c>
      <c r="N14" s="3"/>
      <c r="O14" s="3"/>
      <c r="P14" s="5"/>
    </row>
    <row r="15" spans="1:16" x14ac:dyDescent="0.25">
      <c r="A15" s="162">
        <f xml:space="preserve"> 'CASE DATA'!A15</f>
        <v>0</v>
      </c>
      <c r="B15" s="162">
        <f xml:space="preserve"> 'CASE DATA'!B15</f>
        <v>0</v>
      </c>
      <c r="C15" s="163">
        <f xml:space="preserve"> 'CASE DATA'!C15</f>
        <v>0</v>
      </c>
      <c r="D15" s="162">
        <f xml:space="preserve"> 'CASE DATA'!E15</f>
        <v>0</v>
      </c>
      <c r="E15" s="162">
        <f xml:space="preserve"> 'CASE DATA'!F15</f>
        <v>0</v>
      </c>
      <c r="F15" s="138">
        <f xml:space="preserve"> 'CASE DATA'!G15</f>
        <v>0</v>
      </c>
      <c r="G15" s="6" t="str">
        <f>IF(AND(F15="YES", OR(E15="GTR",E15="GPL",E15="DEF",E15="JUV")), 'CASE DATA'!K15, "N/A")</f>
        <v>N/A</v>
      </c>
      <c r="H15" s="6" t="str">
        <f>IF(AND(F15="YES", OR(E15="GTR",E15="GPL",E15="DEF",E15="JUV")), (SUM('CASE DATA'!I15:J15)+SUM('CASE DATA'!L15:R15)), "N/A")</f>
        <v>N/A</v>
      </c>
      <c r="I15" s="21" t="str">
        <f t="shared" si="6"/>
        <v>N/A</v>
      </c>
      <c r="J15" s="6" t="str">
        <f t="shared" si="7"/>
        <v>NO</v>
      </c>
      <c r="K15" s="6" t="str">
        <f>IF(J15="YES",'CASE DATA'!K15,"N/A")</f>
        <v>N/A</v>
      </c>
      <c r="L15" s="6" t="str">
        <f>IF(J15="YES", SUM('CASE DATA'!I15:J15)+SUM('CASE DATA'!L15:R15),"N/A")</f>
        <v>N/A</v>
      </c>
      <c r="M15" s="21">
        <f t="shared" si="8"/>
        <v>0</v>
      </c>
      <c r="N15" s="3"/>
      <c r="O15" s="3"/>
      <c r="P15" s="5"/>
    </row>
    <row r="16" spans="1:16" x14ac:dyDescent="0.25">
      <c r="A16" s="162">
        <f xml:space="preserve"> 'CASE DATA'!A16</f>
        <v>0</v>
      </c>
      <c r="B16" s="162">
        <f xml:space="preserve"> 'CASE DATA'!B16</f>
        <v>0</v>
      </c>
      <c r="C16" s="163">
        <f xml:space="preserve"> 'CASE DATA'!C16</f>
        <v>0</v>
      </c>
      <c r="D16" s="162">
        <f xml:space="preserve"> 'CASE DATA'!E16</f>
        <v>0</v>
      </c>
      <c r="E16" s="162">
        <f xml:space="preserve"> 'CASE DATA'!F16</f>
        <v>0</v>
      </c>
      <c r="F16" s="138">
        <f xml:space="preserve"> 'CASE DATA'!G16</f>
        <v>0</v>
      </c>
      <c r="G16" s="6" t="str">
        <f>IF(AND(F16="YES", OR(E16="GTR",E16="GPL",E16="DEF",E16="JUV")), 'CASE DATA'!K16, "N/A")</f>
        <v>N/A</v>
      </c>
      <c r="H16" s="6" t="str">
        <f>IF(AND(F16="YES", OR(E16="GTR",E16="GPL",E16="DEF",E16="JUV")), (SUM('CASE DATA'!I16:J16)+SUM('CASE DATA'!L16:R16)), "N/A")</f>
        <v>N/A</v>
      </c>
      <c r="I16" s="21" t="str">
        <f t="shared" si="6"/>
        <v>N/A</v>
      </c>
      <c r="J16" s="6" t="str">
        <f t="shared" si="7"/>
        <v>NO</v>
      </c>
      <c r="K16" s="6" t="str">
        <f>IF(J16="YES",'CASE DATA'!K16,"N/A")</f>
        <v>N/A</v>
      </c>
      <c r="L16" s="6" t="str">
        <f>IF(J16="YES", SUM('CASE DATA'!I16:J16)+SUM('CASE DATA'!L16:R16),"N/A")</f>
        <v>N/A</v>
      </c>
      <c r="M16" s="21">
        <f t="shared" si="8"/>
        <v>0</v>
      </c>
      <c r="N16" s="3"/>
      <c r="O16" s="3"/>
      <c r="P16" s="5"/>
    </row>
    <row r="17" spans="1:16" x14ac:dyDescent="0.25">
      <c r="A17" s="162">
        <f xml:space="preserve"> 'CASE DATA'!A17</f>
        <v>0</v>
      </c>
      <c r="B17" s="162">
        <f xml:space="preserve"> 'CASE DATA'!B17</f>
        <v>0</v>
      </c>
      <c r="C17" s="163">
        <f xml:space="preserve"> 'CASE DATA'!C17</f>
        <v>0</v>
      </c>
      <c r="D17" s="162">
        <f xml:space="preserve"> 'CASE DATA'!E17</f>
        <v>0</v>
      </c>
      <c r="E17" s="162">
        <f xml:space="preserve"> 'CASE DATA'!F17</f>
        <v>0</v>
      </c>
      <c r="F17" s="138">
        <f xml:space="preserve"> 'CASE DATA'!G17</f>
        <v>0</v>
      </c>
      <c r="G17" s="6" t="str">
        <f>IF(AND(F17="YES", OR(E17="GTR",E17="GPL",E17="DEF",E17="JUV")), 'CASE DATA'!K17, "N/A")</f>
        <v>N/A</v>
      </c>
      <c r="H17" s="6" t="str">
        <f>IF(AND(F17="YES", OR(E17="GTR",E17="GPL",E17="DEF",E17="JUV")), (SUM('CASE DATA'!I17:J17)+SUM('CASE DATA'!L17:R17)), "N/A")</f>
        <v>N/A</v>
      </c>
      <c r="I17" s="21" t="str">
        <f t="shared" si="6"/>
        <v>N/A</v>
      </c>
      <c r="J17" s="6" t="str">
        <f t="shared" si="7"/>
        <v>NO</v>
      </c>
      <c r="K17" s="6" t="str">
        <f>IF(J17="YES",'CASE DATA'!K17,"N/A")</f>
        <v>N/A</v>
      </c>
      <c r="L17" s="6" t="str">
        <f>IF(J17="YES", SUM('CASE DATA'!I17:J17)+SUM('CASE DATA'!L17:R17),"N/A")</f>
        <v>N/A</v>
      </c>
      <c r="M17" s="21">
        <f t="shared" si="8"/>
        <v>0</v>
      </c>
      <c r="N17" s="3"/>
      <c r="O17" s="3"/>
      <c r="P17" s="5"/>
    </row>
    <row r="18" spans="1:16" x14ac:dyDescent="0.25">
      <c r="A18" s="162">
        <f xml:space="preserve"> 'CASE DATA'!A18</f>
        <v>0</v>
      </c>
      <c r="B18" s="162">
        <f xml:space="preserve"> 'CASE DATA'!B18</f>
        <v>0</v>
      </c>
      <c r="C18" s="163">
        <f xml:space="preserve"> 'CASE DATA'!C18</f>
        <v>0</v>
      </c>
      <c r="D18" s="162">
        <f xml:space="preserve"> 'CASE DATA'!E18</f>
        <v>0</v>
      </c>
      <c r="E18" s="162">
        <f xml:space="preserve"> 'CASE DATA'!F18</f>
        <v>0</v>
      </c>
      <c r="F18" s="138">
        <f xml:space="preserve"> 'CASE DATA'!G18</f>
        <v>0</v>
      </c>
      <c r="G18" s="6" t="str">
        <f>IF(AND(F18="YES", OR(E18="GTR",E18="GPL",E18="DEF",E18="JUV")), 'CASE DATA'!K18, "N/A")</f>
        <v>N/A</v>
      </c>
      <c r="H18" s="6" t="str">
        <f>IF(AND(F18="YES", OR(E18="GTR",E18="GPL",E18="DEF",E18="JUV")), (SUM('CASE DATA'!I18:J18)+SUM('CASE DATA'!L18:R18)), "N/A")</f>
        <v>N/A</v>
      </c>
      <c r="I18" s="21" t="str">
        <f t="shared" si="6"/>
        <v>N/A</v>
      </c>
      <c r="J18" s="6" t="str">
        <f t="shared" si="7"/>
        <v>NO</v>
      </c>
      <c r="K18" s="6" t="str">
        <f>IF(J18="YES",'CASE DATA'!K18,"N/A")</f>
        <v>N/A</v>
      </c>
      <c r="L18" s="6" t="str">
        <f>IF(J18="YES", SUM('CASE DATA'!I18:J18)+SUM('CASE DATA'!L18:R18),"N/A")</f>
        <v>N/A</v>
      </c>
      <c r="M18" s="21">
        <f t="shared" si="8"/>
        <v>0</v>
      </c>
      <c r="N18" s="3"/>
      <c r="O18" s="3"/>
      <c r="P18" s="5"/>
    </row>
    <row r="19" spans="1:16" x14ac:dyDescent="0.25">
      <c r="A19" s="162">
        <f xml:space="preserve"> 'CASE DATA'!A19</f>
        <v>0</v>
      </c>
      <c r="B19" s="162">
        <f xml:space="preserve"> 'CASE DATA'!B19</f>
        <v>0</v>
      </c>
      <c r="C19" s="163">
        <f xml:space="preserve"> 'CASE DATA'!C19</f>
        <v>0</v>
      </c>
      <c r="D19" s="162">
        <f xml:space="preserve"> 'CASE DATA'!E19</f>
        <v>0</v>
      </c>
      <c r="E19" s="162">
        <f xml:space="preserve"> 'CASE DATA'!F19</f>
        <v>0</v>
      </c>
      <c r="F19" s="138">
        <f xml:space="preserve"> 'CASE DATA'!G19</f>
        <v>0</v>
      </c>
      <c r="G19" s="6" t="str">
        <f>IF(AND(F19="YES", OR(E19="GTR",E19="GPL",E19="DEF",E19="JUV")), 'CASE DATA'!K19, "N/A")</f>
        <v>N/A</v>
      </c>
      <c r="H19" s="6" t="str">
        <f>IF(AND(F19="YES", OR(E19="GTR",E19="GPL",E19="DEF",E19="JUV")), (SUM('CASE DATA'!I19:J19)+SUM('CASE DATA'!L19:R19)), "N/A")</f>
        <v>N/A</v>
      </c>
      <c r="I19" s="21" t="str">
        <f t="shared" si="6"/>
        <v>N/A</v>
      </c>
      <c r="J19" s="6" t="str">
        <f t="shared" si="7"/>
        <v>NO</v>
      </c>
      <c r="K19" s="6" t="str">
        <f>IF(J19="YES",'CASE DATA'!K19,"N/A")</f>
        <v>N/A</v>
      </c>
      <c r="L19" s="6" t="str">
        <f>IF(J19="YES", SUM('CASE DATA'!I19:J19)+SUM('CASE DATA'!L19:R19),"N/A")</f>
        <v>N/A</v>
      </c>
      <c r="M19" s="21">
        <f t="shared" si="8"/>
        <v>0</v>
      </c>
      <c r="N19" s="3"/>
      <c r="O19" s="3"/>
      <c r="P19" s="5"/>
    </row>
    <row r="20" spans="1:16" x14ac:dyDescent="0.25">
      <c r="A20" s="162">
        <f xml:space="preserve"> 'CASE DATA'!A20</f>
        <v>0</v>
      </c>
      <c r="B20" s="162">
        <f xml:space="preserve"> 'CASE DATA'!B20</f>
        <v>0</v>
      </c>
      <c r="C20" s="163">
        <f xml:space="preserve"> 'CASE DATA'!C20</f>
        <v>0</v>
      </c>
      <c r="D20" s="162">
        <f xml:space="preserve"> 'CASE DATA'!E20</f>
        <v>0</v>
      </c>
      <c r="E20" s="162">
        <f xml:space="preserve"> 'CASE DATA'!F20</f>
        <v>0</v>
      </c>
      <c r="F20" s="138">
        <f xml:space="preserve"> 'CASE DATA'!G20</f>
        <v>0</v>
      </c>
      <c r="G20" s="6" t="str">
        <f>IF(AND(F20="YES", OR(E20="GTR",E20="GPL",E20="DEF",E20="JUV")), 'CASE DATA'!K20, "N/A")</f>
        <v>N/A</v>
      </c>
      <c r="H20" s="6" t="str">
        <f>IF(AND(F20="YES", OR(E20="GTR",E20="GPL",E20="DEF",E20="JUV")), (SUM('CASE DATA'!I20:J20)+SUM('CASE DATA'!L20:R20)), "N/A")</f>
        <v>N/A</v>
      </c>
      <c r="I20" s="21" t="str">
        <f t="shared" si="6"/>
        <v>N/A</v>
      </c>
      <c r="J20" s="6" t="str">
        <f t="shared" si="7"/>
        <v>NO</v>
      </c>
      <c r="K20" s="6" t="str">
        <f>IF(J20="YES",'CASE DATA'!K20,"N/A")</f>
        <v>N/A</v>
      </c>
      <c r="L20" s="6" t="str">
        <f>IF(J20="YES", SUM('CASE DATA'!I20:J20)+SUM('CASE DATA'!L20:R20),"N/A")</f>
        <v>N/A</v>
      </c>
      <c r="M20" s="21">
        <f t="shared" si="8"/>
        <v>0</v>
      </c>
      <c r="N20" s="3"/>
      <c r="O20" s="3"/>
      <c r="P20" s="5"/>
    </row>
    <row r="21" spans="1:16" x14ac:dyDescent="0.25">
      <c r="A21" s="162">
        <f xml:space="preserve"> 'CASE DATA'!A21</f>
        <v>0</v>
      </c>
      <c r="B21" s="162">
        <f xml:space="preserve"> 'CASE DATA'!B21</f>
        <v>0</v>
      </c>
      <c r="C21" s="163">
        <f xml:space="preserve"> 'CASE DATA'!C21</f>
        <v>0</v>
      </c>
      <c r="D21" s="162">
        <f xml:space="preserve"> 'CASE DATA'!E21</f>
        <v>0</v>
      </c>
      <c r="E21" s="162">
        <f xml:space="preserve"> 'CASE DATA'!F21</f>
        <v>0</v>
      </c>
      <c r="F21" s="138">
        <f xml:space="preserve"> 'CASE DATA'!G21</f>
        <v>0</v>
      </c>
      <c r="G21" s="6" t="str">
        <f>IF(AND(F21="YES", OR(E21="GTR",E21="GPL",E21="DEF",E21="JUV")), 'CASE DATA'!K21, "N/A")</f>
        <v>N/A</v>
      </c>
      <c r="H21" s="6" t="str">
        <f>IF(AND(F21="YES", OR(E21="GTR",E21="GPL",E21="DEF",E21="JUV")), (SUM('CASE DATA'!I21:J21)+SUM('CASE DATA'!L21:R21)), "N/A")</f>
        <v>N/A</v>
      </c>
      <c r="I21" s="21" t="str">
        <f t="shared" si="6"/>
        <v>N/A</v>
      </c>
      <c r="J21" s="6" t="str">
        <f t="shared" si="7"/>
        <v>NO</v>
      </c>
      <c r="K21" s="6" t="str">
        <f>IF(J21="YES",'CASE DATA'!K21,"N/A")</f>
        <v>N/A</v>
      </c>
      <c r="L21" s="6" t="str">
        <f>IF(J21="YES", SUM('CASE DATA'!I21:J21)+SUM('CASE DATA'!L21:R21),"N/A")</f>
        <v>N/A</v>
      </c>
      <c r="M21" s="21">
        <f t="shared" si="8"/>
        <v>0</v>
      </c>
      <c r="N21" s="3"/>
      <c r="O21" s="3"/>
      <c r="P21" s="5"/>
    </row>
    <row r="22" spans="1:16" x14ac:dyDescent="0.25">
      <c r="A22" s="162">
        <f xml:space="preserve"> 'CASE DATA'!A22</f>
        <v>0</v>
      </c>
      <c r="B22" s="162">
        <f xml:space="preserve"> 'CASE DATA'!B22</f>
        <v>0</v>
      </c>
      <c r="C22" s="163">
        <f xml:space="preserve"> 'CASE DATA'!C22</f>
        <v>0</v>
      </c>
      <c r="D22" s="162">
        <f xml:space="preserve"> 'CASE DATA'!E22</f>
        <v>0</v>
      </c>
      <c r="E22" s="162">
        <f xml:space="preserve"> 'CASE DATA'!F22</f>
        <v>0</v>
      </c>
      <c r="F22" s="138">
        <f xml:space="preserve"> 'CASE DATA'!G22</f>
        <v>0</v>
      </c>
      <c r="G22" s="6" t="str">
        <f>IF(AND(F22="YES", OR(E22="GTR",E22="GPL",E22="DEF",E22="JUV")), 'CASE DATA'!K22, "N/A")</f>
        <v>N/A</v>
      </c>
      <c r="H22" s="6" t="str">
        <f>IF(AND(F22="YES", OR(E22="GTR",E22="GPL",E22="DEF",E22="JUV")), (SUM('CASE DATA'!I22:J22)+SUM('CASE DATA'!L22:R22)), "N/A")</f>
        <v>N/A</v>
      </c>
      <c r="I22" s="21" t="str">
        <f t="shared" si="6"/>
        <v>N/A</v>
      </c>
      <c r="J22" s="6" t="str">
        <f t="shared" si="7"/>
        <v>NO</v>
      </c>
      <c r="K22" s="6" t="str">
        <f>IF(J22="YES",'CASE DATA'!K22,"N/A")</f>
        <v>N/A</v>
      </c>
      <c r="L22" s="6" t="str">
        <f>IF(J22="YES", SUM('CASE DATA'!I22:J22)+SUM('CASE DATA'!L22:R22),"N/A")</f>
        <v>N/A</v>
      </c>
      <c r="M22" s="21">
        <f t="shared" si="8"/>
        <v>0</v>
      </c>
      <c r="N22" s="3"/>
      <c r="O22" s="3"/>
      <c r="P22" s="5"/>
    </row>
    <row r="23" spans="1:16" x14ac:dyDescent="0.25">
      <c r="A23" s="162">
        <f xml:space="preserve"> 'CASE DATA'!A23</f>
        <v>0</v>
      </c>
      <c r="B23" s="162">
        <f xml:space="preserve"> 'CASE DATA'!B23</f>
        <v>0</v>
      </c>
      <c r="C23" s="163">
        <f xml:space="preserve"> 'CASE DATA'!C23</f>
        <v>0</v>
      </c>
      <c r="D23" s="162">
        <f xml:space="preserve"> 'CASE DATA'!E23</f>
        <v>0</v>
      </c>
      <c r="E23" s="162">
        <f xml:space="preserve"> 'CASE DATA'!F23</f>
        <v>0</v>
      </c>
      <c r="F23" s="138">
        <f xml:space="preserve"> 'CASE DATA'!G23</f>
        <v>0</v>
      </c>
      <c r="G23" s="6" t="str">
        <f>IF(AND(F23="YES", OR(E23="GTR",E23="GPL",E23="DEF",E23="JUV")), 'CASE DATA'!K23, "N/A")</f>
        <v>N/A</v>
      </c>
      <c r="H23" s="6" t="str">
        <f>IF(AND(F23="YES", OR(E23="GTR",E23="GPL",E23="DEF",E23="JUV")), (SUM('CASE DATA'!I23:J23)+SUM('CASE DATA'!L23:R23)), "N/A")</f>
        <v>N/A</v>
      </c>
      <c r="I23" s="21" t="str">
        <f t="shared" si="6"/>
        <v>N/A</v>
      </c>
      <c r="J23" s="6" t="str">
        <f t="shared" si="7"/>
        <v>NO</v>
      </c>
      <c r="K23" s="6" t="str">
        <f>IF(J23="YES",'CASE DATA'!K23,"N/A")</f>
        <v>N/A</v>
      </c>
      <c r="L23" s="6" t="str">
        <f>IF(J23="YES", SUM('CASE DATA'!I23:J23)+SUM('CASE DATA'!L23:R23),"N/A")</f>
        <v>N/A</v>
      </c>
      <c r="M23" s="21">
        <f t="shared" si="8"/>
        <v>0</v>
      </c>
      <c r="N23" s="3"/>
      <c r="O23" s="3"/>
      <c r="P23" s="5"/>
    </row>
    <row r="24" spans="1:16" x14ac:dyDescent="0.25">
      <c r="A24" s="162">
        <f xml:space="preserve"> 'CASE DATA'!A24</f>
        <v>0</v>
      </c>
      <c r="B24" s="162">
        <f xml:space="preserve"> 'CASE DATA'!B24</f>
        <v>0</v>
      </c>
      <c r="C24" s="163">
        <f xml:space="preserve"> 'CASE DATA'!C24</f>
        <v>0</v>
      </c>
      <c r="D24" s="162">
        <f xml:space="preserve"> 'CASE DATA'!E24</f>
        <v>0</v>
      </c>
      <c r="E24" s="162">
        <f xml:space="preserve"> 'CASE DATA'!F24</f>
        <v>0</v>
      </c>
      <c r="F24" s="138">
        <f xml:space="preserve"> 'CASE DATA'!G24</f>
        <v>0</v>
      </c>
      <c r="G24" s="6" t="str">
        <f>IF(AND(F24="YES", OR(E24="GTR",E24="GPL",E24="DEF",E24="JUV")), 'CASE DATA'!K24, "N/A")</f>
        <v>N/A</v>
      </c>
      <c r="H24" s="6" t="str">
        <f>IF(AND(F24="YES", OR(E24="GTR",E24="GPL",E24="DEF",E24="JUV")), (SUM('CASE DATA'!I24:J24)+SUM('CASE DATA'!L24:R24)), "N/A")</f>
        <v>N/A</v>
      </c>
      <c r="I24" s="21" t="str">
        <f t="shared" si="6"/>
        <v>N/A</v>
      </c>
      <c r="J24" s="6" t="str">
        <f t="shared" si="7"/>
        <v>NO</v>
      </c>
      <c r="K24" s="6" t="str">
        <f>IF(J24="YES",'CASE DATA'!K24,"N/A")</f>
        <v>N/A</v>
      </c>
      <c r="L24" s="6" t="str">
        <f>IF(J24="YES", SUM('CASE DATA'!I24:J24)+SUM('CASE DATA'!L24:R24),"N/A")</f>
        <v>N/A</v>
      </c>
      <c r="M24" s="21">
        <f t="shared" si="8"/>
        <v>0</v>
      </c>
      <c r="N24" s="3"/>
      <c r="O24" s="3"/>
      <c r="P24" s="5"/>
    </row>
    <row r="25" spans="1:16" x14ac:dyDescent="0.25">
      <c r="A25" s="162">
        <f xml:space="preserve"> 'CASE DATA'!A25</f>
        <v>0</v>
      </c>
      <c r="B25" s="162">
        <f xml:space="preserve"> 'CASE DATA'!B25</f>
        <v>0</v>
      </c>
      <c r="C25" s="163">
        <f xml:space="preserve"> 'CASE DATA'!C25</f>
        <v>0</v>
      </c>
      <c r="D25" s="162">
        <f xml:space="preserve"> 'CASE DATA'!E25</f>
        <v>0</v>
      </c>
      <c r="E25" s="162">
        <f xml:space="preserve"> 'CASE DATA'!F25</f>
        <v>0</v>
      </c>
      <c r="F25" s="138">
        <f xml:space="preserve"> 'CASE DATA'!G25</f>
        <v>0</v>
      </c>
      <c r="G25" s="6" t="str">
        <f>IF(AND(F25="YES", OR(E25="GTR",E25="GPL",E25="DEF",E25="JUV")), 'CASE DATA'!K25, "N/A")</f>
        <v>N/A</v>
      </c>
      <c r="H25" s="6" t="str">
        <f>IF(AND(F25="YES", OR(E25="GTR",E25="GPL",E25="DEF",E25="JUV")), (SUM('CASE DATA'!I25:J25)+SUM('CASE DATA'!L25:R25)), "N/A")</f>
        <v>N/A</v>
      </c>
      <c r="I25" s="21" t="str">
        <f t="shared" si="6"/>
        <v>N/A</v>
      </c>
      <c r="J25" s="6" t="str">
        <f t="shared" si="7"/>
        <v>NO</v>
      </c>
      <c r="K25" s="6" t="str">
        <f>IF(J25="YES",'CASE DATA'!K25,"N/A")</f>
        <v>N/A</v>
      </c>
      <c r="L25" s="6" t="str">
        <f>IF(J25="YES", SUM('CASE DATA'!I25:J25)+SUM('CASE DATA'!L25:R25),"N/A")</f>
        <v>N/A</v>
      </c>
      <c r="M25" s="21">
        <f t="shared" si="8"/>
        <v>0</v>
      </c>
      <c r="N25" s="3"/>
      <c r="O25" s="3"/>
      <c r="P25" s="5"/>
    </row>
    <row r="26" spans="1:16" x14ac:dyDescent="0.25">
      <c r="A26" s="162">
        <f xml:space="preserve"> 'CASE DATA'!A26</f>
        <v>0</v>
      </c>
      <c r="B26" s="162">
        <f xml:space="preserve"> 'CASE DATA'!B26</f>
        <v>0</v>
      </c>
      <c r="C26" s="163">
        <f xml:space="preserve"> 'CASE DATA'!C26</f>
        <v>0</v>
      </c>
      <c r="D26" s="162">
        <f xml:space="preserve"> 'CASE DATA'!E26</f>
        <v>0</v>
      </c>
      <c r="E26" s="162">
        <f xml:space="preserve"> 'CASE DATA'!F26</f>
        <v>0</v>
      </c>
      <c r="F26" s="138">
        <f xml:space="preserve"> 'CASE DATA'!G26</f>
        <v>0</v>
      </c>
      <c r="G26" s="6" t="str">
        <f>IF(AND(F26="YES", OR(E26="GTR",E26="GPL",E26="DEF",E26="JUV")), 'CASE DATA'!K26, "N/A")</f>
        <v>N/A</v>
      </c>
      <c r="H26" s="6" t="str">
        <f>IF(AND(F26="YES", OR(E26="GTR",E26="GPL",E26="DEF",E26="JUV")), (SUM('CASE DATA'!I26:J26)+SUM('CASE DATA'!L26:R26)), "N/A")</f>
        <v>N/A</v>
      </c>
      <c r="I26" s="21" t="str">
        <f t="shared" si="6"/>
        <v>N/A</v>
      </c>
      <c r="J26" s="6" t="str">
        <f t="shared" si="7"/>
        <v>NO</v>
      </c>
      <c r="K26" s="6" t="str">
        <f>IF(J26="YES",'CASE DATA'!K26,"N/A")</f>
        <v>N/A</v>
      </c>
      <c r="L26" s="6" t="str">
        <f>IF(J26="YES", SUM('CASE DATA'!I26:J26)+SUM('CASE DATA'!L26:R26),"N/A")</f>
        <v>N/A</v>
      </c>
      <c r="M26" s="21">
        <f t="shared" si="8"/>
        <v>0</v>
      </c>
      <c r="N26" s="3"/>
      <c r="O26" s="3"/>
      <c r="P26" s="5"/>
    </row>
    <row r="27" spans="1:16" x14ac:dyDescent="0.25">
      <c r="A27" s="162">
        <f xml:space="preserve"> 'CASE DATA'!A27</f>
        <v>0</v>
      </c>
      <c r="B27" s="162">
        <f xml:space="preserve"> 'CASE DATA'!B27</f>
        <v>0</v>
      </c>
      <c r="C27" s="163">
        <f xml:space="preserve"> 'CASE DATA'!C27</f>
        <v>0</v>
      </c>
      <c r="D27" s="162">
        <f xml:space="preserve"> 'CASE DATA'!E27</f>
        <v>0</v>
      </c>
      <c r="E27" s="162">
        <f xml:space="preserve"> 'CASE DATA'!F27</f>
        <v>0</v>
      </c>
      <c r="F27" s="138">
        <f xml:space="preserve"> 'CASE DATA'!G27</f>
        <v>0</v>
      </c>
      <c r="G27" s="6" t="str">
        <f>IF(AND(F27="YES", OR(E27="GTR",E27="GPL",E27="DEF",E27="JUV")), 'CASE DATA'!K27, "N/A")</f>
        <v>N/A</v>
      </c>
      <c r="H27" s="6" t="str">
        <f>IF(AND(F27="YES", OR(E27="GTR",E27="GPL",E27="DEF",E27="JUV")), (SUM('CASE DATA'!I27:J27)+SUM('CASE DATA'!L27:R27)), "N/A")</f>
        <v>N/A</v>
      </c>
      <c r="I27" s="21" t="str">
        <f t="shared" si="6"/>
        <v>N/A</v>
      </c>
      <c r="J27" s="6" t="str">
        <f t="shared" si="7"/>
        <v>NO</v>
      </c>
      <c r="K27" s="6" t="str">
        <f>IF(J27="YES",'CASE DATA'!K27,"N/A")</f>
        <v>N/A</v>
      </c>
      <c r="L27" s="6" t="str">
        <f>IF(J27="YES", SUM('CASE DATA'!I27:J27)+SUM('CASE DATA'!L27:R27),"N/A")</f>
        <v>N/A</v>
      </c>
      <c r="M27" s="21">
        <f t="shared" si="8"/>
        <v>0</v>
      </c>
      <c r="N27" s="3"/>
      <c r="O27" s="3"/>
      <c r="P27" s="5"/>
    </row>
    <row r="28" spans="1:16" x14ac:dyDescent="0.25">
      <c r="A28" s="162">
        <f xml:space="preserve"> 'CASE DATA'!A28</f>
        <v>0</v>
      </c>
      <c r="B28" s="162">
        <f xml:space="preserve"> 'CASE DATA'!B28</f>
        <v>0</v>
      </c>
      <c r="C28" s="163">
        <f xml:space="preserve"> 'CASE DATA'!C28</f>
        <v>0</v>
      </c>
      <c r="D28" s="162">
        <f xml:space="preserve"> 'CASE DATA'!E28</f>
        <v>0</v>
      </c>
      <c r="E28" s="162">
        <f xml:space="preserve"> 'CASE DATA'!F28</f>
        <v>0</v>
      </c>
      <c r="F28" s="138">
        <f xml:space="preserve"> 'CASE DATA'!G28</f>
        <v>0</v>
      </c>
      <c r="G28" s="6" t="str">
        <f>IF(AND(F28="YES", OR(E28="GTR",E28="GPL",E28="DEF",E28="JUV")), 'CASE DATA'!K28, "N/A")</f>
        <v>N/A</v>
      </c>
      <c r="H28" s="6" t="str">
        <f>IF(AND(F28="YES", OR(E28="GTR",E28="GPL",E28="DEF",E28="JUV")), (SUM('CASE DATA'!I28:J28)+SUM('CASE DATA'!L28:R28)), "N/A")</f>
        <v>N/A</v>
      </c>
      <c r="I28" s="21" t="str">
        <f t="shared" si="6"/>
        <v>N/A</v>
      </c>
      <c r="J28" s="6" t="str">
        <f t="shared" si="7"/>
        <v>NO</v>
      </c>
      <c r="K28" s="6" t="str">
        <f>IF(J28="YES",'CASE DATA'!K28,"N/A")</f>
        <v>N/A</v>
      </c>
      <c r="L28" s="6" t="str">
        <f>IF(J28="YES", SUM('CASE DATA'!I28:J28)+SUM('CASE DATA'!L28:R28),"N/A")</f>
        <v>N/A</v>
      </c>
      <c r="M28" s="21">
        <f t="shared" si="8"/>
        <v>0</v>
      </c>
      <c r="N28" s="3"/>
      <c r="O28" s="3"/>
      <c r="P28" s="5"/>
    </row>
    <row r="29" spans="1:16" x14ac:dyDescent="0.25">
      <c r="A29" s="162">
        <f xml:space="preserve"> 'CASE DATA'!A29</f>
        <v>0</v>
      </c>
      <c r="B29" s="162">
        <f xml:space="preserve"> 'CASE DATA'!B29</f>
        <v>0</v>
      </c>
      <c r="C29" s="163">
        <f xml:space="preserve"> 'CASE DATA'!C29</f>
        <v>0</v>
      </c>
      <c r="D29" s="162">
        <f xml:space="preserve"> 'CASE DATA'!E29</f>
        <v>0</v>
      </c>
      <c r="E29" s="162">
        <f xml:space="preserve"> 'CASE DATA'!F29</f>
        <v>0</v>
      </c>
      <c r="F29" s="138">
        <f xml:space="preserve"> 'CASE DATA'!G29</f>
        <v>0</v>
      </c>
      <c r="G29" s="6" t="str">
        <f>IF(AND(F29="YES", OR(E29="GTR",E29="GPL",E29="DEF",E29="JUV")), 'CASE DATA'!K29, "N/A")</f>
        <v>N/A</v>
      </c>
      <c r="H29" s="6" t="str">
        <f>IF(AND(F29="YES", OR(E29="GTR",E29="GPL",E29="DEF",E29="JUV")), (SUM('CASE DATA'!I29:J29)+SUM('CASE DATA'!L29:R29)), "N/A")</f>
        <v>N/A</v>
      </c>
      <c r="I29" s="21" t="str">
        <f t="shared" si="6"/>
        <v>N/A</v>
      </c>
      <c r="J29" s="6" t="str">
        <f t="shared" si="7"/>
        <v>NO</v>
      </c>
      <c r="K29" s="6" t="str">
        <f>IF(J29="YES",'CASE DATA'!K29,"N/A")</f>
        <v>N/A</v>
      </c>
      <c r="L29" s="6" t="str">
        <f>IF(J29="YES", SUM('CASE DATA'!I29:J29)+SUM('CASE DATA'!L29:R29),"N/A")</f>
        <v>N/A</v>
      </c>
      <c r="M29" s="21">
        <f t="shared" si="8"/>
        <v>0</v>
      </c>
      <c r="N29" s="3"/>
      <c r="O29" s="3"/>
      <c r="P29" s="5"/>
    </row>
    <row r="30" spans="1:16" x14ac:dyDescent="0.25">
      <c r="A30" s="162">
        <f xml:space="preserve"> 'CASE DATA'!A30</f>
        <v>0</v>
      </c>
      <c r="B30" s="162">
        <f xml:space="preserve"> 'CASE DATA'!B30</f>
        <v>0</v>
      </c>
      <c r="C30" s="163">
        <f xml:space="preserve"> 'CASE DATA'!C30</f>
        <v>0</v>
      </c>
      <c r="D30" s="162">
        <f xml:space="preserve"> 'CASE DATA'!E30</f>
        <v>0</v>
      </c>
      <c r="E30" s="162">
        <f xml:space="preserve"> 'CASE DATA'!F30</f>
        <v>0</v>
      </c>
      <c r="F30" s="138">
        <f xml:space="preserve"> 'CASE DATA'!G30</f>
        <v>0</v>
      </c>
      <c r="G30" s="6" t="str">
        <f>IF(AND(F30="YES", OR(E30="GTR",E30="GPL",E30="DEF",E30="JUV")), 'CASE DATA'!K30, "N/A")</f>
        <v>N/A</v>
      </c>
      <c r="H30" s="6" t="str">
        <f>IF(AND(F30="YES", OR(E30="GTR",E30="GPL",E30="DEF",E30="JUV")), (SUM('CASE DATA'!I30:J30)+SUM('CASE DATA'!L30:R30)), "N/A")</f>
        <v>N/A</v>
      </c>
      <c r="I30" s="21" t="str">
        <f t="shared" si="6"/>
        <v>N/A</v>
      </c>
      <c r="J30" s="6" t="str">
        <f t="shared" si="7"/>
        <v>NO</v>
      </c>
      <c r="K30" s="6" t="str">
        <f>IF(J30="YES",'CASE DATA'!K30,"N/A")</f>
        <v>N/A</v>
      </c>
      <c r="L30" s="6" t="str">
        <f>IF(J30="YES", SUM('CASE DATA'!I30:J30)+SUM('CASE DATA'!L30:R30),"N/A")</f>
        <v>N/A</v>
      </c>
      <c r="M30" s="21">
        <f t="shared" si="8"/>
        <v>0</v>
      </c>
      <c r="N30" s="3"/>
      <c r="O30" s="3"/>
      <c r="P30" s="5"/>
    </row>
    <row r="31" spans="1:16" x14ac:dyDescent="0.25">
      <c r="A31" s="162">
        <f xml:space="preserve"> 'CASE DATA'!A31</f>
        <v>0</v>
      </c>
      <c r="B31" s="162">
        <f xml:space="preserve"> 'CASE DATA'!B31</f>
        <v>0</v>
      </c>
      <c r="C31" s="163">
        <f xml:space="preserve"> 'CASE DATA'!C31</f>
        <v>0</v>
      </c>
      <c r="D31" s="162">
        <f xml:space="preserve"> 'CASE DATA'!E31</f>
        <v>0</v>
      </c>
      <c r="E31" s="162">
        <f xml:space="preserve"> 'CASE DATA'!F31</f>
        <v>0</v>
      </c>
      <c r="F31" s="138">
        <f xml:space="preserve"> 'CASE DATA'!G31</f>
        <v>0</v>
      </c>
      <c r="G31" s="6" t="str">
        <f>IF(AND(F31="YES", OR(E31="GTR",E31="GPL",E31="DEF",E31="JUV")), 'CASE DATA'!K31, "N/A")</f>
        <v>N/A</v>
      </c>
      <c r="H31" s="6" t="str">
        <f>IF(AND(F31="YES", OR(E31="GTR",E31="GPL",E31="DEF",E31="JUV")), (SUM('CASE DATA'!I31:J31)+SUM('CASE DATA'!L31:R31)), "N/A")</f>
        <v>N/A</v>
      </c>
      <c r="I31" s="21" t="str">
        <f t="shared" si="6"/>
        <v>N/A</v>
      </c>
      <c r="J31" s="6" t="str">
        <f t="shared" si="7"/>
        <v>NO</v>
      </c>
      <c r="K31" s="6" t="str">
        <f>IF(J31="YES",'CASE DATA'!K31,"N/A")</f>
        <v>N/A</v>
      </c>
      <c r="L31" s="6" t="str">
        <f>IF(J31="YES", SUM('CASE DATA'!I31:J31)+SUM('CASE DATA'!L31:R31),"N/A")</f>
        <v>N/A</v>
      </c>
      <c r="M31" s="21">
        <f t="shared" si="8"/>
        <v>0</v>
      </c>
      <c r="N31" s="3"/>
      <c r="O31" s="3"/>
      <c r="P31" s="5"/>
    </row>
    <row r="32" spans="1:16" x14ac:dyDescent="0.25">
      <c r="A32" s="162">
        <f xml:space="preserve"> 'CASE DATA'!A32</f>
        <v>0</v>
      </c>
      <c r="B32" s="162">
        <f xml:space="preserve"> 'CASE DATA'!B32</f>
        <v>0</v>
      </c>
      <c r="C32" s="163">
        <f xml:space="preserve"> 'CASE DATA'!C32</f>
        <v>0</v>
      </c>
      <c r="D32" s="162">
        <f xml:space="preserve"> 'CASE DATA'!E32</f>
        <v>0</v>
      </c>
      <c r="E32" s="162">
        <f xml:space="preserve"> 'CASE DATA'!F32</f>
        <v>0</v>
      </c>
      <c r="F32" s="138">
        <f xml:space="preserve"> 'CASE DATA'!G32</f>
        <v>0</v>
      </c>
      <c r="G32" s="6" t="str">
        <f>IF(AND(F32="YES", OR(E32="GTR",E32="GPL",E32="DEF",E32="JUV")), 'CASE DATA'!K32, "N/A")</f>
        <v>N/A</v>
      </c>
      <c r="H32" s="6" t="str">
        <f>IF(AND(F32="YES", OR(E32="GTR",E32="GPL",E32="DEF",E32="JUV")), (SUM('CASE DATA'!I32:J32)+SUM('CASE DATA'!L32:R32)), "N/A")</f>
        <v>N/A</v>
      </c>
      <c r="I32" s="21" t="str">
        <f t="shared" si="6"/>
        <v>N/A</v>
      </c>
      <c r="J32" s="6" t="str">
        <f t="shared" si="7"/>
        <v>NO</v>
      </c>
      <c r="K32" s="6" t="str">
        <f>IF(J32="YES",'CASE DATA'!K32,"N/A")</f>
        <v>N/A</v>
      </c>
      <c r="L32" s="6" t="str">
        <f>IF(J32="YES", SUM('CASE DATA'!I32:J32)+SUM('CASE DATA'!L32:R32),"N/A")</f>
        <v>N/A</v>
      </c>
      <c r="M32" s="21">
        <f t="shared" si="8"/>
        <v>0</v>
      </c>
      <c r="N32" s="3"/>
      <c r="O32" s="3"/>
      <c r="P32" s="5"/>
    </row>
    <row r="33" spans="1:16" x14ac:dyDescent="0.25">
      <c r="A33" s="162">
        <f xml:space="preserve"> 'CASE DATA'!A33</f>
        <v>0</v>
      </c>
      <c r="B33" s="162">
        <f xml:space="preserve"> 'CASE DATA'!B33</f>
        <v>0</v>
      </c>
      <c r="C33" s="163">
        <f xml:space="preserve"> 'CASE DATA'!C33</f>
        <v>0</v>
      </c>
      <c r="D33" s="162">
        <f xml:space="preserve"> 'CASE DATA'!E33</f>
        <v>0</v>
      </c>
      <c r="E33" s="162">
        <f xml:space="preserve"> 'CASE DATA'!F33</f>
        <v>0</v>
      </c>
      <c r="F33" s="138">
        <f xml:space="preserve"> 'CASE DATA'!G33</f>
        <v>0</v>
      </c>
      <c r="G33" s="6" t="str">
        <f>IF(AND(F33="YES", OR(E33="GTR",E33="GPL",E33="DEF",E33="JUV")), 'CASE DATA'!K33, "N/A")</f>
        <v>N/A</v>
      </c>
      <c r="H33" s="6" t="str">
        <f>IF(AND(F33="YES", OR(E33="GTR",E33="GPL",E33="DEF",E33="JUV")), (SUM('CASE DATA'!I33:J33)+SUM('CASE DATA'!L33:R33)), "N/A")</f>
        <v>N/A</v>
      </c>
      <c r="I33" s="21" t="str">
        <f t="shared" si="6"/>
        <v>N/A</v>
      </c>
      <c r="J33" s="6" t="str">
        <f t="shared" si="7"/>
        <v>NO</v>
      </c>
      <c r="K33" s="6" t="str">
        <f>IF(J33="YES",'CASE DATA'!K33,"N/A")</f>
        <v>N/A</v>
      </c>
      <c r="L33" s="6" t="str">
        <f>IF(J33="YES", SUM('CASE DATA'!I33:J33)+SUM('CASE DATA'!L33:R33),"N/A")</f>
        <v>N/A</v>
      </c>
      <c r="M33" s="21">
        <f t="shared" si="8"/>
        <v>0</v>
      </c>
      <c r="N33" s="3"/>
      <c r="O33" s="3"/>
      <c r="P33" s="5"/>
    </row>
    <row r="34" spans="1:16" x14ac:dyDescent="0.25">
      <c r="A34" s="162">
        <f xml:space="preserve"> 'CASE DATA'!A34</f>
        <v>0</v>
      </c>
      <c r="B34" s="162">
        <f xml:space="preserve"> 'CASE DATA'!B34</f>
        <v>0</v>
      </c>
      <c r="C34" s="163">
        <f xml:space="preserve"> 'CASE DATA'!C34</f>
        <v>0</v>
      </c>
      <c r="D34" s="162">
        <f xml:space="preserve"> 'CASE DATA'!E34</f>
        <v>0</v>
      </c>
      <c r="E34" s="162">
        <f xml:space="preserve"> 'CASE DATA'!F34</f>
        <v>0</v>
      </c>
      <c r="F34" s="138">
        <f xml:space="preserve"> 'CASE DATA'!G34</f>
        <v>0</v>
      </c>
      <c r="G34" s="6" t="str">
        <f>IF(AND(F34="YES", OR(E34="GTR",E34="GPL",E34="DEF",E34="JUV")), 'CASE DATA'!K34, "N/A")</f>
        <v>N/A</v>
      </c>
      <c r="H34" s="6" t="str">
        <f>IF(AND(F34="YES", OR(E34="GTR",E34="GPL",E34="DEF",E34="JUV")), (SUM('CASE DATA'!I34:J34)+SUM('CASE DATA'!L34:R34)), "N/A")</f>
        <v>N/A</v>
      </c>
      <c r="I34" s="21" t="str">
        <f t="shared" si="6"/>
        <v>N/A</v>
      </c>
      <c r="J34" s="6" t="str">
        <f t="shared" si="7"/>
        <v>NO</v>
      </c>
      <c r="K34" s="6" t="str">
        <f>IF(J34="YES",'CASE DATA'!K34,"N/A")</f>
        <v>N/A</v>
      </c>
      <c r="L34" s="6" t="str">
        <f>IF(J34="YES", SUM('CASE DATA'!I34:J34)+SUM('CASE DATA'!L34:R34),"N/A")</f>
        <v>N/A</v>
      </c>
      <c r="M34" s="21">
        <f t="shared" si="8"/>
        <v>0</v>
      </c>
      <c r="N34" s="3"/>
      <c r="O34" s="3"/>
      <c r="P34" s="5"/>
    </row>
    <row r="35" spans="1:16" x14ac:dyDescent="0.25">
      <c r="A35" s="162">
        <f xml:space="preserve"> 'CASE DATA'!A35</f>
        <v>0</v>
      </c>
      <c r="B35" s="162">
        <f xml:space="preserve"> 'CASE DATA'!B35</f>
        <v>0</v>
      </c>
      <c r="C35" s="163">
        <f xml:space="preserve"> 'CASE DATA'!C35</f>
        <v>0</v>
      </c>
      <c r="D35" s="162">
        <f xml:space="preserve"> 'CASE DATA'!E35</f>
        <v>0</v>
      </c>
      <c r="E35" s="162">
        <f xml:space="preserve"> 'CASE DATA'!F35</f>
        <v>0</v>
      </c>
      <c r="F35" s="138">
        <f xml:space="preserve"> 'CASE DATA'!G35</f>
        <v>0</v>
      </c>
      <c r="G35" s="6" t="str">
        <f>IF(AND(F35="YES", OR(E35="GTR",E35="GPL",E35="DEF",E35="JUV")), 'CASE DATA'!K35, "N/A")</f>
        <v>N/A</v>
      </c>
      <c r="H35" s="6" t="str">
        <f>IF(AND(F35="YES", OR(E35="GTR",E35="GPL",E35="DEF",E35="JUV")), (SUM('CASE DATA'!I35:J35)+SUM('CASE DATA'!L35:R35)), "N/A")</f>
        <v>N/A</v>
      </c>
      <c r="I35" s="21" t="str">
        <f t="shared" si="6"/>
        <v>N/A</v>
      </c>
      <c r="J35" s="6" t="str">
        <f t="shared" si="7"/>
        <v>NO</v>
      </c>
      <c r="K35" s="6" t="str">
        <f>IF(J35="YES",'CASE DATA'!K35,"N/A")</f>
        <v>N/A</v>
      </c>
      <c r="L35" s="6" t="str">
        <f>IF(J35="YES", SUM('CASE DATA'!I35:J35)+SUM('CASE DATA'!L35:R35),"N/A")</f>
        <v>N/A</v>
      </c>
      <c r="M35" s="21">
        <f t="shared" si="8"/>
        <v>0</v>
      </c>
      <c r="N35" s="3"/>
      <c r="O35" s="3"/>
      <c r="P35" s="5"/>
    </row>
    <row r="36" spans="1:16" x14ac:dyDescent="0.25">
      <c r="A36" s="162">
        <f xml:space="preserve"> 'CASE DATA'!A36</f>
        <v>0</v>
      </c>
      <c r="B36" s="162">
        <f xml:space="preserve"> 'CASE DATA'!B36</f>
        <v>0</v>
      </c>
      <c r="C36" s="163">
        <f xml:space="preserve"> 'CASE DATA'!C36</f>
        <v>0</v>
      </c>
      <c r="D36" s="162">
        <f xml:space="preserve"> 'CASE DATA'!E36</f>
        <v>0</v>
      </c>
      <c r="E36" s="162">
        <f xml:space="preserve"> 'CASE DATA'!F36</f>
        <v>0</v>
      </c>
      <c r="F36" s="138">
        <f xml:space="preserve"> 'CASE DATA'!G36</f>
        <v>0</v>
      </c>
      <c r="G36" s="6" t="str">
        <f>IF(AND(F36="YES", OR(E36="GTR",E36="GPL",E36="DEF",E36="JUV")), 'CASE DATA'!K36, "N/A")</f>
        <v>N/A</v>
      </c>
      <c r="H36" s="6" t="str">
        <f>IF(AND(F36="YES", OR(E36="GTR",E36="GPL",E36="DEF",E36="JUV")), (SUM('CASE DATA'!I36:J36)+SUM('CASE DATA'!L36:R36)), "N/A")</f>
        <v>N/A</v>
      </c>
      <c r="I36" s="21" t="str">
        <f t="shared" si="6"/>
        <v>N/A</v>
      </c>
      <c r="J36" s="6" t="str">
        <f t="shared" si="7"/>
        <v>NO</v>
      </c>
      <c r="K36" s="6" t="str">
        <f>IF(J36="YES",'CASE DATA'!K36,"N/A")</f>
        <v>N/A</v>
      </c>
      <c r="L36" s="6" t="str">
        <f>IF(J36="YES", SUM('CASE DATA'!I36:J36)+SUM('CASE DATA'!L36:R36),"N/A")</f>
        <v>N/A</v>
      </c>
      <c r="M36" s="21">
        <f t="shared" si="8"/>
        <v>0</v>
      </c>
      <c r="N36" s="3"/>
      <c r="O36" s="3"/>
      <c r="P36" s="5"/>
    </row>
    <row r="37" spans="1:16" x14ac:dyDescent="0.25">
      <c r="A37" s="162">
        <f xml:space="preserve"> 'CASE DATA'!A37</f>
        <v>0</v>
      </c>
      <c r="B37" s="162">
        <f xml:space="preserve"> 'CASE DATA'!B37</f>
        <v>0</v>
      </c>
      <c r="C37" s="163">
        <f xml:space="preserve"> 'CASE DATA'!C37</f>
        <v>0</v>
      </c>
      <c r="D37" s="162">
        <f xml:space="preserve"> 'CASE DATA'!E37</f>
        <v>0</v>
      </c>
      <c r="E37" s="162">
        <f xml:space="preserve"> 'CASE DATA'!F37</f>
        <v>0</v>
      </c>
      <c r="F37" s="138">
        <f xml:space="preserve"> 'CASE DATA'!G37</f>
        <v>0</v>
      </c>
      <c r="G37" s="6" t="str">
        <f>IF(AND(F37="YES", OR(E37="GTR",E37="GPL",E37="DEF",E37="JUV")), 'CASE DATA'!K37, "N/A")</f>
        <v>N/A</v>
      </c>
      <c r="H37" s="6" t="str">
        <f>IF(AND(F37="YES", OR(E37="GTR",E37="GPL",E37="DEF",E37="JUV")), (SUM('CASE DATA'!I37:J37)+SUM('CASE DATA'!L37:R37)), "N/A")</f>
        <v>N/A</v>
      </c>
      <c r="I37" s="21" t="str">
        <f t="shared" si="6"/>
        <v>N/A</v>
      </c>
      <c r="J37" s="6" t="str">
        <f t="shared" si="7"/>
        <v>NO</v>
      </c>
      <c r="K37" s="6" t="str">
        <f>IF(J37="YES",'CASE DATA'!K37,"N/A")</f>
        <v>N/A</v>
      </c>
      <c r="L37" s="6" t="str">
        <f>IF(J37="YES", SUM('CASE DATA'!I37:J37)+SUM('CASE DATA'!L37:R37),"N/A")</f>
        <v>N/A</v>
      </c>
      <c r="M37" s="21">
        <f t="shared" si="8"/>
        <v>0</v>
      </c>
      <c r="N37" s="3"/>
      <c r="O37" s="3"/>
      <c r="P37" s="5"/>
    </row>
    <row r="38" spans="1:16" x14ac:dyDescent="0.25">
      <c r="A38" s="162">
        <f xml:space="preserve"> 'CASE DATA'!A38</f>
        <v>0</v>
      </c>
      <c r="B38" s="162">
        <f xml:space="preserve"> 'CASE DATA'!B38</f>
        <v>0</v>
      </c>
      <c r="C38" s="163">
        <f xml:space="preserve"> 'CASE DATA'!C38</f>
        <v>0</v>
      </c>
      <c r="D38" s="162">
        <f xml:space="preserve"> 'CASE DATA'!E38</f>
        <v>0</v>
      </c>
      <c r="E38" s="162">
        <f xml:space="preserve"> 'CASE DATA'!F38</f>
        <v>0</v>
      </c>
      <c r="F38" s="138">
        <f xml:space="preserve"> 'CASE DATA'!G38</f>
        <v>0</v>
      </c>
      <c r="G38" s="6" t="str">
        <f>IF(AND(F38="YES", OR(E38="GTR",E38="GPL",E38="DEF",E38="JUV")), 'CASE DATA'!K38, "N/A")</f>
        <v>N/A</v>
      </c>
      <c r="H38" s="6" t="str">
        <f>IF(AND(F38="YES", OR(E38="GTR",E38="GPL",E38="DEF",E38="JUV")), (SUM('CASE DATA'!I38:J38)+SUM('CASE DATA'!L38:R38)), "N/A")</f>
        <v>N/A</v>
      </c>
      <c r="I38" s="21" t="str">
        <f t="shared" si="6"/>
        <v>N/A</v>
      </c>
      <c r="J38" s="6" t="str">
        <f t="shared" si="7"/>
        <v>NO</v>
      </c>
      <c r="K38" s="6" t="str">
        <f>IF(J38="YES",'CASE DATA'!K38,"N/A")</f>
        <v>N/A</v>
      </c>
      <c r="L38" s="6" t="str">
        <f>IF(J38="YES", SUM('CASE DATA'!I38:J38)+SUM('CASE DATA'!L38:R38),"N/A")</f>
        <v>N/A</v>
      </c>
      <c r="M38" s="21">
        <f t="shared" si="8"/>
        <v>0</v>
      </c>
      <c r="N38" s="3"/>
      <c r="O38" s="3"/>
      <c r="P38" s="5"/>
    </row>
    <row r="39" spans="1:16" x14ac:dyDescent="0.25">
      <c r="A39" s="162">
        <f xml:space="preserve"> 'CASE DATA'!A39</f>
        <v>0</v>
      </c>
      <c r="B39" s="162">
        <f xml:space="preserve"> 'CASE DATA'!B39</f>
        <v>0</v>
      </c>
      <c r="C39" s="163">
        <f xml:space="preserve"> 'CASE DATA'!C39</f>
        <v>0</v>
      </c>
      <c r="D39" s="162">
        <f xml:space="preserve"> 'CASE DATA'!E39</f>
        <v>0</v>
      </c>
      <c r="E39" s="162">
        <f xml:space="preserve"> 'CASE DATA'!F39</f>
        <v>0</v>
      </c>
      <c r="F39" s="138">
        <f xml:space="preserve"> 'CASE DATA'!G39</f>
        <v>0</v>
      </c>
      <c r="G39" s="6" t="str">
        <f>IF(AND(F39="YES", OR(E39="GTR",E39="GPL",E39="DEF",E39="JUV")), 'CASE DATA'!K39, "N/A")</f>
        <v>N/A</v>
      </c>
      <c r="H39" s="6" t="str">
        <f>IF(AND(F39="YES", OR(E39="GTR",E39="GPL",E39="DEF",E39="JUV")), (SUM('CASE DATA'!I39:J39)+SUM('CASE DATA'!L39:R39)), "N/A")</f>
        <v>N/A</v>
      </c>
      <c r="I39" s="21" t="str">
        <f t="shared" si="6"/>
        <v>N/A</v>
      </c>
      <c r="J39" s="6" t="str">
        <f t="shared" si="7"/>
        <v>NO</v>
      </c>
      <c r="K39" s="6" t="str">
        <f>IF(J39="YES",'CASE DATA'!K39,"N/A")</f>
        <v>N/A</v>
      </c>
      <c r="L39" s="6" t="str">
        <f>IF(J39="YES", SUM('CASE DATA'!I39:J39)+SUM('CASE DATA'!L39:R39),"N/A")</f>
        <v>N/A</v>
      </c>
      <c r="M39" s="21">
        <f t="shared" si="8"/>
        <v>0</v>
      </c>
      <c r="N39" s="3"/>
      <c r="O39" s="3"/>
      <c r="P39" s="5"/>
    </row>
    <row r="40" spans="1:16" x14ac:dyDescent="0.25">
      <c r="A40" s="162">
        <f xml:space="preserve"> 'CASE DATA'!A40</f>
        <v>0</v>
      </c>
      <c r="B40" s="162">
        <f xml:space="preserve"> 'CASE DATA'!B40</f>
        <v>0</v>
      </c>
      <c r="C40" s="163">
        <f xml:space="preserve"> 'CASE DATA'!C40</f>
        <v>0</v>
      </c>
      <c r="D40" s="162">
        <f xml:space="preserve"> 'CASE DATA'!E40</f>
        <v>0</v>
      </c>
      <c r="E40" s="162">
        <f xml:space="preserve"> 'CASE DATA'!F40</f>
        <v>0</v>
      </c>
      <c r="F40" s="138">
        <f xml:space="preserve"> 'CASE DATA'!G40</f>
        <v>0</v>
      </c>
      <c r="G40" s="6" t="str">
        <f>IF(AND(F40="YES", OR(E40="GTR",E40="GPL",E40="DEF",E40="JUV")), 'CASE DATA'!K40, "N/A")</f>
        <v>N/A</v>
      </c>
      <c r="H40" s="6" t="str">
        <f>IF(AND(F40="YES", OR(E40="GTR",E40="GPL",E40="DEF",E40="JUV")), (SUM('CASE DATA'!I40:J40)+SUM('CASE DATA'!L40:R40)), "N/A")</f>
        <v>N/A</v>
      </c>
      <c r="I40" s="21" t="str">
        <f t="shared" si="6"/>
        <v>N/A</v>
      </c>
      <c r="J40" s="6" t="str">
        <f t="shared" si="7"/>
        <v>NO</v>
      </c>
      <c r="K40" s="6" t="str">
        <f>IF(J40="YES",'CASE DATA'!K40,"N/A")</f>
        <v>N/A</v>
      </c>
      <c r="L40" s="6" t="str">
        <f>IF(J40="YES", SUM('CASE DATA'!I40:J40)+SUM('CASE DATA'!L40:R40),"N/A")</f>
        <v>N/A</v>
      </c>
      <c r="M40" s="21">
        <f t="shared" si="8"/>
        <v>0</v>
      </c>
      <c r="N40" s="3"/>
      <c r="O40" s="3"/>
      <c r="P40" s="5"/>
    </row>
    <row r="41" spans="1:16" x14ac:dyDescent="0.25">
      <c r="A41" s="162">
        <f xml:space="preserve"> 'CASE DATA'!A41</f>
        <v>0</v>
      </c>
      <c r="B41" s="162">
        <f xml:space="preserve"> 'CASE DATA'!B41</f>
        <v>0</v>
      </c>
      <c r="C41" s="163">
        <f xml:space="preserve"> 'CASE DATA'!C41</f>
        <v>0</v>
      </c>
      <c r="D41" s="162">
        <f xml:space="preserve"> 'CASE DATA'!E41</f>
        <v>0</v>
      </c>
      <c r="E41" s="162">
        <f xml:space="preserve"> 'CASE DATA'!F41</f>
        <v>0</v>
      </c>
      <c r="F41" s="138">
        <f xml:space="preserve"> 'CASE DATA'!G41</f>
        <v>0</v>
      </c>
      <c r="G41" s="6" t="str">
        <f>IF(AND(F41="YES", OR(E41="GTR",E41="GPL",E41="DEF",E41="JUV")), 'CASE DATA'!K41, "N/A")</f>
        <v>N/A</v>
      </c>
      <c r="H41" s="6" t="str">
        <f>IF(AND(F41="YES", OR(E41="GTR",E41="GPL",E41="DEF",E41="JUV")), (SUM('CASE DATA'!I41:J41)+SUM('CASE DATA'!L41:R41)), "N/A")</f>
        <v>N/A</v>
      </c>
      <c r="I41" s="21" t="str">
        <f t="shared" si="6"/>
        <v>N/A</v>
      </c>
      <c r="J41" s="6" t="str">
        <f t="shared" si="7"/>
        <v>NO</v>
      </c>
      <c r="K41" s="6" t="str">
        <f>IF(J41="YES",'CASE DATA'!K41,"N/A")</f>
        <v>N/A</v>
      </c>
      <c r="L41" s="6" t="str">
        <f>IF(J41="YES", SUM('CASE DATA'!I41:J41)+SUM('CASE DATA'!L41:R41),"N/A")</f>
        <v>N/A</v>
      </c>
      <c r="M41" s="21">
        <f t="shared" si="8"/>
        <v>0</v>
      </c>
      <c r="N41" s="3"/>
      <c r="O41" s="3"/>
      <c r="P41" s="5"/>
    </row>
    <row r="42" spans="1:16" x14ac:dyDescent="0.25">
      <c r="A42" s="162">
        <f xml:space="preserve"> 'CASE DATA'!A42</f>
        <v>0</v>
      </c>
      <c r="B42" s="162">
        <f xml:space="preserve"> 'CASE DATA'!B42</f>
        <v>0</v>
      </c>
      <c r="C42" s="163">
        <f xml:space="preserve"> 'CASE DATA'!C42</f>
        <v>0</v>
      </c>
      <c r="D42" s="162">
        <f xml:space="preserve"> 'CASE DATA'!E42</f>
        <v>0</v>
      </c>
      <c r="E42" s="162">
        <f xml:space="preserve"> 'CASE DATA'!F42</f>
        <v>0</v>
      </c>
      <c r="F42" s="138">
        <f xml:space="preserve"> 'CASE DATA'!G42</f>
        <v>0</v>
      </c>
      <c r="G42" s="6" t="str">
        <f>IF(AND(F42="YES", OR(E42="GTR",E42="GPL",E42="DEF",E42="JUV")), 'CASE DATA'!K42, "N/A")</f>
        <v>N/A</v>
      </c>
      <c r="H42" s="6" t="str">
        <f>IF(AND(F42="YES", OR(E42="GTR",E42="GPL",E42="DEF",E42="JUV")), (SUM('CASE DATA'!I42:J42)+SUM('CASE DATA'!L42:R42)), "N/A")</f>
        <v>N/A</v>
      </c>
      <c r="I42" s="21" t="str">
        <f t="shared" si="6"/>
        <v>N/A</v>
      </c>
      <c r="J42" s="6" t="str">
        <f t="shared" si="7"/>
        <v>NO</v>
      </c>
      <c r="K42" s="6" t="str">
        <f>IF(J42="YES",'CASE DATA'!K42,"N/A")</f>
        <v>N/A</v>
      </c>
      <c r="L42" s="6" t="str">
        <f>IF(J42="YES", SUM('CASE DATA'!I42:J42)+SUM('CASE DATA'!L42:R42),"N/A")</f>
        <v>N/A</v>
      </c>
      <c r="M42" s="21">
        <f t="shared" si="8"/>
        <v>0</v>
      </c>
      <c r="N42" s="184"/>
      <c r="O42" s="184"/>
      <c r="P42" s="5"/>
    </row>
    <row r="43" spans="1:16" x14ac:dyDescent="0.25">
      <c r="A43" s="162">
        <f xml:space="preserve"> 'CASE DATA'!A43</f>
        <v>0</v>
      </c>
      <c r="B43" s="162">
        <f xml:space="preserve"> 'CASE DATA'!B43</f>
        <v>0</v>
      </c>
      <c r="C43" s="163">
        <f xml:space="preserve"> 'CASE DATA'!C43</f>
        <v>0</v>
      </c>
      <c r="D43" s="162">
        <f xml:space="preserve"> 'CASE DATA'!E43</f>
        <v>0</v>
      </c>
      <c r="E43" s="162">
        <f xml:space="preserve"> 'CASE DATA'!F43</f>
        <v>0</v>
      </c>
      <c r="F43" s="138">
        <f xml:space="preserve"> 'CASE DATA'!G43</f>
        <v>0</v>
      </c>
      <c r="G43" s="6" t="str">
        <f>IF(AND(F43="YES", OR(E43="GTR",E43="GPL",E43="DEF",E43="JUV")), 'CASE DATA'!K43, "N/A")</f>
        <v>N/A</v>
      </c>
      <c r="H43" s="6" t="str">
        <f>IF(AND(F43="YES", OR(E43="GTR",E43="GPL",E43="DEF",E43="JUV")), (SUM('CASE DATA'!I43:J43)+SUM('CASE DATA'!L43:R43)), "N/A")</f>
        <v>N/A</v>
      </c>
      <c r="I43" s="21" t="str">
        <f t="shared" si="6"/>
        <v>N/A</v>
      </c>
      <c r="J43" s="6" t="str">
        <f t="shared" si="7"/>
        <v>NO</v>
      </c>
      <c r="K43" s="6" t="str">
        <f>IF(J43="YES",'CASE DATA'!K43,"N/A")</f>
        <v>N/A</v>
      </c>
      <c r="L43" s="6" t="str">
        <f>IF(J43="YES", SUM('CASE DATA'!I43:J43)+SUM('CASE DATA'!L43:R43),"N/A")</f>
        <v>N/A</v>
      </c>
      <c r="M43" s="21">
        <f t="shared" si="8"/>
        <v>0</v>
      </c>
      <c r="N43" s="3"/>
      <c r="O43" s="3"/>
      <c r="P43" s="5"/>
    </row>
    <row r="44" spans="1:16" x14ac:dyDescent="0.25">
      <c r="A44" s="162">
        <f xml:space="preserve"> 'CASE DATA'!A44</f>
        <v>0</v>
      </c>
      <c r="B44" s="162">
        <f xml:space="preserve"> 'CASE DATA'!B44</f>
        <v>0</v>
      </c>
      <c r="C44" s="163">
        <f xml:space="preserve"> 'CASE DATA'!C44</f>
        <v>0</v>
      </c>
      <c r="D44" s="162">
        <f xml:space="preserve"> 'CASE DATA'!E44</f>
        <v>0</v>
      </c>
      <c r="E44" s="162">
        <f xml:space="preserve"> 'CASE DATA'!F44</f>
        <v>0</v>
      </c>
      <c r="F44" s="138">
        <f xml:space="preserve"> 'CASE DATA'!G44</f>
        <v>0</v>
      </c>
      <c r="G44" s="6" t="str">
        <f>IF(AND(F44="YES", OR(E44="GTR",E44="GPL",E44="DEF",E44="JUV")), 'CASE DATA'!K44, "N/A")</f>
        <v>N/A</v>
      </c>
      <c r="H44" s="6" t="str">
        <f>IF(AND(F44="YES", OR(E44="GTR",E44="GPL",E44="DEF",E44="JUV")), (SUM('CASE DATA'!I44:J44)+SUM('CASE DATA'!L44:R44)), "N/A")</f>
        <v>N/A</v>
      </c>
      <c r="I44" s="21" t="str">
        <f t="shared" si="6"/>
        <v>N/A</v>
      </c>
      <c r="J44" s="6" t="str">
        <f t="shared" si="7"/>
        <v>NO</v>
      </c>
      <c r="K44" s="6" t="str">
        <f>IF(J44="YES",'CASE DATA'!K44,"N/A")</f>
        <v>N/A</v>
      </c>
      <c r="L44" s="6" t="str">
        <f>IF(J44="YES", SUM('CASE DATA'!I44:J44)+SUM('CASE DATA'!L44:R44),"N/A")</f>
        <v>N/A</v>
      </c>
      <c r="M44" s="21">
        <f t="shared" si="8"/>
        <v>0</v>
      </c>
      <c r="N44" s="184"/>
      <c r="O44" s="184"/>
      <c r="P44" s="184"/>
    </row>
    <row r="45" spans="1:16" x14ac:dyDescent="0.25">
      <c r="A45" s="162">
        <f xml:space="preserve"> 'CASE DATA'!A45</f>
        <v>0</v>
      </c>
      <c r="B45" s="162">
        <f xml:space="preserve"> 'CASE DATA'!B45</f>
        <v>0</v>
      </c>
      <c r="C45" s="163">
        <f xml:space="preserve"> 'CASE DATA'!C45</f>
        <v>0</v>
      </c>
      <c r="D45" s="162">
        <f xml:space="preserve"> 'CASE DATA'!E45</f>
        <v>0</v>
      </c>
      <c r="E45" s="162">
        <f xml:space="preserve"> 'CASE DATA'!F45</f>
        <v>0</v>
      </c>
      <c r="F45" s="138">
        <f xml:space="preserve"> 'CASE DATA'!G45</f>
        <v>0</v>
      </c>
      <c r="G45" s="6" t="str">
        <f>IF(AND(F45="YES", OR(E45="GTR",E45="GPL",E45="DEF",E45="JUV")), 'CASE DATA'!K45, "N/A")</f>
        <v>N/A</v>
      </c>
      <c r="H45" s="6" t="str">
        <f>IF(AND(F45="YES", OR(E45="GTR",E45="GPL",E45="DEF",E45="JUV")), (SUM('CASE DATA'!I45:J45)+SUM('CASE DATA'!L45:R45)), "N/A")</f>
        <v>N/A</v>
      </c>
      <c r="I45" s="21" t="str">
        <f t="shared" si="6"/>
        <v>N/A</v>
      </c>
      <c r="J45" s="6" t="str">
        <f t="shared" si="7"/>
        <v>NO</v>
      </c>
      <c r="K45" s="6" t="str">
        <f>IF(J45="YES",'CASE DATA'!K45,"N/A")</f>
        <v>N/A</v>
      </c>
      <c r="L45" s="6" t="str">
        <f>IF(J45="YES", SUM('CASE DATA'!I45:J45)+SUM('CASE DATA'!L45:R45),"N/A")</f>
        <v>N/A</v>
      </c>
      <c r="M45" s="21">
        <f t="shared" si="8"/>
        <v>0</v>
      </c>
      <c r="N45" s="184"/>
      <c r="O45" s="184"/>
      <c r="P45" s="184"/>
    </row>
    <row r="46" spans="1:16" x14ac:dyDescent="0.25">
      <c r="A46" s="162">
        <f xml:space="preserve"> 'CASE DATA'!A46</f>
        <v>0</v>
      </c>
      <c r="B46" s="162">
        <f xml:space="preserve"> 'CASE DATA'!B46</f>
        <v>0</v>
      </c>
      <c r="C46" s="163">
        <f xml:space="preserve"> 'CASE DATA'!C46</f>
        <v>0</v>
      </c>
      <c r="D46" s="162">
        <f xml:space="preserve"> 'CASE DATA'!E46</f>
        <v>0</v>
      </c>
      <c r="E46" s="162">
        <f xml:space="preserve"> 'CASE DATA'!F46</f>
        <v>0</v>
      </c>
      <c r="F46" s="138">
        <f xml:space="preserve"> 'CASE DATA'!G46</f>
        <v>0</v>
      </c>
      <c r="G46" s="6" t="str">
        <f>IF(AND(F46="YES", OR(E46="GTR",E46="GPL",E46="DEF",E46="JUV")), 'CASE DATA'!K46, "N/A")</f>
        <v>N/A</v>
      </c>
      <c r="H46" s="6" t="str">
        <f>IF(AND(F46="YES", OR(E46="GTR",E46="GPL",E46="DEF",E46="JUV")), (SUM('CASE DATA'!I46:J46)+SUM('CASE DATA'!L46:R46)), "N/A")</f>
        <v>N/A</v>
      </c>
      <c r="I46" s="21" t="str">
        <f t="shared" si="6"/>
        <v>N/A</v>
      </c>
      <c r="J46" s="6" t="str">
        <f t="shared" si="7"/>
        <v>NO</v>
      </c>
      <c r="K46" s="6" t="str">
        <f>IF(J46="YES",'CASE DATA'!K46,"N/A")</f>
        <v>N/A</v>
      </c>
      <c r="L46" s="6" t="str">
        <f>IF(J46="YES", SUM('CASE DATA'!I46:J46)+SUM('CASE DATA'!L46:R46),"N/A")</f>
        <v>N/A</v>
      </c>
      <c r="M46" s="21">
        <f t="shared" si="8"/>
        <v>0</v>
      </c>
      <c r="N46" s="184"/>
      <c r="O46" s="184"/>
      <c r="P46" s="184"/>
    </row>
    <row r="47" spans="1:16" x14ac:dyDescent="0.25">
      <c r="A47" s="162">
        <f xml:space="preserve"> 'CASE DATA'!A47</f>
        <v>0</v>
      </c>
      <c r="B47" s="162">
        <f xml:space="preserve"> 'CASE DATA'!B47</f>
        <v>0</v>
      </c>
      <c r="C47" s="163">
        <f xml:space="preserve"> 'CASE DATA'!C47</f>
        <v>0</v>
      </c>
      <c r="D47" s="162">
        <f xml:space="preserve"> 'CASE DATA'!E47</f>
        <v>0</v>
      </c>
      <c r="E47" s="162">
        <f xml:space="preserve"> 'CASE DATA'!F47</f>
        <v>0</v>
      </c>
      <c r="F47" s="138">
        <f xml:space="preserve"> 'CASE DATA'!G47</f>
        <v>0</v>
      </c>
      <c r="G47" s="6" t="str">
        <f>IF(AND(F47="YES", OR(E47="GTR",E47="GPL",E47="DEF",E47="JUV")), 'CASE DATA'!K47, "N/A")</f>
        <v>N/A</v>
      </c>
      <c r="H47" s="6" t="str">
        <f>IF(AND(F47="YES", OR(E47="GTR",E47="GPL",E47="DEF",E47="JUV")), (SUM('CASE DATA'!I47:J47)+SUM('CASE DATA'!L47:R47)), "N/A")</f>
        <v>N/A</v>
      </c>
      <c r="I47" s="21" t="str">
        <f t="shared" si="6"/>
        <v>N/A</v>
      </c>
      <c r="J47" s="6" t="str">
        <f t="shared" si="7"/>
        <v>NO</v>
      </c>
      <c r="K47" s="6" t="str">
        <f>IF(J47="YES",'CASE DATA'!K47,"N/A")</f>
        <v>N/A</v>
      </c>
      <c r="L47" s="6" t="str">
        <f>IF(J47="YES", SUM('CASE DATA'!I47:J47)+SUM('CASE DATA'!L47:R47),"N/A")</f>
        <v>N/A</v>
      </c>
      <c r="M47" s="21">
        <f t="shared" si="8"/>
        <v>0</v>
      </c>
      <c r="N47" s="184"/>
      <c r="O47" s="184"/>
      <c r="P47" s="184"/>
    </row>
    <row r="48" spans="1:16" x14ac:dyDescent="0.25">
      <c r="A48" s="162">
        <f xml:space="preserve"> 'CASE DATA'!A48</f>
        <v>0</v>
      </c>
      <c r="B48" s="162">
        <f xml:space="preserve"> 'CASE DATA'!B48</f>
        <v>0</v>
      </c>
      <c r="C48" s="163">
        <f xml:space="preserve"> 'CASE DATA'!C48</f>
        <v>0</v>
      </c>
      <c r="D48" s="162">
        <f xml:space="preserve"> 'CASE DATA'!E48</f>
        <v>0</v>
      </c>
      <c r="E48" s="162">
        <f xml:space="preserve"> 'CASE DATA'!F48</f>
        <v>0</v>
      </c>
      <c r="F48" s="138">
        <f xml:space="preserve"> 'CASE DATA'!G48</f>
        <v>0</v>
      </c>
      <c r="G48" s="6" t="str">
        <f>IF(AND(F48="YES", OR(E48="GTR",E48="GPL",E48="DEF",E48="JUV")), 'CASE DATA'!K48, "N/A")</f>
        <v>N/A</v>
      </c>
      <c r="H48" s="6" t="str">
        <f>IF(AND(F48="YES", OR(E48="GTR",E48="GPL",E48="DEF",E48="JUV")), (SUM('CASE DATA'!I48:J48)+SUM('CASE DATA'!L48:R48)), "N/A")</f>
        <v>N/A</v>
      </c>
      <c r="I48" s="21" t="str">
        <f t="shared" si="6"/>
        <v>N/A</v>
      </c>
      <c r="J48" s="6" t="str">
        <f t="shared" ref="J48:J100" si="9" xml:space="preserve"> IF(OR(E48="GTR", E48="GPL", E48="DEF"), "YES", "NO")</f>
        <v>NO</v>
      </c>
      <c r="K48" s="6" t="str">
        <f>IF(J48="YES",'CASE DATA'!K48,"N/A")</f>
        <v>N/A</v>
      </c>
      <c r="L48" s="6" t="str">
        <f>IF(J48="YES", SUM('CASE DATA'!I48:J48)+SUM('CASE DATA'!L48:R48),"N/A")</f>
        <v>N/A</v>
      </c>
      <c r="M48" s="21">
        <f t="shared" ref="M48:M100" si="10">IF(AND(J48="YES"), K48+L48, 0)</f>
        <v>0</v>
      </c>
      <c r="N48" s="184"/>
      <c r="O48" s="184"/>
      <c r="P48" s="184"/>
    </row>
    <row r="49" spans="1:13" x14ac:dyDescent="0.25">
      <c r="A49" s="162">
        <f xml:space="preserve"> 'CASE DATA'!A49</f>
        <v>0</v>
      </c>
      <c r="B49" s="162">
        <f xml:space="preserve"> 'CASE DATA'!B49</f>
        <v>0</v>
      </c>
      <c r="C49" s="163">
        <f xml:space="preserve"> 'CASE DATA'!C49</f>
        <v>0</v>
      </c>
      <c r="D49" s="162">
        <f xml:space="preserve"> 'CASE DATA'!E49</f>
        <v>0</v>
      </c>
      <c r="E49" s="162">
        <f xml:space="preserve"> 'CASE DATA'!F49</f>
        <v>0</v>
      </c>
      <c r="F49" s="138">
        <f xml:space="preserve"> 'CASE DATA'!G49</f>
        <v>0</v>
      </c>
      <c r="G49" s="6" t="str">
        <f>IF(AND(F49="YES", OR(E49="GTR",E49="GPL",E49="DEF",E49="JUV")), 'CASE DATA'!K49, "N/A")</f>
        <v>N/A</v>
      </c>
      <c r="H49" s="6" t="str">
        <f>IF(AND(F49="YES", OR(E49="GTR",E49="GPL",E49="DEF",E49="JUV")), (SUM('CASE DATA'!I49:J49)+SUM('CASE DATA'!L49:R49)), "N/A")</f>
        <v>N/A</v>
      </c>
      <c r="I49" s="21" t="str">
        <f t="shared" si="6"/>
        <v>N/A</v>
      </c>
      <c r="J49" s="6" t="str">
        <f t="shared" si="9"/>
        <v>NO</v>
      </c>
      <c r="K49" s="6" t="str">
        <f>IF(J49="YES",'CASE DATA'!K49,"N/A")</f>
        <v>N/A</v>
      </c>
      <c r="L49" s="6" t="str">
        <f>IF(J49="YES", SUM('CASE DATA'!I49:J49)+SUM('CASE DATA'!L49:R49),"N/A")</f>
        <v>N/A</v>
      </c>
      <c r="M49" s="21">
        <f t="shared" si="10"/>
        <v>0</v>
      </c>
    </row>
    <row r="50" spans="1:13" x14ac:dyDescent="0.25">
      <c r="A50" s="162">
        <f xml:space="preserve"> 'CASE DATA'!A50</f>
        <v>0</v>
      </c>
      <c r="B50" s="162">
        <f xml:space="preserve"> 'CASE DATA'!B50</f>
        <v>0</v>
      </c>
      <c r="C50" s="163">
        <f xml:space="preserve"> 'CASE DATA'!C50</f>
        <v>0</v>
      </c>
      <c r="D50" s="162">
        <f xml:space="preserve"> 'CASE DATA'!E50</f>
        <v>0</v>
      </c>
      <c r="E50" s="162">
        <f xml:space="preserve"> 'CASE DATA'!F50</f>
        <v>0</v>
      </c>
      <c r="F50" s="138">
        <f xml:space="preserve"> 'CASE DATA'!G50</f>
        <v>0</v>
      </c>
      <c r="G50" s="6" t="str">
        <f>IF(AND(F50="YES", OR(E50="GTR",E50="GPL",E50="DEF",E50="JUV")), 'CASE DATA'!K50, "N/A")</f>
        <v>N/A</v>
      </c>
      <c r="H50" s="6" t="str">
        <f>IF(AND(F50="YES", OR(E50="GTR",E50="GPL",E50="DEF",E50="JUV")), (SUM('CASE DATA'!I50:J50)+SUM('CASE DATA'!L50:R50)), "N/A")</f>
        <v>N/A</v>
      </c>
      <c r="I50" s="21" t="str">
        <f t="shared" si="6"/>
        <v>N/A</v>
      </c>
      <c r="J50" s="6" t="str">
        <f t="shared" si="9"/>
        <v>NO</v>
      </c>
      <c r="K50" s="6" t="str">
        <f>IF(J50="YES",'CASE DATA'!K50,"N/A")</f>
        <v>N/A</v>
      </c>
      <c r="L50" s="6" t="str">
        <f>IF(J50="YES", SUM('CASE DATA'!I50:J50)+SUM('CASE DATA'!L50:R50),"N/A")</f>
        <v>N/A</v>
      </c>
      <c r="M50" s="21">
        <f t="shared" si="10"/>
        <v>0</v>
      </c>
    </row>
    <row r="51" spans="1:13" x14ac:dyDescent="0.25">
      <c r="A51" s="162">
        <f xml:space="preserve"> 'CASE DATA'!A51</f>
        <v>0</v>
      </c>
      <c r="B51" s="162">
        <f xml:space="preserve"> 'CASE DATA'!B51</f>
        <v>0</v>
      </c>
      <c r="C51" s="163">
        <f xml:space="preserve"> 'CASE DATA'!C51</f>
        <v>0</v>
      </c>
      <c r="D51" s="162">
        <f xml:space="preserve"> 'CASE DATA'!E51</f>
        <v>0</v>
      </c>
      <c r="E51" s="162">
        <f xml:space="preserve"> 'CASE DATA'!F51</f>
        <v>0</v>
      </c>
      <c r="F51" s="138">
        <f xml:space="preserve"> 'CASE DATA'!G51</f>
        <v>0</v>
      </c>
      <c r="G51" s="6" t="str">
        <f>IF(AND(F51="YES", OR(E51="GTR",E51="GPL",E51="DEF",E51="JUV")), 'CASE DATA'!K51, "N/A")</f>
        <v>N/A</v>
      </c>
      <c r="H51" s="6" t="str">
        <f>IF(AND(F51="YES", OR(E51="GTR",E51="GPL",E51="DEF",E51="JUV")), (SUM('CASE DATA'!I51:J51)+SUM('CASE DATA'!L51:R51)), "N/A")</f>
        <v>N/A</v>
      </c>
      <c r="I51" s="21" t="str">
        <f t="shared" si="6"/>
        <v>N/A</v>
      </c>
      <c r="J51" s="6" t="str">
        <f t="shared" si="9"/>
        <v>NO</v>
      </c>
      <c r="K51" s="6" t="str">
        <f>IF(J51="YES",'CASE DATA'!K51,"N/A")</f>
        <v>N/A</v>
      </c>
      <c r="L51" s="6" t="str">
        <f>IF(J51="YES", SUM('CASE DATA'!I51:J51)+SUM('CASE DATA'!L51:R51),"N/A")</f>
        <v>N/A</v>
      </c>
      <c r="M51" s="21">
        <f t="shared" si="10"/>
        <v>0</v>
      </c>
    </row>
    <row r="52" spans="1:13" x14ac:dyDescent="0.25">
      <c r="A52" s="162">
        <f xml:space="preserve"> 'CASE DATA'!A52</f>
        <v>0</v>
      </c>
      <c r="B52" s="162">
        <f xml:space="preserve"> 'CASE DATA'!B52</f>
        <v>0</v>
      </c>
      <c r="C52" s="163">
        <f xml:space="preserve"> 'CASE DATA'!C52</f>
        <v>0</v>
      </c>
      <c r="D52" s="162">
        <f xml:space="preserve"> 'CASE DATA'!E52</f>
        <v>0</v>
      </c>
      <c r="E52" s="162">
        <f xml:space="preserve"> 'CASE DATA'!F52</f>
        <v>0</v>
      </c>
      <c r="F52" s="138">
        <f xml:space="preserve"> 'CASE DATA'!G52</f>
        <v>0</v>
      </c>
      <c r="G52" s="6" t="str">
        <f>IF(AND(F52="YES", OR(E52="GTR",E52="GPL",E52="DEF",E52="JUV")), 'CASE DATA'!K52, "N/A")</f>
        <v>N/A</v>
      </c>
      <c r="H52" s="6" t="str">
        <f>IF(AND(F52="YES", OR(E52="GTR",E52="GPL",E52="DEF",E52="JUV")), (SUM('CASE DATA'!I52:J52)+SUM('CASE DATA'!L52:R52)), "N/A")</f>
        <v>N/A</v>
      </c>
      <c r="I52" s="21" t="str">
        <f t="shared" si="6"/>
        <v>N/A</v>
      </c>
      <c r="J52" s="6" t="str">
        <f t="shared" si="9"/>
        <v>NO</v>
      </c>
      <c r="K52" s="6" t="str">
        <f>IF(J52="YES",'CASE DATA'!K52,"N/A")</f>
        <v>N/A</v>
      </c>
      <c r="L52" s="6" t="str">
        <f>IF(J52="YES", SUM('CASE DATA'!I52:J52)+SUM('CASE DATA'!L52:R52),"N/A")</f>
        <v>N/A</v>
      </c>
      <c r="M52" s="21">
        <f t="shared" si="10"/>
        <v>0</v>
      </c>
    </row>
    <row r="53" spans="1:13" x14ac:dyDescent="0.25">
      <c r="A53" s="162">
        <f xml:space="preserve"> 'CASE DATA'!A53</f>
        <v>0</v>
      </c>
      <c r="B53" s="162">
        <f xml:space="preserve"> 'CASE DATA'!B53</f>
        <v>0</v>
      </c>
      <c r="C53" s="163">
        <f xml:space="preserve"> 'CASE DATA'!C53</f>
        <v>0</v>
      </c>
      <c r="D53" s="162">
        <f xml:space="preserve"> 'CASE DATA'!E53</f>
        <v>0</v>
      </c>
      <c r="E53" s="162">
        <f xml:space="preserve"> 'CASE DATA'!F53</f>
        <v>0</v>
      </c>
      <c r="F53" s="138">
        <f xml:space="preserve"> 'CASE DATA'!G53</f>
        <v>0</v>
      </c>
      <c r="G53" s="6" t="str">
        <f>IF(AND(F53="YES", OR(E53="GTR",E53="GPL",E53="DEF",E53="JUV")), 'CASE DATA'!K53, "N/A")</f>
        <v>N/A</v>
      </c>
      <c r="H53" s="6" t="str">
        <f>IF(AND(F53="YES", OR(E53="GTR",E53="GPL",E53="DEF",E53="JUV")), (SUM('CASE DATA'!I53:J53)+SUM('CASE DATA'!L53:R53)), "N/A")</f>
        <v>N/A</v>
      </c>
      <c r="I53" s="21" t="str">
        <f t="shared" si="6"/>
        <v>N/A</v>
      </c>
      <c r="J53" s="6" t="str">
        <f t="shared" si="9"/>
        <v>NO</v>
      </c>
      <c r="K53" s="6" t="str">
        <f>IF(J53="YES",'CASE DATA'!K53,"N/A")</f>
        <v>N/A</v>
      </c>
      <c r="L53" s="6" t="str">
        <f>IF(J53="YES", SUM('CASE DATA'!I53:J53)+SUM('CASE DATA'!L53:R53),"N/A")</f>
        <v>N/A</v>
      </c>
      <c r="M53" s="21">
        <f t="shared" si="10"/>
        <v>0</v>
      </c>
    </row>
    <row r="54" spans="1:13" x14ac:dyDescent="0.25">
      <c r="A54" s="162">
        <f xml:space="preserve"> 'CASE DATA'!A54</f>
        <v>0</v>
      </c>
      <c r="B54" s="162">
        <f xml:space="preserve"> 'CASE DATA'!B54</f>
        <v>0</v>
      </c>
      <c r="C54" s="163">
        <f xml:space="preserve"> 'CASE DATA'!C54</f>
        <v>0</v>
      </c>
      <c r="D54" s="162">
        <f xml:space="preserve"> 'CASE DATA'!E54</f>
        <v>0</v>
      </c>
      <c r="E54" s="162">
        <f xml:space="preserve"> 'CASE DATA'!F54</f>
        <v>0</v>
      </c>
      <c r="F54" s="138">
        <f xml:space="preserve"> 'CASE DATA'!G54</f>
        <v>0</v>
      </c>
      <c r="G54" s="6" t="str">
        <f>IF(AND(F54="YES", OR(E54="GTR",E54="GPL",E54="DEF",E54="JUV")), 'CASE DATA'!K54, "N/A")</f>
        <v>N/A</v>
      </c>
      <c r="H54" s="6" t="str">
        <f>IF(AND(F54="YES", OR(E54="GTR",E54="GPL",E54="DEF",E54="JUV")), (SUM('CASE DATA'!I54:J54)+SUM('CASE DATA'!L54:R54)), "N/A")</f>
        <v>N/A</v>
      </c>
      <c r="I54" s="21" t="str">
        <f t="shared" si="6"/>
        <v>N/A</v>
      </c>
      <c r="J54" s="6" t="str">
        <f t="shared" si="9"/>
        <v>NO</v>
      </c>
      <c r="K54" s="6" t="str">
        <f>IF(J54="YES",'CASE DATA'!K54,"N/A")</f>
        <v>N/A</v>
      </c>
      <c r="L54" s="6" t="str">
        <f>IF(J54="YES", SUM('CASE DATA'!I54:J54)+SUM('CASE DATA'!L54:R54),"N/A")</f>
        <v>N/A</v>
      </c>
      <c r="M54" s="21">
        <f t="shared" si="10"/>
        <v>0</v>
      </c>
    </row>
    <row r="55" spans="1:13" x14ac:dyDescent="0.25">
      <c r="A55" s="162">
        <f xml:space="preserve"> 'CASE DATA'!A55</f>
        <v>0</v>
      </c>
      <c r="B55" s="162">
        <f xml:space="preserve"> 'CASE DATA'!B55</f>
        <v>0</v>
      </c>
      <c r="C55" s="163">
        <f xml:space="preserve"> 'CASE DATA'!C55</f>
        <v>0</v>
      </c>
      <c r="D55" s="162">
        <f xml:space="preserve"> 'CASE DATA'!E55</f>
        <v>0</v>
      </c>
      <c r="E55" s="162">
        <f xml:space="preserve"> 'CASE DATA'!F55</f>
        <v>0</v>
      </c>
      <c r="F55" s="138">
        <f xml:space="preserve"> 'CASE DATA'!G55</f>
        <v>0</v>
      </c>
      <c r="G55" s="6" t="str">
        <f>IF(AND(F55="YES", OR(E55="GTR",E55="GPL",E55="DEF",E55="JUV")), 'CASE DATA'!K55, "N/A")</f>
        <v>N/A</v>
      </c>
      <c r="H55" s="6" t="str">
        <f>IF(AND(F55="YES", OR(E55="GTR",E55="GPL",E55="DEF",E55="JUV")), (SUM('CASE DATA'!I55:J55)+SUM('CASE DATA'!L55:R55)), "N/A")</f>
        <v>N/A</v>
      </c>
      <c r="I55" s="21" t="str">
        <f t="shared" si="6"/>
        <v>N/A</v>
      </c>
      <c r="J55" s="6" t="str">
        <f t="shared" si="9"/>
        <v>NO</v>
      </c>
      <c r="K55" s="6" t="str">
        <f>IF(J55="YES",'CASE DATA'!K55,"N/A")</f>
        <v>N/A</v>
      </c>
      <c r="L55" s="6" t="str">
        <f>IF(J55="YES", SUM('CASE DATA'!I55:J55)+SUM('CASE DATA'!L55:R55),"N/A")</f>
        <v>N/A</v>
      </c>
      <c r="M55" s="21">
        <f t="shared" si="10"/>
        <v>0</v>
      </c>
    </row>
    <row r="56" spans="1:13" x14ac:dyDescent="0.25">
      <c r="A56" s="162">
        <f xml:space="preserve"> 'CASE DATA'!A56</f>
        <v>0</v>
      </c>
      <c r="B56" s="162">
        <f xml:space="preserve"> 'CASE DATA'!B56</f>
        <v>0</v>
      </c>
      <c r="C56" s="163">
        <f xml:space="preserve"> 'CASE DATA'!C56</f>
        <v>0</v>
      </c>
      <c r="D56" s="162">
        <f xml:space="preserve"> 'CASE DATA'!E56</f>
        <v>0</v>
      </c>
      <c r="E56" s="162">
        <f xml:space="preserve"> 'CASE DATA'!F56</f>
        <v>0</v>
      </c>
      <c r="F56" s="138">
        <f xml:space="preserve"> 'CASE DATA'!G56</f>
        <v>0</v>
      </c>
      <c r="G56" s="6" t="str">
        <f>IF(AND(F56="YES", OR(E56="GTR",E56="GPL",E56="DEF",E56="JUV")), 'CASE DATA'!K56, "N/A")</f>
        <v>N/A</v>
      </c>
      <c r="H56" s="6" t="str">
        <f>IF(AND(F56="YES", OR(E56="GTR",E56="GPL",E56="DEF",E56="JUV")), (SUM('CASE DATA'!I56:J56)+SUM('CASE DATA'!L56:R56)), "N/A")</f>
        <v>N/A</v>
      </c>
      <c r="I56" s="21" t="str">
        <f t="shared" si="6"/>
        <v>N/A</v>
      </c>
      <c r="J56" s="6" t="str">
        <f t="shared" si="9"/>
        <v>NO</v>
      </c>
      <c r="K56" s="6" t="str">
        <f>IF(J56="YES",'CASE DATA'!K56,"N/A")</f>
        <v>N/A</v>
      </c>
      <c r="L56" s="6" t="str">
        <f>IF(J56="YES", SUM('CASE DATA'!I56:J56)+SUM('CASE DATA'!L56:R56),"N/A")</f>
        <v>N/A</v>
      </c>
      <c r="M56" s="21">
        <f t="shared" si="10"/>
        <v>0</v>
      </c>
    </row>
    <row r="57" spans="1:13" x14ac:dyDescent="0.25">
      <c r="A57" s="162">
        <f xml:space="preserve"> 'CASE DATA'!A57</f>
        <v>0</v>
      </c>
      <c r="B57" s="162">
        <f xml:space="preserve"> 'CASE DATA'!B57</f>
        <v>0</v>
      </c>
      <c r="C57" s="163">
        <f xml:space="preserve"> 'CASE DATA'!C57</f>
        <v>0</v>
      </c>
      <c r="D57" s="162">
        <f xml:space="preserve"> 'CASE DATA'!E57</f>
        <v>0</v>
      </c>
      <c r="E57" s="162">
        <f xml:space="preserve"> 'CASE DATA'!F57</f>
        <v>0</v>
      </c>
      <c r="F57" s="138">
        <f xml:space="preserve"> 'CASE DATA'!G57</f>
        <v>0</v>
      </c>
      <c r="G57" s="6" t="str">
        <f>IF(AND(F57="YES", OR(E57="GTR",E57="GPL",E57="DEF",E57="JUV")), 'CASE DATA'!K57, "N/A")</f>
        <v>N/A</v>
      </c>
      <c r="H57" s="6" t="str">
        <f>IF(AND(F57="YES", OR(E57="GTR",E57="GPL",E57="DEF",E57="JUV")), (SUM('CASE DATA'!I57:J57)+SUM('CASE DATA'!L57:R57)), "N/A")</f>
        <v>N/A</v>
      </c>
      <c r="I57" s="21" t="str">
        <f t="shared" si="6"/>
        <v>N/A</v>
      </c>
      <c r="J57" s="6" t="str">
        <f t="shared" si="9"/>
        <v>NO</v>
      </c>
      <c r="K57" s="6" t="str">
        <f>IF(J57="YES",'CASE DATA'!K57,"N/A")</f>
        <v>N/A</v>
      </c>
      <c r="L57" s="6" t="str">
        <f>IF(J57="YES", SUM('CASE DATA'!I57:J57)+SUM('CASE DATA'!L57:R57),"N/A")</f>
        <v>N/A</v>
      </c>
      <c r="M57" s="21">
        <f t="shared" si="10"/>
        <v>0</v>
      </c>
    </row>
    <row r="58" spans="1:13" x14ac:dyDescent="0.25">
      <c r="A58" s="162">
        <f xml:space="preserve"> 'CASE DATA'!A58</f>
        <v>0</v>
      </c>
      <c r="B58" s="162">
        <f xml:space="preserve"> 'CASE DATA'!B58</f>
        <v>0</v>
      </c>
      <c r="C58" s="163">
        <f xml:space="preserve"> 'CASE DATA'!C58</f>
        <v>0</v>
      </c>
      <c r="D58" s="162">
        <f xml:space="preserve"> 'CASE DATA'!E58</f>
        <v>0</v>
      </c>
      <c r="E58" s="162">
        <f xml:space="preserve"> 'CASE DATA'!F58</f>
        <v>0</v>
      </c>
      <c r="F58" s="138">
        <f xml:space="preserve"> 'CASE DATA'!G58</f>
        <v>0</v>
      </c>
      <c r="G58" s="6" t="str">
        <f>IF(AND(F58="YES", OR(E58="GTR",E58="GPL",E58="DEF",E58="JUV")), 'CASE DATA'!K58, "N/A")</f>
        <v>N/A</v>
      </c>
      <c r="H58" s="6" t="str">
        <f>IF(AND(F58="YES", OR(E58="GTR",E58="GPL",E58="DEF",E58="JUV")), (SUM('CASE DATA'!I58:J58)+SUM('CASE DATA'!L58:R58)), "N/A")</f>
        <v>N/A</v>
      </c>
      <c r="I58" s="21" t="str">
        <f t="shared" si="6"/>
        <v>N/A</v>
      </c>
      <c r="J58" s="6" t="str">
        <f t="shared" si="9"/>
        <v>NO</v>
      </c>
      <c r="K58" s="6" t="str">
        <f>IF(J58="YES",'CASE DATA'!K58,"N/A")</f>
        <v>N/A</v>
      </c>
      <c r="L58" s="6" t="str">
        <f>IF(J58="YES", SUM('CASE DATA'!I58:J58)+SUM('CASE DATA'!L58:R58),"N/A")</f>
        <v>N/A</v>
      </c>
      <c r="M58" s="21">
        <f t="shared" si="10"/>
        <v>0</v>
      </c>
    </row>
    <row r="59" spans="1:13" x14ac:dyDescent="0.25">
      <c r="A59" s="162">
        <f xml:space="preserve"> 'CASE DATA'!A59</f>
        <v>0</v>
      </c>
      <c r="B59" s="162">
        <f xml:space="preserve"> 'CASE DATA'!B59</f>
        <v>0</v>
      </c>
      <c r="C59" s="163">
        <f xml:space="preserve"> 'CASE DATA'!C59</f>
        <v>0</v>
      </c>
      <c r="D59" s="162">
        <f xml:space="preserve"> 'CASE DATA'!E59</f>
        <v>0</v>
      </c>
      <c r="E59" s="162">
        <f xml:space="preserve"> 'CASE DATA'!F59</f>
        <v>0</v>
      </c>
      <c r="F59" s="138">
        <f xml:space="preserve"> 'CASE DATA'!G59</f>
        <v>0</v>
      </c>
      <c r="G59" s="6" t="str">
        <f>IF(AND(F59="YES", OR(E59="GTR",E59="GPL",E59="DEF",E59="JUV")), 'CASE DATA'!K59, "N/A")</f>
        <v>N/A</v>
      </c>
      <c r="H59" s="6" t="str">
        <f>IF(AND(F59="YES", OR(E59="GTR",E59="GPL",E59="DEF",E59="JUV")), (SUM('CASE DATA'!I59:J59)+SUM('CASE DATA'!L59:R59)), "N/A")</f>
        <v>N/A</v>
      </c>
      <c r="I59" s="21" t="str">
        <f t="shared" si="6"/>
        <v>N/A</v>
      </c>
      <c r="J59" s="6" t="str">
        <f t="shared" si="9"/>
        <v>NO</v>
      </c>
      <c r="K59" s="6" t="str">
        <f>IF(J59="YES",'CASE DATA'!K59,"N/A")</f>
        <v>N/A</v>
      </c>
      <c r="L59" s="6" t="str">
        <f>IF(J59="YES", SUM('CASE DATA'!I59:J59)+SUM('CASE DATA'!L59:R59),"N/A")</f>
        <v>N/A</v>
      </c>
      <c r="M59" s="21">
        <f t="shared" si="10"/>
        <v>0</v>
      </c>
    </row>
    <row r="60" spans="1:13" x14ac:dyDescent="0.25">
      <c r="A60" s="162">
        <f xml:space="preserve"> 'CASE DATA'!A60</f>
        <v>0</v>
      </c>
      <c r="B60" s="162">
        <f xml:space="preserve"> 'CASE DATA'!B60</f>
        <v>0</v>
      </c>
      <c r="C60" s="163">
        <f xml:space="preserve"> 'CASE DATA'!C60</f>
        <v>0</v>
      </c>
      <c r="D60" s="162">
        <f xml:space="preserve"> 'CASE DATA'!E60</f>
        <v>0</v>
      </c>
      <c r="E60" s="162">
        <f xml:space="preserve"> 'CASE DATA'!F60</f>
        <v>0</v>
      </c>
      <c r="F60" s="138">
        <f xml:space="preserve"> 'CASE DATA'!G60</f>
        <v>0</v>
      </c>
      <c r="G60" s="6" t="str">
        <f>IF(AND(F60="YES", OR(E60="GTR",E60="GPL",E60="DEF",E60="JUV")), 'CASE DATA'!K60, "N/A")</f>
        <v>N/A</v>
      </c>
      <c r="H60" s="6" t="str">
        <f>IF(AND(F60="YES", OR(E60="GTR",E60="GPL",E60="DEF",E60="JUV")), (SUM('CASE DATA'!I60:J60)+SUM('CASE DATA'!L60:R60)), "N/A")</f>
        <v>N/A</v>
      </c>
      <c r="I60" s="21" t="str">
        <f t="shared" si="6"/>
        <v>N/A</v>
      </c>
      <c r="J60" s="6" t="str">
        <f t="shared" si="9"/>
        <v>NO</v>
      </c>
      <c r="K60" s="6" t="str">
        <f>IF(J60="YES",'CASE DATA'!K60,"N/A")</f>
        <v>N/A</v>
      </c>
      <c r="L60" s="6" t="str">
        <f>IF(J60="YES", SUM('CASE DATA'!I60:J60)+SUM('CASE DATA'!L60:R60),"N/A")</f>
        <v>N/A</v>
      </c>
      <c r="M60" s="21">
        <f t="shared" si="10"/>
        <v>0</v>
      </c>
    </row>
    <row r="61" spans="1:13" x14ac:dyDescent="0.25">
      <c r="A61" s="162">
        <f xml:space="preserve"> 'CASE DATA'!A61</f>
        <v>0</v>
      </c>
      <c r="B61" s="162">
        <f xml:space="preserve"> 'CASE DATA'!B61</f>
        <v>0</v>
      </c>
      <c r="C61" s="163">
        <f xml:space="preserve"> 'CASE DATA'!C61</f>
        <v>0</v>
      </c>
      <c r="D61" s="162">
        <f xml:space="preserve"> 'CASE DATA'!E61</f>
        <v>0</v>
      </c>
      <c r="E61" s="162">
        <f xml:space="preserve"> 'CASE DATA'!F61</f>
        <v>0</v>
      </c>
      <c r="F61" s="138">
        <f xml:space="preserve"> 'CASE DATA'!G61</f>
        <v>0</v>
      </c>
      <c r="G61" s="6" t="str">
        <f>IF(AND(F61="YES", OR(E61="GTR",E61="GPL",E61="DEF",E61="JUV")), 'CASE DATA'!K61, "N/A")</f>
        <v>N/A</v>
      </c>
      <c r="H61" s="6" t="str">
        <f>IF(AND(F61="YES", OR(E61="GTR",E61="GPL",E61="DEF",E61="JUV")), (SUM('CASE DATA'!I61:J61)+SUM('CASE DATA'!L61:R61)), "N/A")</f>
        <v>N/A</v>
      </c>
      <c r="I61" s="21" t="str">
        <f t="shared" si="6"/>
        <v>N/A</v>
      </c>
      <c r="J61" s="6" t="str">
        <f t="shared" si="9"/>
        <v>NO</v>
      </c>
      <c r="K61" s="6" t="str">
        <f>IF(J61="YES",'CASE DATA'!K61,"N/A")</f>
        <v>N/A</v>
      </c>
      <c r="L61" s="6" t="str">
        <f>IF(J61="YES", SUM('CASE DATA'!I61:J61)+SUM('CASE DATA'!L61:R61),"N/A")</f>
        <v>N/A</v>
      </c>
      <c r="M61" s="21">
        <f t="shared" si="10"/>
        <v>0</v>
      </c>
    </row>
    <row r="62" spans="1:13" x14ac:dyDescent="0.25">
      <c r="A62" s="162">
        <f xml:space="preserve"> 'CASE DATA'!A62</f>
        <v>0</v>
      </c>
      <c r="B62" s="162">
        <f xml:space="preserve"> 'CASE DATA'!B62</f>
        <v>0</v>
      </c>
      <c r="C62" s="163">
        <f xml:space="preserve"> 'CASE DATA'!C62</f>
        <v>0</v>
      </c>
      <c r="D62" s="162">
        <f xml:space="preserve"> 'CASE DATA'!E62</f>
        <v>0</v>
      </c>
      <c r="E62" s="162">
        <f xml:space="preserve"> 'CASE DATA'!F62</f>
        <v>0</v>
      </c>
      <c r="F62" s="138">
        <f xml:space="preserve"> 'CASE DATA'!G62</f>
        <v>0</v>
      </c>
      <c r="G62" s="6" t="str">
        <f>IF(AND(F62="YES", OR(E62="GTR",E62="GPL",E62="DEF",E62="JUV")), 'CASE DATA'!K62, "N/A")</f>
        <v>N/A</v>
      </c>
      <c r="H62" s="6" t="str">
        <f>IF(AND(F62="YES", OR(E62="GTR",E62="GPL",E62="DEF",E62="JUV")), (SUM('CASE DATA'!I62:J62)+SUM('CASE DATA'!L62:R62)), "N/A")</f>
        <v>N/A</v>
      </c>
      <c r="I62" s="21" t="str">
        <f t="shared" si="6"/>
        <v>N/A</v>
      </c>
      <c r="J62" s="6" t="str">
        <f t="shared" si="9"/>
        <v>NO</v>
      </c>
      <c r="K62" s="6" t="str">
        <f>IF(J62="YES",'CASE DATA'!K62,"N/A")</f>
        <v>N/A</v>
      </c>
      <c r="L62" s="6" t="str">
        <f>IF(J62="YES", SUM('CASE DATA'!I62:J62)+SUM('CASE DATA'!L62:R62),"N/A")</f>
        <v>N/A</v>
      </c>
      <c r="M62" s="21">
        <f t="shared" si="10"/>
        <v>0</v>
      </c>
    </row>
    <row r="63" spans="1:13" x14ac:dyDescent="0.25">
      <c r="A63" s="162">
        <f xml:space="preserve"> 'CASE DATA'!A63</f>
        <v>0</v>
      </c>
      <c r="B63" s="162">
        <f xml:space="preserve"> 'CASE DATA'!B63</f>
        <v>0</v>
      </c>
      <c r="C63" s="163">
        <f xml:space="preserve"> 'CASE DATA'!C63</f>
        <v>0</v>
      </c>
      <c r="D63" s="162">
        <f xml:space="preserve"> 'CASE DATA'!E63</f>
        <v>0</v>
      </c>
      <c r="E63" s="162">
        <f xml:space="preserve"> 'CASE DATA'!F63</f>
        <v>0</v>
      </c>
      <c r="F63" s="138">
        <f xml:space="preserve"> 'CASE DATA'!G63</f>
        <v>0</v>
      </c>
      <c r="G63" s="6" t="str">
        <f>IF(AND(F63="YES", OR(E63="GTR",E63="GPL",E63="DEF",E63="JUV")), 'CASE DATA'!K63, "N/A")</f>
        <v>N/A</v>
      </c>
      <c r="H63" s="6" t="str">
        <f>IF(AND(F63="YES", OR(E63="GTR",E63="GPL",E63="DEF",E63="JUV")), (SUM('CASE DATA'!I63:J63)+SUM('CASE DATA'!L63:R63)), "N/A")</f>
        <v>N/A</v>
      </c>
      <c r="I63" s="21" t="str">
        <f t="shared" si="6"/>
        <v>N/A</v>
      </c>
      <c r="J63" s="6" t="str">
        <f t="shared" si="9"/>
        <v>NO</v>
      </c>
      <c r="K63" s="6" t="str">
        <f>IF(J63="YES",'CASE DATA'!K63,"N/A")</f>
        <v>N/A</v>
      </c>
      <c r="L63" s="6" t="str">
        <f>IF(J63="YES", SUM('CASE DATA'!I63:J63)+SUM('CASE DATA'!L63:R63),"N/A")</f>
        <v>N/A</v>
      </c>
      <c r="M63" s="21">
        <f t="shared" si="10"/>
        <v>0</v>
      </c>
    </row>
    <row r="64" spans="1:13" x14ac:dyDescent="0.25">
      <c r="A64" s="162">
        <f xml:space="preserve"> 'CASE DATA'!A64</f>
        <v>0</v>
      </c>
      <c r="B64" s="162">
        <f xml:space="preserve"> 'CASE DATA'!B64</f>
        <v>0</v>
      </c>
      <c r="C64" s="163">
        <f xml:space="preserve"> 'CASE DATA'!C64</f>
        <v>0</v>
      </c>
      <c r="D64" s="162">
        <f xml:space="preserve"> 'CASE DATA'!E64</f>
        <v>0</v>
      </c>
      <c r="E64" s="162">
        <f xml:space="preserve"> 'CASE DATA'!F64</f>
        <v>0</v>
      </c>
      <c r="F64" s="138">
        <f xml:space="preserve"> 'CASE DATA'!G64</f>
        <v>0</v>
      </c>
      <c r="G64" s="6" t="str">
        <f>IF(AND(F64="YES", OR(E64="GTR",E64="GPL",E64="DEF",E64="JUV")), 'CASE DATA'!K64, "N/A")</f>
        <v>N/A</v>
      </c>
      <c r="H64" s="6" t="str">
        <f>IF(AND(F64="YES", OR(E64="GTR",E64="GPL",E64="DEF",E64="JUV")), (SUM('CASE DATA'!I64:J64)+SUM('CASE DATA'!L64:R64)), "N/A")</f>
        <v>N/A</v>
      </c>
      <c r="I64" s="21" t="str">
        <f t="shared" si="6"/>
        <v>N/A</v>
      </c>
      <c r="J64" s="6" t="str">
        <f t="shared" si="9"/>
        <v>NO</v>
      </c>
      <c r="K64" s="6" t="str">
        <f>IF(J64="YES",'CASE DATA'!K64,"N/A")</f>
        <v>N/A</v>
      </c>
      <c r="L64" s="6" t="str">
        <f>IF(J64="YES", SUM('CASE DATA'!I64:J64)+SUM('CASE DATA'!L64:R64),"N/A")</f>
        <v>N/A</v>
      </c>
      <c r="M64" s="21">
        <f t="shared" si="10"/>
        <v>0</v>
      </c>
    </row>
    <row r="65" spans="1:13" x14ac:dyDescent="0.25">
      <c r="A65" s="162">
        <f xml:space="preserve"> 'CASE DATA'!A65</f>
        <v>0</v>
      </c>
      <c r="B65" s="162">
        <f xml:space="preserve"> 'CASE DATA'!B65</f>
        <v>0</v>
      </c>
      <c r="C65" s="163">
        <f xml:space="preserve"> 'CASE DATA'!C65</f>
        <v>0</v>
      </c>
      <c r="D65" s="162">
        <f xml:space="preserve"> 'CASE DATA'!E65</f>
        <v>0</v>
      </c>
      <c r="E65" s="162">
        <f xml:space="preserve"> 'CASE DATA'!F65</f>
        <v>0</v>
      </c>
      <c r="F65" s="138">
        <f xml:space="preserve"> 'CASE DATA'!G65</f>
        <v>0</v>
      </c>
      <c r="G65" s="6" t="str">
        <f>IF(AND(F65="YES", OR(E65="GTR",E65="GPL",E65="DEF",E65="JUV")), 'CASE DATA'!K65, "N/A")</f>
        <v>N/A</v>
      </c>
      <c r="H65" s="6" t="str">
        <f>IF(AND(F65="YES", OR(E65="GTR",E65="GPL",E65="DEF",E65="JUV")), (SUM('CASE DATA'!I65:J65)+SUM('CASE DATA'!L65:R65)), "N/A")</f>
        <v>N/A</v>
      </c>
      <c r="I65" s="21" t="str">
        <f t="shared" si="6"/>
        <v>N/A</v>
      </c>
      <c r="J65" s="6" t="str">
        <f t="shared" si="9"/>
        <v>NO</v>
      </c>
      <c r="K65" s="6" t="str">
        <f>IF(J65="YES",'CASE DATA'!K65,"N/A")</f>
        <v>N/A</v>
      </c>
      <c r="L65" s="6" t="str">
        <f>IF(J65="YES", SUM('CASE DATA'!I65:J65)+SUM('CASE DATA'!L65:R65),"N/A")</f>
        <v>N/A</v>
      </c>
      <c r="M65" s="21">
        <f t="shared" si="10"/>
        <v>0</v>
      </c>
    </row>
    <row r="66" spans="1:13" x14ac:dyDescent="0.25">
      <c r="A66" s="162">
        <f xml:space="preserve"> 'CASE DATA'!A66</f>
        <v>0</v>
      </c>
      <c r="B66" s="162">
        <f xml:space="preserve"> 'CASE DATA'!B66</f>
        <v>0</v>
      </c>
      <c r="C66" s="163">
        <f xml:space="preserve"> 'CASE DATA'!C66</f>
        <v>0</v>
      </c>
      <c r="D66" s="162">
        <f xml:space="preserve"> 'CASE DATA'!E66</f>
        <v>0</v>
      </c>
      <c r="E66" s="162">
        <f xml:space="preserve"> 'CASE DATA'!F66</f>
        <v>0</v>
      </c>
      <c r="F66" s="138">
        <f xml:space="preserve"> 'CASE DATA'!G66</f>
        <v>0</v>
      </c>
      <c r="G66" s="6" t="str">
        <f>IF(AND(F66="YES", OR(E66="GTR",E66="GPL",E66="DEF",E66="JUV")), 'CASE DATA'!K66, "N/A")</f>
        <v>N/A</v>
      </c>
      <c r="H66" s="6" t="str">
        <f>IF(AND(F66="YES", OR(E66="GTR",E66="GPL",E66="DEF",E66="JUV")), (SUM('CASE DATA'!I66:J66)+SUM('CASE DATA'!L66:R66)), "N/A")</f>
        <v>N/A</v>
      </c>
      <c r="I66" s="21" t="str">
        <f t="shared" si="6"/>
        <v>N/A</v>
      </c>
      <c r="J66" s="6" t="str">
        <f t="shared" si="9"/>
        <v>NO</v>
      </c>
      <c r="K66" s="6" t="str">
        <f>IF(J66="YES",'CASE DATA'!K66,"N/A")</f>
        <v>N/A</v>
      </c>
      <c r="L66" s="6" t="str">
        <f>IF(J66="YES", SUM('CASE DATA'!I66:J66)+SUM('CASE DATA'!L66:R66),"N/A")</f>
        <v>N/A</v>
      </c>
      <c r="M66" s="21">
        <f t="shared" si="10"/>
        <v>0</v>
      </c>
    </row>
    <row r="67" spans="1:13" x14ac:dyDescent="0.25">
      <c r="A67" s="162">
        <f xml:space="preserve"> 'CASE DATA'!A67</f>
        <v>0</v>
      </c>
      <c r="B67" s="162">
        <f xml:space="preserve"> 'CASE DATA'!B67</f>
        <v>0</v>
      </c>
      <c r="C67" s="163">
        <f xml:space="preserve"> 'CASE DATA'!C67</f>
        <v>0</v>
      </c>
      <c r="D67" s="162">
        <f xml:space="preserve"> 'CASE DATA'!E67</f>
        <v>0</v>
      </c>
      <c r="E67" s="162">
        <f xml:space="preserve"> 'CASE DATA'!F67</f>
        <v>0</v>
      </c>
      <c r="F67" s="138">
        <f xml:space="preserve"> 'CASE DATA'!G67</f>
        <v>0</v>
      </c>
      <c r="G67" s="6" t="str">
        <f>IF(AND(F67="YES", OR(E67="GTR",E67="GPL",E67="DEF",E67="JUV")), 'CASE DATA'!K67, "N/A")</f>
        <v>N/A</v>
      </c>
      <c r="H67" s="6" t="str">
        <f>IF(AND(F67="YES", OR(E67="GTR",E67="GPL",E67="DEF",E67="JUV")), (SUM('CASE DATA'!I67:J67)+SUM('CASE DATA'!L67:R67)), "N/A")</f>
        <v>N/A</v>
      </c>
      <c r="I67" s="21" t="str">
        <f t="shared" si="6"/>
        <v>N/A</v>
      </c>
      <c r="J67" s="6" t="str">
        <f t="shared" si="9"/>
        <v>NO</v>
      </c>
      <c r="K67" s="6" t="str">
        <f>IF(J67="YES",'CASE DATA'!K67,"N/A")</f>
        <v>N/A</v>
      </c>
      <c r="L67" s="6" t="str">
        <f>IF(J67="YES", SUM('CASE DATA'!I67:J67)+SUM('CASE DATA'!L67:R67),"N/A")</f>
        <v>N/A</v>
      </c>
      <c r="M67" s="21">
        <f t="shared" si="10"/>
        <v>0</v>
      </c>
    </row>
    <row r="68" spans="1:13" x14ac:dyDescent="0.25">
      <c r="A68" s="162">
        <f xml:space="preserve"> 'CASE DATA'!A68</f>
        <v>0</v>
      </c>
      <c r="B68" s="162">
        <f xml:space="preserve"> 'CASE DATA'!B68</f>
        <v>0</v>
      </c>
      <c r="C68" s="163">
        <f xml:space="preserve"> 'CASE DATA'!C68</f>
        <v>0</v>
      </c>
      <c r="D68" s="162">
        <f xml:space="preserve"> 'CASE DATA'!E68</f>
        <v>0</v>
      </c>
      <c r="E68" s="162">
        <f xml:space="preserve"> 'CASE DATA'!F68</f>
        <v>0</v>
      </c>
      <c r="F68" s="138">
        <f xml:space="preserve"> 'CASE DATA'!G68</f>
        <v>0</v>
      </c>
      <c r="G68" s="6" t="str">
        <f>IF(AND(F68="YES", OR(E68="GTR",E68="GPL",E68="DEF",E68="JUV")), 'CASE DATA'!K68, "N/A")</f>
        <v>N/A</v>
      </c>
      <c r="H68" s="6" t="str">
        <f>IF(AND(F68="YES", OR(E68="GTR",E68="GPL",E68="DEF",E68="JUV")), (SUM('CASE DATA'!I68:J68)+SUM('CASE DATA'!L68:R68)), "N/A")</f>
        <v>N/A</v>
      </c>
      <c r="I68" s="21" t="str">
        <f t="shared" si="6"/>
        <v>N/A</v>
      </c>
      <c r="J68" s="6" t="str">
        <f t="shared" si="9"/>
        <v>NO</v>
      </c>
      <c r="K68" s="6" t="str">
        <f>IF(J68="YES",'CASE DATA'!K68,"N/A")</f>
        <v>N/A</v>
      </c>
      <c r="L68" s="6" t="str">
        <f>IF(J68="YES", SUM('CASE DATA'!I68:J68)+SUM('CASE DATA'!L68:R68),"N/A")</f>
        <v>N/A</v>
      </c>
      <c r="M68" s="21">
        <f t="shared" si="10"/>
        <v>0</v>
      </c>
    </row>
    <row r="69" spans="1:13" x14ac:dyDescent="0.25">
      <c r="A69" s="162">
        <f xml:space="preserve"> 'CASE DATA'!A69</f>
        <v>0</v>
      </c>
      <c r="B69" s="162">
        <f xml:space="preserve"> 'CASE DATA'!B69</f>
        <v>0</v>
      </c>
      <c r="C69" s="163">
        <f xml:space="preserve"> 'CASE DATA'!C69</f>
        <v>0</v>
      </c>
      <c r="D69" s="162">
        <f xml:space="preserve"> 'CASE DATA'!E69</f>
        <v>0</v>
      </c>
      <c r="E69" s="162">
        <f xml:space="preserve"> 'CASE DATA'!F69</f>
        <v>0</v>
      </c>
      <c r="F69" s="138">
        <f xml:space="preserve"> 'CASE DATA'!G69</f>
        <v>0</v>
      </c>
      <c r="G69" s="6" t="str">
        <f>IF(AND(F69="YES", OR(E69="GTR",E69="GPL",E69="DEF",E69="JUV")), 'CASE DATA'!K69, "N/A")</f>
        <v>N/A</v>
      </c>
      <c r="H69" s="6" t="str">
        <f>IF(AND(F69="YES", OR(E69="GTR",E69="GPL",E69="DEF",E69="JUV")), (SUM('CASE DATA'!I69:J69)+SUM('CASE DATA'!L69:R69)), "N/A")</f>
        <v>N/A</v>
      </c>
      <c r="I69" s="21" t="str">
        <f t="shared" si="6"/>
        <v>N/A</v>
      </c>
      <c r="J69" s="6" t="str">
        <f t="shared" si="9"/>
        <v>NO</v>
      </c>
      <c r="K69" s="6" t="str">
        <f>IF(J69="YES",'CASE DATA'!K69,"N/A")</f>
        <v>N/A</v>
      </c>
      <c r="L69" s="6" t="str">
        <f>IF(J69="YES", SUM('CASE DATA'!I69:J69)+SUM('CASE DATA'!L69:R69),"N/A")</f>
        <v>N/A</v>
      </c>
      <c r="M69" s="21">
        <f t="shared" si="10"/>
        <v>0</v>
      </c>
    </row>
    <row r="70" spans="1:13" x14ac:dyDescent="0.25">
      <c r="A70" s="162">
        <f xml:space="preserve"> 'CASE DATA'!A70</f>
        <v>0</v>
      </c>
      <c r="B70" s="162">
        <f xml:space="preserve"> 'CASE DATA'!B70</f>
        <v>0</v>
      </c>
      <c r="C70" s="163">
        <f xml:space="preserve"> 'CASE DATA'!C70</f>
        <v>0</v>
      </c>
      <c r="D70" s="162">
        <f xml:space="preserve"> 'CASE DATA'!E70</f>
        <v>0</v>
      </c>
      <c r="E70" s="162">
        <f xml:space="preserve"> 'CASE DATA'!F70</f>
        <v>0</v>
      </c>
      <c r="F70" s="138">
        <f xml:space="preserve"> 'CASE DATA'!G70</f>
        <v>0</v>
      </c>
      <c r="G70" s="6" t="str">
        <f>IF(AND(F70="YES", OR(E70="GTR",E70="GPL",E70="DEF",E70="JUV")), 'CASE DATA'!K70, "N/A")</f>
        <v>N/A</v>
      </c>
      <c r="H70" s="6" t="str">
        <f>IF(AND(F70="YES", OR(E70="GTR",E70="GPL",E70="DEF",E70="JUV")), (SUM('CASE DATA'!I70:J70)+SUM('CASE DATA'!L70:R70)), "N/A")</f>
        <v>N/A</v>
      </c>
      <c r="I70" s="21" t="str">
        <f t="shared" si="6"/>
        <v>N/A</v>
      </c>
      <c r="J70" s="6" t="str">
        <f t="shared" si="9"/>
        <v>NO</v>
      </c>
      <c r="K70" s="6" t="str">
        <f>IF(J70="YES",'CASE DATA'!K70,"N/A")</f>
        <v>N/A</v>
      </c>
      <c r="L70" s="6" t="str">
        <f>IF(J70="YES", SUM('CASE DATA'!I70:J70)+SUM('CASE DATA'!L70:R70),"N/A")</f>
        <v>N/A</v>
      </c>
      <c r="M70" s="21">
        <f t="shared" si="10"/>
        <v>0</v>
      </c>
    </row>
    <row r="71" spans="1:13" x14ac:dyDescent="0.25">
      <c r="A71" s="162">
        <f xml:space="preserve"> 'CASE DATA'!A71</f>
        <v>0</v>
      </c>
      <c r="B71" s="162">
        <f xml:space="preserve"> 'CASE DATA'!B71</f>
        <v>0</v>
      </c>
      <c r="C71" s="163">
        <f xml:space="preserve"> 'CASE DATA'!C71</f>
        <v>0</v>
      </c>
      <c r="D71" s="162">
        <f xml:space="preserve"> 'CASE DATA'!E71</f>
        <v>0</v>
      </c>
      <c r="E71" s="162">
        <f xml:space="preserve"> 'CASE DATA'!F71</f>
        <v>0</v>
      </c>
      <c r="F71" s="138">
        <f xml:space="preserve"> 'CASE DATA'!G71</f>
        <v>0</v>
      </c>
      <c r="G71" s="6" t="str">
        <f>IF(AND(F71="YES", OR(E71="GTR",E71="GPL",E71="DEF",E71="JUV")), 'CASE DATA'!K71, "N/A")</f>
        <v>N/A</v>
      </c>
      <c r="H71" s="6" t="str">
        <f>IF(AND(F71="YES", OR(E71="GTR",E71="GPL",E71="DEF",E71="JUV")), (SUM('CASE DATA'!I71:J71)+SUM('CASE DATA'!L71:R71)), "N/A")</f>
        <v>N/A</v>
      </c>
      <c r="I71" s="21" t="str">
        <f t="shared" ref="I71:I100" si="11">IF(AND(F71="YES", OR(E71="GTR",E71="GPL",E71="DEF",E71="JUV")),G71+H71, "N/A")</f>
        <v>N/A</v>
      </c>
      <c r="J71" s="6" t="str">
        <f t="shared" si="9"/>
        <v>NO</v>
      </c>
      <c r="K71" s="6" t="str">
        <f>IF(J71="YES",'CASE DATA'!K71,"N/A")</f>
        <v>N/A</v>
      </c>
      <c r="L71" s="6" t="str">
        <f>IF(J71="YES", SUM('CASE DATA'!I71:J71)+SUM('CASE DATA'!L71:R71),"N/A")</f>
        <v>N/A</v>
      </c>
      <c r="M71" s="21">
        <f t="shared" si="10"/>
        <v>0</v>
      </c>
    </row>
    <row r="72" spans="1:13" x14ac:dyDescent="0.25">
      <c r="A72" s="162">
        <f xml:space="preserve"> 'CASE DATA'!A72</f>
        <v>0</v>
      </c>
      <c r="B72" s="162">
        <f xml:space="preserve"> 'CASE DATA'!B72</f>
        <v>0</v>
      </c>
      <c r="C72" s="163">
        <f xml:space="preserve"> 'CASE DATA'!C72</f>
        <v>0</v>
      </c>
      <c r="D72" s="162">
        <f xml:space="preserve"> 'CASE DATA'!E72</f>
        <v>0</v>
      </c>
      <c r="E72" s="162">
        <f xml:space="preserve"> 'CASE DATA'!F72</f>
        <v>0</v>
      </c>
      <c r="F72" s="138">
        <f xml:space="preserve"> 'CASE DATA'!G72</f>
        <v>0</v>
      </c>
      <c r="G72" s="6" t="str">
        <f>IF(AND(F72="YES", OR(E72="GTR",E72="GPL",E72="DEF",E72="JUV")), 'CASE DATA'!K72, "N/A")</f>
        <v>N/A</v>
      </c>
      <c r="H72" s="6" t="str">
        <f>IF(AND(F72="YES", OR(E72="GTR",E72="GPL",E72="DEF",E72="JUV")), (SUM('CASE DATA'!I72:J72)+SUM('CASE DATA'!L72:R72)), "N/A")</f>
        <v>N/A</v>
      </c>
      <c r="I72" s="21" t="str">
        <f t="shared" si="11"/>
        <v>N/A</v>
      </c>
      <c r="J72" s="6" t="str">
        <f t="shared" si="9"/>
        <v>NO</v>
      </c>
      <c r="K72" s="6" t="str">
        <f>IF(J72="YES",'CASE DATA'!K72,"N/A")</f>
        <v>N/A</v>
      </c>
      <c r="L72" s="6" t="str">
        <f>IF(J72="YES", SUM('CASE DATA'!I72:J72)+SUM('CASE DATA'!L72:R72),"N/A")</f>
        <v>N/A</v>
      </c>
      <c r="M72" s="21">
        <f t="shared" si="10"/>
        <v>0</v>
      </c>
    </row>
    <row r="73" spans="1:13" x14ac:dyDescent="0.25">
      <c r="A73" s="162">
        <f xml:space="preserve"> 'CASE DATA'!A73</f>
        <v>0</v>
      </c>
      <c r="B73" s="162">
        <f xml:space="preserve"> 'CASE DATA'!B73</f>
        <v>0</v>
      </c>
      <c r="C73" s="163">
        <f xml:space="preserve"> 'CASE DATA'!C73</f>
        <v>0</v>
      </c>
      <c r="D73" s="162">
        <f xml:space="preserve"> 'CASE DATA'!E73</f>
        <v>0</v>
      </c>
      <c r="E73" s="162">
        <f xml:space="preserve"> 'CASE DATA'!F73</f>
        <v>0</v>
      </c>
      <c r="F73" s="138">
        <f xml:space="preserve"> 'CASE DATA'!G73</f>
        <v>0</v>
      </c>
      <c r="G73" s="6" t="str">
        <f>IF(AND(F73="YES", OR(E73="GTR",E73="GPL",E73="DEF",E73="JUV")), 'CASE DATA'!K73, "N/A")</f>
        <v>N/A</v>
      </c>
      <c r="H73" s="6" t="str">
        <f>IF(AND(F73="YES", OR(E73="GTR",E73="GPL",E73="DEF",E73="JUV")), (SUM('CASE DATA'!I73:J73)+SUM('CASE DATA'!L73:R73)), "N/A")</f>
        <v>N/A</v>
      </c>
      <c r="I73" s="21" t="str">
        <f t="shared" si="11"/>
        <v>N/A</v>
      </c>
      <c r="J73" s="6" t="str">
        <f t="shared" si="9"/>
        <v>NO</v>
      </c>
      <c r="K73" s="6" t="str">
        <f>IF(J73="YES",'CASE DATA'!K73,"N/A")</f>
        <v>N/A</v>
      </c>
      <c r="L73" s="6" t="str">
        <f>IF(J73="YES", SUM('CASE DATA'!I73:J73)+SUM('CASE DATA'!L73:R73),"N/A")</f>
        <v>N/A</v>
      </c>
      <c r="M73" s="21">
        <f t="shared" si="10"/>
        <v>0</v>
      </c>
    </row>
    <row r="74" spans="1:13" x14ac:dyDescent="0.25">
      <c r="A74" s="162">
        <f xml:space="preserve"> 'CASE DATA'!A74</f>
        <v>0</v>
      </c>
      <c r="B74" s="162">
        <f xml:space="preserve"> 'CASE DATA'!B74</f>
        <v>0</v>
      </c>
      <c r="C74" s="163">
        <f xml:space="preserve"> 'CASE DATA'!C74</f>
        <v>0</v>
      </c>
      <c r="D74" s="162">
        <f xml:space="preserve"> 'CASE DATA'!E74</f>
        <v>0</v>
      </c>
      <c r="E74" s="162">
        <f xml:space="preserve"> 'CASE DATA'!F74</f>
        <v>0</v>
      </c>
      <c r="F74" s="138">
        <f xml:space="preserve"> 'CASE DATA'!G74</f>
        <v>0</v>
      </c>
      <c r="G74" s="6" t="str">
        <f>IF(AND(F74="YES", OR(E74="GTR",E74="GPL",E74="DEF",E74="JUV")), 'CASE DATA'!K74, "N/A")</f>
        <v>N/A</v>
      </c>
      <c r="H74" s="6" t="str">
        <f>IF(AND(F74="YES", OR(E74="GTR",E74="GPL",E74="DEF",E74="JUV")), (SUM('CASE DATA'!I74:J74)+SUM('CASE DATA'!L74:R74)), "N/A")</f>
        <v>N/A</v>
      </c>
      <c r="I74" s="21" t="str">
        <f t="shared" si="11"/>
        <v>N/A</v>
      </c>
      <c r="J74" s="6" t="str">
        <f t="shared" si="9"/>
        <v>NO</v>
      </c>
      <c r="K74" s="6" t="str">
        <f>IF(J74="YES",'CASE DATA'!K74,"N/A")</f>
        <v>N/A</v>
      </c>
      <c r="L74" s="6" t="str">
        <f>IF(J74="YES", SUM('CASE DATA'!I74:J74)+SUM('CASE DATA'!L74:R74),"N/A")</f>
        <v>N/A</v>
      </c>
      <c r="M74" s="21">
        <f t="shared" si="10"/>
        <v>0</v>
      </c>
    </row>
    <row r="75" spans="1:13" x14ac:dyDescent="0.25">
      <c r="A75" s="162">
        <f xml:space="preserve"> 'CASE DATA'!A75</f>
        <v>0</v>
      </c>
      <c r="B75" s="162">
        <f xml:space="preserve"> 'CASE DATA'!B75</f>
        <v>0</v>
      </c>
      <c r="C75" s="163">
        <f xml:space="preserve"> 'CASE DATA'!C75</f>
        <v>0</v>
      </c>
      <c r="D75" s="162">
        <f xml:space="preserve"> 'CASE DATA'!E75</f>
        <v>0</v>
      </c>
      <c r="E75" s="162">
        <f xml:space="preserve"> 'CASE DATA'!F75</f>
        <v>0</v>
      </c>
      <c r="F75" s="138">
        <f xml:space="preserve"> 'CASE DATA'!G75</f>
        <v>0</v>
      </c>
      <c r="G75" s="6" t="str">
        <f>IF(AND(F75="YES", OR(E75="GTR",E75="GPL",E75="DEF",E75="JUV")), 'CASE DATA'!K75, "N/A")</f>
        <v>N/A</v>
      </c>
      <c r="H75" s="6" t="str">
        <f>IF(AND(F75="YES", OR(E75="GTR",E75="GPL",E75="DEF",E75="JUV")), (SUM('CASE DATA'!I75:J75)+SUM('CASE DATA'!L75:R75)), "N/A")</f>
        <v>N/A</v>
      </c>
      <c r="I75" s="21" t="str">
        <f t="shared" si="11"/>
        <v>N/A</v>
      </c>
      <c r="J75" s="6" t="str">
        <f t="shared" si="9"/>
        <v>NO</v>
      </c>
      <c r="K75" s="6" t="str">
        <f>IF(J75="YES",'CASE DATA'!K75,"N/A")</f>
        <v>N/A</v>
      </c>
      <c r="L75" s="6" t="str">
        <f>IF(J75="YES", SUM('CASE DATA'!I75:J75)+SUM('CASE DATA'!L75:R75),"N/A")</f>
        <v>N/A</v>
      </c>
      <c r="M75" s="21">
        <f t="shared" si="10"/>
        <v>0</v>
      </c>
    </row>
    <row r="76" spans="1:13" x14ac:dyDescent="0.25">
      <c r="A76" s="162">
        <f xml:space="preserve"> 'CASE DATA'!A76</f>
        <v>0</v>
      </c>
      <c r="B76" s="162">
        <f xml:space="preserve"> 'CASE DATA'!B76</f>
        <v>0</v>
      </c>
      <c r="C76" s="163">
        <f xml:space="preserve"> 'CASE DATA'!C76</f>
        <v>0</v>
      </c>
      <c r="D76" s="162">
        <f xml:space="preserve"> 'CASE DATA'!E76</f>
        <v>0</v>
      </c>
      <c r="E76" s="162">
        <f xml:space="preserve"> 'CASE DATA'!F76</f>
        <v>0</v>
      </c>
      <c r="F76" s="138">
        <f xml:space="preserve"> 'CASE DATA'!G76</f>
        <v>0</v>
      </c>
      <c r="G76" s="6" t="str">
        <f>IF(AND(F76="YES", OR(E76="GTR",E76="GPL",E76="DEF",E76="JUV")), 'CASE DATA'!K76, "N/A")</f>
        <v>N/A</v>
      </c>
      <c r="H76" s="6" t="str">
        <f>IF(AND(F76="YES", OR(E76="GTR",E76="GPL",E76="DEF",E76="JUV")), (SUM('CASE DATA'!I76:J76)+SUM('CASE DATA'!L76:R76)), "N/A")</f>
        <v>N/A</v>
      </c>
      <c r="I76" s="21" t="str">
        <f t="shared" si="11"/>
        <v>N/A</v>
      </c>
      <c r="J76" s="6" t="str">
        <f t="shared" si="9"/>
        <v>NO</v>
      </c>
      <c r="K76" s="6" t="str">
        <f>IF(J76="YES",'CASE DATA'!K76,"N/A")</f>
        <v>N/A</v>
      </c>
      <c r="L76" s="6" t="str">
        <f>IF(J76="YES", SUM('CASE DATA'!I76:J76)+SUM('CASE DATA'!L76:R76),"N/A")</f>
        <v>N/A</v>
      </c>
      <c r="M76" s="21">
        <f t="shared" si="10"/>
        <v>0</v>
      </c>
    </row>
    <row r="77" spans="1:13" x14ac:dyDescent="0.25">
      <c r="A77" s="162">
        <f xml:space="preserve"> 'CASE DATA'!A77</f>
        <v>0</v>
      </c>
      <c r="B77" s="162">
        <f xml:space="preserve"> 'CASE DATA'!B77</f>
        <v>0</v>
      </c>
      <c r="C77" s="163">
        <f xml:space="preserve"> 'CASE DATA'!C77</f>
        <v>0</v>
      </c>
      <c r="D77" s="162">
        <f xml:space="preserve"> 'CASE DATA'!E77</f>
        <v>0</v>
      </c>
      <c r="E77" s="162">
        <f xml:space="preserve"> 'CASE DATA'!F77</f>
        <v>0</v>
      </c>
      <c r="F77" s="138">
        <f xml:space="preserve"> 'CASE DATA'!G77</f>
        <v>0</v>
      </c>
      <c r="G77" s="6" t="str">
        <f>IF(AND(F77="YES", OR(E77="GTR",E77="GPL",E77="DEF",E77="JUV")), 'CASE DATA'!K77, "N/A")</f>
        <v>N/A</v>
      </c>
      <c r="H77" s="6" t="str">
        <f>IF(AND(F77="YES", OR(E77="GTR",E77="GPL",E77="DEF",E77="JUV")), (SUM('CASE DATA'!I77:J77)+SUM('CASE DATA'!L77:R77)), "N/A")</f>
        <v>N/A</v>
      </c>
      <c r="I77" s="21" t="str">
        <f t="shared" si="11"/>
        <v>N/A</v>
      </c>
      <c r="J77" s="6" t="str">
        <f t="shared" si="9"/>
        <v>NO</v>
      </c>
      <c r="K77" s="6" t="str">
        <f>IF(J77="YES",'CASE DATA'!K77,"N/A")</f>
        <v>N/A</v>
      </c>
      <c r="L77" s="6" t="str">
        <f>IF(J77="YES", SUM('CASE DATA'!I77:J77)+SUM('CASE DATA'!L77:R77),"N/A")</f>
        <v>N/A</v>
      </c>
      <c r="M77" s="21">
        <f t="shared" si="10"/>
        <v>0</v>
      </c>
    </row>
    <row r="78" spans="1:13" x14ac:dyDescent="0.25">
      <c r="A78" s="162">
        <f xml:space="preserve"> 'CASE DATA'!A78</f>
        <v>0</v>
      </c>
      <c r="B78" s="162">
        <f xml:space="preserve"> 'CASE DATA'!B78</f>
        <v>0</v>
      </c>
      <c r="C78" s="163">
        <f xml:space="preserve"> 'CASE DATA'!C78</f>
        <v>0</v>
      </c>
      <c r="D78" s="162">
        <f xml:space="preserve"> 'CASE DATA'!E78</f>
        <v>0</v>
      </c>
      <c r="E78" s="162">
        <f xml:space="preserve"> 'CASE DATA'!F78</f>
        <v>0</v>
      </c>
      <c r="F78" s="138">
        <f xml:space="preserve"> 'CASE DATA'!G78</f>
        <v>0</v>
      </c>
      <c r="G78" s="6" t="str">
        <f>IF(AND(F78="YES", OR(E78="GTR",E78="GPL",E78="DEF",E78="JUV")), 'CASE DATA'!K78, "N/A")</f>
        <v>N/A</v>
      </c>
      <c r="H78" s="6" t="str">
        <f>IF(AND(F78="YES", OR(E78="GTR",E78="GPL",E78="DEF",E78="JUV")), (SUM('CASE DATA'!I78:J78)+SUM('CASE DATA'!L78:R78)), "N/A")</f>
        <v>N/A</v>
      </c>
      <c r="I78" s="21" t="str">
        <f t="shared" si="11"/>
        <v>N/A</v>
      </c>
      <c r="J78" s="6" t="str">
        <f t="shared" si="9"/>
        <v>NO</v>
      </c>
      <c r="K78" s="6" t="str">
        <f>IF(J78="YES",'CASE DATA'!K78,"N/A")</f>
        <v>N/A</v>
      </c>
      <c r="L78" s="6" t="str">
        <f>IF(J78="YES", SUM('CASE DATA'!I78:J78)+SUM('CASE DATA'!L78:R78),"N/A")</f>
        <v>N/A</v>
      </c>
      <c r="M78" s="21">
        <f t="shared" si="10"/>
        <v>0</v>
      </c>
    </row>
    <row r="79" spans="1:13" x14ac:dyDescent="0.25">
      <c r="A79" s="162">
        <f xml:space="preserve"> 'CASE DATA'!A79</f>
        <v>0</v>
      </c>
      <c r="B79" s="162">
        <f xml:space="preserve"> 'CASE DATA'!B79</f>
        <v>0</v>
      </c>
      <c r="C79" s="163">
        <f xml:space="preserve"> 'CASE DATA'!C79</f>
        <v>0</v>
      </c>
      <c r="D79" s="162">
        <f xml:space="preserve"> 'CASE DATA'!E79</f>
        <v>0</v>
      </c>
      <c r="E79" s="162">
        <f xml:space="preserve"> 'CASE DATA'!F79</f>
        <v>0</v>
      </c>
      <c r="F79" s="138">
        <f xml:space="preserve"> 'CASE DATA'!G79</f>
        <v>0</v>
      </c>
      <c r="G79" s="6" t="str">
        <f>IF(AND(F79="YES", OR(E79="GTR",E79="GPL",E79="DEF",E79="JUV")), 'CASE DATA'!K79, "N/A")</f>
        <v>N/A</v>
      </c>
      <c r="H79" s="6" t="str">
        <f>IF(AND(F79="YES", OR(E79="GTR",E79="GPL",E79="DEF",E79="JUV")), (SUM('CASE DATA'!I79:J79)+SUM('CASE DATA'!L79:R79)), "N/A")</f>
        <v>N/A</v>
      </c>
      <c r="I79" s="21" t="str">
        <f t="shared" si="11"/>
        <v>N/A</v>
      </c>
      <c r="J79" s="6" t="str">
        <f t="shared" si="9"/>
        <v>NO</v>
      </c>
      <c r="K79" s="6" t="str">
        <f>IF(J79="YES",'CASE DATA'!K79,"N/A")</f>
        <v>N/A</v>
      </c>
      <c r="L79" s="6" t="str">
        <f>IF(J79="YES", SUM('CASE DATA'!I79:J79)+SUM('CASE DATA'!L79:R79),"N/A")</f>
        <v>N/A</v>
      </c>
      <c r="M79" s="21">
        <f t="shared" si="10"/>
        <v>0</v>
      </c>
    </row>
    <row r="80" spans="1:13" x14ac:dyDescent="0.25">
      <c r="A80" s="162">
        <f xml:space="preserve"> 'CASE DATA'!A80</f>
        <v>0</v>
      </c>
      <c r="B80" s="162">
        <f xml:space="preserve"> 'CASE DATA'!B80</f>
        <v>0</v>
      </c>
      <c r="C80" s="163">
        <f xml:space="preserve"> 'CASE DATA'!C80</f>
        <v>0</v>
      </c>
      <c r="D80" s="162">
        <f xml:space="preserve"> 'CASE DATA'!E80</f>
        <v>0</v>
      </c>
      <c r="E80" s="162">
        <f xml:space="preserve"> 'CASE DATA'!F80</f>
        <v>0</v>
      </c>
      <c r="F80" s="138">
        <f xml:space="preserve"> 'CASE DATA'!G80</f>
        <v>0</v>
      </c>
      <c r="G80" s="6" t="str">
        <f>IF(AND(F80="YES", OR(E80="GTR",E80="GPL",E80="DEF",E80="JUV")), 'CASE DATA'!K80, "N/A")</f>
        <v>N/A</v>
      </c>
      <c r="H80" s="6" t="str">
        <f>IF(AND(F80="YES", OR(E80="GTR",E80="GPL",E80="DEF",E80="JUV")), (SUM('CASE DATA'!I80:J80)+SUM('CASE DATA'!L80:R80)), "N/A")</f>
        <v>N/A</v>
      </c>
      <c r="I80" s="21" t="str">
        <f t="shared" si="11"/>
        <v>N/A</v>
      </c>
      <c r="J80" s="6" t="str">
        <f t="shared" si="9"/>
        <v>NO</v>
      </c>
      <c r="K80" s="6" t="str">
        <f>IF(J80="YES",'CASE DATA'!K80,"N/A")</f>
        <v>N/A</v>
      </c>
      <c r="L80" s="6" t="str">
        <f>IF(J80="YES", SUM('CASE DATA'!I80:J80)+SUM('CASE DATA'!L80:R80),"N/A")</f>
        <v>N/A</v>
      </c>
      <c r="M80" s="21">
        <f t="shared" si="10"/>
        <v>0</v>
      </c>
    </row>
    <row r="81" spans="1:13" x14ac:dyDescent="0.25">
      <c r="A81" s="162">
        <f xml:space="preserve"> 'CASE DATA'!A81</f>
        <v>0</v>
      </c>
      <c r="B81" s="162">
        <f xml:space="preserve"> 'CASE DATA'!B81</f>
        <v>0</v>
      </c>
      <c r="C81" s="163">
        <f xml:space="preserve"> 'CASE DATA'!C81</f>
        <v>0</v>
      </c>
      <c r="D81" s="162">
        <f xml:space="preserve"> 'CASE DATA'!E81</f>
        <v>0</v>
      </c>
      <c r="E81" s="162">
        <f xml:space="preserve"> 'CASE DATA'!F81</f>
        <v>0</v>
      </c>
      <c r="F81" s="138">
        <f xml:space="preserve"> 'CASE DATA'!G81</f>
        <v>0</v>
      </c>
      <c r="G81" s="6" t="str">
        <f>IF(AND(F81="YES", OR(E81="GTR",E81="GPL",E81="DEF",E81="JUV")), 'CASE DATA'!K81, "N/A")</f>
        <v>N/A</v>
      </c>
      <c r="H81" s="6" t="str">
        <f>IF(AND(F81="YES", OR(E81="GTR",E81="GPL",E81="DEF",E81="JUV")), (SUM('CASE DATA'!I81:J81)+SUM('CASE DATA'!L81:R81)), "N/A")</f>
        <v>N/A</v>
      </c>
      <c r="I81" s="21" t="str">
        <f t="shared" si="11"/>
        <v>N/A</v>
      </c>
      <c r="J81" s="6" t="str">
        <f t="shared" si="9"/>
        <v>NO</v>
      </c>
      <c r="K81" s="6" t="str">
        <f>IF(J81="YES",'CASE DATA'!K81,"N/A")</f>
        <v>N/A</v>
      </c>
      <c r="L81" s="6" t="str">
        <f>IF(J81="YES", SUM('CASE DATA'!I81:J81)+SUM('CASE DATA'!L81:R81),"N/A")</f>
        <v>N/A</v>
      </c>
      <c r="M81" s="21">
        <f t="shared" si="10"/>
        <v>0</v>
      </c>
    </row>
    <row r="82" spans="1:13" x14ac:dyDescent="0.25">
      <c r="A82" s="162">
        <f xml:space="preserve"> 'CASE DATA'!A82</f>
        <v>0</v>
      </c>
      <c r="B82" s="162">
        <f xml:space="preserve"> 'CASE DATA'!B82</f>
        <v>0</v>
      </c>
      <c r="C82" s="163">
        <f xml:space="preserve"> 'CASE DATA'!C82</f>
        <v>0</v>
      </c>
      <c r="D82" s="162">
        <f xml:space="preserve"> 'CASE DATA'!E82</f>
        <v>0</v>
      </c>
      <c r="E82" s="162">
        <f xml:space="preserve"> 'CASE DATA'!F82</f>
        <v>0</v>
      </c>
      <c r="F82" s="138">
        <f xml:space="preserve"> 'CASE DATA'!G82</f>
        <v>0</v>
      </c>
      <c r="G82" s="6" t="str">
        <f>IF(AND(F82="YES", OR(E82="GTR",E82="GPL",E82="DEF",E82="JUV")), 'CASE DATA'!K82, "N/A")</f>
        <v>N/A</v>
      </c>
      <c r="H82" s="6" t="str">
        <f>IF(AND(F82="YES", OR(E82="GTR",E82="GPL",E82="DEF",E82="JUV")), (SUM('CASE DATA'!I82:J82)+SUM('CASE DATA'!L82:R82)), "N/A")</f>
        <v>N/A</v>
      </c>
      <c r="I82" s="21" t="str">
        <f t="shared" si="11"/>
        <v>N/A</v>
      </c>
      <c r="J82" s="6" t="str">
        <f t="shared" si="9"/>
        <v>NO</v>
      </c>
      <c r="K82" s="6" t="str">
        <f>IF(J82="YES",'CASE DATA'!K82,"N/A")</f>
        <v>N/A</v>
      </c>
      <c r="L82" s="6" t="str">
        <f>IF(J82="YES", SUM('CASE DATA'!I82:J82)+SUM('CASE DATA'!L82:R82),"N/A")</f>
        <v>N/A</v>
      </c>
      <c r="M82" s="21">
        <f t="shared" si="10"/>
        <v>0</v>
      </c>
    </row>
    <row r="83" spans="1:13" x14ac:dyDescent="0.25">
      <c r="A83" s="162">
        <f xml:space="preserve"> 'CASE DATA'!A83</f>
        <v>0</v>
      </c>
      <c r="B83" s="162">
        <f xml:space="preserve"> 'CASE DATA'!B83</f>
        <v>0</v>
      </c>
      <c r="C83" s="163">
        <f xml:space="preserve"> 'CASE DATA'!C83</f>
        <v>0</v>
      </c>
      <c r="D83" s="162">
        <f xml:space="preserve"> 'CASE DATA'!E83</f>
        <v>0</v>
      </c>
      <c r="E83" s="162">
        <f xml:space="preserve"> 'CASE DATA'!F83</f>
        <v>0</v>
      </c>
      <c r="F83" s="138">
        <f xml:space="preserve"> 'CASE DATA'!G83</f>
        <v>0</v>
      </c>
      <c r="G83" s="6" t="str">
        <f>IF(AND(F83="YES", OR(E83="GTR",E83="GPL",E83="DEF",E83="JUV")), 'CASE DATA'!K83, "N/A")</f>
        <v>N/A</v>
      </c>
      <c r="H83" s="6" t="str">
        <f>IF(AND(F83="YES", OR(E83="GTR",E83="GPL",E83="DEF",E83="JUV")), (SUM('CASE DATA'!I83:J83)+SUM('CASE DATA'!L83:R83)), "N/A")</f>
        <v>N/A</v>
      </c>
      <c r="I83" s="21" t="str">
        <f t="shared" si="11"/>
        <v>N/A</v>
      </c>
      <c r="J83" s="6" t="str">
        <f t="shared" si="9"/>
        <v>NO</v>
      </c>
      <c r="K83" s="6" t="str">
        <f>IF(J83="YES",'CASE DATA'!K83,"N/A")</f>
        <v>N/A</v>
      </c>
      <c r="L83" s="6" t="str">
        <f>IF(J83="YES", SUM('CASE DATA'!I83:J83)+SUM('CASE DATA'!L83:R83),"N/A")</f>
        <v>N/A</v>
      </c>
      <c r="M83" s="21">
        <f t="shared" si="10"/>
        <v>0</v>
      </c>
    </row>
    <row r="84" spans="1:13" x14ac:dyDescent="0.25">
      <c r="A84" s="162">
        <f xml:space="preserve"> 'CASE DATA'!A84</f>
        <v>0</v>
      </c>
      <c r="B84" s="162">
        <f xml:space="preserve"> 'CASE DATA'!B84</f>
        <v>0</v>
      </c>
      <c r="C84" s="163">
        <f xml:space="preserve"> 'CASE DATA'!C84</f>
        <v>0</v>
      </c>
      <c r="D84" s="162">
        <f xml:space="preserve"> 'CASE DATA'!E84</f>
        <v>0</v>
      </c>
      <c r="E84" s="162">
        <f xml:space="preserve"> 'CASE DATA'!F84</f>
        <v>0</v>
      </c>
      <c r="F84" s="138">
        <f xml:space="preserve"> 'CASE DATA'!G84</f>
        <v>0</v>
      </c>
      <c r="G84" s="6" t="str">
        <f>IF(AND(F84="YES", OR(E84="GTR",E84="GPL",E84="DEF",E84="JUV")), 'CASE DATA'!K84, "N/A")</f>
        <v>N/A</v>
      </c>
      <c r="H84" s="6" t="str">
        <f>IF(AND(F84="YES", OR(E84="GTR",E84="GPL",E84="DEF",E84="JUV")), (SUM('CASE DATA'!I84:J84)+SUM('CASE DATA'!L84:R84)), "N/A")</f>
        <v>N/A</v>
      </c>
      <c r="I84" s="21" t="str">
        <f t="shared" si="11"/>
        <v>N/A</v>
      </c>
      <c r="J84" s="6" t="str">
        <f t="shared" si="9"/>
        <v>NO</v>
      </c>
      <c r="K84" s="6" t="str">
        <f>IF(J84="YES",'CASE DATA'!K84,"N/A")</f>
        <v>N/A</v>
      </c>
      <c r="L84" s="6" t="str">
        <f>IF(J84="YES", SUM('CASE DATA'!I84:J84)+SUM('CASE DATA'!L84:R84),"N/A")</f>
        <v>N/A</v>
      </c>
      <c r="M84" s="21">
        <f t="shared" si="10"/>
        <v>0</v>
      </c>
    </row>
    <row r="85" spans="1:13" x14ac:dyDescent="0.25">
      <c r="A85" s="162">
        <f xml:space="preserve"> 'CASE DATA'!A85</f>
        <v>0</v>
      </c>
      <c r="B85" s="162">
        <f xml:space="preserve"> 'CASE DATA'!B85</f>
        <v>0</v>
      </c>
      <c r="C85" s="163">
        <f xml:space="preserve"> 'CASE DATA'!C85</f>
        <v>0</v>
      </c>
      <c r="D85" s="162">
        <f xml:space="preserve"> 'CASE DATA'!E85</f>
        <v>0</v>
      </c>
      <c r="E85" s="162">
        <f xml:space="preserve"> 'CASE DATA'!F85</f>
        <v>0</v>
      </c>
      <c r="F85" s="138">
        <f xml:space="preserve"> 'CASE DATA'!G85</f>
        <v>0</v>
      </c>
      <c r="G85" s="6" t="str">
        <f>IF(AND(F85="YES", OR(E85="GTR",E85="GPL",E85="DEF",E85="JUV")), 'CASE DATA'!K85, "N/A")</f>
        <v>N/A</v>
      </c>
      <c r="H85" s="6" t="str">
        <f>IF(AND(F85="YES", OR(E85="GTR",E85="GPL",E85="DEF",E85="JUV")), (SUM('CASE DATA'!I85:J85)+SUM('CASE DATA'!L85:R85)), "N/A")</f>
        <v>N/A</v>
      </c>
      <c r="I85" s="21" t="str">
        <f t="shared" si="11"/>
        <v>N/A</v>
      </c>
      <c r="J85" s="6" t="str">
        <f t="shared" si="9"/>
        <v>NO</v>
      </c>
      <c r="K85" s="6" t="str">
        <f>IF(J85="YES",'CASE DATA'!K85,"N/A")</f>
        <v>N/A</v>
      </c>
      <c r="L85" s="6" t="str">
        <f>IF(J85="YES", SUM('CASE DATA'!I85:J85)+SUM('CASE DATA'!L85:R85),"N/A")</f>
        <v>N/A</v>
      </c>
      <c r="M85" s="21">
        <f t="shared" si="10"/>
        <v>0</v>
      </c>
    </row>
    <row r="86" spans="1:13" x14ac:dyDescent="0.25">
      <c r="A86" s="162">
        <f xml:space="preserve"> 'CASE DATA'!A86</f>
        <v>0</v>
      </c>
      <c r="B86" s="162">
        <f xml:space="preserve"> 'CASE DATA'!B86</f>
        <v>0</v>
      </c>
      <c r="C86" s="163">
        <f xml:space="preserve"> 'CASE DATA'!C86</f>
        <v>0</v>
      </c>
      <c r="D86" s="162">
        <f xml:space="preserve"> 'CASE DATA'!E86</f>
        <v>0</v>
      </c>
      <c r="E86" s="162">
        <f xml:space="preserve"> 'CASE DATA'!F86</f>
        <v>0</v>
      </c>
      <c r="F86" s="138">
        <f xml:space="preserve"> 'CASE DATA'!G86</f>
        <v>0</v>
      </c>
      <c r="G86" s="6" t="str">
        <f>IF(AND(F86="YES", OR(E86="GTR",E86="GPL",E86="DEF",E86="JUV")), 'CASE DATA'!K86, "N/A")</f>
        <v>N/A</v>
      </c>
      <c r="H86" s="6" t="str">
        <f>IF(AND(F86="YES", OR(E86="GTR",E86="GPL",E86="DEF",E86="JUV")), (SUM('CASE DATA'!I86:J86)+SUM('CASE DATA'!L86:R86)), "N/A")</f>
        <v>N/A</v>
      </c>
      <c r="I86" s="21" t="str">
        <f t="shared" si="11"/>
        <v>N/A</v>
      </c>
      <c r="J86" s="6" t="str">
        <f t="shared" si="9"/>
        <v>NO</v>
      </c>
      <c r="K86" s="6" t="str">
        <f>IF(J86="YES",'CASE DATA'!K86,"N/A")</f>
        <v>N/A</v>
      </c>
      <c r="L86" s="6" t="str">
        <f>IF(J86="YES", SUM('CASE DATA'!I86:J86)+SUM('CASE DATA'!L86:R86),"N/A")</f>
        <v>N/A</v>
      </c>
      <c r="M86" s="21">
        <f t="shared" si="10"/>
        <v>0</v>
      </c>
    </row>
    <row r="87" spans="1:13" x14ac:dyDescent="0.25">
      <c r="A87" s="162">
        <f xml:space="preserve"> 'CASE DATA'!A87</f>
        <v>0</v>
      </c>
      <c r="B87" s="162">
        <f xml:space="preserve"> 'CASE DATA'!B87</f>
        <v>0</v>
      </c>
      <c r="C87" s="163">
        <f xml:space="preserve"> 'CASE DATA'!C87</f>
        <v>0</v>
      </c>
      <c r="D87" s="162">
        <f xml:space="preserve"> 'CASE DATA'!E87</f>
        <v>0</v>
      </c>
      <c r="E87" s="162">
        <f xml:space="preserve"> 'CASE DATA'!F87</f>
        <v>0</v>
      </c>
      <c r="F87" s="138">
        <f xml:space="preserve"> 'CASE DATA'!G87</f>
        <v>0</v>
      </c>
      <c r="G87" s="6" t="str">
        <f>IF(AND(F87="YES", OR(E87="GTR",E87="GPL",E87="DEF",E87="JUV")), 'CASE DATA'!K87, "N/A")</f>
        <v>N/A</v>
      </c>
      <c r="H87" s="6" t="str">
        <f>IF(AND(F87="YES", OR(E87="GTR",E87="GPL",E87="DEF",E87="JUV")), (SUM('CASE DATA'!I87:J87)+SUM('CASE DATA'!L87:R87)), "N/A")</f>
        <v>N/A</v>
      </c>
      <c r="I87" s="21" t="str">
        <f t="shared" si="11"/>
        <v>N/A</v>
      </c>
      <c r="J87" s="6" t="str">
        <f t="shared" si="9"/>
        <v>NO</v>
      </c>
      <c r="K87" s="6" t="str">
        <f>IF(J87="YES",'CASE DATA'!K87,"N/A")</f>
        <v>N/A</v>
      </c>
      <c r="L87" s="6" t="str">
        <f>IF(J87="YES", SUM('CASE DATA'!I87:J87)+SUM('CASE DATA'!L87:R87),"N/A")</f>
        <v>N/A</v>
      </c>
      <c r="M87" s="21">
        <f t="shared" si="10"/>
        <v>0</v>
      </c>
    </row>
    <row r="88" spans="1:13" x14ac:dyDescent="0.25">
      <c r="A88" s="162">
        <f xml:space="preserve"> 'CASE DATA'!A88</f>
        <v>0</v>
      </c>
      <c r="B88" s="162">
        <f xml:space="preserve"> 'CASE DATA'!B88</f>
        <v>0</v>
      </c>
      <c r="C88" s="163">
        <f xml:space="preserve"> 'CASE DATA'!C88</f>
        <v>0</v>
      </c>
      <c r="D88" s="162">
        <f xml:space="preserve"> 'CASE DATA'!E88</f>
        <v>0</v>
      </c>
      <c r="E88" s="162">
        <f xml:space="preserve"> 'CASE DATA'!F88</f>
        <v>0</v>
      </c>
      <c r="F88" s="138">
        <f xml:space="preserve"> 'CASE DATA'!G88</f>
        <v>0</v>
      </c>
      <c r="G88" s="6" t="str">
        <f>IF(AND(F88="YES", OR(E88="GTR",E88="GPL",E88="DEF",E88="JUV")), 'CASE DATA'!K88, "N/A")</f>
        <v>N/A</v>
      </c>
      <c r="H88" s="6" t="str">
        <f>IF(AND(F88="YES", OR(E88="GTR",E88="GPL",E88="DEF",E88="JUV")), (SUM('CASE DATA'!I88:J88)+SUM('CASE DATA'!L88:R88)), "N/A")</f>
        <v>N/A</v>
      </c>
      <c r="I88" s="21" t="str">
        <f t="shared" si="11"/>
        <v>N/A</v>
      </c>
      <c r="J88" s="6" t="str">
        <f t="shared" si="9"/>
        <v>NO</v>
      </c>
      <c r="K88" s="6" t="str">
        <f>IF(J88="YES",'CASE DATA'!K88,"N/A")</f>
        <v>N/A</v>
      </c>
      <c r="L88" s="6" t="str">
        <f>IF(J88="YES", SUM('CASE DATA'!I88:J88)+SUM('CASE DATA'!L88:R88),"N/A")</f>
        <v>N/A</v>
      </c>
      <c r="M88" s="21">
        <f t="shared" si="10"/>
        <v>0</v>
      </c>
    </row>
    <row r="89" spans="1:13" x14ac:dyDescent="0.25">
      <c r="A89" s="162">
        <f xml:space="preserve"> 'CASE DATA'!A89</f>
        <v>0</v>
      </c>
      <c r="B89" s="162">
        <f xml:space="preserve"> 'CASE DATA'!B89</f>
        <v>0</v>
      </c>
      <c r="C89" s="163">
        <f xml:space="preserve"> 'CASE DATA'!C89</f>
        <v>0</v>
      </c>
      <c r="D89" s="162">
        <f xml:space="preserve"> 'CASE DATA'!E89</f>
        <v>0</v>
      </c>
      <c r="E89" s="162">
        <f xml:space="preserve"> 'CASE DATA'!F89</f>
        <v>0</v>
      </c>
      <c r="F89" s="138">
        <f xml:space="preserve"> 'CASE DATA'!G89</f>
        <v>0</v>
      </c>
      <c r="G89" s="6" t="str">
        <f>IF(AND(F89="YES", OR(E89="GTR",E89="GPL",E89="DEF",E89="JUV")), 'CASE DATA'!K89, "N/A")</f>
        <v>N/A</v>
      </c>
      <c r="H89" s="6" t="str">
        <f>IF(AND(F89="YES", OR(E89="GTR",E89="GPL",E89="DEF",E89="JUV")), (SUM('CASE DATA'!I89:J89)+SUM('CASE DATA'!L89:R89)), "N/A")</f>
        <v>N/A</v>
      </c>
      <c r="I89" s="21" t="str">
        <f t="shared" si="11"/>
        <v>N/A</v>
      </c>
      <c r="J89" s="6" t="str">
        <f t="shared" si="9"/>
        <v>NO</v>
      </c>
      <c r="K89" s="6" t="str">
        <f>IF(J89="YES",'CASE DATA'!K89,"N/A")</f>
        <v>N/A</v>
      </c>
      <c r="L89" s="6" t="str">
        <f>IF(J89="YES", SUM('CASE DATA'!I89:J89)+SUM('CASE DATA'!L89:R89),"N/A")</f>
        <v>N/A</v>
      </c>
      <c r="M89" s="21">
        <f t="shared" si="10"/>
        <v>0</v>
      </c>
    </row>
    <row r="90" spans="1:13" x14ac:dyDescent="0.25">
      <c r="A90" s="162">
        <f xml:space="preserve"> 'CASE DATA'!A90</f>
        <v>0</v>
      </c>
      <c r="B90" s="162">
        <f xml:space="preserve"> 'CASE DATA'!B90</f>
        <v>0</v>
      </c>
      <c r="C90" s="163">
        <f xml:space="preserve"> 'CASE DATA'!C90</f>
        <v>0</v>
      </c>
      <c r="D90" s="162">
        <f xml:space="preserve"> 'CASE DATA'!E90</f>
        <v>0</v>
      </c>
      <c r="E90" s="162">
        <f xml:space="preserve"> 'CASE DATA'!F90</f>
        <v>0</v>
      </c>
      <c r="F90" s="138">
        <f xml:space="preserve"> 'CASE DATA'!G90</f>
        <v>0</v>
      </c>
      <c r="G90" s="6" t="str">
        <f>IF(AND(F90="YES", OR(E90="GTR",E90="GPL",E90="DEF",E90="JUV")), 'CASE DATA'!K90, "N/A")</f>
        <v>N/A</v>
      </c>
      <c r="H90" s="6" t="str">
        <f>IF(AND(F90="YES", OR(E90="GTR",E90="GPL",E90="DEF",E90="JUV")), (SUM('CASE DATA'!I90:J90)+SUM('CASE DATA'!L90:R90)), "N/A")</f>
        <v>N/A</v>
      </c>
      <c r="I90" s="21" t="str">
        <f t="shared" si="11"/>
        <v>N/A</v>
      </c>
      <c r="J90" s="6" t="str">
        <f t="shared" si="9"/>
        <v>NO</v>
      </c>
      <c r="K90" s="6" t="str">
        <f>IF(J90="YES",'CASE DATA'!K90,"N/A")</f>
        <v>N/A</v>
      </c>
      <c r="L90" s="6" t="str">
        <f>IF(J90="YES", SUM('CASE DATA'!I90:J90)+SUM('CASE DATA'!L90:R90),"N/A")</f>
        <v>N/A</v>
      </c>
      <c r="M90" s="21">
        <f t="shared" si="10"/>
        <v>0</v>
      </c>
    </row>
    <row r="91" spans="1:13" x14ac:dyDescent="0.25">
      <c r="A91" s="162">
        <f xml:space="preserve"> 'CASE DATA'!A91</f>
        <v>0</v>
      </c>
      <c r="B91" s="162">
        <f xml:space="preserve"> 'CASE DATA'!B91</f>
        <v>0</v>
      </c>
      <c r="C91" s="163">
        <f xml:space="preserve"> 'CASE DATA'!C91</f>
        <v>0</v>
      </c>
      <c r="D91" s="162">
        <f xml:space="preserve"> 'CASE DATA'!E91</f>
        <v>0</v>
      </c>
      <c r="E91" s="162">
        <f xml:space="preserve"> 'CASE DATA'!F91</f>
        <v>0</v>
      </c>
      <c r="F91" s="138">
        <f xml:space="preserve"> 'CASE DATA'!G91</f>
        <v>0</v>
      </c>
      <c r="G91" s="6" t="str">
        <f>IF(AND(F91="YES", OR(E91="GTR",E91="GPL",E91="DEF",E91="JUV")), 'CASE DATA'!K91, "N/A")</f>
        <v>N/A</v>
      </c>
      <c r="H91" s="6" t="str">
        <f>IF(AND(F91="YES", OR(E91="GTR",E91="GPL",E91="DEF",E91="JUV")), (SUM('CASE DATA'!I91:J91)+SUM('CASE DATA'!L91:R91)), "N/A")</f>
        <v>N/A</v>
      </c>
      <c r="I91" s="21" t="str">
        <f t="shared" si="11"/>
        <v>N/A</v>
      </c>
      <c r="J91" s="6" t="str">
        <f t="shared" si="9"/>
        <v>NO</v>
      </c>
      <c r="K91" s="6" t="str">
        <f>IF(J91="YES",'CASE DATA'!K91,"N/A")</f>
        <v>N/A</v>
      </c>
      <c r="L91" s="6" t="str">
        <f>IF(J91="YES", SUM('CASE DATA'!I91:J91)+SUM('CASE DATA'!L91:R91),"N/A")</f>
        <v>N/A</v>
      </c>
      <c r="M91" s="21">
        <f t="shared" si="10"/>
        <v>0</v>
      </c>
    </row>
    <row r="92" spans="1:13" x14ac:dyDescent="0.25">
      <c r="A92" s="162">
        <f xml:space="preserve"> 'CASE DATA'!A92</f>
        <v>0</v>
      </c>
      <c r="B92" s="162">
        <f xml:space="preserve"> 'CASE DATA'!B92</f>
        <v>0</v>
      </c>
      <c r="C92" s="163">
        <f xml:space="preserve"> 'CASE DATA'!C92</f>
        <v>0</v>
      </c>
      <c r="D92" s="162">
        <f xml:space="preserve"> 'CASE DATA'!E92</f>
        <v>0</v>
      </c>
      <c r="E92" s="162">
        <f xml:space="preserve"> 'CASE DATA'!F92</f>
        <v>0</v>
      </c>
      <c r="F92" s="138">
        <f xml:space="preserve"> 'CASE DATA'!G92</f>
        <v>0</v>
      </c>
      <c r="G92" s="6" t="str">
        <f>IF(AND(F92="YES", OR(E92="GTR",E92="GPL",E92="DEF",E92="JUV")), 'CASE DATA'!K92, "N/A")</f>
        <v>N/A</v>
      </c>
      <c r="H92" s="6" t="str">
        <f>IF(AND(F92="YES", OR(E92="GTR",E92="GPL",E92="DEF",E92="JUV")), (SUM('CASE DATA'!I92:J92)+SUM('CASE DATA'!L92:R92)), "N/A")</f>
        <v>N/A</v>
      </c>
      <c r="I92" s="21" t="str">
        <f t="shared" si="11"/>
        <v>N/A</v>
      </c>
      <c r="J92" s="6" t="str">
        <f t="shared" si="9"/>
        <v>NO</v>
      </c>
      <c r="K92" s="6" t="str">
        <f>IF(J92="YES",'CASE DATA'!K92,"N/A")</f>
        <v>N/A</v>
      </c>
      <c r="L92" s="6" t="str">
        <f>IF(J92="YES", SUM('CASE DATA'!I92:J92)+SUM('CASE DATA'!L92:R92),"N/A")</f>
        <v>N/A</v>
      </c>
      <c r="M92" s="21">
        <f t="shared" si="10"/>
        <v>0</v>
      </c>
    </row>
    <row r="93" spans="1:13" x14ac:dyDescent="0.25">
      <c r="A93" s="162">
        <f xml:space="preserve"> 'CASE DATA'!A93</f>
        <v>0</v>
      </c>
      <c r="B93" s="162">
        <f xml:space="preserve"> 'CASE DATA'!B93</f>
        <v>0</v>
      </c>
      <c r="C93" s="163">
        <f xml:space="preserve"> 'CASE DATA'!C93</f>
        <v>0</v>
      </c>
      <c r="D93" s="162">
        <f xml:space="preserve"> 'CASE DATA'!E93</f>
        <v>0</v>
      </c>
      <c r="E93" s="162">
        <f xml:space="preserve"> 'CASE DATA'!F93</f>
        <v>0</v>
      </c>
      <c r="F93" s="138">
        <f xml:space="preserve"> 'CASE DATA'!G93</f>
        <v>0</v>
      </c>
      <c r="G93" s="6" t="str">
        <f>IF(AND(F93="YES", OR(E93="GTR",E93="GPL",E93="DEF",E93="JUV")), 'CASE DATA'!K93, "N/A")</f>
        <v>N/A</v>
      </c>
      <c r="H93" s="6" t="str">
        <f>IF(AND(F93="YES", OR(E93="GTR",E93="GPL",E93="DEF",E93="JUV")), (SUM('CASE DATA'!I93:J93)+SUM('CASE DATA'!L93:R93)), "N/A")</f>
        <v>N/A</v>
      </c>
      <c r="I93" s="21" t="str">
        <f t="shared" si="11"/>
        <v>N/A</v>
      </c>
      <c r="J93" s="6" t="str">
        <f t="shared" si="9"/>
        <v>NO</v>
      </c>
      <c r="K93" s="6" t="str">
        <f>IF(J93="YES",'CASE DATA'!K93,"N/A")</f>
        <v>N/A</v>
      </c>
      <c r="L93" s="6" t="str">
        <f>IF(J93="YES", SUM('CASE DATA'!I93:J93)+SUM('CASE DATA'!L93:R93),"N/A")</f>
        <v>N/A</v>
      </c>
      <c r="M93" s="21">
        <f t="shared" si="10"/>
        <v>0</v>
      </c>
    </row>
    <row r="94" spans="1:13" x14ac:dyDescent="0.25">
      <c r="A94" s="162">
        <f xml:space="preserve"> 'CASE DATA'!A94</f>
        <v>0</v>
      </c>
      <c r="B94" s="162">
        <f xml:space="preserve"> 'CASE DATA'!B94</f>
        <v>0</v>
      </c>
      <c r="C94" s="163">
        <f xml:space="preserve"> 'CASE DATA'!C94</f>
        <v>0</v>
      </c>
      <c r="D94" s="162">
        <f xml:space="preserve"> 'CASE DATA'!E94</f>
        <v>0</v>
      </c>
      <c r="E94" s="162">
        <f xml:space="preserve"> 'CASE DATA'!F94</f>
        <v>0</v>
      </c>
      <c r="F94" s="138">
        <f xml:space="preserve"> 'CASE DATA'!G94</f>
        <v>0</v>
      </c>
      <c r="G94" s="6" t="str">
        <f>IF(AND(F94="YES", OR(E94="GTR",E94="GPL",E94="DEF",E94="JUV")), 'CASE DATA'!K94, "N/A")</f>
        <v>N/A</v>
      </c>
      <c r="H94" s="6" t="str">
        <f>IF(AND(F94="YES", OR(E94="GTR",E94="GPL",E94="DEF",E94="JUV")), (SUM('CASE DATA'!I94:J94)+SUM('CASE DATA'!L94:R94)), "N/A")</f>
        <v>N/A</v>
      </c>
      <c r="I94" s="21" t="str">
        <f t="shared" si="11"/>
        <v>N/A</v>
      </c>
      <c r="J94" s="6" t="str">
        <f t="shared" si="9"/>
        <v>NO</v>
      </c>
      <c r="K94" s="6" t="str">
        <f>IF(J94="YES",'CASE DATA'!K94,"N/A")</f>
        <v>N/A</v>
      </c>
      <c r="L94" s="6" t="str">
        <f>IF(J94="YES", SUM('CASE DATA'!I94:J94)+SUM('CASE DATA'!L94:R94),"N/A")</f>
        <v>N/A</v>
      </c>
      <c r="M94" s="21">
        <f t="shared" si="10"/>
        <v>0</v>
      </c>
    </row>
    <row r="95" spans="1:13" x14ac:dyDescent="0.25">
      <c r="A95" s="162">
        <f xml:space="preserve"> 'CASE DATA'!A95</f>
        <v>0</v>
      </c>
      <c r="B95" s="162">
        <f xml:space="preserve"> 'CASE DATA'!B95</f>
        <v>0</v>
      </c>
      <c r="C95" s="163">
        <f xml:space="preserve"> 'CASE DATA'!C95</f>
        <v>0</v>
      </c>
      <c r="D95" s="162">
        <f xml:space="preserve"> 'CASE DATA'!E95</f>
        <v>0</v>
      </c>
      <c r="E95" s="162">
        <f xml:space="preserve"> 'CASE DATA'!F95</f>
        <v>0</v>
      </c>
      <c r="F95" s="138">
        <f xml:space="preserve"> 'CASE DATA'!G95</f>
        <v>0</v>
      </c>
      <c r="G95" s="6" t="str">
        <f>IF(AND(F95="YES", OR(E95="GTR",E95="GPL",E95="DEF",E95="JUV")), 'CASE DATA'!K95, "N/A")</f>
        <v>N/A</v>
      </c>
      <c r="H95" s="6" t="str">
        <f>IF(AND(F95="YES", OR(E95="GTR",E95="GPL",E95="DEF",E95="JUV")), (SUM('CASE DATA'!I95:J95)+SUM('CASE DATA'!L95:R95)), "N/A")</f>
        <v>N/A</v>
      </c>
      <c r="I95" s="21" t="str">
        <f t="shared" si="11"/>
        <v>N/A</v>
      </c>
      <c r="J95" s="6" t="str">
        <f t="shared" si="9"/>
        <v>NO</v>
      </c>
      <c r="K95" s="6" t="str">
        <f>IF(J95="YES",'CASE DATA'!K95,"N/A")</f>
        <v>N/A</v>
      </c>
      <c r="L95" s="6" t="str">
        <f>IF(J95="YES", SUM('CASE DATA'!I95:J95)+SUM('CASE DATA'!L95:R95),"N/A")</f>
        <v>N/A</v>
      </c>
      <c r="M95" s="21">
        <f t="shared" si="10"/>
        <v>0</v>
      </c>
    </row>
    <row r="96" spans="1:13" x14ac:dyDescent="0.25">
      <c r="A96" s="162">
        <f xml:space="preserve"> 'CASE DATA'!A96</f>
        <v>0</v>
      </c>
      <c r="B96" s="162">
        <f xml:space="preserve"> 'CASE DATA'!B96</f>
        <v>0</v>
      </c>
      <c r="C96" s="163">
        <f xml:space="preserve"> 'CASE DATA'!C96</f>
        <v>0</v>
      </c>
      <c r="D96" s="162">
        <f xml:space="preserve"> 'CASE DATA'!E96</f>
        <v>0</v>
      </c>
      <c r="E96" s="162">
        <f xml:space="preserve"> 'CASE DATA'!F96</f>
        <v>0</v>
      </c>
      <c r="F96" s="138">
        <f xml:space="preserve"> 'CASE DATA'!G96</f>
        <v>0</v>
      </c>
      <c r="G96" s="6" t="str">
        <f>IF(AND(F96="YES", OR(E96="GTR",E96="GPL",E96="DEF",E96="JUV")), 'CASE DATA'!K96, "N/A")</f>
        <v>N/A</v>
      </c>
      <c r="H96" s="6" t="str">
        <f>IF(AND(F96="YES", OR(E96="GTR",E96="GPL",E96="DEF",E96="JUV")), (SUM('CASE DATA'!I96:J96)+SUM('CASE DATA'!L96:R96)), "N/A")</f>
        <v>N/A</v>
      </c>
      <c r="I96" s="21" t="str">
        <f t="shared" si="11"/>
        <v>N/A</v>
      </c>
      <c r="J96" s="6" t="str">
        <f t="shared" si="9"/>
        <v>NO</v>
      </c>
      <c r="K96" s="6" t="str">
        <f>IF(J96="YES",'CASE DATA'!K96,"N/A")</f>
        <v>N/A</v>
      </c>
      <c r="L96" s="6" t="str">
        <f>IF(J96="YES", SUM('CASE DATA'!I96:J96)+SUM('CASE DATA'!L96:R96),"N/A")</f>
        <v>N/A</v>
      </c>
      <c r="M96" s="21">
        <f t="shared" si="10"/>
        <v>0</v>
      </c>
    </row>
    <row r="97" spans="1:13" x14ac:dyDescent="0.25">
      <c r="A97" s="162">
        <f xml:space="preserve"> 'CASE DATA'!A97</f>
        <v>0</v>
      </c>
      <c r="B97" s="162">
        <f xml:space="preserve"> 'CASE DATA'!B97</f>
        <v>0</v>
      </c>
      <c r="C97" s="163">
        <f xml:space="preserve"> 'CASE DATA'!C97</f>
        <v>0</v>
      </c>
      <c r="D97" s="162">
        <f xml:space="preserve"> 'CASE DATA'!E97</f>
        <v>0</v>
      </c>
      <c r="E97" s="162">
        <f xml:space="preserve"> 'CASE DATA'!F97</f>
        <v>0</v>
      </c>
      <c r="F97" s="138">
        <f xml:space="preserve"> 'CASE DATA'!G97</f>
        <v>0</v>
      </c>
      <c r="G97" s="6" t="str">
        <f>IF(AND(F97="YES", OR(E97="GTR",E97="GPL",E97="DEF",E97="JUV")), 'CASE DATA'!K97, "N/A")</f>
        <v>N/A</v>
      </c>
      <c r="H97" s="6" t="str">
        <f>IF(AND(F97="YES", OR(E97="GTR",E97="GPL",E97="DEF",E97="JUV")), (SUM('CASE DATA'!I97:J97)+SUM('CASE DATA'!L97:R97)), "N/A")</f>
        <v>N/A</v>
      </c>
      <c r="I97" s="21" t="str">
        <f t="shared" si="11"/>
        <v>N/A</v>
      </c>
      <c r="J97" s="6" t="str">
        <f t="shared" si="9"/>
        <v>NO</v>
      </c>
      <c r="K97" s="6" t="str">
        <f>IF(J97="YES",'CASE DATA'!K97,"N/A")</f>
        <v>N/A</v>
      </c>
      <c r="L97" s="6" t="str">
        <f>IF(J97="YES", SUM('CASE DATA'!I97:J97)+SUM('CASE DATA'!L97:R97),"N/A")</f>
        <v>N/A</v>
      </c>
      <c r="M97" s="21">
        <f t="shared" si="10"/>
        <v>0</v>
      </c>
    </row>
    <row r="98" spans="1:13" x14ac:dyDescent="0.25">
      <c r="A98" s="162">
        <f xml:space="preserve"> 'CASE DATA'!A98</f>
        <v>0</v>
      </c>
      <c r="B98" s="162">
        <f xml:space="preserve"> 'CASE DATA'!B98</f>
        <v>0</v>
      </c>
      <c r="C98" s="163">
        <f xml:space="preserve"> 'CASE DATA'!C98</f>
        <v>0</v>
      </c>
      <c r="D98" s="162">
        <f xml:space="preserve"> 'CASE DATA'!E98</f>
        <v>0</v>
      </c>
      <c r="E98" s="162">
        <f xml:space="preserve"> 'CASE DATA'!F98</f>
        <v>0</v>
      </c>
      <c r="F98" s="138">
        <f xml:space="preserve"> 'CASE DATA'!G98</f>
        <v>0</v>
      </c>
      <c r="G98" s="6" t="str">
        <f>IF(AND(F98="YES", OR(E98="GTR",E98="GPL",E98="DEF",E98="JUV")), 'CASE DATA'!K98, "N/A")</f>
        <v>N/A</v>
      </c>
      <c r="H98" s="6" t="str">
        <f>IF(AND(F98="YES", OR(E98="GTR",E98="GPL",E98="DEF",E98="JUV")), (SUM('CASE DATA'!I98:J98)+SUM('CASE DATA'!L98:R98)), "N/A")</f>
        <v>N/A</v>
      </c>
      <c r="I98" s="21" t="str">
        <f t="shared" si="11"/>
        <v>N/A</v>
      </c>
      <c r="J98" s="6" t="str">
        <f t="shared" si="9"/>
        <v>NO</v>
      </c>
      <c r="K98" s="6" t="str">
        <f>IF(J98="YES",'CASE DATA'!K98,"N/A")</f>
        <v>N/A</v>
      </c>
      <c r="L98" s="6" t="str">
        <f>IF(J98="YES", SUM('CASE DATA'!I98:J98)+SUM('CASE DATA'!L98:R98),"N/A")</f>
        <v>N/A</v>
      </c>
      <c r="M98" s="21">
        <f t="shared" si="10"/>
        <v>0</v>
      </c>
    </row>
    <row r="99" spans="1:13" x14ac:dyDescent="0.25">
      <c r="A99" s="162">
        <f xml:space="preserve"> 'CASE DATA'!A99</f>
        <v>0</v>
      </c>
      <c r="B99" s="162">
        <f xml:space="preserve"> 'CASE DATA'!B99</f>
        <v>0</v>
      </c>
      <c r="C99" s="163">
        <f xml:space="preserve"> 'CASE DATA'!C99</f>
        <v>0</v>
      </c>
      <c r="D99" s="162">
        <f xml:space="preserve"> 'CASE DATA'!E99</f>
        <v>0</v>
      </c>
      <c r="E99" s="162">
        <f xml:space="preserve"> 'CASE DATA'!F99</f>
        <v>0</v>
      </c>
      <c r="F99" s="138">
        <f xml:space="preserve"> 'CASE DATA'!G99</f>
        <v>0</v>
      </c>
      <c r="G99" s="6" t="str">
        <f>IF(AND(F99="YES", OR(E99="GTR",E99="GPL",E99="DEF",E99="JUV")), 'CASE DATA'!K99, "N/A")</f>
        <v>N/A</v>
      </c>
      <c r="H99" s="6" t="str">
        <f>IF(AND(F99="YES", OR(E99="GTR",E99="GPL",E99="DEF",E99="JUV")), (SUM('CASE DATA'!I99:J99)+SUM('CASE DATA'!L99:R99)), "N/A")</f>
        <v>N/A</v>
      </c>
      <c r="I99" s="21" t="str">
        <f t="shared" si="11"/>
        <v>N/A</v>
      </c>
      <c r="J99" s="6" t="str">
        <f t="shared" si="9"/>
        <v>NO</v>
      </c>
      <c r="K99" s="6" t="str">
        <f>IF(J99="YES",'CASE DATA'!K99,"N/A")</f>
        <v>N/A</v>
      </c>
      <c r="L99" s="6" t="str">
        <f>IF(J99="YES", SUM('CASE DATA'!I99:J99)+SUM('CASE DATA'!L99:R99),"N/A")</f>
        <v>N/A</v>
      </c>
      <c r="M99" s="21">
        <f t="shared" si="10"/>
        <v>0</v>
      </c>
    </row>
    <row r="100" spans="1:13" x14ac:dyDescent="0.25">
      <c r="A100" s="162">
        <f xml:space="preserve"> 'CASE DATA'!A100</f>
        <v>0</v>
      </c>
      <c r="B100" s="162">
        <f xml:space="preserve"> 'CASE DATA'!B100</f>
        <v>0</v>
      </c>
      <c r="C100" s="163">
        <f xml:space="preserve"> 'CASE DATA'!C100</f>
        <v>0</v>
      </c>
      <c r="D100" s="162">
        <f xml:space="preserve"> 'CASE DATA'!E100</f>
        <v>0</v>
      </c>
      <c r="E100" s="162">
        <f xml:space="preserve"> 'CASE DATA'!F100</f>
        <v>0</v>
      </c>
      <c r="F100" s="138">
        <f xml:space="preserve"> 'CASE DATA'!G100</f>
        <v>0</v>
      </c>
      <c r="G100" s="6" t="str">
        <f>IF(AND(F100="YES", OR(E100="GTR",E100="GPL",E100="DEF",E100="JUV")), 'CASE DATA'!K100, "N/A")</f>
        <v>N/A</v>
      </c>
      <c r="H100" s="6" t="str">
        <f>IF(AND(F100="YES", OR(E100="GTR",E100="GPL",E100="DEF",E100="JUV")), (SUM('CASE DATA'!I100:J100)+SUM('CASE DATA'!L100:R100)), "N/A")</f>
        <v>N/A</v>
      </c>
      <c r="I100" s="21" t="str">
        <f t="shared" si="11"/>
        <v>N/A</v>
      </c>
      <c r="J100" s="6" t="str">
        <f t="shared" si="9"/>
        <v>NO</v>
      </c>
      <c r="K100" s="6" t="str">
        <f>IF(J100="YES",'CASE DATA'!K100,"N/A")</f>
        <v>N/A</v>
      </c>
      <c r="L100" s="6" t="str">
        <f>IF(J100="YES", SUM('CASE DATA'!I100:J100)+SUM('CASE DATA'!L100:R100),"N/A")</f>
        <v>N/A</v>
      </c>
      <c r="M100" s="21">
        <f t="shared" si="10"/>
        <v>0</v>
      </c>
    </row>
    <row r="101" spans="1:13" x14ac:dyDescent="0.25">
      <c r="A101" s="162">
        <f xml:space="preserve"> 'CASE DATA'!A101</f>
        <v>0</v>
      </c>
      <c r="B101" s="162">
        <f xml:space="preserve"> 'CASE DATA'!B101</f>
        <v>0</v>
      </c>
      <c r="C101" s="163">
        <f xml:space="preserve"> 'CASE DATA'!C101</f>
        <v>0</v>
      </c>
      <c r="D101" s="162">
        <f xml:space="preserve"> 'CASE DATA'!E101</f>
        <v>0</v>
      </c>
      <c r="E101" s="162">
        <f xml:space="preserve"> 'CASE DATA'!F101</f>
        <v>0</v>
      </c>
      <c r="F101" s="138">
        <f xml:space="preserve"> 'CASE DATA'!G101</f>
        <v>0</v>
      </c>
      <c r="G101" s="6" t="str">
        <f>IF(AND(F101="YES", OR(E101="GTR",E101="GPL",E101="DEF",E101="JUV")), 'CASE DATA'!K101, "N/A")</f>
        <v>N/A</v>
      </c>
      <c r="H101" s="6" t="str">
        <f>IF(AND(F101="YES", OR(E101="GTR",E101="GPL",E101="DEF",E101="JUV")), (SUM('CASE DATA'!I101:J101)+SUM('CASE DATA'!L101:R101)), "N/A")</f>
        <v>N/A</v>
      </c>
      <c r="I101" s="21" t="str">
        <f t="shared" ref="I101:I164" si="12">IF(AND(F101="YES", OR(E101="GTR",E101="GPL",E101="DEF",E101="JUV")),G101+H101, "N/A")</f>
        <v>N/A</v>
      </c>
      <c r="J101" s="6" t="str">
        <f t="shared" ref="J101:J164" si="13" xml:space="preserve"> IF(OR(E101="GTR", E101="GPL", E101="DEF"), "YES", "NO")</f>
        <v>NO</v>
      </c>
      <c r="K101" s="6" t="str">
        <f>IF(J101="YES",'CASE DATA'!K101,"N/A")</f>
        <v>N/A</v>
      </c>
      <c r="L101" s="6" t="str">
        <f>IF(J101="YES", SUM('CASE DATA'!I101:J101)+SUM('CASE DATA'!L101:R101),"N/A")</f>
        <v>N/A</v>
      </c>
      <c r="M101" s="21">
        <f t="shared" ref="M101:M164" si="14">IF(AND(J101="YES"), K101+L101, 0)</f>
        <v>0</v>
      </c>
    </row>
    <row r="102" spans="1:13" x14ac:dyDescent="0.25">
      <c r="A102" s="162">
        <f xml:space="preserve"> 'CASE DATA'!A102</f>
        <v>0</v>
      </c>
      <c r="B102" s="162">
        <f xml:space="preserve"> 'CASE DATA'!B102</f>
        <v>0</v>
      </c>
      <c r="C102" s="163">
        <f xml:space="preserve"> 'CASE DATA'!C102</f>
        <v>0</v>
      </c>
      <c r="D102" s="162">
        <f xml:space="preserve"> 'CASE DATA'!E102</f>
        <v>0</v>
      </c>
      <c r="E102" s="162">
        <f xml:space="preserve"> 'CASE DATA'!F102</f>
        <v>0</v>
      </c>
      <c r="F102" s="138">
        <f xml:space="preserve"> 'CASE DATA'!G102</f>
        <v>0</v>
      </c>
      <c r="G102" s="6" t="str">
        <f>IF(AND(F102="YES", OR(E102="GTR",E102="GPL",E102="DEF",E102="JUV")), 'CASE DATA'!K102, "N/A")</f>
        <v>N/A</v>
      </c>
      <c r="H102" s="6" t="str">
        <f>IF(AND(F102="YES", OR(E102="GTR",E102="GPL",E102="DEF",E102="JUV")), (SUM('CASE DATA'!I102:J102)+SUM('CASE DATA'!L102:R102)), "N/A")</f>
        <v>N/A</v>
      </c>
      <c r="I102" s="21" t="str">
        <f t="shared" si="12"/>
        <v>N/A</v>
      </c>
      <c r="J102" s="6" t="str">
        <f t="shared" si="13"/>
        <v>NO</v>
      </c>
      <c r="K102" s="6" t="str">
        <f>IF(J102="YES",'CASE DATA'!K102,"N/A")</f>
        <v>N/A</v>
      </c>
      <c r="L102" s="6" t="str">
        <f>IF(J102="YES", SUM('CASE DATA'!I102:J102)+SUM('CASE DATA'!L102:R102),"N/A")</f>
        <v>N/A</v>
      </c>
      <c r="M102" s="21">
        <f t="shared" si="14"/>
        <v>0</v>
      </c>
    </row>
    <row r="103" spans="1:13" x14ac:dyDescent="0.25">
      <c r="A103" s="162">
        <f xml:space="preserve"> 'CASE DATA'!A103</f>
        <v>0</v>
      </c>
      <c r="B103" s="162">
        <f xml:space="preserve"> 'CASE DATA'!B103</f>
        <v>0</v>
      </c>
      <c r="C103" s="163">
        <f xml:space="preserve"> 'CASE DATA'!C103</f>
        <v>0</v>
      </c>
      <c r="D103" s="162">
        <f xml:space="preserve"> 'CASE DATA'!E103</f>
        <v>0</v>
      </c>
      <c r="E103" s="162">
        <f xml:space="preserve"> 'CASE DATA'!F103</f>
        <v>0</v>
      </c>
      <c r="F103" s="138">
        <f xml:space="preserve"> 'CASE DATA'!G103</f>
        <v>0</v>
      </c>
      <c r="G103" s="6" t="str">
        <f>IF(AND(F103="YES", OR(E103="GTR",E103="GPL",E103="DEF",E103="JUV")), 'CASE DATA'!K103, "N/A")</f>
        <v>N/A</v>
      </c>
      <c r="H103" s="6" t="str">
        <f>IF(AND(F103="YES", OR(E103="GTR",E103="GPL",E103="DEF",E103="JUV")), (SUM('CASE DATA'!I103:J103)+SUM('CASE DATA'!L103:R103)), "N/A")</f>
        <v>N/A</v>
      </c>
      <c r="I103" s="21" t="str">
        <f t="shared" si="12"/>
        <v>N/A</v>
      </c>
      <c r="J103" s="6" t="str">
        <f t="shared" si="13"/>
        <v>NO</v>
      </c>
      <c r="K103" s="6" t="str">
        <f>IF(J103="YES",'CASE DATA'!K103,"N/A")</f>
        <v>N/A</v>
      </c>
      <c r="L103" s="6" t="str">
        <f>IF(J103="YES", SUM('CASE DATA'!I103:J103)+SUM('CASE DATA'!L103:R103),"N/A")</f>
        <v>N/A</v>
      </c>
      <c r="M103" s="21">
        <f t="shared" si="14"/>
        <v>0</v>
      </c>
    </row>
    <row r="104" spans="1:13" x14ac:dyDescent="0.25">
      <c r="A104" s="162">
        <f xml:space="preserve"> 'CASE DATA'!A104</f>
        <v>0</v>
      </c>
      <c r="B104" s="162">
        <f xml:space="preserve"> 'CASE DATA'!B104</f>
        <v>0</v>
      </c>
      <c r="C104" s="163">
        <f xml:space="preserve"> 'CASE DATA'!C104</f>
        <v>0</v>
      </c>
      <c r="D104" s="162">
        <f xml:space="preserve"> 'CASE DATA'!E104</f>
        <v>0</v>
      </c>
      <c r="E104" s="162">
        <f xml:space="preserve"> 'CASE DATA'!F104</f>
        <v>0</v>
      </c>
      <c r="F104" s="138">
        <f xml:space="preserve"> 'CASE DATA'!G104</f>
        <v>0</v>
      </c>
      <c r="G104" s="6" t="str">
        <f>IF(AND(F104="YES", OR(E104="GTR",E104="GPL",E104="DEF",E104="JUV")), 'CASE DATA'!K104, "N/A")</f>
        <v>N/A</v>
      </c>
      <c r="H104" s="6" t="str">
        <f>IF(AND(F104="YES", OR(E104="GTR",E104="GPL",E104="DEF",E104="JUV")), (SUM('CASE DATA'!I104:J104)+SUM('CASE DATA'!L104:R104)), "N/A")</f>
        <v>N/A</v>
      </c>
      <c r="I104" s="21" t="str">
        <f t="shared" si="12"/>
        <v>N/A</v>
      </c>
      <c r="J104" s="6" t="str">
        <f t="shared" si="13"/>
        <v>NO</v>
      </c>
      <c r="K104" s="6" t="str">
        <f>IF(J104="YES",'CASE DATA'!K104,"N/A")</f>
        <v>N/A</v>
      </c>
      <c r="L104" s="6" t="str">
        <f>IF(J104="YES", SUM('CASE DATA'!I104:J104)+SUM('CASE DATA'!L104:R104),"N/A")</f>
        <v>N/A</v>
      </c>
      <c r="M104" s="21">
        <f t="shared" si="14"/>
        <v>0</v>
      </c>
    </row>
    <row r="105" spans="1:13" x14ac:dyDescent="0.25">
      <c r="A105" s="162">
        <f xml:space="preserve"> 'CASE DATA'!A105</f>
        <v>0</v>
      </c>
      <c r="B105" s="162">
        <f xml:space="preserve"> 'CASE DATA'!B105</f>
        <v>0</v>
      </c>
      <c r="C105" s="163">
        <f xml:space="preserve"> 'CASE DATA'!C105</f>
        <v>0</v>
      </c>
      <c r="D105" s="162">
        <f xml:space="preserve"> 'CASE DATA'!E105</f>
        <v>0</v>
      </c>
      <c r="E105" s="162">
        <f xml:space="preserve"> 'CASE DATA'!F105</f>
        <v>0</v>
      </c>
      <c r="F105" s="138">
        <f xml:space="preserve"> 'CASE DATA'!G105</f>
        <v>0</v>
      </c>
      <c r="G105" s="6" t="str">
        <f>IF(AND(F105="YES", OR(E105="GTR",E105="GPL",E105="DEF",E105="JUV")), 'CASE DATA'!K105, "N/A")</f>
        <v>N/A</v>
      </c>
      <c r="H105" s="6" t="str">
        <f>IF(AND(F105="YES", OR(E105="GTR",E105="GPL",E105="DEF",E105="JUV")), (SUM('CASE DATA'!I105:J105)+SUM('CASE DATA'!L105:R105)), "N/A")</f>
        <v>N/A</v>
      </c>
      <c r="I105" s="21" t="str">
        <f t="shared" si="12"/>
        <v>N/A</v>
      </c>
      <c r="J105" s="6" t="str">
        <f t="shared" si="13"/>
        <v>NO</v>
      </c>
      <c r="K105" s="6" t="str">
        <f>IF(J105="YES",'CASE DATA'!K105,"N/A")</f>
        <v>N/A</v>
      </c>
      <c r="L105" s="6" t="str">
        <f>IF(J105="YES", SUM('CASE DATA'!I105:J105)+SUM('CASE DATA'!L105:R105),"N/A")</f>
        <v>N/A</v>
      </c>
      <c r="M105" s="21">
        <f t="shared" si="14"/>
        <v>0</v>
      </c>
    </row>
    <row r="106" spans="1:13" x14ac:dyDescent="0.25">
      <c r="A106" s="162">
        <f xml:space="preserve"> 'CASE DATA'!A106</f>
        <v>0</v>
      </c>
      <c r="B106" s="162">
        <f xml:space="preserve"> 'CASE DATA'!B106</f>
        <v>0</v>
      </c>
      <c r="C106" s="163">
        <f xml:space="preserve"> 'CASE DATA'!C106</f>
        <v>0</v>
      </c>
      <c r="D106" s="162">
        <f xml:space="preserve"> 'CASE DATA'!E106</f>
        <v>0</v>
      </c>
      <c r="E106" s="162">
        <f xml:space="preserve"> 'CASE DATA'!F106</f>
        <v>0</v>
      </c>
      <c r="F106" s="138">
        <f xml:space="preserve"> 'CASE DATA'!G106</f>
        <v>0</v>
      </c>
      <c r="G106" s="6" t="str">
        <f>IF(AND(F106="YES", OR(E106="GTR",E106="GPL",E106="DEF",E106="JUV")), 'CASE DATA'!K106, "N/A")</f>
        <v>N/A</v>
      </c>
      <c r="H106" s="6" t="str">
        <f>IF(AND(F106="YES", OR(E106="GTR",E106="GPL",E106="DEF",E106="JUV")), (SUM('CASE DATA'!I106:J106)+SUM('CASE DATA'!L106:R106)), "N/A")</f>
        <v>N/A</v>
      </c>
      <c r="I106" s="21" t="str">
        <f t="shared" si="12"/>
        <v>N/A</v>
      </c>
      <c r="J106" s="6" t="str">
        <f t="shared" si="13"/>
        <v>NO</v>
      </c>
      <c r="K106" s="6" t="str">
        <f>IF(J106="YES",'CASE DATA'!K106,"N/A")</f>
        <v>N/A</v>
      </c>
      <c r="L106" s="6" t="str">
        <f>IF(J106="YES", SUM('CASE DATA'!I106:J106)+SUM('CASE DATA'!L106:R106),"N/A")</f>
        <v>N/A</v>
      </c>
      <c r="M106" s="21">
        <f t="shared" si="14"/>
        <v>0</v>
      </c>
    </row>
    <row r="107" spans="1:13" x14ac:dyDescent="0.25">
      <c r="A107" s="162">
        <f xml:space="preserve"> 'CASE DATA'!A107</f>
        <v>0</v>
      </c>
      <c r="B107" s="162">
        <f xml:space="preserve"> 'CASE DATA'!B107</f>
        <v>0</v>
      </c>
      <c r="C107" s="163">
        <f xml:space="preserve"> 'CASE DATA'!C107</f>
        <v>0</v>
      </c>
      <c r="D107" s="162">
        <f xml:space="preserve"> 'CASE DATA'!E107</f>
        <v>0</v>
      </c>
      <c r="E107" s="162">
        <f xml:space="preserve"> 'CASE DATA'!F107</f>
        <v>0</v>
      </c>
      <c r="F107" s="138">
        <f xml:space="preserve"> 'CASE DATA'!G107</f>
        <v>0</v>
      </c>
      <c r="G107" s="6" t="str">
        <f>IF(AND(F107="YES", OR(E107="GTR",E107="GPL",E107="DEF",E107="JUV")), 'CASE DATA'!K107, "N/A")</f>
        <v>N/A</v>
      </c>
      <c r="H107" s="6" t="str">
        <f>IF(AND(F107="YES", OR(E107="GTR",E107="GPL",E107="DEF",E107="JUV")), (SUM('CASE DATA'!I107:J107)+SUM('CASE DATA'!L107:R107)), "N/A")</f>
        <v>N/A</v>
      </c>
      <c r="I107" s="21" t="str">
        <f t="shared" si="12"/>
        <v>N/A</v>
      </c>
      <c r="J107" s="6" t="str">
        <f t="shared" si="13"/>
        <v>NO</v>
      </c>
      <c r="K107" s="6" t="str">
        <f>IF(J107="YES",'CASE DATA'!K107,"N/A")</f>
        <v>N/A</v>
      </c>
      <c r="L107" s="6" t="str">
        <f>IF(J107="YES", SUM('CASE DATA'!I107:J107)+SUM('CASE DATA'!L107:R107),"N/A")</f>
        <v>N/A</v>
      </c>
      <c r="M107" s="21">
        <f t="shared" si="14"/>
        <v>0</v>
      </c>
    </row>
    <row r="108" spans="1:13" x14ac:dyDescent="0.25">
      <c r="A108" s="162">
        <f xml:space="preserve"> 'CASE DATA'!A108</f>
        <v>0</v>
      </c>
      <c r="B108" s="162">
        <f xml:space="preserve"> 'CASE DATA'!B108</f>
        <v>0</v>
      </c>
      <c r="C108" s="163">
        <f xml:space="preserve"> 'CASE DATA'!C108</f>
        <v>0</v>
      </c>
      <c r="D108" s="162">
        <f xml:space="preserve"> 'CASE DATA'!E108</f>
        <v>0</v>
      </c>
      <c r="E108" s="162">
        <f xml:space="preserve"> 'CASE DATA'!F108</f>
        <v>0</v>
      </c>
      <c r="F108" s="138">
        <f xml:space="preserve"> 'CASE DATA'!G108</f>
        <v>0</v>
      </c>
      <c r="G108" s="6" t="str">
        <f>IF(AND(F108="YES", OR(E108="GTR",E108="GPL",E108="DEF",E108="JUV")), 'CASE DATA'!K108, "N/A")</f>
        <v>N/A</v>
      </c>
      <c r="H108" s="6" t="str">
        <f>IF(AND(F108="YES", OR(E108="GTR",E108="GPL",E108="DEF",E108="JUV")), (SUM('CASE DATA'!I108:J108)+SUM('CASE DATA'!L108:R108)), "N/A")</f>
        <v>N/A</v>
      </c>
      <c r="I108" s="21" t="str">
        <f t="shared" si="12"/>
        <v>N/A</v>
      </c>
      <c r="J108" s="6" t="str">
        <f t="shared" si="13"/>
        <v>NO</v>
      </c>
      <c r="K108" s="6" t="str">
        <f>IF(J108="YES",'CASE DATA'!K108,"N/A")</f>
        <v>N/A</v>
      </c>
      <c r="L108" s="6" t="str">
        <f>IF(J108="YES", SUM('CASE DATA'!I108:J108)+SUM('CASE DATA'!L108:R108),"N/A")</f>
        <v>N/A</v>
      </c>
      <c r="M108" s="21">
        <f t="shared" si="14"/>
        <v>0</v>
      </c>
    </row>
    <row r="109" spans="1:13" x14ac:dyDescent="0.25">
      <c r="A109" s="162">
        <f xml:space="preserve"> 'CASE DATA'!A109</f>
        <v>0</v>
      </c>
      <c r="B109" s="162">
        <f xml:space="preserve"> 'CASE DATA'!B109</f>
        <v>0</v>
      </c>
      <c r="C109" s="163">
        <f xml:space="preserve"> 'CASE DATA'!C109</f>
        <v>0</v>
      </c>
      <c r="D109" s="162">
        <f xml:space="preserve"> 'CASE DATA'!E109</f>
        <v>0</v>
      </c>
      <c r="E109" s="162">
        <f xml:space="preserve"> 'CASE DATA'!F109</f>
        <v>0</v>
      </c>
      <c r="F109" s="138">
        <f xml:space="preserve"> 'CASE DATA'!G109</f>
        <v>0</v>
      </c>
      <c r="G109" s="6" t="str">
        <f>IF(AND(F109="YES", OR(E109="GTR",E109="GPL",E109="DEF",E109="JUV")), 'CASE DATA'!K109, "N/A")</f>
        <v>N/A</v>
      </c>
      <c r="H109" s="6" t="str">
        <f>IF(AND(F109="YES", OR(E109="GTR",E109="GPL",E109="DEF",E109="JUV")), (SUM('CASE DATA'!I109:J109)+SUM('CASE DATA'!L109:R109)), "N/A")</f>
        <v>N/A</v>
      </c>
      <c r="I109" s="21" t="str">
        <f t="shared" si="12"/>
        <v>N/A</v>
      </c>
      <c r="J109" s="6" t="str">
        <f t="shared" si="13"/>
        <v>NO</v>
      </c>
      <c r="K109" s="6" t="str">
        <f>IF(J109="YES",'CASE DATA'!K109,"N/A")</f>
        <v>N/A</v>
      </c>
      <c r="L109" s="6" t="str">
        <f>IF(J109="YES", SUM('CASE DATA'!I109:J109)+SUM('CASE DATA'!L109:R109),"N/A")</f>
        <v>N/A</v>
      </c>
      <c r="M109" s="21">
        <f t="shared" si="14"/>
        <v>0</v>
      </c>
    </row>
    <row r="110" spans="1:13" x14ac:dyDescent="0.25">
      <c r="A110" s="162">
        <f xml:space="preserve"> 'CASE DATA'!A110</f>
        <v>0</v>
      </c>
      <c r="B110" s="162">
        <f xml:space="preserve"> 'CASE DATA'!B110</f>
        <v>0</v>
      </c>
      <c r="C110" s="163">
        <f xml:space="preserve"> 'CASE DATA'!C110</f>
        <v>0</v>
      </c>
      <c r="D110" s="162">
        <f xml:space="preserve"> 'CASE DATA'!E110</f>
        <v>0</v>
      </c>
      <c r="E110" s="162">
        <f xml:space="preserve"> 'CASE DATA'!F110</f>
        <v>0</v>
      </c>
      <c r="F110" s="138">
        <f xml:space="preserve"> 'CASE DATA'!G110</f>
        <v>0</v>
      </c>
      <c r="G110" s="6" t="str">
        <f>IF(AND(F110="YES", OR(E110="GTR",E110="GPL",E110="DEF",E110="JUV")), 'CASE DATA'!K110, "N/A")</f>
        <v>N/A</v>
      </c>
      <c r="H110" s="6" t="str">
        <f>IF(AND(F110="YES", OR(E110="GTR",E110="GPL",E110="DEF",E110="JUV")), (SUM('CASE DATA'!I110:J110)+SUM('CASE DATA'!L110:R110)), "N/A")</f>
        <v>N/A</v>
      </c>
      <c r="I110" s="21" t="str">
        <f t="shared" si="12"/>
        <v>N/A</v>
      </c>
      <c r="J110" s="6" t="str">
        <f t="shared" si="13"/>
        <v>NO</v>
      </c>
      <c r="K110" s="6" t="str">
        <f>IF(J110="YES",'CASE DATA'!K110,"N/A")</f>
        <v>N/A</v>
      </c>
      <c r="L110" s="6" t="str">
        <f>IF(J110="YES", SUM('CASE DATA'!I110:J110)+SUM('CASE DATA'!L110:R110),"N/A")</f>
        <v>N/A</v>
      </c>
      <c r="M110" s="21">
        <f t="shared" si="14"/>
        <v>0</v>
      </c>
    </row>
    <row r="111" spans="1:13" x14ac:dyDescent="0.25">
      <c r="A111" s="162">
        <f xml:space="preserve"> 'CASE DATA'!A111</f>
        <v>0</v>
      </c>
      <c r="B111" s="162">
        <f xml:space="preserve"> 'CASE DATA'!B111</f>
        <v>0</v>
      </c>
      <c r="C111" s="163">
        <f xml:space="preserve"> 'CASE DATA'!C111</f>
        <v>0</v>
      </c>
      <c r="D111" s="162">
        <f xml:space="preserve"> 'CASE DATA'!E111</f>
        <v>0</v>
      </c>
      <c r="E111" s="162">
        <f xml:space="preserve"> 'CASE DATA'!F111</f>
        <v>0</v>
      </c>
      <c r="F111" s="138">
        <f xml:space="preserve"> 'CASE DATA'!G111</f>
        <v>0</v>
      </c>
      <c r="G111" s="6" t="str">
        <f>IF(AND(F111="YES", OR(E111="GTR",E111="GPL",E111="DEF",E111="JUV")), 'CASE DATA'!K111, "N/A")</f>
        <v>N/A</v>
      </c>
      <c r="H111" s="6" t="str">
        <f>IF(AND(F111="YES", OR(E111="GTR",E111="GPL",E111="DEF",E111="JUV")), (SUM('CASE DATA'!I111:J111)+SUM('CASE DATA'!L111:R111)), "N/A")</f>
        <v>N/A</v>
      </c>
      <c r="I111" s="21" t="str">
        <f t="shared" si="12"/>
        <v>N/A</v>
      </c>
      <c r="J111" s="6" t="str">
        <f t="shared" si="13"/>
        <v>NO</v>
      </c>
      <c r="K111" s="6" t="str">
        <f>IF(J111="YES",'CASE DATA'!K111,"N/A")</f>
        <v>N/A</v>
      </c>
      <c r="L111" s="6" t="str">
        <f>IF(J111="YES", SUM('CASE DATA'!I111:J111)+SUM('CASE DATA'!L111:R111),"N/A")</f>
        <v>N/A</v>
      </c>
      <c r="M111" s="21">
        <f t="shared" si="14"/>
        <v>0</v>
      </c>
    </row>
    <row r="112" spans="1:13" x14ac:dyDescent="0.25">
      <c r="A112" s="162">
        <f xml:space="preserve"> 'CASE DATA'!A112</f>
        <v>0</v>
      </c>
      <c r="B112" s="162">
        <f xml:space="preserve"> 'CASE DATA'!B112</f>
        <v>0</v>
      </c>
      <c r="C112" s="163">
        <f xml:space="preserve"> 'CASE DATA'!C112</f>
        <v>0</v>
      </c>
      <c r="D112" s="162">
        <f xml:space="preserve"> 'CASE DATA'!E112</f>
        <v>0</v>
      </c>
      <c r="E112" s="162">
        <f xml:space="preserve"> 'CASE DATA'!F112</f>
        <v>0</v>
      </c>
      <c r="F112" s="138">
        <f xml:space="preserve"> 'CASE DATA'!G112</f>
        <v>0</v>
      </c>
      <c r="G112" s="6" t="str">
        <f>IF(AND(F112="YES", OR(E112="GTR",E112="GPL",E112="DEF",E112="JUV")), 'CASE DATA'!K112, "N/A")</f>
        <v>N/A</v>
      </c>
      <c r="H112" s="6" t="str">
        <f>IF(AND(F112="YES", OR(E112="GTR",E112="GPL",E112="DEF",E112="JUV")), (SUM('CASE DATA'!I112:J112)+SUM('CASE DATA'!L112:R112)), "N/A")</f>
        <v>N/A</v>
      </c>
      <c r="I112" s="21" t="str">
        <f t="shared" si="12"/>
        <v>N/A</v>
      </c>
      <c r="J112" s="6" t="str">
        <f t="shared" si="13"/>
        <v>NO</v>
      </c>
      <c r="K112" s="6" t="str">
        <f>IF(J112="YES",'CASE DATA'!K112,"N/A")</f>
        <v>N/A</v>
      </c>
      <c r="L112" s="6" t="str">
        <f>IF(J112="YES", SUM('CASE DATA'!I112:J112)+SUM('CASE DATA'!L112:R112),"N/A")</f>
        <v>N/A</v>
      </c>
      <c r="M112" s="21">
        <f t="shared" si="14"/>
        <v>0</v>
      </c>
    </row>
    <row r="113" spans="1:13" x14ac:dyDescent="0.25">
      <c r="A113" s="162">
        <f xml:space="preserve"> 'CASE DATA'!A113</f>
        <v>0</v>
      </c>
      <c r="B113" s="162">
        <f xml:space="preserve"> 'CASE DATA'!B113</f>
        <v>0</v>
      </c>
      <c r="C113" s="163">
        <f xml:space="preserve"> 'CASE DATA'!C113</f>
        <v>0</v>
      </c>
      <c r="D113" s="162">
        <f xml:space="preserve"> 'CASE DATA'!E113</f>
        <v>0</v>
      </c>
      <c r="E113" s="162">
        <f xml:space="preserve"> 'CASE DATA'!F113</f>
        <v>0</v>
      </c>
      <c r="F113" s="138">
        <f xml:space="preserve"> 'CASE DATA'!G113</f>
        <v>0</v>
      </c>
      <c r="G113" s="6" t="str">
        <f>IF(AND(F113="YES", OR(E113="GTR",E113="GPL",E113="DEF",E113="JUV")), 'CASE DATA'!K113, "N/A")</f>
        <v>N/A</v>
      </c>
      <c r="H113" s="6" t="str">
        <f>IF(AND(F113="YES", OR(E113="GTR",E113="GPL",E113="DEF",E113="JUV")), (SUM('CASE DATA'!I113:J113)+SUM('CASE DATA'!L113:R113)), "N/A")</f>
        <v>N/A</v>
      </c>
      <c r="I113" s="21" t="str">
        <f t="shared" si="12"/>
        <v>N/A</v>
      </c>
      <c r="J113" s="6" t="str">
        <f t="shared" si="13"/>
        <v>NO</v>
      </c>
      <c r="K113" s="6" t="str">
        <f>IF(J113="YES",'CASE DATA'!K113,"N/A")</f>
        <v>N/A</v>
      </c>
      <c r="L113" s="6" t="str">
        <f>IF(J113="YES", SUM('CASE DATA'!I113:J113)+SUM('CASE DATA'!L113:R113),"N/A")</f>
        <v>N/A</v>
      </c>
      <c r="M113" s="21">
        <f t="shared" si="14"/>
        <v>0</v>
      </c>
    </row>
    <row r="114" spans="1:13" x14ac:dyDescent="0.25">
      <c r="A114" s="162">
        <f xml:space="preserve"> 'CASE DATA'!A114</f>
        <v>0</v>
      </c>
      <c r="B114" s="162">
        <f xml:space="preserve"> 'CASE DATA'!B114</f>
        <v>0</v>
      </c>
      <c r="C114" s="163">
        <f xml:space="preserve"> 'CASE DATA'!C114</f>
        <v>0</v>
      </c>
      <c r="D114" s="162">
        <f xml:space="preserve"> 'CASE DATA'!E114</f>
        <v>0</v>
      </c>
      <c r="E114" s="162">
        <f xml:space="preserve"> 'CASE DATA'!F114</f>
        <v>0</v>
      </c>
      <c r="F114" s="138">
        <f xml:space="preserve"> 'CASE DATA'!G114</f>
        <v>0</v>
      </c>
      <c r="G114" s="6" t="str">
        <f>IF(AND(F114="YES", OR(E114="GTR",E114="GPL",E114="DEF",E114="JUV")), 'CASE DATA'!K114, "N/A")</f>
        <v>N/A</v>
      </c>
      <c r="H114" s="6" t="str">
        <f>IF(AND(F114="YES", OR(E114="GTR",E114="GPL",E114="DEF",E114="JUV")), (SUM('CASE DATA'!I114:J114)+SUM('CASE DATA'!L114:R114)), "N/A")</f>
        <v>N/A</v>
      </c>
      <c r="I114" s="21" t="str">
        <f t="shared" si="12"/>
        <v>N/A</v>
      </c>
      <c r="J114" s="6" t="str">
        <f t="shared" si="13"/>
        <v>NO</v>
      </c>
      <c r="K114" s="6" t="str">
        <f>IF(J114="YES",'CASE DATA'!K114,"N/A")</f>
        <v>N/A</v>
      </c>
      <c r="L114" s="6" t="str">
        <f>IF(J114="YES", SUM('CASE DATA'!I114:J114)+SUM('CASE DATA'!L114:R114),"N/A")</f>
        <v>N/A</v>
      </c>
      <c r="M114" s="21">
        <f t="shared" si="14"/>
        <v>0</v>
      </c>
    </row>
    <row r="115" spans="1:13" x14ac:dyDescent="0.25">
      <c r="A115" s="162">
        <f xml:space="preserve"> 'CASE DATA'!A115</f>
        <v>0</v>
      </c>
      <c r="B115" s="162">
        <f xml:space="preserve"> 'CASE DATA'!B115</f>
        <v>0</v>
      </c>
      <c r="C115" s="163">
        <f xml:space="preserve"> 'CASE DATA'!C115</f>
        <v>0</v>
      </c>
      <c r="D115" s="162">
        <f xml:space="preserve"> 'CASE DATA'!E115</f>
        <v>0</v>
      </c>
      <c r="E115" s="162">
        <f xml:space="preserve"> 'CASE DATA'!F115</f>
        <v>0</v>
      </c>
      <c r="F115" s="138">
        <f xml:space="preserve"> 'CASE DATA'!G115</f>
        <v>0</v>
      </c>
      <c r="G115" s="6" t="str">
        <f>IF(AND(F115="YES", OR(E115="GTR",E115="GPL",E115="DEF",E115="JUV")), 'CASE DATA'!K115, "N/A")</f>
        <v>N/A</v>
      </c>
      <c r="H115" s="6" t="str">
        <f>IF(AND(F115="YES", OR(E115="GTR",E115="GPL",E115="DEF",E115="JUV")), (SUM('CASE DATA'!I115:J115)+SUM('CASE DATA'!L115:R115)), "N/A")</f>
        <v>N/A</v>
      </c>
      <c r="I115" s="21" t="str">
        <f t="shared" si="12"/>
        <v>N/A</v>
      </c>
      <c r="J115" s="6" t="str">
        <f t="shared" si="13"/>
        <v>NO</v>
      </c>
      <c r="K115" s="6" t="str">
        <f>IF(J115="YES",'CASE DATA'!K115,"N/A")</f>
        <v>N/A</v>
      </c>
      <c r="L115" s="6" t="str">
        <f>IF(J115="YES", SUM('CASE DATA'!I115:J115)+SUM('CASE DATA'!L115:R115),"N/A")</f>
        <v>N/A</v>
      </c>
      <c r="M115" s="21">
        <f t="shared" si="14"/>
        <v>0</v>
      </c>
    </row>
    <row r="116" spans="1:13" x14ac:dyDescent="0.25">
      <c r="A116" s="162">
        <f xml:space="preserve"> 'CASE DATA'!A116</f>
        <v>0</v>
      </c>
      <c r="B116" s="162">
        <f xml:space="preserve"> 'CASE DATA'!B116</f>
        <v>0</v>
      </c>
      <c r="C116" s="163">
        <f xml:space="preserve"> 'CASE DATA'!C116</f>
        <v>0</v>
      </c>
      <c r="D116" s="162">
        <f xml:space="preserve"> 'CASE DATA'!E116</f>
        <v>0</v>
      </c>
      <c r="E116" s="162">
        <f xml:space="preserve"> 'CASE DATA'!F116</f>
        <v>0</v>
      </c>
      <c r="F116" s="138">
        <f xml:space="preserve"> 'CASE DATA'!G116</f>
        <v>0</v>
      </c>
      <c r="G116" s="6" t="str">
        <f>IF(AND(F116="YES", OR(E116="GTR",E116="GPL",E116="DEF",E116="JUV")), 'CASE DATA'!K116, "N/A")</f>
        <v>N/A</v>
      </c>
      <c r="H116" s="6" t="str">
        <f>IF(AND(F116="YES", OR(E116="GTR",E116="GPL",E116="DEF",E116="JUV")), (SUM('CASE DATA'!I116:J116)+SUM('CASE DATA'!L116:R116)), "N/A")</f>
        <v>N/A</v>
      </c>
      <c r="I116" s="21" t="str">
        <f t="shared" si="12"/>
        <v>N/A</v>
      </c>
      <c r="J116" s="6" t="str">
        <f t="shared" si="13"/>
        <v>NO</v>
      </c>
      <c r="K116" s="6" t="str">
        <f>IF(J116="YES",'CASE DATA'!K116,"N/A")</f>
        <v>N/A</v>
      </c>
      <c r="L116" s="6" t="str">
        <f>IF(J116="YES", SUM('CASE DATA'!I116:J116)+SUM('CASE DATA'!L116:R116),"N/A")</f>
        <v>N/A</v>
      </c>
      <c r="M116" s="21">
        <f t="shared" si="14"/>
        <v>0</v>
      </c>
    </row>
    <row r="117" spans="1:13" x14ac:dyDescent="0.25">
      <c r="A117" s="162">
        <f xml:space="preserve"> 'CASE DATA'!A117</f>
        <v>0</v>
      </c>
      <c r="B117" s="162">
        <f xml:space="preserve"> 'CASE DATA'!B117</f>
        <v>0</v>
      </c>
      <c r="C117" s="163">
        <f xml:space="preserve"> 'CASE DATA'!C117</f>
        <v>0</v>
      </c>
      <c r="D117" s="162">
        <f xml:space="preserve"> 'CASE DATA'!E117</f>
        <v>0</v>
      </c>
      <c r="E117" s="162">
        <f xml:space="preserve"> 'CASE DATA'!F117</f>
        <v>0</v>
      </c>
      <c r="F117" s="138">
        <f xml:space="preserve"> 'CASE DATA'!G117</f>
        <v>0</v>
      </c>
      <c r="G117" s="6" t="str">
        <f>IF(AND(F117="YES", OR(E117="GTR",E117="GPL",E117="DEF",E117="JUV")), 'CASE DATA'!K117, "N/A")</f>
        <v>N/A</v>
      </c>
      <c r="H117" s="6" t="str">
        <f>IF(AND(F117="YES", OR(E117="GTR",E117="GPL",E117="DEF",E117="JUV")), (SUM('CASE DATA'!I117:J117)+SUM('CASE DATA'!L117:R117)), "N/A")</f>
        <v>N/A</v>
      </c>
      <c r="I117" s="21" t="str">
        <f t="shared" si="12"/>
        <v>N/A</v>
      </c>
      <c r="J117" s="6" t="str">
        <f t="shared" si="13"/>
        <v>NO</v>
      </c>
      <c r="K117" s="6" t="str">
        <f>IF(J117="YES",'CASE DATA'!K117,"N/A")</f>
        <v>N/A</v>
      </c>
      <c r="L117" s="6" t="str">
        <f>IF(J117="YES", SUM('CASE DATA'!I117:J117)+SUM('CASE DATA'!L117:R117),"N/A")</f>
        <v>N/A</v>
      </c>
      <c r="M117" s="21">
        <f t="shared" si="14"/>
        <v>0</v>
      </c>
    </row>
    <row r="118" spans="1:13" x14ac:dyDescent="0.25">
      <c r="A118" s="162">
        <f xml:space="preserve"> 'CASE DATA'!A118</f>
        <v>0</v>
      </c>
      <c r="B118" s="162">
        <f xml:space="preserve"> 'CASE DATA'!B118</f>
        <v>0</v>
      </c>
      <c r="C118" s="163">
        <f xml:space="preserve"> 'CASE DATA'!C118</f>
        <v>0</v>
      </c>
      <c r="D118" s="162">
        <f xml:space="preserve"> 'CASE DATA'!E118</f>
        <v>0</v>
      </c>
      <c r="E118" s="162">
        <f xml:space="preserve"> 'CASE DATA'!F118</f>
        <v>0</v>
      </c>
      <c r="F118" s="138">
        <f xml:space="preserve"> 'CASE DATA'!G118</f>
        <v>0</v>
      </c>
      <c r="G118" s="6" t="str">
        <f>IF(AND(F118="YES", OR(E118="GTR",E118="GPL",E118="DEF",E118="JUV")), 'CASE DATA'!K118, "N/A")</f>
        <v>N/A</v>
      </c>
      <c r="H118" s="6" t="str">
        <f>IF(AND(F118="YES", OR(E118="GTR",E118="GPL",E118="DEF",E118="JUV")), (SUM('CASE DATA'!I118:J118)+SUM('CASE DATA'!L118:R118)), "N/A")</f>
        <v>N/A</v>
      </c>
      <c r="I118" s="21" t="str">
        <f t="shared" si="12"/>
        <v>N/A</v>
      </c>
      <c r="J118" s="6" t="str">
        <f t="shared" si="13"/>
        <v>NO</v>
      </c>
      <c r="K118" s="6" t="str">
        <f>IF(J118="YES",'CASE DATA'!K118,"N/A")</f>
        <v>N/A</v>
      </c>
      <c r="L118" s="6" t="str">
        <f>IF(J118="YES", SUM('CASE DATA'!I118:J118)+SUM('CASE DATA'!L118:R118),"N/A")</f>
        <v>N/A</v>
      </c>
      <c r="M118" s="21">
        <f t="shared" si="14"/>
        <v>0</v>
      </c>
    </row>
    <row r="119" spans="1:13" x14ac:dyDescent="0.25">
      <c r="A119" s="162">
        <f xml:space="preserve"> 'CASE DATA'!A119</f>
        <v>0</v>
      </c>
      <c r="B119" s="162">
        <f xml:space="preserve"> 'CASE DATA'!B119</f>
        <v>0</v>
      </c>
      <c r="C119" s="163">
        <f xml:space="preserve"> 'CASE DATA'!C119</f>
        <v>0</v>
      </c>
      <c r="D119" s="162">
        <f xml:space="preserve"> 'CASE DATA'!E119</f>
        <v>0</v>
      </c>
      <c r="E119" s="162">
        <f xml:space="preserve"> 'CASE DATA'!F119</f>
        <v>0</v>
      </c>
      <c r="F119" s="138">
        <f xml:space="preserve"> 'CASE DATA'!G119</f>
        <v>0</v>
      </c>
      <c r="G119" s="6" t="str">
        <f>IF(AND(F119="YES", OR(E119="GTR",E119="GPL",E119="DEF",E119="JUV")), 'CASE DATA'!K119, "N/A")</f>
        <v>N/A</v>
      </c>
      <c r="H119" s="6" t="str">
        <f>IF(AND(F119="YES", OR(E119="GTR",E119="GPL",E119="DEF",E119="JUV")), (SUM('CASE DATA'!I119:J119)+SUM('CASE DATA'!L119:R119)), "N/A")</f>
        <v>N/A</v>
      </c>
      <c r="I119" s="21" t="str">
        <f t="shared" si="12"/>
        <v>N/A</v>
      </c>
      <c r="J119" s="6" t="str">
        <f t="shared" si="13"/>
        <v>NO</v>
      </c>
      <c r="K119" s="6" t="str">
        <f>IF(J119="YES",'CASE DATA'!K119,"N/A")</f>
        <v>N/A</v>
      </c>
      <c r="L119" s="6" t="str">
        <f>IF(J119="YES", SUM('CASE DATA'!I119:J119)+SUM('CASE DATA'!L119:R119),"N/A")</f>
        <v>N/A</v>
      </c>
      <c r="M119" s="21">
        <f t="shared" si="14"/>
        <v>0</v>
      </c>
    </row>
    <row r="120" spans="1:13" x14ac:dyDescent="0.25">
      <c r="A120" s="162">
        <f xml:space="preserve"> 'CASE DATA'!A120</f>
        <v>0</v>
      </c>
      <c r="B120" s="162">
        <f xml:space="preserve"> 'CASE DATA'!B120</f>
        <v>0</v>
      </c>
      <c r="C120" s="163">
        <f xml:space="preserve"> 'CASE DATA'!C120</f>
        <v>0</v>
      </c>
      <c r="D120" s="162">
        <f xml:space="preserve"> 'CASE DATA'!E120</f>
        <v>0</v>
      </c>
      <c r="E120" s="162">
        <f xml:space="preserve"> 'CASE DATA'!F120</f>
        <v>0</v>
      </c>
      <c r="F120" s="138">
        <f xml:space="preserve"> 'CASE DATA'!G120</f>
        <v>0</v>
      </c>
      <c r="G120" s="6" t="str">
        <f>IF(AND(F120="YES", OR(E120="GTR",E120="GPL",E120="DEF",E120="JUV")), 'CASE DATA'!K120, "N/A")</f>
        <v>N/A</v>
      </c>
      <c r="H120" s="6" t="str">
        <f>IF(AND(F120="YES", OR(E120="GTR",E120="GPL",E120="DEF",E120="JUV")), (SUM('CASE DATA'!I120:J120)+SUM('CASE DATA'!L120:R120)), "N/A")</f>
        <v>N/A</v>
      </c>
      <c r="I120" s="21" t="str">
        <f t="shared" si="12"/>
        <v>N/A</v>
      </c>
      <c r="J120" s="6" t="str">
        <f t="shared" si="13"/>
        <v>NO</v>
      </c>
      <c r="K120" s="6" t="str">
        <f>IF(J120="YES",'CASE DATA'!K120,"N/A")</f>
        <v>N/A</v>
      </c>
      <c r="L120" s="6" t="str">
        <f>IF(J120="YES", SUM('CASE DATA'!I120:J120)+SUM('CASE DATA'!L120:R120),"N/A")</f>
        <v>N/A</v>
      </c>
      <c r="M120" s="21">
        <f t="shared" si="14"/>
        <v>0</v>
      </c>
    </row>
    <row r="121" spans="1:13" x14ac:dyDescent="0.25">
      <c r="A121" s="162">
        <f xml:space="preserve"> 'CASE DATA'!A121</f>
        <v>0</v>
      </c>
      <c r="B121" s="162">
        <f xml:space="preserve"> 'CASE DATA'!B121</f>
        <v>0</v>
      </c>
      <c r="C121" s="163">
        <f xml:space="preserve"> 'CASE DATA'!C121</f>
        <v>0</v>
      </c>
      <c r="D121" s="162">
        <f xml:space="preserve"> 'CASE DATA'!E121</f>
        <v>0</v>
      </c>
      <c r="E121" s="162">
        <f xml:space="preserve"> 'CASE DATA'!F121</f>
        <v>0</v>
      </c>
      <c r="F121" s="138">
        <f xml:space="preserve"> 'CASE DATA'!G121</f>
        <v>0</v>
      </c>
      <c r="G121" s="6" t="str">
        <f>IF(AND(F121="YES", OR(E121="GTR",E121="GPL",E121="DEF",E121="JUV")), 'CASE DATA'!K121, "N/A")</f>
        <v>N/A</v>
      </c>
      <c r="H121" s="6" t="str">
        <f>IF(AND(F121="YES", OR(E121="GTR",E121="GPL",E121="DEF",E121="JUV")), (SUM('CASE DATA'!I121:J121)+SUM('CASE DATA'!L121:R121)), "N/A")</f>
        <v>N/A</v>
      </c>
      <c r="I121" s="21" t="str">
        <f t="shared" si="12"/>
        <v>N/A</v>
      </c>
      <c r="J121" s="6" t="str">
        <f t="shared" si="13"/>
        <v>NO</v>
      </c>
      <c r="K121" s="6" t="str">
        <f>IF(J121="YES",'CASE DATA'!K121,"N/A")</f>
        <v>N/A</v>
      </c>
      <c r="L121" s="6" t="str">
        <f>IF(J121="YES", SUM('CASE DATA'!I121:J121)+SUM('CASE DATA'!L121:R121),"N/A")</f>
        <v>N/A</v>
      </c>
      <c r="M121" s="21">
        <f t="shared" si="14"/>
        <v>0</v>
      </c>
    </row>
    <row r="122" spans="1:13" x14ac:dyDescent="0.25">
      <c r="A122" s="162">
        <f xml:space="preserve"> 'CASE DATA'!A122</f>
        <v>0</v>
      </c>
      <c r="B122" s="162">
        <f xml:space="preserve"> 'CASE DATA'!B122</f>
        <v>0</v>
      </c>
      <c r="C122" s="163">
        <f xml:space="preserve"> 'CASE DATA'!C122</f>
        <v>0</v>
      </c>
      <c r="D122" s="162">
        <f xml:space="preserve"> 'CASE DATA'!E122</f>
        <v>0</v>
      </c>
      <c r="E122" s="162">
        <f xml:space="preserve"> 'CASE DATA'!F122</f>
        <v>0</v>
      </c>
      <c r="F122" s="138">
        <f xml:space="preserve"> 'CASE DATA'!G122</f>
        <v>0</v>
      </c>
      <c r="G122" s="6" t="str">
        <f>IF(AND(F122="YES", OR(E122="GTR",E122="GPL",E122="DEF",E122="JUV")), 'CASE DATA'!K122, "N/A")</f>
        <v>N/A</v>
      </c>
      <c r="H122" s="6" t="str">
        <f>IF(AND(F122="YES", OR(E122="GTR",E122="GPL",E122="DEF",E122="JUV")), (SUM('CASE DATA'!I122:J122)+SUM('CASE DATA'!L122:R122)), "N/A")</f>
        <v>N/A</v>
      </c>
      <c r="I122" s="21" t="str">
        <f t="shared" si="12"/>
        <v>N/A</v>
      </c>
      <c r="J122" s="6" t="str">
        <f t="shared" si="13"/>
        <v>NO</v>
      </c>
      <c r="K122" s="6" t="str">
        <f>IF(J122="YES",'CASE DATA'!K122,"N/A")</f>
        <v>N/A</v>
      </c>
      <c r="L122" s="6" t="str">
        <f>IF(J122="YES", SUM('CASE DATA'!I122:J122)+SUM('CASE DATA'!L122:R122),"N/A")</f>
        <v>N/A</v>
      </c>
      <c r="M122" s="21">
        <f t="shared" si="14"/>
        <v>0</v>
      </c>
    </row>
    <row r="123" spans="1:13" x14ac:dyDescent="0.25">
      <c r="A123" s="162">
        <f xml:space="preserve"> 'CASE DATA'!A123</f>
        <v>0</v>
      </c>
      <c r="B123" s="162">
        <f xml:space="preserve"> 'CASE DATA'!B123</f>
        <v>0</v>
      </c>
      <c r="C123" s="163">
        <f xml:space="preserve"> 'CASE DATA'!C123</f>
        <v>0</v>
      </c>
      <c r="D123" s="162">
        <f xml:space="preserve"> 'CASE DATA'!E123</f>
        <v>0</v>
      </c>
      <c r="E123" s="162">
        <f xml:space="preserve"> 'CASE DATA'!F123</f>
        <v>0</v>
      </c>
      <c r="F123" s="138">
        <f xml:space="preserve"> 'CASE DATA'!G123</f>
        <v>0</v>
      </c>
      <c r="G123" s="6" t="str">
        <f>IF(AND(F123="YES", OR(E123="GTR",E123="GPL",E123="DEF",E123="JUV")), 'CASE DATA'!K123, "N/A")</f>
        <v>N/A</v>
      </c>
      <c r="H123" s="6" t="str">
        <f>IF(AND(F123="YES", OR(E123="GTR",E123="GPL",E123="DEF",E123="JUV")), (SUM('CASE DATA'!I123:J123)+SUM('CASE DATA'!L123:R123)), "N/A")</f>
        <v>N/A</v>
      </c>
      <c r="I123" s="21" t="str">
        <f t="shared" si="12"/>
        <v>N/A</v>
      </c>
      <c r="J123" s="6" t="str">
        <f t="shared" si="13"/>
        <v>NO</v>
      </c>
      <c r="K123" s="6" t="str">
        <f>IF(J123="YES",'CASE DATA'!K123,"N/A")</f>
        <v>N/A</v>
      </c>
      <c r="L123" s="6" t="str">
        <f>IF(J123="YES", SUM('CASE DATA'!I123:J123)+SUM('CASE DATA'!L123:R123),"N/A")</f>
        <v>N/A</v>
      </c>
      <c r="M123" s="21">
        <f t="shared" si="14"/>
        <v>0</v>
      </c>
    </row>
    <row r="124" spans="1:13" x14ac:dyDescent="0.25">
      <c r="A124" s="162">
        <f xml:space="preserve"> 'CASE DATA'!A124</f>
        <v>0</v>
      </c>
      <c r="B124" s="162">
        <f xml:space="preserve"> 'CASE DATA'!B124</f>
        <v>0</v>
      </c>
      <c r="C124" s="163">
        <f xml:space="preserve"> 'CASE DATA'!C124</f>
        <v>0</v>
      </c>
      <c r="D124" s="162">
        <f xml:space="preserve"> 'CASE DATA'!E124</f>
        <v>0</v>
      </c>
      <c r="E124" s="162">
        <f xml:space="preserve"> 'CASE DATA'!F124</f>
        <v>0</v>
      </c>
      <c r="F124" s="138">
        <f xml:space="preserve"> 'CASE DATA'!G124</f>
        <v>0</v>
      </c>
      <c r="G124" s="6" t="str">
        <f>IF(AND(F124="YES", OR(E124="GTR",E124="GPL",E124="DEF",E124="JUV")), 'CASE DATA'!K124, "N/A")</f>
        <v>N/A</v>
      </c>
      <c r="H124" s="6" t="str">
        <f>IF(AND(F124="YES", OR(E124="GTR",E124="GPL",E124="DEF",E124="JUV")), (SUM('CASE DATA'!I124:J124)+SUM('CASE DATA'!L124:R124)), "N/A")</f>
        <v>N/A</v>
      </c>
      <c r="I124" s="21" t="str">
        <f t="shared" si="12"/>
        <v>N/A</v>
      </c>
      <c r="J124" s="6" t="str">
        <f t="shared" si="13"/>
        <v>NO</v>
      </c>
      <c r="K124" s="6" t="str">
        <f>IF(J124="YES",'CASE DATA'!K124,"N/A")</f>
        <v>N/A</v>
      </c>
      <c r="L124" s="6" t="str">
        <f>IF(J124="YES", SUM('CASE DATA'!I124:J124)+SUM('CASE DATA'!L124:R124),"N/A")</f>
        <v>N/A</v>
      </c>
      <c r="M124" s="21">
        <f t="shared" si="14"/>
        <v>0</v>
      </c>
    </row>
    <row r="125" spans="1:13" x14ac:dyDescent="0.25">
      <c r="A125" s="162">
        <f xml:space="preserve"> 'CASE DATA'!A125</f>
        <v>0</v>
      </c>
      <c r="B125" s="162">
        <f xml:space="preserve"> 'CASE DATA'!B125</f>
        <v>0</v>
      </c>
      <c r="C125" s="163">
        <f xml:space="preserve"> 'CASE DATA'!C125</f>
        <v>0</v>
      </c>
      <c r="D125" s="162">
        <f xml:space="preserve"> 'CASE DATA'!E125</f>
        <v>0</v>
      </c>
      <c r="E125" s="162">
        <f xml:space="preserve"> 'CASE DATA'!F125</f>
        <v>0</v>
      </c>
      <c r="F125" s="138">
        <f xml:space="preserve"> 'CASE DATA'!G125</f>
        <v>0</v>
      </c>
      <c r="G125" s="6" t="str">
        <f>IF(AND(F125="YES", OR(E125="GTR",E125="GPL",E125="DEF",E125="JUV")), 'CASE DATA'!K125, "N/A")</f>
        <v>N/A</v>
      </c>
      <c r="H125" s="6" t="str">
        <f>IF(AND(F125="YES", OR(E125="GTR",E125="GPL",E125="DEF",E125="JUV")), (SUM('CASE DATA'!I125:J125)+SUM('CASE DATA'!L125:R125)), "N/A")</f>
        <v>N/A</v>
      </c>
      <c r="I125" s="21" t="str">
        <f t="shared" si="12"/>
        <v>N/A</v>
      </c>
      <c r="J125" s="6" t="str">
        <f t="shared" si="13"/>
        <v>NO</v>
      </c>
      <c r="K125" s="6" t="str">
        <f>IF(J125="YES",'CASE DATA'!K125,"N/A")</f>
        <v>N/A</v>
      </c>
      <c r="L125" s="6" t="str">
        <f>IF(J125="YES", SUM('CASE DATA'!I125:J125)+SUM('CASE DATA'!L125:R125),"N/A")</f>
        <v>N/A</v>
      </c>
      <c r="M125" s="21">
        <f t="shared" si="14"/>
        <v>0</v>
      </c>
    </row>
    <row r="126" spans="1:13" x14ac:dyDescent="0.25">
      <c r="A126" s="162">
        <f xml:space="preserve"> 'CASE DATA'!A126</f>
        <v>0</v>
      </c>
      <c r="B126" s="162">
        <f xml:space="preserve"> 'CASE DATA'!B126</f>
        <v>0</v>
      </c>
      <c r="C126" s="163">
        <f xml:space="preserve"> 'CASE DATA'!C126</f>
        <v>0</v>
      </c>
      <c r="D126" s="162">
        <f xml:space="preserve"> 'CASE DATA'!E126</f>
        <v>0</v>
      </c>
      <c r="E126" s="162">
        <f xml:space="preserve"> 'CASE DATA'!F126</f>
        <v>0</v>
      </c>
      <c r="F126" s="138">
        <f xml:space="preserve"> 'CASE DATA'!G126</f>
        <v>0</v>
      </c>
      <c r="G126" s="6" t="str">
        <f>IF(AND(F126="YES", OR(E126="GTR",E126="GPL",E126="DEF",E126="JUV")), 'CASE DATA'!K126, "N/A")</f>
        <v>N/A</v>
      </c>
      <c r="H126" s="6" t="str">
        <f>IF(AND(F126="YES", OR(E126="GTR",E126="GPL",E126="DEF",E126="JUV")), (SUM('CASE DATA'!I126:J126)+SUM('CASE DATA'!L126:R126)), "N/A")</f>
        <v>N/A</v>
      </c>
      <c r="I126" s="21" t="str">
        <f t="shared" si="12"/>
        <v>N/A</v>
      </c>
      <c r="J126" s="6" t="str">
        <f t="shared" si="13"/>
        <v>NO</v>
      </c>
      <c r="K126" s="6" t="str">
        <f>IF(J126="YES",'CASE DATA'!K126,"N/A")</f>
        <v>N/A</v>
      </c>
      <c r="L126" s="6" t="str">
        <f>IF(J126="YES", SUM('CASE DATA'!I126:J126)+SUM('CASE DATA'!L126:R126),"N/A")</f>
        <v>N/A</v>
      </c>
      <c r="M126" s="21">
        <f t="shared" si="14"/>
        <v>0</v>
      </c>
    </row>
    <row r="127" spans="1:13" x14ac:dyDescent="0.25">
      <c r="A127" s="162">
        <f xml:space="preserve"> 'CASE DATA'!A127</f>
        <v>0</v>
      </c>
      <c r="B127" s="162">
        <f xml:space="preserve"> 'CASE DATA'!B127</f>
        <v>0</v>
      </c>
      <c r="C127" s="163">
        <f xml:space="preserve"> 'CASE DATA'!C127</f>
        <v>0</v>
      </c>
      <c r="D127" s="162">
        <f xml:space="preserve"> 'CASE DATA'!E127</f>
        <v>0</v>
      </c>
      <c r="E127" s="162">
        <f xml:space="preserve"> 'CASE DATA'!F127</f>
        <v>0</v>
      </c>
      <c r="F127" s="138">
        <f xml:space="preserve"> 'CASE DATA'!G127</f>
        <v>0</v>
      </c>
      <c r="G127" s="6" t="str">
        <f>IF(AND(F127="YES", OR(E127="GTR",E127="GPL",E127="DEF",E127="JUV")), 'CASE DATA'!K127, "N/A")</f>
        <v>N/A</v>
      </c>
      <c r="H127" s="6" t="str">
        <f>IF(AND(F127="YES", OR(E127="GTR",E127="GPL",E127="DEF",E127="JUV")), (SUM('CASE DATA'!I127:J127)+SUM('CASE DATA'!L127:R127)), "N/A")</f>
        <v>N/A</v>
      </c>
      <c r="I127" s="21" t="str">
        <f t="shared" si="12"/>
        <v>N/A</v>
      </c>
      <c r="J127" s="6" t="str">
        <f t="shared" si="13"/>
        <v>NO</v>
      </c>
      <c r="K127" s="6" t="str">
        <f>IF(J127="YES",'CASE DATA'!K127,"N/A")</f>
        <v>N/A</v>
      </c>
      <c r="L127" s="6" t="str">
        <f>IF(J127="YES", SUM('CASE DATA'!I127:J127)+SUM('CASE DATA'!L127:R127),"N/A")</f>
        <v>N/A</v>
      </c>
      <c r="M127" s="21">
        <f t="shared" si="14"/>
        <v>0</v>
      </c>
    </row>
    <row r="128" spans="1:13" x14ac:dyDescent="0.25">
      <c r="A128" s="162">
        <f xml:space="preserve"> 'CASE DATA'!A128</f>
        <v>0</v>
      </c>
      <c r="B128" s="162">
        <f xml:space="preserve"> 'CASE DATA'!B128</f>
        <v>0</v>
      </c>
      <c r="C128" s="163">
        <f xml:space="preserve"> 'CASE DATA'!C128</f>
        <v>0</v>
      </c>
      <c r="D128" s="162">
        <f xml:space="preserve"> 'CASE DATA'!E128</f>
        <v>0</v>
      </c>
      <c r="E128" s="162">
        <f xml:space="preserve"> 'CASE DATA'!F128</f>
        <v>0</v>
      </c>
      <c r="F128" s="138">
        <f xml:space="preserve"> 'CASE DATA'!G128</f>
        <v>0</v>
      </c>
      <c r="G128" s="6" t="str">
        <f>IF(AND(F128="YES", OR(E128="GTR",E128="GPL",E128="DEF",E128="JUV")), 'CASE DATA'!K128, "N/A")</f>
        <v>N/A</v>
      </c>
      <c r="H128" s="6" t="str">
        <f>IF(AND(F128="YES", OR(E128="GTR",E128="GPL",E128="DEF",E128="JUV")), (SUM('CASE DATA'!I128:J128)+SUM('CASE DATA'!L128:R128)), "N/A")</f>
        <v>N/A</v>
      </c>
      <c r="I128" s="21" t="str">
        <f t="shared" si="12"/>
        <v>N/A</v>
      </c>
      <c r="J128" s="6" t="str">
        <f t="shared" si="13"/>
        <v>NO</v>
      </c>
      <c r="K128" s="6" t="str">
        <f>IF(J128="YES",'CASE DATA'!K128,"N/A")</f>
        <v>N/A</v>
      </c>
      <c r="L128" s="6" t="str">
        <f>IF(J128="YES", SUM('CASE DATA'!I128:J128)+SUM('CASE DATA'!L128:R128),"N/A")</f>
        <v>N/A</v>
      </c>
      <c r="M128" s="21">
        <f t="shared" si="14"/>
        <v>0</v>
      </c>
    </row>
    <row r="129" spans="1:13" x14ac:dyDescent="0.25">
      <c r="A129" s="162">
        <f xml:space="preserve"> 'CASE DATA'!A129</f>
        <v>0</v>
      </c>
      <c r="B129" s="162">
        <f xml:space="preserve"> 'CASE DATA'!B129</f>
        <v>0</v>
      </c>
      <c r="C129" s="163">
        <f xml:space="preserve"> 'CASE DATA'!C129</f>
        <v>0</v>
      </c>
      <c r="D129" s="162">
        <f xml:space="preserve"> 'CASE DATA'!E129</f>
        <v>0</v>
      </c>
      <c r="E129" s="162">
        <f xml:space="preserve"> 'CASE DATA'!F129</f>
        <v>0</v>
      </c>
      <c r="F129" s="138">
        <f xml:space="preserve"> 'CASE DATA'!G129</f>
        <v>0</v>
      </c>
      <c r="G129" s="6" t="str">
        <f>IF(AND(F129="YES", OR(E129="GTR",E129="GPL",E129="DEF",E129="JUV")), 'CASE DATA'!K129, "N/A")</f>
        <v>N/A</v>
      </c>
      <c r="H129" s="6" t="str">
        <f>IF(AND(F129="YES", OR(E129="GTR",E129="GPL",E129="DEF",E129="JUV")), (SUM('CASE DATA'!I129:J129)+SUM('CASE DATA'!L129:R129)), "N/A")</f>
        <v>N/A</v>
      </c>
      <c r="I129" s="21" t="str">
        <f t="shared" si="12"/>
        <v>N/A</v>
      </c>
      <c r="J129" s="6" t="str">
        <f t="shared" si="13"/>
        <v>NO</v>
      </c>
      <c r="K129" s="6" t="str">
        <f>IF(J129="YES",'CASE DATA'!K129,"N/A")</f>
        <v>N/A</v>
      </c>
      <c r="L129" s="6" t="str">
        <f>IF(J129="YES", SUM('CASE DATA'!I129:J129)+SUM('CASE DATA'!L129:R129),"N/A")</f>
        <v>N/A</v>
      </c>
      <c r="M129" s="21">
        <f t="shared" si="14"/>
        <v>0</v>
      </c>
    </row>
    <row r="130" spans="1:13" x14ac:dyDescent="0.25">
      <c r="A130" s="162">
        <f xml:space="preserve"> 'CASE DATA'!A130</f>
        <v>0</v>
      </c>
      <c r="B130" s="162">
        <f xml:space="preserve"> 'CASE DATA'!B130</f>
        <v>0</v>
      </c>
      <c r="C130" s="163">
        <f xml:space="preserve"> 'CASE DATA'!C130</f>
        <v>0</v>
      </c>
      <c r="D130" s="162">
        <f xml:space="preserve"> 'CASE DATA'!E130</f>
        <v>0</v>
      </c>
      <c r="E130" s="162">
        <f xml:space="preserve"> 'CASE DATA'!F130</f>
        <v>0</v>
      </c>
      <c r="F130" s="138">
        <f xml:space="preserve"> 'CASE DATA'!G130</f>
        <v>0</v>
      </c>
      <c r="G130" s="6" t="str">
        <f>IF(AND(F130="YES", OR(E130="GTR",E130="GPL",E130="DEF",E130="JUV")), 'CASE DATA'!K130, "N/A")</f>
        <v>N/A</v>
      </c>
      <c r="H130" s="6" t="str">
        <f>IF(AND(F130="YES", OR(E130="GTR",E130="GPL",E130="DEF",E130="JUV")), (SUM('CASE DATA'!I130:J130)+SUM('CASE DATA'!L130:R130)), "N/A")</f>
        <v>N/A</v>
      </c>
      <c r="I130" s="21" t="str">
        <f t="shared" si="12"/>
        <v>N/A</v>
      </c>
      <c r="J130" s="6" t="str">
        <f t="shared" si="13"/>
        <v>NO</v>
      </c>
      <c r="K130" s="6" t="str">
        <f>IF(J130="YES",'CASE DATA'!K130,"N/A")</f>
        <v>N/A</v>
      </c>
      <c r="L130" s="6" t="str">
        <f>IF(J130="YES", SUM('CASE DATA'!I130:J130)+SUM('CASE DATA'!L130:R130),"N/A")</f>
        <v>N/A</v>
      </c>
      <c r="M130" s="21">
        <f t="shared" si="14"/>
        <v>0</v>
      </c>
    </row>
    <row r="131" spans="1:13" x14ac:dyDescent="0.25">
      <c r="A131" s="162">
        <f xml:space="preserve"> 'CASE DATA'!A131</f>
        <v>0</v>
      </c>
      <c r="B131" s="162">
        <f xml:space="preserve"> 'CASE DATA'!B131</f>
        <v>0</v>
      </c>
      <c r="C131" s="163">
        <f xml:space="preserve"> 'CASE DATA'!C131</f>
        <v>0</v>
      </c>
      <c r="D131" s="162">
        <f xml:space="preserve"> 'CASE DATA'!E131</f>
        <v>0</v>
      </c>
      <c r="E131" s="162">
        <f xml:space="preserve"> 'CASE DATA'!F131</f>
        <v>0</v>
      </c>
      <c r="F131" s="138">
        <f xml:space="preserve"> 'CASE DATA'!G131</f>
        <v>0</v>
      </c>
      <c r="G131" s="6" t="str">
        <f>IF(AND(F131="YES", OR(E131="GTR",E131="GPL",E131="DEF",E131="JUV")), 'CASE DATA'!K131, "N/A")</f>
        <v>N/A</v>
      </c>
      <c r="H131" s="6" t="str">
        <f>IF(AND(F131="YES", OR(E131="GTR",E131="GPL",E131="DEF",E131="JUV")), (SUM('CASE DATA'!I131:J131)+SUM('CASE DATA'!L131:R131)), "N/A")</f>
        <v>N/A</v>
      </c>
      <c r="I131" s="21" t="str">
        <f t="shared" si="12"/>
        <v>N/A</v>
      </c>
      <c r="J131" s="6" t="str">
        <f t="shared" si="13"/>
        <v>NO</v>
      </c>
      <c r="K131" s="6" t="str">
        <f>IF(J131="YES",'CASE DATA'!K131,"N/A")</f>
        <v>N/A</v>
      </c>
      <c r="L131" s="6" t="str">
        <f>IF(J131="YES", SUM('CASE DATA'!I131:J131)+SUM('CASE DATA'!L131:R131),"N/A")</f>
        <v>N/A</v>
      </c>
      <c r="M131" s="21">
        <f t="shared" si="14"/>
        <v>0</v>
      </c>
    </row>
    <row r="132" spans="1:13" x14ac:dyDescent="0.25">
      <c r="A132" s="162">
        <f xml:space="preserve"> 'CASE DATA'!A132</f>
        <v>0</v>
      </c>
      <c r="B132" s="162">
        <f xml:space="preserve"> 'CASE DATA'!B132</f>
        <v>0</v>
      </c>
      <c r="C132" s="163">
        <f xml:space="preserve"> 'CASE DATA'!C132</f>
        <v>0</v>
      </c>
      <c r="D132" s="162">
        <f xml:space="preserve"> 'CASE DATA'!E132</f>
        <v>0</v>
      </c>
      <c r="E132" s="162">
        <f xml:space="preserve"> 'CASE DATA'!F132</f>
        <v>0</v>
      </c>
      <c r="F132" s="138">
        <f xml:space="preserve"> 'CASE DATA'!G132</f>
        <v>0</v>
      </c>
      <c r="G132" s="6" t="str">
        <f>IF(AND(F132="YES", OR(E132="GTR",E132="GPL",E132="DEF",E132="JUV")), 'CASE DATA'!K132, "N/A")</f>
        <v>N/A</v>
      </c>
      <c r="H132" s="6" t="str">
        <f>IF(AND(F132="YES", OR(E132="GTR",E132="GPL",E132="DEF",E132="JUV")), (SUM('CASE DATA'!I132:J132)+SUM('CASE DATA'!L132:R132)), "N/A")</f>
        <v>N/A</v>
      </c>
      <c r="I132" s="21" t="str">
        <f t="shared" si="12"/>
        <v>N/A</v>
      </c>
      <c r="J132" s="6" t="str">
        <f t="shared" si="13"/>
        <v>NO</v>
      </c>
      <c r="K132" s="6" t="str">
        <f>IF(J132="YES",'CASE DATA'!K132,"N/A")</f>
        <v>N/A</v>
      </c>
      <c r="L132" s="6" t="str">
        <f>IF(J132="YES", SUM('CASE DATA'!I132:J132)+SUM('CASE DATA'!L132:R132),"N/A")</f>
        <v>N/A</v>
      </c>
      <c r="M132" s="21">
        <f t="shared" si="14"/>
        <v>0</v>
      </c>
    </row>
    <row r="133" spans="1:13" x14ac:dyDescent="0.25">
      <c r="A133" s="162">
        <f xml:space="preserve"> 'CASE DATA'!A133</f>
        <v>0</v>
      </c>
      <c r="B133" s="162">
        <f xml:space="preserve"> 'CASE DATA'!B133</f>
        <v>0</v>
      </c>
      <c r="C133" s="163">
        <f xml:space="preserve"> 'CASE DATA'!C133</f>
        <v>0</v>
      </c>
      <c r="D133" s="162">
        <f xml:space="preserve"> 'CASE DATA'!E133</f>
        <v>0</v>
      </c>
      <c r="E133" s="162">
        <f xml:space="preserve"> 'CASE DATA'!F133</f>
        <v>0</v>
      </c>
      <c r="F133" s="138">
        <f xml:space="preserve"> 'CASE DATA'!G133</f>
        <v>0</v>
      </c>
      <c r="G133" s="6" t="str">
        <f>IF(AND(F133="YES", OR(E133="GTR",E133="GPL",E133="DEF",E133="JUV")), 'CASE DATA'!K133, "N/A")</f>
        <v>N/A</v>
      </c>
      <c r="H133" s="6" t="str">
        <f>IF(AND(F133="YES", OR(E133="GTR",E133="GPL",E133="DEF",E133="JUV")), (SUM('CASE DATA'!I133:J133)+SUM('CASE DATA'!L133:R133)), "N/A")</f>
        <v>N/A</v>
      </c>
      <c r="I133" s="21" t="str">
        <f t="shared" si="12"/>
        <v>N/A</v>
      </c>
      <c r="J133" s="6" t="str">
        <f t="shared" si="13"/>
        <v>NO</v>
      </c>
      <c r="K133" s="6" t="str">
        <f>IF(J133="YES",'CASE DATA'!K133,"N/A")</f>
        <v>N/A</v>
      </c>
      <c r="L133" s="6" t="str">
        <f>IF(J133="YES", SUM('CASE DATA'!I133:J133)+SUM('CASE DATA'!L133:R133),"N/A")</f>
        <v>N/A</v>
      </c>
      <c r="M133" s="21">
        <f t="shared" si="14"/>
        <v>0</v>
      </c>
    </row>
    <row r="134" spans="1:13" x14ac:dyDescent="0.25">
      <c r="A134" s="162">
        <f xml:space="preserve"> 'CASE DATA'!A134</f>
        <v>0</v>
      </c>
      <c r="B134" s="162">
        <f xml:space="preserve"> 'CASE DATA'!B134</f>
        <v>0</v>
      </c>
      <c r="C134" s="163">
        <f xml:space="preserve"> 'CASE DATA'!C134</f>
        <v>0</v>
      </c>
      <c r="D134" s="162">
        <f xml:space="preserve"> 'CASE DATA'!E134</f>
        <v>0</v>
      </c>
      <c r="E134" s="162">
        <f xml:space="preserve"> 'CASE DATA'!F134</f>
        <v>0</v>
      </c>
      <c r="F134" s="138">
        <f xml:space="preserve"> 'CASE DATA'!G134</f>
        <v>0</v>
      </c>
      <c r="G134" s="6" t="str">
        <f>IF(AND(F134="YES", OR(E134="GTR",E134="GPL",E134="DEF",E134="JUV")), 'CASE DATA'!K134, "N/A")</f>
        <v>N/A</v>
      </c>
      <c r="H134" s="6" t="str">
        <f>IF(AND(F134="YES", OR(E134="GTR",E134="GPL",E134="DEF",E134="JUV")), (SUM('CASE DATA'!I134:J134)+SUM('CASE DATA'!L134:R134)), "N/A")</f>
        <v>N/A</v>
      </c>
      <c r="I134" s="21" t="str">
        <f t="shared" si="12"/>
        <v>N/A</v>
      </c>
      <c r="J134" s="6" t="str">
        <f t="shared" si="13"/>
        <v>NO</v>
      </c>
      <c r="K134" s="6" t="str">
        <f>IF(J134="YES",'CASE DATA'!K134,"N/A")</f>
        <v>N/A</v>
      </c>
      <c r="L134" s="6" t="str">
        <f>IF(J134="YES", SUM('CASE DATA'!I134:J134)+SUM('CASE DATA'!L134:R134),"N/A")</f>
        <v>N/A</v>
      </c>
      <c r="M134" s="21">
        <f t="shared" si="14"/>
        <v>0</v>
      </c>
    </row>
    <row r="135" spans="1:13" x14ac:dyDescent="0.25">
      <c r="A135" s="162">
        <f xml:space="preserve"> 'CASE DATA'!A135</f>
        <v>0</v>
      </c>
      <c r="B135" s="162">
        <f xml:space="preserve"> 'CASE DATA'!B135</f>
        <v>0</v>
      </c>
      <c r="C135" s="163">
        <f xml:space="preserve"> 'CASE DATA'!C135</f>
        <v>0</v>
      </c>
      <c r="D135" s="162">
        <f xml:space="preserve"> 'CASE DATA'!E135</f>
        <v>0</v>
      </c>
      <c r="E135" s="162">
        <f xml:space="preserve"> 'CASE DATA'!F135</f>
        <v>0</v>
      </c>
      <c r="F135" s="138">
        <f xml:space="preserve"> 'CASE DATA'!G135</f>
        <v>0</v>
      </c>
      <c r="G135" s="6" t="str">
        <f>IF(AND(F135="YES", OR(E135="GTR",E135="GPL",E135="DEF",E135="JUV")), 'CASE DATA'!K135, "N/A")</f>
        <v>N/A</v>
      </c>
      <c r="H135" s="6" t="str">
        <f>IF(AND(F135="YES", OR(E135="GTR",E135="GPL",E135="DEF",E135="JUV")), (SUM('CASE DATA'!I135:J135)+SUM('CASE DATA'!L135:R135)), "N/A")</f>
        <v>N/A</v>
      </c>
      <c r="I135" s="21" t="str">
        <f t="shared" si="12"/>
        <v>N/A</v>
      </c>
      <c r="J135" s="6" t="str">
        <f t="shared" si="13"/>
        <v>NO</v>
      </c>
      <c r="K135" s="6" t="str">
        <f>IF(J135="YES",'CASE DATA'!K135,"N/A")</f>
        <v>N/A</v>
      </c>
      <c r="L135" s="6" t="str">
        <f>IF(J135="YES", SUM('CASE DATA'!I135:J135)+SUM('CASE DATA'!L135:R135),"N/A")</f>
        <v>N/A</v>
      </c>
      <c r="M135" s="21">
        <f t="shared" si="14"/>
        <v>0</v>
      </c>
    </row>
    <row r="136" spans="1:13" x14ac:dyDescent="0.25">
      <c r="A136" s="162">
        <f xml:space="preserve"> 'CASE DATA'!A136</f>
        <v>0</v>
      </c>
      <c r="B136" s="162">
        <f xml:space="preserve"> 'CASE DATA'!B136</f>
        <v>0</v>
      </c>
      <c r="C136" s="163">
        <f xml:space="preserve"> 'CASE DATA'!C136</f>
        <v>0</v>
      </c>
      <c r="D136" s="162">
        <f xml:space="preserve"> 'CASE DATA'!E136</f>
        <v>0</v>
      </c>
      <c r="E136" s="162">
        <f xml:space="preserve"> 'CASE DATA'!F136</f>
        <v>0</v>
      </c>
      <c r="F136" s="138">
        <f xml:space="preserve"> 'CASE DATA'!G136</f>
        <v>0</v>
      </c>
      <c r="G136" s="6" t="str">
        <f>IF(AND(F136="YES", OR(E136="GTR",E136="GPL",E136="DEF",E136="JUV")), 'CASE DATA'!K136, "N/A")</f>
        <v>N/A</v>
      </c>
      <c r="H136" s="6" t="str">
        <f>IF(AND(F136="YES", OR(E136="GTR",E136="GPL",E136="DEF",E136="JUV")), (SUM('CASE DATA'!I136:J136)+SUM('CASE DATA'!L136:R136)), "N/A")</f>
        <v>N/A</v>
      </c>
      <c r="I136" s="21" t="str">
        <f t="shared" si="12"/>
        <v>N/A</v>
      </c>
      <c r="J136" s="6" t="str">
        <f t="shared" si="13"/>
        <v>NO</v>
      </c>
      <c r="K136" s="6" t="str">
        <f>IF(J136="YES",'CASE DATA'!K136,"N/A")</f>
        <v>N/A</v>
      </c>
      <c r="L136" s="6" t="str">
        <f>IF(J136="YES", SUM('CASE DATA'!I136:J136)+SUM('CASE DATA'!L136:R136),"N/A")</f>
        <v>N/A</v>
      </c>
      <c r="M136" s="21">
        <f t="shared" si="14"/>
        <v>0</v>
      </c>
    </row>
    <row r="137" spans="1:13" x14ac:dyDescent="0.25">
      <c r="A137" s="162">
        <f xml:space="preserve"> 'CASE DATA'!A137</f>
        <v>0</v>
      </c>
      <c r="B137" s="162">
        <f xml:space="preserve"> 'CASE DATA'!B137</f>
        <v>0</v>
      </c>
      <c r="C137" s="163">
        <f xml:space="preserve"> 'CASE DATA'!C137</f>
        <v>0</v>
      </c>
      <c r="D137" s="162">
        <f xml:space="preserve"> 'CASE DATA'!E137</f>
        <v>0</v>
      </c>
      <c r="E137" s="162">
        <f xml:space="preserve"> 'CASE DATA'!F137</f>
        <v>0</v>
      </c>
      <c r="F137" s="138">
        <f xml:space="preserve"> 'CASE DATA'!G137</f>
        <v>0</v>
      </c>
      <c r="G137" s="6" t="str">
        <f>IF(AND(F137="YES", OR(E137="GTR",E137="GPL",E137="DEF",E137="JUV")), 'CASE DATA'!K137, "N/A")</f>
        <v>N/A</v>
      </c>
      <c r="H137" s="6" t="str">
        <f>IF(AND(F137="YES", OR(E137="GTR",E137="GPL",E137="DEF",E137="JUV")), (SUM('CASE DATA'!I137:J137)+SUM('CASE DATA'!L137:R137)), "N/A")</f>
        <v>N/A</v>
      </c>
      <c r="I137" s="21" t="str">
        <f t="shared" si="12"/>
        <v>N/A</v>
      </c>
      <c r="J137" s="6" t="str">
        <f t="shared" si="13"/>
        <v>NO</v>
      </c>
      <c r="K137" s="6" t="str">
        <f>IF(J137="YES",'CASE DATA'!K137,"N/A")</f>
        <v>N/A</v>
      </c>
      <c r="L137" s="6" t="str">
        <f>IF(J137="YES", SUM('CASE DATA'!I137:J137)+SUM('CASE DATA'!L137:R137),"N/A")</f>
        <v>N/A</v>
      </c>
      <c r="M137" s="21">
        <f t="shared" si="14"/>
        <v>0</v>
      </c>
    </row>
    <row r="138" spans="1:13" x14ac:dyDescent="0.25">
      <c r="A138" s="162">
        <f xml:space="preserve"> 'CASE DATA'!A138</f>
        <v>0</v>
      </c>
      <c r="B138" s="162">
        <f xml:space="preserve"> 'CASE DATA'!B138</f>
        <v>0</v>
      </c>
      <c r="C138" s="163">
        <f xml:space="preserve"> 'CASE DATA'!C138</f>
        <v>0</v>
      </c>
      <c r="D138" s="162">
        <f xml:space="preserve"> 'CASE DATA'!E138</f>
        <v>0</v>
      </c>
      <c r="E138" s="162">
        <f xml:space="preserve"> 'CASE DATA'!F138</f>
        <v>0</v>
      </c>
      <c r="F138" s="138">
        <f xml:space="preserve"> 'CASE DATA'!G138</f>
        <v>0</v>
      </c>
      <c r="G138" s="6" t="str">
        <f>IF(AND(F138="YES", OR(E138="GTR",E138="GPL",E138="DEF",E138="JUV")), 'CASE DATA'!K138, "N/A")</f>
        <v>N/A</v>
      </c>
      <c r="H138" s="6" t="str">
        <f>IF(AND(F138="YES", OR(E138="GTR",E138="GPL",E138="DEF",E138="JUV")), (SUM('CASE DATA'!I138:J138)+SUM('CASE DATA'!L138:R138)), "N/A")</f>
        <v>N/A</v>
      </c>
      <c r="I138" s="21" t="str">
        <f t="shared" si="12"/>
        <v>N/A</v>
      </c>
      <c r="J138" s="6" t="str">
        <f t="shared" si="13"/>
        <v>NO</v>
      </c>
      <c r="K138" s="6" t="str">
        <f>IF(J138="YES",'CASE DATA'!K138,"N/A")</f>
        <v>N/A</v>
      </c>
      <c r="L138" s="6" t="str">
        <f>IF(J138="YES", SUM('CASE DATA'!I138:J138)+SUM('CASE DATA'!L138:R138),"N/A")</f>
        <v>N/A</v>
      </c>
      <c r="M138" s="21">
        <f t="shared" si="14"/>
        <v>0</v>
      </c>
    </row>
    <row r="139" spans="1:13" x14ac:dyDescent="0.25">
      <c r="A139" s="162">
        <f xml:space="preserve"> 'CASE DATA'!A139</f>
        <v>0</v>
      </c>
      <c r="B139" s="162">
        <f xml:space="preserve"> 'CASE DATA'!B139</f>
        <v>0</v>
      </c>
      <c r="C139" s="163">
        <f xml:space="preserve"> 'CASE DATA'!C139</f>
        <v>0</v>
      </c>
      <c r="D139" s="162">
        <f xml:space="preserve"> 'CASE DATA'!E139</f>
        <v>0</v>
      </c>
      <c r="E139" s="162">
        <f xml:space="preserve"> 'CASE DATA'!F139</f>
        <v>0</v>
      </c>
      <c r="F139" s="138">
        <f xml:space="preserve"> 'CASE DATA'!G139</f>
        <v>0</v>
      </c>
      <c r="G139" s="6" t="str">
        <f>IF(AND(F139="YES", OR(E139="GTR",E139="GPL",E139="DEF",E139="JUV")), 'CASE DATA'!K139, "N/A")</f>
        <v>N/A</v>
      </c>
      <c r="H139" s="6" t="str">
        <f>IF(AND(F139="YES", OR(E139="GTR",E139="GPL",E139="DEF",E139="JUV")), (SUM('CASE DATA'!I139:J139)+SUM('CASE DATA'!L139:R139)), "N/A")</f>
        <v>N/A</v>
      </c>
      <c r="I139" s="21" t="str">
        <f t="shared" si="12"/>
        <v>N/A</v>
      </c>
      <c r="J139" s="6" t="str">
        <f t="shared" si="13"/>
        <v>NO</v>
      </c>
      <c r="K139" s="6" t="str">
        <f>IF(J139="YES",'CASE DATA'!K139,"N/A")</f>
        <v>N/A</v>
      </c>
      <c r="L139" s="6" t="str">
        <f>IF(J139="YES", SUM('CASE DATA'!I139:J139)+SUM('CASE DATA'!L139:R139),"N/A")</f>
        <v>N/A</v>
      </c>
      <c r="M139" s="21">
        <f t="shared" si="14"/>
        <v>0</v>
      </c>
    </row>
    <row r="140" spans="1:13" x14ac:dyDescent="0.25">
      <c r="A140" s="162">
        <f xml:space="preserve"> 'CASE DATA'!A140</f>
        <v>0</v>
      </c>
      <c r="B140" s="162">
        <f xml:space="preserve"> 'CASE DATA'!B140</f>
        <v>0</v>
      </c>
      <c r="C140" s="163">
        <f xml:space="preserve"> 'CASE DATA'!C140</f>
        <v>0</v>
      </c>
      <c r="D140" s="162">
        <f xml:space="preserve"> 'CASE DATA'!E140</f>
        <v>0</v>
      </c>
      <c r="E140" s="162">
        <f xml:space="preserve"> 'CASE DATA'!F140</f>
        <v>0</v>
      </c>
      <c r="F140" s="138">
        <f xml:space="preserve"> 'CASE DATA'!G140</f>
        <v>0</v>
      </c>
      <c r="G140" s="6" t="str">
        <f>IF(AND(F140="YES", OR(E140="GTR",E140="GPL",E140="DEF",E140="JUV")), 'CASE DATA'!K140, "N/A")</f>
        <v>N/A</v>
      </c>
      <c r="H140" s="6" t="str">
        <f>IF(AND(F140="YES", OR(E140="GTR",E140="GPL",E140="DEF",E140="JUV")), (SUM('CASE DATA'!I140:J140)+SUM('CASE DATA'!L140:R140)), "N/A")</f>
        <v>N/A</v>
      </c>
      <c r="I140" s="21" t="str">
        <f t="shared" si="12"/>
        <v>N/A</v>
      </c>
      <c r="J140" s="6" t="str">
        <f t="shared" si="13"/>
        <v>NO</v>
      </c>
      <c r="K140" s="6" t="str">
        <f>IF(J140="YES",'CASE DATA'!K140,"N/A")</f>
        <v>N/A</v>
      </c>
      <c r="L140" s="6" t="str">
        <f>IF(J140="YES", SUM('CASE DATA'!I140:J140)+SUM('CASE DATA'!L140:R140),"N/A")</f>
        <v>N/A</v>
      </c>
      <c r="M140" s="21">
        <f t="shared" si="14"/>
        <v>0</v>
      </c>
    </row>
    <row r="141" spans="1:13" x14ac:dyDescent="0.25">
      <c r="A141" s="162">
        <f xml:space="preserve"> 'CASE DATA'!A141</f>
        <v>0</v>
      </c>
      <c r="B141" s="162">
        <f xml:space="preserve"> 'CASE DATA'!B141</f>
        <v>0</v>
      </c>
      <c r="C141" s="163">
        <f xml:space="preserve"> 'CASE DATA'!C141</f>
        <v>0</v>
      </c>
      <c r="D141" s="162">
        <f xml:space="preserve"> 'CASE DATA'!E141</f>
        <v>0</v>
      </c>
      <c r="E141" s="162">
        <f xml:space="preserve"> 'CASE DATA'!F141</f>
        <v>0</v>
      </c>
      <c r="F141" s="138">
        <f xml:space="preserve"> 'CASE DATA'!G141</f>
        <v>0</v>
      </c>
      <c r="G141" s="6" t="str">
        <f>IF(AND(F141="YES", OR(E141="GTR",E141="GPL",E141="DEF",E141="JUV")), 'CASE DATA'!K141, "N/A")</f>
        <v>N/A</v>
      </c>
      <c r="H141" s="6" t="str">
        <f>IF(AND(F141="YES", OR(E141="GTR",E141="GPL",E141="DEF",E141="JUV")), (SUM('CASE DATA'!I141:J141)+SUM('CASE DATA'!L141:R141)), "N/A")</f>
        <v>N/A</v>
      </c>
      <c r="I141" s="21" t="str">
        <f t="shared" si="12"/>
        <v>N/A</v>
      </c>
      <c r="J141" s="6" t="str">
        <f t="shared" si="13"/>
        <v>NO</v>
      </c>
      <c r="K141" s="6" t="str">
        <f>IF(J141="YES",'CASE DATA'!K141,"N/A")</f>
        <v>N/A</v>
      </c>
      <c r="L141" s="6" t="str">
        <f>IF(J141="YES", SUM('CASE DATA'!I141:J141)+SUM('CASE DATA'!L141:R141),"N/A")</f>
        <v>N/A</v>
      </c>
      <c r="M141" s="21">
        <f t="shared" si="14"/>
        <v>0</v>
      </c>
    </row>
    <row r="142" spans="1:13" x14ac:dyDescent="0.25">
      <c r="A142" s="162">
        <f xml:space="preserve"> 'CASE DATA'!A142</f>
        <v>0</v>
      </c>
      <c r="B142" s="162">
        <f xml:space="preserve"> 'CASE DATA'!B142</f>
        <v>0</v>
      </c>
      <c r="C142" s="163">
        <f xml:space="preserve"> 'CASE DATA'!C142</f>
        <v>0</v>
      </c>
      <c r="D142" s="162">
        <f xml:space="preserve"> 'CASE DATA'!E142</f>
        <v>0</v>
      </c>
      <c r="E142" s="162">
        <f xml:space="preserve"> 'CASE DATA'!F142</f>
        <v>0</v>
      </c>
      <c r="F142" s="138">
        <f xml:space="preserve"> 'CASE DATA'!G142</f>
        <v>0</v>
      </c>
      <c r="G142" s="6" t="str">
        <f>IF(AND(F142="YES", OR(E142="GTR",E142="GPL",E142="DEF",E142="JUV")), 'CASE DATA'!K142, "N/A")</f>
        <v>N/A</v>
      </c>
      <c r="H142" s="6" t="str">
        <f>IF(AND(F142="YES", OR(E142="GTR",E142="GPL",E142="DEF",E142="JUV")), (SUM('CASE DATA'!I142:J142)+SUM('CASE DATA'!L142:R142)), "N/A")</f>
        <v>N/A</v>
      </c>
      <c r="I142" s="21" t="str">
        <f t="shared" si="12"/>
        <v>N/A</v>
      </c>
      <c r="J142" s="6" t="str">
        <f t="shared" si="13"/>
        <v>NO</v>
      </c>
      <c r="K142" s="6" t="str">
        <f>IF(J142="YES",'CASE DATA'!K142,"N/A")</f>
        <v>N/A</v>
      </c>
      <c r="L142" s="6" t="str">
        <f>IF(J142="YES", SUM('CASE DATA'!I142:J142)+SUM('CASE DATA'!L142:R142),"N/A")</f>
        <v>N/A</v>
      </c>
      <c r="M142" s="21">
        <f t="shared" si="14"/>
        <v>0</v>
      </c>
    </row>
    <row r="143" spans="1:13" x14ac:dyDescent="0.25">
      <c r="A143" s="162">
        <f xml:space="preserve"> 'CASE DATA'!A143</f>
        <v>0</v>
      </c>
      <c r="B143" s="162">
        <f xml:space="preserve"> 'CASE DATA'!B143</f>
        <v>0</v>
      </c>
      <c r="C143" s="163">
        <f xml:space="preserve"> 'CASE DATA'!C143</f>
        <v>0</v>
      </c>
      <c r="D143" s="162">
        <f xml:space="preserve"> 'CASE DATA'!E143</f>
        <v>0</v>
      </c>
      <c r="E143" s="162">
        <f xml:space="preserve"> 'CASE DATA'!F143</f>
        <v>0</v>
      </c>
      <c r="F143" s="138">
        <f xml:space="preserve"> 'CASE DATA'!G143</f>
        <v>0</v>
      </c>
      <c r="G143" s="6" t="str">
        <f>IF(AND(F143="YES", OR(E143="GTR",E143="GPL",E143="DEF",E143="JUV")), 'CASE DATA'!K143, "N/A")</f>
        <v>N/A</v>
      </c>
      <c r="H143" s="6" t="str">
        <f>IF(AND(F143="YES", OR(E143="GTR",E143="GPL",E143="DEF",E143="JUV")), (SUM('CASE DATA'!I143:J143)+SUM('CASE DATA'!L143:R143)), "N/A")</f>
        <v>N/A</v>
      </c>
      <c r="I143" s="21" t="str">
        <f t="shared" si="12"/>
        <v>N/A</v>
      </c>
      <c r="J143" s="6" t="str">
        <f t="shared" si="13"/>
        <v>NO</v>
      </c>
      <c r="K143" s="6" t="str">
        <f>IF(J143="YES",'CASE DATA'!K143,"N/A")</f>
        <v>N/A</v>
      </c>
      <c r="L143" s="6" t="str">
        <f>IF(J143="YES", SUM('CASE DATA'!I143:J143)+SUM('CASE DATA'!L143:R143),"N/A")</f>
        <v>N/A</v>
      </c>
      <c r="M143" s="21">
        <f t="shared" si="14"/>
        <v>0</v>
      </c>
    </row>
    <row r="144" spans="1:13" x14ac:dyDescent="0.25">
      <c r="A144" s="162">
        <f xml:space="preserve"> 'CASE DATA'!A144</f>
        <v>0</v>
      </c>
      <c r="B144" s="162">
        <f xml:space="preserve"> 'CASE DATA'!B144</f>
        <v>0</v>
      </c>
      <c r="C144" s="163">
        <f xml:space="preserve"> 'CASE DATA'!C144</f>
        <v>0</v>
      </c>
      <c r="D144" s="162">
        <f xml:space="preserve"> 'CASE DATA'!E144</f>
        <v>0</v>
      </c>
      <c r="E144" s="162">
        <f xml:space="preserve"> 'CASE DATA'!F144</f>
        <v>0</v>
      </c>
      <c r="F144" s="138">
        <f xml:space="preserve"> 'CASE DATA'!G144</f>
        <v>0</v>
      </c>
      <c r="G144" s="6" t="str">
        <f>IF(AND(F144="YES", OR(E144="GTR",E144="GPL",E144="DEF",E144="JUV")), 'CASE DATA'!K144, "N/A")</f>
        <v>N/A</v>
      </c>
      <c r="H144" s="6" t="str">
        <f>IF(AND(F144="YES", OR(E144="GTR",E144="GPL",E144="DEF",E144="JUV")), (SUM('CASE DATA'!I144:J144)+SUM('CASE DATA'!L144:R144)), "N/A")</f>
        <v>N/A</v>
      </c>
      <c r="I144" s="21" t="str">
        <f t="shared" si="12"/>
        <v>N/A</v>
      </c>
      <c r="J144" s="6" t="str">
        <f t="shared" si="13"/>
        <v>NO</v>
      </c>
      <c r="K144" s="6" t="str">
        <f>IF(J144="YES",'CASE DATA'!K144,"N/A")</f>
        <v>N/A</v>
      </c>
      <c r="L144" s="6" t="str">
        <f>IF(J144="YES", SUM('CASE DATA'!I144:J144)+SUM('CASE DATA'!L144:R144),"N/A")</f>
        <v>N/A</v>
      </c>
      <c r="M144" s="21">
        <f t="shared" si="14"/>
        <v>0</v>
      </c>
    </row>
    <row r="145" spans="1:13" x14ac:dyDescent="0.25">
      <c r="A145" s="162">
        <f xml:space="preserve"> 'CASE DATA'!A145</f>
        <v>0</v>
      </c>
      <c r="B145" s="162">
        <f xml:space="preserve"> 'CASE DATA'!B145</f>
        <v>0</v>
      </c>
      <c r="C145" s="163">
        <f xml:space="preserve"> 'CASE DATA'!C145</f>
        <v>0</v>
      </c>
      <c r="D145" s="162">
        <f xml:space="preserve"> 'CASE DATA'!E145</f>
        <v>0</v>
      </c>
      <c r="E145" s="162">
        <f xml:space="preserve"> 'CASE DATA'!F145</f>
        <v>0</v>
      </c>
      <c r="F145" s="138">
        <f xml:space="preserve"> 'CASE DATA'!G145</f>
        <v>0</v>
      </c>
      <c r="G145" s="6" t="str">
        <f>IF(AND(F145="YES", OR(E145="GTR",E145="GPL",E145="DEF",E145="JUV")), 'CASE DATA'!K145, "N/A")</f>
        <v>N/A</v>
      </c>
      <c r="H145" s="6" t="str">
        <f>IF(AND(F145="YES", OR(E145="GTR",E145="GPL",E145="DEF",E145="JUV")), (SUM('CASE DATA'!I145:J145)+SUM('CASE DATA'!L145:R145)), "N/A")</f>
        <v>N/A</v>
      </c>
      <c r="I145" s="21" t="str">
        <f t="shared" si="12"/>
        <v>N/A</v>
      </c>
      <c r="J145" s="6" t="str">
        <f t="shared" si="13"/>
        <v>NO</v>
      </c>
      <c r="K145" s="6" t="str">
        <f>IF(J145="YES",'CASE DATA'!K145,"N/A")</f>
        <v>N/A</v>
      </c>
      <c r="L145" s="6" t="str">
        <f>IF(J145="YES", SUM('CASE DATA'!I145:J145)+SUM('CASE DATA'!L145:R145),"N/A")</f>
        <v>N/A</v>
      </c>
      <c r="M145" s="21">
        <f t="shared" si="14"/>
        <v>0</v>
      </c>
    </row>
    <row r="146" spans="1:13" x14ac:dyDescent="0.25">
      <c r="A146" s="162">
        <f xml:space="preserve"> 'CASE DATA'!A146</f>
        <v>0</v>
      </c>
      <c r="B146" s="162">
        <f xml:space="preserve"> 'CASE DATA'!B146</f>
        <v>0</v>
      </c>
      <c r="C146" s="163">
        <f xml:space="preserve"> 'CASE DATA'!C146</f>
        <v>0</v>
      </c>
      <c r="D146" s="162">
        <f xml:space="preserve"> 'CASE DATA'!E146</f>
        <v>0</v>
      </c>
      <c r="E146" s="162">
        <f xml:space="preserve"> 'CASE DATA'!F146</f>
        <v>0</v>
      </c>
      <c r="F146" s="138">
        <f xml:space="preserve"> 'CASE DATA'!G146</f>
        <v>0</v>
      </c>
      <c r="G146" s="6" t="str">
        <f>IF(AND(F146="YES", OR(E146="GTR",E146="GPL",E146="DEF",E146="JUV")), 'CASE DATA'!K146, "N/A")</f>
        <v>N/A</v>
      </c>
      <c r="H146" s="6" t="str">
        <f>IF(AND(F146="YES", OR(E146="GTR",E146="GPL",E146="DEF",E146="JUV")), (SUM('CASE DATA'!I146:J146)+SUM('CASE DATA'!L146:R146)), "N/A")</f>
        <v>N/A</v>
      </c>
      <c r="I146" s="21" t="str">
        <f t="shared" si="12"/>
        <v>N/A</v>
      </c>
      <c r="J146" s="6" t="str">
        <f t="shared" si="13"/>
        <v>NO</v>
      </c>
      <c r="K146" s="6" t="str">
        <f>IF(J146="YES",'CASE DATA'!K146,"N/A")</f>
        <v>N/A</v>
      </c>
      <c r="L146" s="6" t="str">
        <f>IF(J146="YES", SUM('CASE DATA'!I146:J146)+SUM('CASE DATA'!L146:R146),"N/A")</f>
        <v>N/A</v>
      </c>
      <c r="M146" s="21">
        <f t="shared" si="14"/>
        <v>0</v>
      </c>
    </row>
    <row r="147" spans="1:13" x14ac:dyDescent="0.25">
      <c r="A147" s="162">
        <f xml:space="preserve"> 'CASE DATA'!A147</f>
        <v>0</v>
      </c>
      <c r="B147" s="162">
        <f xml:space="preserve"> 'CASE DATA'!B147</f>
        <v>0</v>
      </c>
      <c r="C147" s="163">
        <f xml:space="preserve"> 'CASE DATA'!C147</f>
        <v>0</v>
      </c>
      <c r="D147" s="162">
        <f xml:space="preserve"> 'CASE DATA'!E147</f>
        <v>0</v>
      </c>
      <c r="E147" s="162">
        <f xml:space="preserve"> 'CASE DATA'!F147</f>
        <v>0</v>
      </c>
      <c r="F147" s="138">
        <f xml:space="preserve"> 'CASE DATA'!G147</f>
        <v>0</v>
      </c>
      <c r="G147" s="6" t="str">
        <f>IF(AND(F147="YES", OR(E147="GTR",E147="GPL",E147="DEF",E147="JUV")), 'CASE DATA'!K147, "N/A")</f>
        <v>N/A</v>
      </c>
      <c r="H147" s="6" t="str">
        <f>IF(AND(F147="YES", OR(E147="GTR",E147="GPL",E147="DEF",E147="JUV")), (SUM('CASE DATA'!I147:J147)+SUM('CASE DATA'!L147:R147)), "N/A")</f>
        <v>N/A</v>
      </c>
      <c r="I147" s="21" t="str">
        <f t="shared" si="12"/>
        <v>N/A</v>
      </c>
      <c r="J147" s="6" t="str">
        <f t="shared" si="13"/>
        <v>NO</v>
      </c>
      <c r="K147" s="6" t="str">
        <f>IF(J147="YES",'CASE DATA'!K147,"N/A")</f>
        <v>N/A</v>
      </c>
      <c r="L147" s="6" t="str">
        <f>IF(J147="YES", SUM('CASE DATA'!I147:J147)+SUM('CASE DATA'!L147:R147),"N/A")</f>
        <v>N/A</v>
      </c>
      <c r="M147" s="21">
        <f t="shared" si="14"/>
        <v>0</v>
      </c>
    </row>
    <row r="148" spans="1:13" x14ac:dyDescent="0.25">
      <c r="A148" s="162">
        <f xml:space="preserve"> 'CASE DATA'!A148</f>
        <v>0</v>
      </c>
      <c r="B148" s="162">
        <f xml:space="preserve"> 'CASE DATA'!B148</f>
        <v>0</v>
      </c>
      <c r="C148" s="163">
        <f xml:space="preserve"> 'CASE DATA'!C148</f>
        <v>0</v>
      </c>
      <c r="D148" s="162">
        <f xml:space="preserve"> 'CASE DATA'!E148</f>
        <v>0</v>
      </c>
      <c r="E148" s="162">
        <f xml:space="preserve"> 'CASE DATA'!F148</f>
        <v>0</v>
      </c>
      <c r="F148" s="138">
        <f xml:space="preserve"> 'CASE DATA'!G148</f>
        <v>0</v>
      </c>
      <c r="G148" s="6" t="str">
        <f>IF(AND(F148="YES", OR(E148="GTR",E148="GPL",E148="DEF",E148="JUV")), 'CASE DATA'!K148, "N/A")</f>
        <v>N/A</v>
      </c>
      <c r="H148" s="6" t="str">
        <f>IF(AND(F148="YES", OR(E148="GTR",E148="GPL",E148="DEF",E148="JUV")), (SUM('CASE DATA'!I148:J148)+SUM('CASE DATA'!L148:R148)), "N/A")</f>
        <v>N/A</v>
      </c>
      <c r="I148" s="21" t="str">
        <f t="shared" si="12"/>
        <v>N/A</v>
      </c>
      <c r="J148" s="6" t="str">
        <f t="shared" si="13"/>
        <v>NO</v>
      </c>
      <c r="K148" s="6" t="str">
        <f>IF(J148="YES",'CASE DATA'!K148,"N/A")</f>
        <v>N/A</v>
      </c>
      <c r="L148" s="6" t="str">
        <f>IF(J148="YES", SUM('CASE DATA'!I148:J148)+SUM('CASE DATA'!L148:R148),"N/A")</f>
        <v>N/A</v>
      </c>
      <c r="M148" s="21">
        <f t="shared" si="14"/>
        <v>0</v>
      </c>
    </row>
    <row r="149" spans="1:13" x14ac:dyDescent="0.25">
      <c r="A149" s="162">
        <f xml:space="preserve"> 'CASE DATA'!A149</f>
        <v>0</v>
      </c>
      <c r="B149" s="162">
        <f xml:space="preserve"> 'CASE DATA'!B149</f>
        <v>0</v>
      </c>
      <c r="C149" s="163">
        <f xml:space="preserve"> 'CASE DATA'!C149</f>
        <v>0</v>
      </c>
      <c r="D149" s="162">
        <f xml:space="preserve"> 'CASE DATA'!E149</f>
        <v>0</v>
      </c>
      <c r="E149" s="162">
        <f xml:space="preserve"> 'CASE DATA'!F149</f>
        <v>0</v>
      </c>
      <c r="F149" s="138">
        <f xml:space="preserve"> 'CASE DATA'!G149</f>
        <v>0</v>
      </c>
      <c r="G149" s="6" t="str">
        <f>IF(AND(F149="YES", OR(E149="GTR",E149="GPL",E149="DEF",E149="JUV")), 'CASE DATA'!K149, "N/A")</f>
        <v>N/A</v>
      </c>
      <c r="H149" s="6" t="str">
        <f>IF(AND(F149="YES", OR(E149="GTR",E149="GPL",E149="DEF",E149="JUV")), (SUM('CASE DATA'!I149:J149)+SUM('CASE DATA'!L149:R149)), "N/A")</f>
        <v>N/A</v>
      </c>
      <c r="I149" s="21" t="str">
        <f t="shared" si="12"/>
        <v>N/A</v>
      </c>
      <c r="J149" s="6" t="str">
        <f t="shared" si="13"/>
        <v>NO</v>
      </c>
      <c r="K149" s="6" t="str">
        <f>IF(J149="YES",'CASE DATA'!K149,"N/A")</f>
        <v>N/A</v>
      </c>
      <c r="L149" s="6" t="str">
        <f>IF(J149="YES", SUM('CASE DATA'!I149:J149)+SUM('CASE DATA'!L149:R149),"N/A")</f>
        <v>N/A</v>
      </c>
      <c r="M149" s="21">
        <f t="shared" si="14"/>
        <v>0</v>
      </c>
    </row>
    <row r="150" spans="1:13" x14ac:dyDescent="0.25">
      <c r="A150" s="162">
        <f xml:space="preserve"> 'CASE DATA'!A150</f>
        <v>0</v>
      </c>
      <c r="B150" s="162">
        <f xml:space="preserve"> 'CASE DATA'!B150</f>
        <v>0</v>
      </c>
      <c r="C150" s="163">
        <f xml:space="preserve"> 'CASE DATA'!C150</f>
        <v>0</v>
      </c>
      <c r="D150" s="162">
        <f xml:space="preserve"> 'CASE DATA'!E150</f>
        <v>0</v>
      </c>
      <c r="E150" s="162">
        <f xml:space="preserve"> 'CASE DATA'!F150</f>
        <v>0</v>
      </c>
      <c r="F150" s="138">
        <f xml:space="preserve"> 'CASE DATA'!G150</f>
        <v>0</v>
      </c>
      <c r="G150" s="6" t="str">
        <f>IF(AND(F150="YES", OR(E150="GTR",E150="GPL",E150="DEF",E150="JUV")), 'CASE DATA'!K150, "N/A")</f>
        <v>N/A</v>
      </c>
      <c r="H150" s="6" t="str">
        <f>IF(AND(F150="YES", OR(E150="GTR",E150="GPL",E150="DEF",E150="JUV")), (SUM('CASE DATA'!I150:J150)+SUM('CASE DATA'!L150:R150)), "N/A")</f>
        <v>N/A</v>
      </c>
      <c r="I150" s="21" t="str">
        <f t="shared" si="12"/>
        <v>N/A</v>
      </c>
      <c r="J150" s="6" t="str">
        <f t="shared" si="13"/>
        <v>NO</v>
      </c>
      <c r="K150" s="6" t="str">
        <f>IF(J150="YES",'CASE DATA'!K150,"N/A")</f>
        <v>N/A</v>
      </c>
      <c r="L150" s="6" t="str">
        <f>IF(J150="YES", SUM('CASE DATA'!I150:J150)+SUM('CASE DATA'!L150:R150),"N/A")</f>
        <v>N/A</v>
      </c>
      <c r="M150" s="21">
        <f t="shared" si="14"/>
        <v>0</v>
      </c>
    </row>
    <row r="151" spans="1:13" x14ac:dyDescent="0.25">
      <c r="A151" s="162">
        <f xml:space="preserve"> 'CASE DATA'!A151</f>
        <v>0</v>
      </c>
      <c r="B151" s="162">
        <f xml:space="preserve"> 'CASE DATA'!B151</f>
        <v>0</v>
      </c>
      <c r="C151" s="163">
        <f xml:space="preserve"> 'CASE DATA'!C151</f>
        <v>0</v>
      </c>
      <c r="D151" s="162">
        <f xml:space="preserve"> 'CASE DATA'!E151</f>
        <v>0</v>
      </c>
      <c r="E151" s="162">
        <f xml:space="preserve"> 'CASE DATA'!F151</f>
        <v>0</v>
      </c>
      <c r="F151" s="138">
        <f xml:space="preserve"> 'CASE DATA'!G151</f>
        <v>0</v>
      </c>
      <c r="G151" s="6" t="str">
        <f>IF(AND(F151="YES", OR(E151="GTR",E151="GPL",E151="DEF",E151="JUV")), 'CASE DATA'!K151, "N/A")</f>
        <v>N/A</v>
      </c>
      <c r="H151" s="6" t="str">
        <f>IF(AND(F151="YES", OR(E151="GTR",E151="GPL",E151="DEF",E151="JUV")), (SUM('CASE DATA'!I151:J151)+SUM('CASE DATA'!L151:R151)), "N/A")</f>
        <v>N/A</v>
      </c>
      <c r="I151" s="21" t="str">
        <f t="shared" si="12"/>
        <v>N/A</v>
      </c>
      <c r="J151" s="6" t="str">
        <f t="shared" si="13"/>
        <v>NO</v>
      </c>
      <c r="K151" s="6" t="str">
        <f>IF(J151="YES",'CASE DATA'!K151,"N/A")</f>
        <v>N/A</v>
      </c>
      <c r="L151" s="6" t="str">
        <f>IF(J151="YES", SUM('CASE DATA'!I151:J151)+SUM('CASE DATA'!L151:R151),"N/A")</f>
        <v>N/A</v>
      </c>
      <c r="M151" s="21">
        <f t="shared" si="14"/>
        <v>0</v>
      </c>
    </row>
    <row r="152" spans="1:13" x14ac:dyDescent="0.25">
      <c r="A152" s="162">
        <f xml:space="preserve"> 'CASE DATA'!A152</f>
        <v>0</v>
      </c>
      <c r="B152" s="162">
        <f xml:space="preserve"> 'CASE DATA'!B152</f>
        <v>0</v>
      </c>
      <c r="C152" s="163">
        <f xml:space="preserve"> 'CASE DATA'!C152</f>
        <v>0</v>
      </c>
      <c r="D152" s="162">
        <f xml:space="preserve"> 'CASE DATA'!E152</f>
        <v>0</v>
      </c>
      <c r="E152" s="162">
        <f xml:space="preserve"> 'CASE DATA'!F152</f>
        <v>0</v>
      </c>
      <c r="F152" s="138">
        <f xml:space="preserve"> 'CASE DATA'!G152</f>
        <v>0</v>
      </c>
      <c r="G152" s="6" t="str">
        <f>IF(AND(F152="YES", OR(E152="GTR",E152="GPL",E152="DEF",E152="JUV")), 'CASE DATA'!K152, "N/A")</f>
        <v>N/A</v>
      </c>
      <c r="H152" s="6" t="str">
        <f>IF(AND(F152="YES", OR(E152="GTR",E152="GPL",E152="DEF",E152="JUV")), (SUM('CASE DATA'!I152:J152)+SUM('CASE DATA'!L152:R152)), "N/A")</f>
        <v>N/A</v>
      </c>
      <c r="I152" s="21" t="str">
        <f t="shared" si="12"/>
        <v>N/A</v>
      </c>
      <c r="J152" s="6" t="str">
        <f t="shared" si="13"/>
        <v>NO</v>
      </c>
      <c r="K152" s="6" t="str">
        <f>IF(J152="YES",'CASE DATA'!K152,"N/A")</f>
        <v>N/A</v>
      </c>
      <c r="L152" s="6" t="str">
        <f>IF(J152="YES", SUM('CASE DATA'!I152:J152)+SUM('CASE DATA'!L152:R152),"N/A")</f>
        <v>N/A</v>
      </c>
      <c r="M152" s="21">
        <f t="shared" si="14"/>
        <v>0</v>
      </c>
    </row>
    <row r="153" spans="1:13" x14ac:dyDescent="0.25">
      <c r="A153" s="162">
        <f xml:space="preserve"> 'CASE DATA'!A153</f>
        <v>0</v>
      </c>
      <c r="B153" s="162">
        <f xml:space="preserve"> 'CASE DATA'!B153</f>
        <v>0</v>
      </c>
      <c r="C153" s="163">
        <f xml:space="preserve"> 'CASE DATA'!C153</f>
        <v>0</v>
      </c>
      <c r="D153" s="162">
        <f xml:space="preserve"> 'CASE DATA'!E153</f>
        <v>0</v>
      </c>
      <c r="E153" s="162">
        <f xml:space="preserve"> 'CASE DATA'!F153</f>
        <v>0</v>
      </c>
      <c r="F153" s="138">
        <f xml:space="preserve"> 'CASE DATA'!G153</f>
        <v>0</v>
      </c>
      <c r="G153" s="6" t="str">
        <f>IF(AND(F153="YES", OR(E153="GTR",E153="GPL",E153="DEF",E153="JUV")), 'CASE DATA'!K153, "N/A")</f>
        <v>N/A</v>
      </c>
      <c r="H153" s="6" t="str">
        <f>IF(AND(F153="YES", OR(E153="GTR",E153="GPL",E153="DEF",E153="JUV")), (SUM('CASE DATA'!I153:J153)+SUM('CASE DATA'!L153:R153)), "N/A")</f>
        <v>N/A</v>
      </c>
      <c r="I153" s="21" t="str">
        <f t="shared" si="12"/>
        <v>N/A</v>
      </c>
      <c r="J153" s="6" t="str">
        <f t="shared" si="13"/>
        <v>NO</v>
      </c>
      <c r="K153" s="6" t="str">
        <f>IF(J153="YES",'CASE DATA'!K153,"N/A")</f>
        <v>N/A</v>
      </c>
      <c r="L153" s="6" t="str">
        <f>IF(J153="YES", SUM('CASE DATA'!I153:J153)+SUM('CASE DATA'!L153:R153),"N/A")</f>
        <v>N/A</v>
      </c>
      <c r="M153" s="21">
        <f t="shared" si="14"/>
        <v>0</v>
      </c>
    </row>
    <row r="154" spans="1:13" x14ac:dyDescent="0.25">
      <c r="A154" s="162">
        <f xml:space="preserve"> 'CASE DATA'!A154</f>
        <v>0</v>
      </c>
      <c r="B154" s="162">
        <f xml:space="preserve"> 'CASE DATA'!B154</f>
        <v>0</v>
      </c>
      <c r="C154" s="163">
        <f xml:space="preserve"> 'CASE DATA'!C154</f>
        <v>0</v>
      </c>
      <c r="D154" s="162">
        <f xml:space="preserve"> 'CASE DATA'!E154</f>
        <v>0</v>
      </c>
      <c r="E154" s="162">
        <f xml:space="preserve"> 'CASE DATA'!F154</f>
        <v>0</v>
      </c>
      <c r="F154" s="138">
        <f xml:space="preserve"> 'CASE DATA'!G154</f>
        <v>0</v>
      </c>
      <c r="G154" s="6" t="str">
        <f>IF(AND(F154="YES", OR(E154="GTR",E154="GPL",E154="DEF",E154="JUV")), 'CASE DATA'!K154, "N/A")</f>
        <v>N/A</v>
      </c>
      <c r="H154" s="6" t="str">
        <f>IF(AND(F154="YES", OR(E154="GTR",E154="GPL",E154="DEF",E154="JUV")), (SUM('CASE DATA'!I154:J154)+SUM('CASE DATA'!L154:R154)), "N/A")</f>
        <v>N/A</v>
      </c>
      <c r="I154" s="21" t="str">
        <f t="shared" si="12"/>
        <v>N/A</v>
      </c>
      <c r="J154" s="6" t="str">
        <f t="shared" si="13"/>
        <v>NO</v>
      </c>
      <c r="K154" s="6" t="str">
        <f>IF(J154="YES",'CASE DATA'!K154,"N/A")</f>
        <v>N/A</v>
      </c>
      <c r="L154" s="6" t="str">
        <f>IF(J154="YES", SUM('CASE DATA'!I154:J154)+SUM('CASE DATA'!L154:R154),"N/A")</f>
        <v>N/A</v>
      </c>
      <c r="M154" s="21">
        <f t="shared" si="14"/>
        <v>0</v>
      </c>
    </row>
    <row r="155" spans="1:13" x14ac:dyDescent="0.25">
      <c r="A155" s="162">
        <f xml:space="preserve"> 'CASE DATA'!A155</f>
        <v>0</v>
      </c>
      <c r="B155" s="162">
        <f xml:space="preserve"> 'CASE DATA'!B155</f>
        <v>0</v>
      </c>
      <c r="C155" s="163">
        <f xml:space="preserve"> 'CASE DATA'!C155</f>
        <v>0</v>
      </c>
      <c r="D155" s="162">
        <f xml:space="preserve"> 'CASE DATA'!E155</f>
        <v>0</v>
      </c>
      <c r="E155" s="162">
        <f xml:space="preserve"> 'CASE DATA'!F155</f>
        <v>0</v>
      </c>
      <c r="F155" s="138">
        <f xml:space="preserve"> 'CASE DATA'!G155</f>
        <v>0</v>
      </c>
      <c r="G155" s="6" t="str">
        <f>IF(AND(F155="YES", OR(E155="GTR",E155="GPL",E155="DEF",E155="JUV")), 'CASE DATA'!K155, "N/A")</f>
        <v>N/A</v>
      </c>
      <c r="H155" s="6" t="str">
        <f>IF(AND(F155="YES", OR(E155="GTR",E155="GPL",E155="DEF",E155="JUV")), (SUM('CASE DATA'!I155:J155)+SUM('CASE DATA'!L155:R155)), "N/A")</f>
        <v>N/A</v>
      </c>
      <c r="I155" s="21" t="str">
        <f t="shared" si="12"/>
        <v>N/A</v>
      </c>
      <c r="J155" s="6" t="str">
        <f t="shared" si="13"/>
        <v>NO</v>
      </c>
      <c r="K155" s="6" t="str">
        <f>IF(J155="YES",'CASE DATA'!K155,"N/A")</f>
        <v>N/A</v>
      </c>
      <c r="L155" s="6" t="str">
        <f>IF(J155="YES", SUM('CASE DATA'!I155:J155)+SUM('CASE DATA'!L155:R155),"N/A")</f>
        <v>N/A</v>
      </c>
      <c r="M155" s="21">
        <f t="shared" si="14"/>
        <v>0</v>
      </c>
    </row>
    <row r="156" spans="1:13" x14ac:dyDescent="0.25">
      <c r="A156" s="162">
        <f xml:space="preserve"> 'CASE DATA'!A156</f>
        <v>0</v>
      </c>
      <c r="B156" s="162">
        <f xml:space="preserve"> 'CASE DATA'!B156</f>
        <v>0</v>
      </c>
      <c r="C156" s="163">
        <f xml:space="preserve"> 'CASE DATA'!C156</f>
        <v>0</v>
      </c>
      <c r="D156" s="162">
        <f xml:space="preserve"> 'CASE DATA'!E156</f>
        <v>0</v>
      </c>
      <c r="E156" s="162">
        <f xml:space="preserve"> 'CASE DATA'!F156</f>
        <v>0</v>
      </c>
      <c r="F156" s="138">
        <f xml:space="preserve"> 'CASE DATA'!G156</f>
        <v>0</v>
      </c>
      <c r="G156" s="6" t="str">
        <f>IF(AND(F156="YES", OR(E156="GTR",E156="GPL",E156="DEF",E156="JUV")), 'CASE DATA'!K156, "N/A")</f>
        <v>N/A</v>
      </c>
      <c r="H156" s="6" t="str">
        <f>IF(AND(F156="YES", OR(E156="GTR",E156="GPL",E156="DEF",E156="JUV")), (SUM('CASE DATA'!I156:J156)+SUM('CASE DATA'!L156:R156)), "N/A")</f>
        <v>N/A</v>
      </c>
      <c r="I156" s="21" t="str">
        <f t="shared" si="12"/>
        <v>N/A</v>
      </c>
      <c r="J156" s="6" t="str">
        <f t="shared" si="13"/>
        <v>NO</v>
      </c>
      <c r="K156" s="6" t="str">
        <f>IF(J156="YES",'CASE DATA'!K156,"N/A")</f>
        <v>N/A</v>
      </c>
      <c r="L156" s="6" t="str">
        <f>IF(J156="YES", SUM('CASE DATA'!I156:J156)+SUM('CASE DATA'!L156:R156),"N/A")</f>
        <v>N/A</v>
      </c>
      <c r="M156" s="21">
        <f t="shared" si="14"/>
        <v>0</v>
      </c>
    </row>
    <row r="157" spans="1:13" x14ac:dyDescent="0.25">
      <c r="A157" s="162">
        <f xml:space="preserve"> 'CASE DATA'!A157</f>
        <v>0</v>
      </c>
      <c r="B157" s="162">
        <f xml:space="preserve"> 'CASE DATA'!B157</f>
        <v>0</v>
      </c>
      <c r="C157" s="163">
        <f xml:space="preserve"> 'CASE DATA'!C157</f>
        <v>0</v>
      </c>
      <c r="D157" s="162">
        <f xml:space="preserve"> 'CASE DATA'!E157</f>
        <v>0</v>
      </c>
      <c r="E157" s="162">
        <f xml:space="preserve"> 'CASE DATA'!F157</f>
        <v>0</v>
      </c>
      <c r="F157" s="138">
        <f xml:space="preserve"> 'CASE DATA'!G157</f>
        <v>0</v>
      </c>
      <c r="G157" s="6" t="str">
        <f>IF(AND(F157="YES", OR(E157="GTR",E157="GPL",E157="DEF",E157="JUV")), 'CASE DATA'!K157, "N/A")</f>
        <v>N/A</v>
      </c>
      <c r="H157" s="6" t="str">
        <f>IF(AND(F157="YES", OR(E157="GTR",E157="GPL",E157="DEF",E157="JUV")), (SUM('CASE DATA'!I157:J157)+SUM('CASE DATA'!L157:R157)), "N/A")</f>
        <v>N/A</v>
      </c>
      <c r="I157" s="21" t="str">
        <f t="shared" si="12"/>
        <v>N/A</v>
      </c>
      <c r="J157" s="6" t="str">
        <f t="shared" si="13"/>
        <v>NO</v>
      </c>
      <c r="K157" s="6" t="str">
        <f>IF(J157="YES",'CASE DATA'!K157,"N/A")</f>
        <v>N/A</v>
      </c>
      <c r="L157" s="6" t="str">
        <f>IF(J157="YES", SUM('CASE DATA'!I157:J157)+SUM('CASE DATA'!L157:R157),"N/A")</f>
        <v>N/A</v>
      </c>
      <c r="M157" s="21">
        <f t="shared" si="14"/>
        <v>0</v>
      </c>
    </row>
    <row r="158" spans="1:13" x14ac:dyDescent="0.25">
      <c r="A158" s="162">
        <f xml:space="preserve"> 'CASE DATA'!A158</f>
        <v>0</v>
      </c>
      <c r="B158" s="162">
        <f xml:space="preserve"> 'CASE DATA'!B158</f>
        <v>0</v>
      </c>
      <c r="C158" s="163">
        <f xml:space="preserve"> 'CASE DATA'!C158</f>
        <v>0</v>
      </c>
      <c r="D158" s="162">
        <f xml:space="preserve"> 'CASE DATA'!E158</f>
        <v>0</v>
      </c>
      <c r="E158" s="162">
        <f xml:space="preserve"> 'CASE DATA'!F158</f>
        <v>0</v>
      </c>
      <c r="F158" s="138">
        <f xml:space="preserve"> 'CASE DATA'!G158</f>
        <v>0</v>
      </c>
      <c r="G158" s="6" t="str">
        <f>IF(AND(F158="YES", OR(E158="GTR",E158="GPL",E158="DEF",E158="JUV")), 'CASE DATA'!K158, "N/A")</f>
        <v>N/A</v>
      </c>
      <c r="H158" s="6" t="str">
        <f>IF(AND(F158="YES", OR(E158="GTR",E158="GPL",E158="DEF",E158="JUV")), (SUM('CASE DATA'!I158:J158)+SUM('CASE DATA'!L158:R158)), "N/A")</f>
        <v>N/A</v>
      </c>
      <c r="I158" s="21" t="str">
        <f t="shared" si="12"/>
        <v>N/A</v>
      </c>
      <c r="J158" s="6" t="str">
        <f t="shared" si="13"/>
        <v>NO</v>
      </c>
      <c r="K158" s="6" t="str">
        <f>IF(J158="YES",'CASE DATA'!K158,"N/A")</f>
        <v>N/A</v>
      </c>
      <c r="L158" s="6" t="str">
        <f>IF(J158="YES", SUM('CASE DATA'!I158:J158)+SUM('CASE DATA'!L158:R158),"N/A")</f>
        <v>N/A</v>
      </c>
      <c r="M158" s="21">
        <f t="shared" si="14"/>
        <v>0</v>
      </c>
    </row>
    <row r="159" spans="1:13" x14ac:dyDescent="0.25">
      <c r="A159" s="162">
        <f xml:space="preserve"> 'CASE DATA'!A159</f>
        <v>0</v>
      </c>
      <c r="B159" s="162">
        <f xml:space="preserve"> 'CASE DATA'!B159</f>
        <v>0</v>
      </c>
      <c r="C159" s="163">
        <f xml:space="preserve"> 'CASE DATA'!C159</f>
        <v>0</v>
      </c>
      <c r="D159" s="162">
        <f xml:space="preserve"> 'CASE DATA'!E159</f>
        <v>0</v>
      </c>
      <c r="E159" s="162">
        <f xml:space="preserve"> 'CASE DATA'!F159</f>
        <v>0</v>
      </c>
      <c r="F159" s="138">
        <f xml:space="preserve"> 'CASE DATA'!G159</f>
        <v>0</v>
      </c>
      <c r="G159" s="6" t="str">
        <f>IF(AND(F159="YES", OR(E159="GTR",E159="GPL",E159="DEF",E159="JUV")), 'CASE DATA'!K159, "N/A")</f>
        <v>N/A</v>
      </c>
      <c r="H159" s="6" t="str">
        <f>IF(AND(F159="YES", OR(E159="GTR",E159="GPL",E159="DEF",E159="JUV")), (SUM('CASE DATA'!I159:J159)+SUM('CASE DATA'!L159:R159)), "N/A")</f>
        <v>N/A</v>
      </c>
      <c r="I159" s="21" t="str">
        <f t="shared" si="12"/>
        <v>N/A</v>
      </c>
      <c r="J159" s="6" t="str">
        <f t="shared" si="13"/>
        <v>NO</v>
      </c>
      <c r="K159" s="6" t="str">
        <f>IF(J159="YES",'CASE DATA'!K159,"N/A")</f>
        <v>N/A</v>
      </c>
      <c r="L159" s="6" t="str">
        <f>IF(J159="YES", SUM('CASE DATA'!I159:J159)+SUM('CASE DATA'!L159:R159),"N/A")</f>
        <v>N/A</v>
      </c>
      <c r="M159" s="21">
        <f t="shared" si="14"/>
        <v>0</v>
      </c>
    </row>
    <row r="160" spans="1:13" x14ac:dyDescent="0.25">
      <c r="A160" s="162">
        <f xml:space="preserve"> 'CASE DATA'!A160</f>
        <v>0</v>
      </c>
      <c r="B160" s="162">
        <f xml:space="preserve"> 'CASE DATA'!B160</f>
        <v>0</v>
      </c>
      <c r="C160" s="163">
        <f xml:space="preserve"> 'CASE DATA'!C160</f>
        <v>0</v>
      </c>
      <c r="D160" s="162">
        <f xml:space="preserve"> 'CASE DATA'!E160</f>
        <v>0</v>
      </c>
      <c r="E160" s="162">
        <f xml:space="preserve"> 'CASE DATA'!F160</f>
        <v>0</v>
      </c>
      <c r="F160" s="138">
        <f xml:space="preserve"> 'CASE DATA'!G160</f>
        <v>0</v>
      </c>
      <c r="G160" s="6" t="str">
        <f>IF(AND(F160="YES", OR(E160="GTR",E160="GPL",E160="DEF",E160="JUV")), 'CASE DATA'!K160, "N/A")</f>
        <v>N/A</v>
      </c>
      <c r="H160" s="6" t="str">
        <f>IF(AND(F160="YES", OR(E160="GTR",E160="GPL",E160="DEF",E160="JUV")), (SUM('CASE DATA'!I160:J160)+SUM('CASE DATA'!L160:R160)), "N/A")</f>
        <v>N/A</v>
      </c>
      <c r="I160" s="21" t="str">
        <f t="shared" si="12"/>
        <v>N/A</v>
      </c>
      <c r="J160" s="6" t="str">
        <f t="shared" si="13"/>
        <v>NO</v>
      </c>
      <c r="K160" s="6" t="str">
        <f>IF(J160="YES",'CASE DATA'!K160,"N/A")</f>
        <v>N/A</v>
      </c>
      <c r="L160" s="6" t="str">
        <f>IF(J160="YES", SUM('CASE DATA'!I160:J160)+SUM('CASE DATA'!L160:R160),"N/A")</f>
        <v>N/A</v>
      </c>
      <c r="M160" s="21">
        <f t="shared" si="14"/>
        <v>0</v>
      </c>
    </row>
    <row r="161" spans="1:13" x14ac:dyDescent="0.25">
      <c r="A161" s="162">
        <f xml:space="preserve"> 'CASE DATA'!A161</f>
        <v>0</v>
      </c>
      <c r="B161" s="162">
        <f xml:space="preserve"> 'CASE DATA'!B161</f>
        <v>0</v>
      </c>
      <c r="C161" s="163">
        <f xml:space="preserve"> 'CASE DATA'!C161</f>
        <v>0</v>
      </c>
      <c r="D161" s="162">
        <f xml:space="preserve"> 'CASE DATA'!E161</f>
        <v>0</v>
      </c>
      <c r="E161" s="162">
        <f xml:space="preserve"> 'CASE DATA'!F161</f>
        <v>0</v>
      </c>
      <c r="F161" s="138">
        <f xml:space="preserve"> 'CASE DATA'!G161</f>
        <v>0</v>
      </c>
      <c r="G161" s="6" t="str">
        <f>IF(AND(F161="YES", OR(E161="GTR",E161="GPL",E161="DEF",E161="JUV")), 'CASE DATA'!K161, "N/A")</f>
        <v>N/A</v>
      </c>
      <c r="H161" s="6" t="str">
        <f>IF(AND(F161="YES", OR(E161="GTR",E161="GPL",E161="DEF",E161="JUV")), (SUM('CASE DATA'!I161:J161)+SUM('CASE DATA'!L161:R161)), "N/A")</f>
        <v>N/A</v>
      </c>
      <c r="I161" s="21" t="str">
        <f t="shared" si="12"/>
        <v>N/A</v>
      </c>
      <c r="J161" s="6" t="str">
        <f t="shared" si="13"/>
        <v>NO</v>
      </c>
      <c r="K161" s="6" t="str">
        <f>IF(J161="YES",'CASE DATA'!K161,"N/A")</f>
        <v>N/A</v>
      </c>
      <c r="L161" s="6" t="str">
        <f>IF(J161="YES", SUM('CASE DATA'!I161:J161)+SUM('CASE DATA'!L161:R161),"N/A")</f>
        <v>N/A</v>
      </c>
      <c r="M161" s="21">
        <f t="shared" si="14"/>
        <v>0</v>
      </c>
    </row>
    <row r="162" spans="1:13" x14ac:dyDescent="0.25">
      <c r="A162" s="162">
        <f xml:space="preserve"> 'CASE DATA'!A162</f>
        <v>0</v>
      </c>
      <c r="B162" s="162">
        <f xml:space="preserve"> 'CASE DATA'!B162</f>
        <v>0</v>
      </c>
      <c r="C162" s="163">
        <f xml:space="preserve"> 'CASE DATA'!C162</f>
        <v>0</v>
      </c>
      <c r="D162" s="162">
        <f xml:space="preserve"> 'CASE DATA'!E162</f>
        <v>0</v>
      </c>
      <c r="E162" s="162">
        <f xml:space="preserve"> 'CASE DATA'!F162</f>
        <v>0</v>
      </c>
      <c r="F162" s="138">
        <f xml:space="preserve"> 'CASE DATA'!G162</f>
        <v>0</v>
      </c>
      <c r="G162" s="6" t="str">
        <f>IF(AND(F162="YES", OR(E162="GTR",E162="GPL",E162="DEF",E162="JUV")), 'CASE DATA'!K162, "N/A")</f>
        <v>N/A</v>
      </c>
      <c r="H162" s="6" t="str">
        <f>IF(AND(F162="YES", OR(E162="GTR",E162="GPL",E162="DEF",E162="JUV")), (SUM('CASE DATA'!I162:J162)+SUM('CASE DATA'!L162:R162)), "N/A")</f>
        <v>N/A</v>
      </c>
      <c r="I162" s="21" t="str">
        <f t="shared" si="12"/>
        <v>N/A</v>
      </c>
      <c r="J162" s="6" t="str">
        <f t="shared" si="13"/>
        <v>NO</v>
      </c>
      <c r="K162" s="6" t="str">
        <f>IF(J162="YES",'CASE DATA'!K162,"N/A")</f>
        <v>N/A</v>
      </c>
      <c r="L162" s="6" t="str">
        <f>IF(J162="YES", SUM('CASE DATA'!I162:J162)+SUM('CASE DATA'!L162:R162),"N/A")</f>
        <v>N/A</v>
      </c>
      <c r="M162" s="21">
        <f t="shared" si="14"/>
        <v>0</v>
      </c>
    </row>
    <row r="163" spans="1:13" x14ac:dyDescent="0.25">
      <c r="A163" s="162">
        <f xml:space="preserve"> 'CASE DATA'!A163</f>
        <v>0</v>
      </c>
      <c r="B163" s="162">
        <f xml:space="preserve"> 'CASE DATA'!B163</f>
        <v>0</v>
      </c>
      <c r="C163" s="163">
        <f xml:space="preserve"> 'CASE DATA'!C163</f>
        <v>0</v>
      </c>
      <c r="D163" s="162">
        <f xml:space="preserve"> 'CASE DATA'!E163</f>
        <v>0</v>
      </c>
      <c r="E163" s="162">
        <f xml:space="preserve"> 'CASE DATA'!F163</f>
        <v>0</v>
      </c>
      <c r="F163" s="138">
        <f xml:space="preserve"> 'CASE DATA'!G163</f>
        <v>0</v>
      </c>
      <c r="G163" s="6" t="str">
        <f>IF(AND(F163="YES", OR(E163="GTR",E163="GPL",E163="DEF",E163="JUV")), 'CASE DATA'!K163, "N/A")</f>
        <v>N/A</v>
      </c>
      <c r="H163" s="6" t="str">
        <f>IF(AND(F163="YES", OR(E163="GTR",E163="GPL",E163="DEF",E163="JUV")), (SUM('CASE DATA'!I163:J163)+SUM('CASE DATA'!L163:R163)), "N/A")</f>
        <v>N/A</v>
      </c>
      <c r="I163" s="21" t="str">
        <f t="shared" si="12"/>
        <v>N/A</v>
      </c>
      <c r="J163" s="6" t="str">
        <f t="shared" si="13"/>
        <v>NO</v>
      </c>
      <c r="K163" s="6" t="str">
        <f>IF(J163="YES",'CASE DATA'!K163,"N/A")</f>
        <v>N/A</v>
      </c>
      <c r="L163" s="6" t="str">
        <f>IF(J163="YES", SUM('CASE DATA'!I163:J163)+SUM('CASE DATA'!L163:R163),"N/A")</f>
        <v>N/A</v>
      </c>
      <c r="M163" s="21">
        <f t="shared" si="14"/>
        <v>0</v>
      </c>
    </row>
    <row r="164" spans="1:13" x14ac:dyDescent="0.25">
      <c r="A164" s="162">
        <f xml:space="preserve"> 'CASE DATA'!A164</f>
        <v>0</v>
      </c>
      <c r="B164" s="162">
        <f xml:space="preserve"> 'CASE DATA'!B164</f>
        <v>0</v>
      </c>
      <c r="C164" s="163">
        <f xml:space="preserve"> 'CASE DATA'!C164</f>
        <v>0</v>
      </c>
      <c r="D164" s="162">
        <f xml:space="preserve"> 'CASE DATA'!E164</f>
        <v>0</v>
      </c>
      <c r="E164" s="162">
        <f xml:space="preserve"> 'CASE DATA'!F164</f>
        <v>0</v>
      </c>
      <c r="F164" s="138">
        <f xml:space="preserve"> 'CASE DATA'!G164</f>
        <v>0</v>
      </c>
      <c r="G164" s="6" t="str">
        <f>IF(AND(F164="YES", OR(E164="GTR",E164="GPL",E164="DEF",E164="JUV")), 'CASE DATA'!K164, "N/A")</f>
        <v>N/A</v>
      </c>
      <c r="H164" s="6" t="str">
        <f>IF(AND(F164="YES", OR(E164="GTR",E164="GPL",E164="DEF",E164="JUV")), (SUM('CASE DATA'!I164:J164)+SUM('CASE DATA'!L164:R164)), "N/A")</f>
        <v>N/A</v>
      </c>
      <c r="I164" s="21" t="str">
        <f t="shared" si="12"/>
        <v>N/A</v>
      </c>
      <c r="J164" s="6" t="str">
        <f t="shared" si="13"/>
        <v>NO</v>
      </c>
      <c r="K164" s="6" t="str">
        <f>IF(J164="YES",'CASE DATA'!K164,"N/A")</f>
        <v>N/A</v>
      </c>
      <c r="L164" s="6" t="str">
        <f>IF(J164="YES", SUM('CASE DATA'!I164:J164)+SUM('CASE DATA'!L164:R164),"N/A")</f>
        <v>N/A</v>
      </c>
      <c r="M164" s="21">
        <f t="shared" si="14"/>
        <v>0</v>
      </c>
    </row>
    <row r="165" spans="1:13" x14ac:dyDescent="0.25">
      <c r="A165" s="162">
        <f xml:space="preserve"> 'CASE DATA'!A165</f>
        <v>0</v>
      </c>
      <c r="B165" s="162">
        <f xml:space="preserve"> 'CASE DATA'!B165</f>
        <v>0</v>
      </c>
      <c r="C165" s="163">
        <f xml:space="preserve"> 'CASE DATA'!C165</f>
        <v>0</v>
      </c>
      <c r="D165" s="162">
        <f xml:space="preserve"> 'CASE DATA'!E165</f>
        <v>0</v>
      </c>
      <c r="E165" s="162">
        <f xml:space="preserve"> 'CASE DATA'!F165</f>
        <v>0</v>
      </c>
      <c r="F165" s="138">
        <f xml:space="preserve"> 'CASE DATA'!G165</f>
        <v>0</v>
      </c>
      <c r="G165" s="6" t="str">
        <f>IF(AND(F165="YES", OR(E165="GTR",E165="GPL",E165="DEF",E165="JUV")), 'CASE DATA'!K165, "N/A")</f>
        <v>N/A</v>
      </c>
      <c r="H165" s="6" t="str">
        <f>IF(AND(F165="YES", OR(E165="GTR",E165="GPL",E165="DEF",E165="JUV")), (SUM('CASE DATA'!I165:J165)+SUM('CASE DATA'!L165:R165)), "N/A")</f>
        <v>N/A</v>
      </c>
      <c r="I165" s="21" t="str">
        <f t="shared" ref="I165:I200" si="15">IF(AND(F165="YES", OR(E165="GTR",E165="GPL",E165="DEF",E165="JUV")),G165+H165, "N/A")</f>
        <v>N/A</v>
      </c>
      <c r="J165" s="6" t="str">
        <f t="shared" ref="J165:J200" si="16" xml:space="preserve"> IF(OR(E165="GTR", E165="GPL", E165="DEF"), "YES", "NO")</f>
        <v>NO</v>
      </c>
      <c r="K165" s="6" t="str">
        <f>IF(J165="YES",'CASE DATA'!K165,"N/A")</f>
        <v>N/A</v>
      </c>
      <c r="L165" s="6" t="str">
        <f>IF(J165="YES", SUM('CASE DATA'!I165:J165)+SUM('CASE DATA'!L165:R165),"N/A")</f>
        <v>N/A</v>
      </c>
      <c r="M165" s="21">
        <f t="shared" ref="M165:M200" si="17">IF(AND(J165="YES"), K165+L165, 0)</f>
        <v>0</v>
      </c>
    </row>
    <row r="166" spans="1:13" x14ac:dyDescent="0.25">
      <c r="A166" s="162">
        <f xml:space="preserve"> 'CASE DATA'!A166</f>
        <v>0</v>
      </c>
      <c r="B166" s="162">
        <f xml:space="preserve"> 'CASE DATA'!B166</f>
        <v>0</v>
      </c>
      <c r="C166" s="163">
        <f xml:space="preserve"> 'CASE DATA'!C166</f>
        <v>0</v>
      </c>
      <c r="D166" s="162">
        <f xml:space="preserve"> 'CASE DATA'!E166</f>
        <v>0</v>
      </c>
      <c r="E166" s="162">
        <f xml:space="preserve"> 'CASE DATA'!F166</f>
        <v>0</v>
      </c>
      <c r="F166" s="138">
        <f xml:space="preserve"> 'CASE DATA'!G166</f>
        <v>0</v>
      </c>
      <c r="G166" s="6" t="str">
        <f>IF(AND(F166="YES", OR(E166="GTR",E166="GPL",E166="DEF",E166="JUV")), 'CASE DATA'!K166, "N/A")</f>
        <v>N/A</v>
      </c>
      <c r="H166" s="6" t="str">
        <f>IF(AND(F166="YES", OR(E166="GTR",E166="GPL",E166="DEF",E166="JUV")), (SUM('CASE DATA'!I166:J166)+SUM('CASE DATA'!L166:R166)), "N/A")</f>
        <v>N/A</v>
      </c>
      <c r="I166" s="21" t="str">
        <f t="shared" si="15"/>
        <v>N/A</v>
      </c>
      <c r="J166" s="6" t="str">
        <f t="shared" si="16"/>
        <v>NO</v>
      </c>
      <c r="K166" s="6" t="str">
        <f>IF(J166="YES",'CASE DATA'!K166,"N/A")</f>
        <v>N/A</v>
      </c>
      <c r="L166" s="6" t="str">
        <f>IF(J166="YES", SUM('CASE DATA'!I166:J166)+SUM('CASE DATA'!L166:R166),"N/A")</f>
        <v>N/A</v>
      </c>
      <c r="M166" s="21">
        <f t="shared" si="17"/>
        <v>0</v>
      </c>
    </row>
    <row r="167" spans="1:13" x14ac:dyDescent="0.25">
      <c r="A167" s="162">
        <f xml:space="preserve"> 'CASE DATA'!A167</f>
        <v>0</v>
      </c>
      <c r="B167" s="162">
        <f xml:space="preserve"> 'CASE DATA'!B167</f>
        <v>0</v>
      </c>
      <c r="C167" s="163">
        <f xml:space="preserve"> 'CASE DATA'!C167</f>
        <v>0</v>
      </c>
      <c r="D167" s="162">
        <f xml:space="preserve"> 'CASE DATA'!E167</f>
        <v>0</v>
      </c>
      <c r="E167" s="162">
        <f xml:space="preserve"> 'CASE DATA'!F167</f>
        <v>0</v>
      </c>
      <c r="F167" s="138">
        <f xml:space="preserve"> 'CASE DATA'!G167</f>
        <v>0</v>
      </c>
      <c r="G167" s="6" t="str">
        <f>IF(AND(F167="YES", OR(E167="GTR",E167="GPL",E167="DEF",E167="JUV")), 'CASE DATA'!K167, "N/A")</f>
        <v>N/A</v>
      </c>
      <c r="H167" s="6" t="str">
        <f>IF(AND(F167="YES", OR(E167="GTR",E167="GPL",E167="DEF",E167="JUV")), (SUM('CASE DATA'!I167:J167)+SUM('CASE DATA'!L167:R167)), "N/A")</f>
        <v>N/A</v>
      </c>
      <c r="I167" s="21" t="str">
        <f t="shared" si="15"/>
        <v>N/A</v>
      </c>
      <c r="J167" s="6" t="str">
        <f t="shared" si="16"/>
        <v>NO</v>
      </c>
      <c r="K167" s="6" t="str">
        <f>IF(J167="YES",'CASE DATA'!K167,"N/A")</f>
        <v>N/A</v>
      </c>
      <c r="L167" s="6" t="str">
        <f>IF(J167="YES", SUM('CASE DATA'!I167:J167)+SUM('CASE DATA'!L167:R167),"N/A")</f>
        <v>N/A</v>
      </c>
      <c r="M167" s="21">
        <f t="shared" si="17"/>
        <v>0</v>
      </c>
    </row>
    <row r="168" spans="1:13" x14ac:dyDescent="0.25">
      <c r="A168" s="162">
        <f xml:space="preserve"> 'CASE DATA'!A168</f>
        <v>0</v>
      </c>
      <c r="B168" s="162">
        <f xml:space="preserve"> 'CASE DATA'!B168</f>
        <v>0</v>
      </c>
      <c r="C168" s="163">
        <f xml:space="preserve"> 'CASE DATA'!C168</f>
        <v>0</v>
      </c>
      <c r="D168" s="162">
        <f xml:space="preserve"> 'CASE DATA'!E168</f>
        <v>0</v>
      </c>
      <c r="E168" s="162">
        <f xml:space="preserve"> 'CASE DATA'!F168</f>
        <v>0</v>
      </c>
      <c r="F168" s="138">
        <f xml:space="preserve"> 'CASE DATA'!G168</f>
        <v>0</v>
      </c>
      <c r="G168" s="6" t="str">
        <f>IF(AND(F168="YES", OR(E168="GTR",E168="GPL",E168="DEF",E168="JUV")), 'CASE DATA'!K168, "N/A")</f>
        <v>N/A</v>
      </c>
      <c r="H168" s="6" t="str">
        <f>IF(AND(F168="YES", OR(E168="GTR",E168="GPL",E168="DEF",E168="JUV")), (SUM('CASE DATA'!I168:J168)+SUM('CASE DATA'!L168:R168)), "N/A")</f>
        <v>N/A</v>
      </c>
      <c r="I168" s="21" t="str">
        <f t="shared" si="15"/>
        <v>N/A</v>
      </c>
      <c r="J168" s="6" t="str">
        <f t="shared" si="16"/>
        <v>NO</v>
      </c>
      <c r="K168" s="6" t="str">
        <f>IF(J168="YES",'CASE DATA'!K168,"N/A")</f>
        <v>N/A</v>
      </c>
      <c r="L168" s="6" t="str">
        <f>IF(J168="YES", SUM('CASE DATA'!I168:J168)+SUM('CASE DATA'!L168:R168),"N/A")</f>
        <v>N/A</v>
      </c>
      <c r="M168" s="21">
        <f t="shared" si="17"/>
        <v>0</v>
      </c>
    </row>
    <row r="169" spans="1:13" x14ac:dyDescent="0.25">
      <c r="A169" s="162">
        <f xml:space="preserve"> 'CASE DATA'!A169</f>
        <v>0</v>
      </c>
      <c r="B169" s="162">
        <f xml:space="preserve"> 'CASE DATA'!B169</f>
        <v>0</v>
      </c>
      <c r="C169" s="163">
        <f xml:space="preserve"> 'CASE DATA'!C169</f>
        <v>0</v>
      </c>
      <c r="D169" s="162">
        <f xml:space="preserve"> 'CASE DATA'!E169</f>
        <v>0</v>
      </c>
      <c r="E169" s="162">
        <f xml:space="preserve"> 'CASE DATA'!F169</f>
        <v>0</v>
      </c>
      <c r="F169" s="138">
        <f xml:space="preserve"> 'CASE DATA'!G169</f>
        <v>0</v>
      </c>
      <c r="G169" s="6" t="str">
        <f>IF(AND(F169="YES", OR(E169="GTR",E169="GPL",E169="DEF",E169="JUV")), 'CASE DATA'!K169, "N/A")</f>
        <v>N/A</v>
      </c>
      <c r="H169" s="6" t="str">
        <f>IF(AND(F169="YES", OR(E169="GTR",E169="GPL",E169="DEF",E169="JUV")), (SUM('CASE DATA'!I169:J169)+SUM('CASE DATA'!L169:R169)), "N/A")</f>
        <v>N/A</v>
      </c>
      <c r="I169" s="21" t="str">
        <f t="shared" si="15"/>
        <v>N/A</v>
      </c>
      <c r="J169" s="6" t="str">
        <f t="shared" si="16"/>
        <v>NO</v>
      </c>
      <c r="K169" s="6" t="str">
        <f>IF(J169="YES",'CASE DATA'!K169,"N/A")</f>
        <v>N/A</v>
      </c>
      <c r="L169" s="6" t="str">
        <f>IF(J169="YES", SUM('CASE DATA'!I169:J169)+SUM('CASE DATA'!L169:R169),"N/A")</f>
        <v>N/A</v>
      </c>
      <c r="M169" s="21">
        <f t="shared" si="17"/>
        <v>0</v>
      </c>
    </row>
    <row r="170" spans="1:13" x14ac:dyDescent="0.25">
      <c r="A170" s="162">
        <f xml:space="preserve"> 'CASE DATA'!A170</f>
        <v>0</v>
      </c>
      <c r="B170" s="162">
        <f xml:space="preserve"> 'CASE DATA'!B170</f>
        <v>0</v>
      </c>
      <c r="C170" s="163">
        <f xml:space="preserve"> 'CASE DATA'!C170</f>
        <v>0</v>
      </c>
      <c r="D170" s="162">
        <f xml:space="preserve"> 'CASE DATA'!E170</f>
        <v>0</v>
      </c>
      <c r="E170" s="162">
        <f xml:space="preserve"> 'CASE DATA'!F170</f>
        <v>0</v>
      </c>
      <c r="F170" s="138">
        <f xml:space="preserve"> 'CASE DATA'!G170</f>
        <v>0</v>
      </c>
      <c r="G170" s="6" t="str">
        <f>IF(AND(F170="YES", OR(E170="GTR",E170="GPL",E170="DEF",E170="JUV")), 'CASE DATA'!K170, "N/A")</f>
        <v>N/A</v>
      </c>
      <c r="H170" s="6" t="str">
        <f>IF(AND(F170="YES", OR(E170="GTR",E170="GPL",E170="DEF",E170="JUV")), (SUM('CASE DATA'!I170:J170)+SUM('CASE DATA'!L170:R170)), "N/A")</f>
        <v>N/A</v>
      </c>
      <c r="I170" s="21" t="str">
        <f t="shared" si="15"/>
        <v>N/A</v>
      </c>
      <c r="J170" s="6" t="str">
        <f t="shared" si="16"/>
        <v>NO</v>
      </c>
      <c r="K170" s="6" t="str">
        <f>IF(J170="YES",'CASE DATA'!K170,"N/A")</f>
        <v>N/A</v>
      </c>
      <c r="L170" s="6" t="str">
        <f>IF(J170="YES", SUM('CASE DATA'!I170:J170)+SUM('CASE DATA'!L170:R170),"N/A")</f>
        <v>N/A</v>
      </c>
      <c r="M170" s="21">
        <f t="shared" si="17"/>
        <v>0</v>
      </c>
    </row>
    <row r="171" spans="1:13" x14ac:dyDescent="0.25">
      <c r="A171" s="162">
        <f xml:space="preserve"> 'CASE DATA'!A171</f>
        <v>0</v>
      </c>
      <c r="B171" s="162">
        <f xml:space="preserve"> 'CASE DATA'!B171</f>
        <v>0</v>
      </c>
      <c r="C171" s="163">
        <f xml:space="preserve"> 'CASE DATA'!C171</f>
        <v>0</v>
      </c>
      <c r="D171" s="162">
        <f xml:space="preserve"> 'CASE DATA'!E171</f>
        <v>0</v>
      </c>
      <c r="E171" s="162">
        <f xml:space="preserve"> 'CASE DATA'!F171</f>
        <v>0</v>
      </c>
      <c r="F171" s="138">
        <f xml:space="preserve"> 'CASE DATA'!G171</f>
        <v>0</v>
      </c>
      <c r="G171" s="6" t="str">
        <f>IF(AND(F171="YES", OR(E171="GTR",E171="GPL",E171="DEF",E171="JUV")), 'CASE DATA'!K171, "N/A")</f>
        <v>N/A</v>
      </c>
      <c r="H171" s="6" t="str">
        <f>IF(AND(F171="YES", OR(E171="GTR",E171="GPL",E171="DEF",E171="JUV")), (SUM('CASE DATA'!I171:J171)+SUM('CASE DATA'!L171:R171)), "N/A")</f>
        <v>N/A</v>
      </c>
      <c r="I171" s="21" t="str">
        <f t="shared" si="15"/>
        <v>N/A</v>
      </c>
      <c r="J171" s="6" t="str">
        <f t="shared" si="16"/>
        <v>NO</v>
      </c>
      <c r="K171" s="6" t="str">
        <f>IF(J171="YES",'CASE DATA'!K171,"N/A")</f>
        <v>N/A</v>
      </c>
      <c r="L171" s="6" t="str">
        <f>IF(J171="YES", SUM('CASE DATA'!I171:J171)+SUM('CASE DATA'!L171:R171),"N/A")</f>
        <v>N/A</v>
      </c>
      <c r="M171" s="21">
        <f t="shared" si="17"/>
        <v>0</v>
      </c>
    </row>
    <row r="172" spans="1:13" x14ac:dyDescent="0.25">
      <c r="A172" s="162">
        <f xml:space="preserve"> 'CASE DATA'!A172</f>
        <v>0</v>
      </c>
      <c r="B172" s="162">
        <f xml:space="preserve"> 'CASE DATA'!B172</f>
        <v>0</v>
      </c>
      <c r="C172" s="163">
        <f xml:space="preserve"> 'CASE DATA'!C172</f>
        <v>0</v>
      </c>
      <c r="D172" s="162">
        <f xml:space="preserve"> 'CASE DATA'!E172</f>
        <v>0</v>
      </c>
      <c r="E172" s="162">
        <f xml:space="preserve"> 'CASE DATA'!F172</f>
        <v>0</v>
      </c>
      <c r="F172" s="138">
        <f xml:space="preserve"> 'CASE DATA'!G172</f>
        <v>0</v>
      </c>
      <c r="G172" s="6" t="str">
        <f>IF(AND(F172="YES", OR(E172="GTR",E172="GPL",E172="DEF",E172="JUV")), 'CASE DATA'!K172, "N/A")</f>
        <v>N/A</v>
      </c>
      <c r="H172" s="6" t="str">
        <f>IF(AND(F172="YES", OR(E172="GTR",E172="GPL",E172="DEF",E172="JUV")), (SUM('CASE DATA'!I172:J172)+SUM('CASE DATA'!L172:R172)), "N/A")</f>
        <v>N/A</v>
      </c>
      <c r="I172" s="21" t="str">
        <f t="shared" si="15"/>
        <v>N/A</v>
      </c>
      <c r="J172" s="6" t="str">
        <f t="shared" si="16"/>
        <v>NO</v>
      </c>
      <c r="K172" s="6" t="str">
        <f>IF(J172="YES",'CASE DATA'!K172,"N/A")</f>
        <v>N/A</v>
      </c>
      <c r="L172" s="6" t="str">
        <f>IF(J172="YES", SUM('CASE DATA'!I172:J172)+SUM('CASE DATA'!L172:R172),"N/A")</f>
        <v>N/A</v>
      </c>
      <c r="M172" s="21">
        <f t="shared" si="17"/>
        <v>0</v>
      </c>
    </row>
    <row r="173" spans="1:13" x14ac:dyDescent="0.25">
      <c r="A173" s="162">
        <f xml:space="preserve"> 'CASE DATA'!A173</f>
        <v>0</v>
      </c>
      <c r="B173" s="162">
        <f xml:space="preserve"> 'CASE DATA'!B173</f>
        <v>0</v>
      </c>
      <c r="C173" s="163">
        <f xml:space="preserve"> 'CASE DATA'!C173</f>
        <v>0</v>
      </c>
      <c r="D173" s="162">
        <f xml:space="preserve"> 'CASE DATA'!E173</f>
        <v>0</v>
      </c>
      <c r="E173" s="162">
        <f xml:space="preserve"> 'CASE DATA'!F173</f>
        <v>0</v>
      </c>
      <c r="F173" s="138">
        <f xml:space="preserve"> 'CASE DATA'!G173</f>
        <v>0</v>
      </c>
      <c r="G173" s="6" t="str">
        <f>IF(AND(F173="YES", OR(E173="GTR",E173="GPL",E173="DEF",E173="JUV")), 'CASE DATA'!K173, "N/A")</f>
        <v>N/A</v>
      </c>
      <c r="H173" s="6" t="str">
        <f>IF(AND(F173="YES", OR(E173="GTR",E173="GPL",E173="DEF",E173="JUV")), (SUM('CASE DATA'!I173:J173)+SUM('CASE DATA'!L173:R173)), "N/A")</f>
        <v>N/A</v>
      </c>
      <c r="I173" s="21" t="str">
        <f t="shared" si="15"/>
        <v>N/A</v>
      </c>
      <c r="J173" s="6" t="str">
        <f t="shared" si="16"/>
        <v>NO</v>
      </c>
      <c r="K173" s="6" t="str">
        <f>IF(J173="YES",'CASE DATA'!K173,"N/A")</f>
        <v>N/A</v>
      </c>
      <c r="L173" s="6" t="str">
        <f>IF(J173="YES", SUM('CASE DATA'!I173:J173)+SUM('CASE DATA'!L173:R173),"N/A")</f>
        <v>N/A</v>
      </c>
      <c r="M173" s="21">
        <f t="shared" si="17"/>
        <v>0</v>
      </c>
    </row>
    <row r="174" spans="1:13" x14ac:dyDescent="0.25">
      <c r="A174" s="162">
        <f xml:space="preserve"> 'CASE DATA'!A174</f>
        <v>0</v>
      </c>
      <c r="B174" s="162">
        <f xml:space="preserve"> 'CASE DATA'!B174</f>
        <v>0</v>
      </c>
      <c r="C174" s="163">
        <f xml:space="preserve"> 'CASE DATA'!C174</f>
        <v>0</v>
      </c>
      <c r="D174" s="162">
        <f xml:space="preserve"> 'CASE DATA'!E174</f>
        <v>0</v>
      </c>
      <c r="E174" s="162">
        <f xml:space="preserve"> 'CASE DATA'!F174</f>
        <v>0</v>
      </c>
      <c r="F174" s="138">
        <f xml:space="preserve"> 'CASE DATA'!G174</f>
        <v>0</v>
      </c>
      <c r="G174" s="6" t="str">
        <f>IF(AND(F174="YES", OR(E174="GTR",E174="GPL",E174="DEF",E174="JUV")), 'CASE DATA'!K174, "N/A")</f>
        <v>N/A</v>
      </c>
      <c r="H174" s="6" t="str">
        <f>IF(AND(F174="YES", OR(E174="GTR",E174="GPL",E174="DEF",E174="JUV")), (SUM('CASE DATA'!I174:J174)+SUM('CASE DATA'!L174:R174)), "N/A")</f>
        <v>N/A</v>
      </c>
      <c r="I174" s="21" t="str">
        <f t="shared" si="15"/>
        <v>N/A</v>
      </c>
      <c r="J174" s="6" t="str">
        <f t="shared" si="16"/>
        <v>NO</v>
      </c>
      <c r="K174" s="6" t="str">
        <f>IF(J174="YES",'CASE DATA'!K174,"N/A")</f>
        <v>N/A</v>
      </c>
      <c r="L174" s="6" t="str">
        <f>IF(J174="YES", SUM('CASE DATA'!I174:J174)+SUM('CASE DATA'!L174:R174),"N/A")</f>
        <v>N/A</v>
      </c>
      <c r="M174" s="21">
        <f t="shared" si="17"/>
        <v>0</v>
      </c>
    </row>
    <row r="175" spans="1:13" x14ac:dyDescent="0.25">
      <c r="A175" s="162">
        <f xml:space="preserve"> 'CASE DATA'!A175</f>
        <v>0</v>
      </c>
      <c r="B175" s="162">
        <f xml:space="preserve"> 'CASE DATA'!B175</f>
        <v>0</v>
      </c>
      <c r="C175" s="163">
        <f xml:space="preserve"> 'CASE DATA'!C175</f>
        <v>0</v>
      </c>
      <c r="D175" s="162">
        <f xml:space="preserve"> 'CASE DATA'!E175</f>
        <v>0</v>
      </c>
      <c r="E175" s="162">
        <f xml:space="preserve"> 'CASE DATA'!F175</f>
        <v>0</v>
      </c>
      <c r="F175" s="138">
        <f xml:space="preserve"> 'CASE DATA'!G175</f>
        <v>0</v>
      </c>
      <c r="G175" s="6" t="str">
        <f>IF(AND(F175="YES", OR(E175="GTR",E175="GPL",E175="DEF",E175="JUV")), 'CASE DATA'!K175, "N/A")</f>
        <v>N/A</v>
      </c>
      <c r="H175" s="6" t="str">
        <f>IF(AND(F175="YES", OR(E175="GTR",E175="GPL",E175="DEF",E175="JUV")), (SUM('CASE DATA'!I175:J175)+SUM('CASE DATA'!L175:R175)), "N/A")</f>
        <v>N/A</v>
      </c>
      <c r="I175" s="21" t="str">
        <f t="shared" si="15"/>
        <v>N/A</v>
      </c>
      <c r="J175" s="6" t="str">
        <f t="shared" si="16"/>
        <v>NO</v>
      </c>
      <c r="K175" s="6" t="str">
        <f>IF(J175="YES",'CASE DATA'!K175,"N/A")</f>
        <v>N/A</v>
      </c>
      <c r="L175" s="6" t="str">
        <f>IF(J175="YES", SUM('CASE DATA'!I175:J175)+SUM('CASE DATA'!L175:R175),"N/A")</f>
        <v>N/A</v>
      </c>
      <c r="M175" s="21">
        <f t="shared" si="17"/>
        <v>0</v>
      </c>
    </row>
    <row r="176" spans="1:13" x14ac:dyDescent="0.25">
      <c r="A176" s="162">
        <f xml:space="preserve"> 'CASE DATA'!A176</f>
        <v>0</v>
      </c>
      <c r="B176" s="162">
        <f xml:space="preserve"> 'CASE DATA'!B176</f>
        <v>0</v>
      </c>
      <c r="C176" s="163">
        <f xml:space="preserve"> 'CASE DATA'!C176</f>
        <v>0</v>
      </c>
      <c r="D176" s="162">
        <f xml:space="preserve"> 'CASE DATA'!E176</f>
        <v>0</v>
      </c>
      <c r="E176" s="162">
        <f xml:space="preserve"> 'CASE DATA'!F176</f>
        <v>0</v>
      </c>
      <c r="F176" s="138">
        <f xml:space="preserve"> 'CASE DATA'!G176</f>
        <v>0</v>
      </c>
      <c r="G176" s="6" t="str">
        <f>IF(AND(F176="YES", OR(E176="GTR",E176="GPL",E176="DEF",E176="JUV")), 'CASE DATA'!K176, "N/A")</f>
        <v>N/A</v>
      </c>
      <c r="H176" s="6" t="str">
        <f>IF(AND(F176="YES", OR(E176="GTR",E176="GPL",E176="DEF",E176="JUV")), (SUM('CASE DATA'!I176:J176)+SUM('CASE DATA'!L176:R176)), "N/A")</f>
        <v>N/A</v>
      </c>
      <c r="I176" s="21" t="str">
        <f t="shared" si="15"/>
        <v>N/A</v>
      </c>
      <c r="J176" s="6" t="str">
        <f t="shared" si="16"/>
        <v>NO</v>
      </c>
      <c r="K176" s="6" t="str">
        <f>IF(J176="YES",'CASE DATA'!K176,"N/A")</f>
        <v>N/A</v>
      </c>
      <c r="L176" s="6" t="str">
        <f>IF(J176="YES", SUM('CASE DATA'!I176:J176)+SUM('CASE DATA'!L176:R176),"N/A")</f>
        <v>N/A</v>
      </c>
      <c r="M176" s="21">
        <f t="shared" si="17"/>
        <v>0</v>
      </c>
    </row>
    <row r="177" spans="1:13" x14ac:dyDescent="0.25">
      <c r="A177" s="162">
        <f xml:space="preserve"> 'CASE DATA'!A177</f>
        <v>0</v>
      </c>
      <c r="B177" s="162">
        <f xml:space="preserve"> 'CASE DATA'!B177</f>
        <v>0</v>
      </c>
      <c r="C177" s="163">
        <f xml:space="preserve"> 'CASE DATA'!C177</f>
        <v>0</v>
      </c>
      <c r="D177" s="162">
        <f xml:space="preserve"> 'CASE DATA'!E177</f>
        <v>0</v>
      </c>
      <c r="E177" s="162">
        <f xml:space="preserve"> 'CASE DATA'!F177</f>
        <v>0</v>
      </c>
      <c r="F177" s="138">
        <f xml:space="preserve"> 'CASE DATA'!G177</f>
        <v>0</v>
      </c>
      <c r="G177" s="6" t="str">
        <f>IF(AND(F177="YES", OR(E177="GTR",E177="GPL",E177="DEF",E177="JUV")), 'CASE DATA'!K177, "N/A")</f>
        <v>N/A</v>
      </c>
      <c r="H177" s="6" t="str">
        <f>IF(AND(F177="YES", OR(E177="GTR",E177="GPL",E177="DEF",E177="JUV")), (SUM('CASE DATA'!I177:J177)+SUM('CASE DATA'!L177:R177)), "N/A")</f>
        <v>N/A</v>
      </c>
      <c r="I177" s="21" t="str">
        <f t="shared" si="15"/>
        <v>N/A</v>
      </c>
      <c r="J177" s="6" t="str">
        <f t="shared" si="16"/>
        <v>NO</v>
      </c>
      <c r="K177" s="6" t="str">
        <f>IF(J177="YES",'CASE DATA'!K177,"N/A")</f>
        <v>N/A</v>
      </c>
      <c r="L177" s="6" t="str">
        <f>IF(J177="YES", SUM('CASE DATA'!I177:J177)+SUM('CASE DATA'!L177:R177),"N/A")</f>
        <v>N/A</v>
      </c>
      <c r="M177" s="21">
        <f t="shared" si="17"/>
        <v>0</v>
      </c>
    </row>
    <row r="178" spans="1:13" x14ac:dyDescent="0.25">
      <c r="A178" s="162">
        <f xml:space="preserve"> 'CASE DATA'!A178</f>
        <v>0</v>
      </c>
      <c r="B178" s="162">
        <f xml:space="preserve"> 'CASE DATA'!B178</f>
        <v>0</v>
      </c>
      <c r="C178" s="163">
        <f xml:space="preserve"> 'CASE DATA'!C178</f>
        <v>0</v>
      </c>
      <c r="D178" s="162">
        <f xml:space="preserve"> 'CASE DATA'!E178</f>
        <v>0</v>
      </c>
      <c r="E178" s="162">
        <f xml:space="preserve"> 'CASE DATA'!F178</f>
        <v>0</v>
      </c>
      <c r="F178" s="138">
        <f xml:space="preserve"> 'CASE DATA'!G178</f>
        <v>0</v>
      </c>
      <c r="G178" s="6" t="str">
        <f>IF(AND(F178="YES", OR(E178="GTR",E178="GPL",E178="DEF",E178="JUV")), 'CASE DATA'!K178, "N/A")</f>
        <v>N/A</v>
      </c>
      <c r="H178" s="6" t="str">
        <f>IF(AND(F178="YES", OR(E178="GTR",E178="GPL",E178="DEF",E178="JUV")), (SUM('CASE DATA'!I178:J178)+SUM('CASE DATA'!L178:R178)), "N/A")</f>
        <v>N/A</v>
      </c>
      <c r="I178" s="21" t="str">
        <f t="shared" si="15"/>
        <v>N/A</v>
      </c>
      <c r="J178" s="6" t="str">
        <f t="shared" si="16"/>
        <v>NO</v>
      </c>
      <c r="K178" s="6" t="str">
        <f>IF(J178="YES",'CASE DATA'!K178,"N/A")</f>
        <v>N/A</v>
      </c>
      <c r="L178" s="6" t="str">
        <f>IF(J178="YES", SUM('CASE DATA'!I178:J178)+SUM('CASE DATA'!L178:R178),"N/A")</f>
        <v>N/A</v>
      </c>
      <c r="M178" s="21">
        <f t="shared" si="17"/>
        <v>0</v>
      </c>
    </row>
    <row r="179" spans="1:13" x14ac:dyDescent="0.25">
      <c r="A179" s="162">
        <f xml:space="preserve"> 'CASE DATA'!A179</f>
        <v>0</v>
      </c>
      <c r="B179" s="162">
        <f xml:space="preserve"> 'CASE DATA'!B179</f>
        <v>0</v>
      </c>
      <c r="C179" s="163">
        <f xml:space="preserve"> 'CASE DATA'!C179</f>
        <v>0</v>
      </c>
      <c r="D179" s="162">
        <f xml:space="preserve"> 'CASE DATA'!E179</f>
        <v>0</v>
      </c>
      <c r="E179" s="162">
        <f xml:space="preserve"> 'CASE DATA'!F179</f>
        <v>0</v>
      </c>
      <c r="F179" s="138">
        <f xml:space="preserve"> 'CASE DATA'!G179</f>
        <v>0</v>
      </c>
      <c r="G179" s="6" t="str">
        <f>IF(AND(F179="YES", OR(E179="GTR",E179="GPL",E179="DEF",E179="JUV")), 'CASE DATA'!K179, "N/A")</f>
        <v>N/A</v>
      </c>
      <c r="H179" s="6" t="str">
        <f>IF(AND(F179="YES", OR(E179="GTR",E179="GPL",E179="DEF",E179="JUV")), (SUM('CASE DATA'!I179:J179)+SUM('CASE DATA'!L179:R179)), "N/A")</f>
        <v>N/A</v>
      </c>
      <c r="I179" s="21" t="str">
        <f t="shared" si="15"/>
        <v>N/A</v>
      </c>
      <c r="J179" s="6" t="str">
        <f t="shared" si="16"/>
        <v>NO</v>
      </c>
      <c r="K179" s="6" t="str">
        <f>IF(J179="YES",'CASE DATA'!K179,"N/A")</f>
        <v>N/A</v>
      </c>
      <c r="L179" s="6" t="str">
        <f>IF(J179="YES", SUM('CASE DATA'!I179:J179)+SUM('CASE DATA'!L179:R179),"N/A")</f>
        <v>N/A</v>
      </c>
      <c r="M179" s="21">
        <f t="shared" si="17"/>
        <v>0</v>
      </c>
    </row>
    <row r="180" spans="1:13" x14ac:dyDescent="0.25">
      <c r="A180" s="162">
        <f xml:space="preserve"> 'CASE DATA'!A180</f>
        <v>0</v>
      </c>
      <c r="B180" s="162">
        <f xml:space="preserve"> 'CASE DATA'!B180</f>
        <v>0</v>
      </c>
      <c r="C180" s="163">
        <f xml:space="preserve"> 'CASE DATA'!C180</f>
        <v>0</v>
      </c>
      <c r="D180" s="162">
        <f xml:space="preserve"> 'CASE DATA'!E180</f>
        <v>0</v>
      </c>
      <c r="E180" s="162">
        <f xml:space="preserve"> 'CASE DATA'!F180</f>
        <v>0</v>
      </c>
      <c r="F180" s="138">
        <f xml:space="preserve"> 'CASE DATA'!G180</f>
        <v>0</v>
      </c>
      <c r="G180" s="6" t="str">
        <f>IF(AND(F180="YES", OR(E180="GTR",E180="GPL",E180="DEF",E180="JUV")), 'CASE DATA'!K180, "N/A")</f>
        <v>N/A</v>
      </c>
      <c r="H180" s="6" t="str">
        <f>IF(AND(F180="YES", OR(E180="GTR",E180="GPL",E180="DEF",E180="JUV")), (SUM('CASE DATA'!I180:J180)+SUM('CASE DATA'!L180:R180)), "N/A")</f>
        <v>N/A</v>
      </c>
      <c r="I180" s="21" t="str">
        <f t="shared" si="15"/>
        <v>N/A</v>
      </c>
      <c r="J180" s="6" t="str">
        <f t="shared" si="16"/>
        <v>NO</v>
      </c>
      <c r="K180" s="6" t="str">
        <f>IF(J180="YES",'CASE DATA'!K180,"N/A")</f>
        <v>N/A</v>
      </c>
      <c r="L180" s="6" t="str">
        <f>IF(J180="YES", SUM('CASE DATA'!I180:J180)+SUM('CASE DATA'!L180:R180),"N/A")</f>
        <v>N/A</v>
      </c>
      <c r="M180" s="21">
        <f t="shared" si="17"/>
        <v>0</v>
      </c>
    </row>
    <row r="181" spans="1:13" x14ac:dyDescent="0.25">
      <c r="A181" s="162">
        <f xml:space="preserve"> 'CASE DATA'!A181</f>
        <v>0</v>
      </c>
      <c r="B181" s="162">
        <f xml:space="preserve"> 'CASE DATA'!B181</f>
        <v>0</v>
      </c>
      <c r="C181" s="163">
        <f xml:space="preserve"> 'CASE DATA'!C181</f>
        <v>0</v>
      </c>
      <c r="D181" s="162">
        <f xml:space="preserve"> 'CASE DATA'!E181</f>
        <v>0</v>
      </c>
      <c r="E181" s="162">
        <f xml:space="preserve"> 'CASE DATA'!F181</f>
        <v>0</v>
      </c>
      <c r="F181" s="138">
        <f xml:space="preserve"> 'CASE DATA'!G181</f>
        <v>0</v>
      </c>
      <c r="G181" s="6" t="str">
        <f>IF(AND(F181="YES", OR(E181="GTR",E181="GPL",E181="DEF",E181="JUV")), 'CASE DATA'!K181, "N/A")</f>
        <v>N/A</v>
      </c>
      <c r="H181" s="6" t="str">
        <f>IF(AND(F181="YES", OR(E181="GTR",E181="GPL",E181="DEF",E181="JUV")), (SUM('CASE DATA'!I181:J181)+SUM('CASE DATA'!L181:R181)), "N/A")</f>
        <v>N/A</v>
      </c>
      <c r="I181" s="21" t="str">
        <f t="shared" si="15"/>
        <v>N/A</v>
      </c>
      <c r="J181" s="6" t="str">
        <f t="shared" si="16"/>
        <v>NO</v>
      </c>
      <c r="K181" s="6" t="str">
        <f>IF(J181="YES",'CASE DATA'!K181,"N/A")</f>
        <v>N/A</v>
      </c>
      <c r="L181" s="6" t="str">
        <f>IF(J181="YES", SUM('CASE DATA'!I181:J181)+SUM('CASE DATA'!L181:R181),"N/A")</f>
        <v>N/A</v>
      </c>
      <c r="M181" s="21">
        <f t="shared" si="17"/>
        <v>0</v>
      </c>
    </row>
    <row r="182" spans="1:13" x14ac:dyDescent="0.25">
      <c r="A182" s="162">
        <f xml:space="preserve"> 'CASE DATA'!A182</f>
        <v>0</v>
      </c>
      <c r="B182" s="162">
        <f xml:space="preserve"> 'CASE DATA'!B182</f>
        <v>0</v>
      </c>
      <c r="C182" s="163">
        <f xml:space="preserve"> 'CASE DATA'!C182</f>
        <v>0</v>
      </c>
      <c r="D182" s="162">
        <f xml:space="preserve"> 'CASE DATA'!E182</f>
        <v>0</v>
      </c>
      <c r="E182" s="162">
        <f xml:space="preserve"> 'CASE DATA'!F182</f>
        <v>0</v>
      </c>
      <c r="F182" s="138">
        <f xml:space="preserve"> 'CASE DATA'!G182</f>
        <v>0</v>
      </c>
      <c r="G182" s="6" t="str">
        <f>IF(AND(F182="YES", OR(E182="GTR",E182="GPL",E182="DEF",E182="JUV")), 'CASE DATA'!K182, "N/A")</f>
        <v>N/A</v>
      </c>
      <c r="H182" s="6" t="str">
        <f>IF(AND(F182="YES", OR(E182="GTR",E182="GPL",E182="DEF",E182="JUV")), (SUM('CASE DATA'!I182:J182)+SUM('CASE DATA'!L182:R182)), "N/A")</f>
        <v>N/A</v>
      </c>
      <c r="I182" s="21" t="str">
        <f t="shared" si="15"/>
        <v>N/A</v>
      </c>
      <c r="J182" s="6" t="str">
        <f t="shared" si="16"/>
        <v>NO</v>
      </c>
      <c r="K182" s="6" t="str">
        <f>IF(J182="YES",'CASE DATA'!K182,"N/A")</f>
        <v>N/A</v>
      </c>
      <c r="L182" s="6" t="str">
        <f>IF(J182="YES", SUM('CASE DATA'!I182:J182)+SUM('CASE DATA'!L182:R182),"N/A")</f>
        <v>N/A</v>
      </c>
      <c r="M182" s="21">
        <f t="shared" si="17"/>
        <v>0</v>
      </c>
    </row>
    <row r="183" spans="1:13" x14ac:dyDescent="0.25">
      <c r="A183" s="162">
        <f xml:space="preserve"> 'CASE DATA'!A183</f>
        <v>0</v>
      </c>
      <c r="B183" s="162">
        <f xml:space="preserve"> 'CASE DATA'!B183</f>
        <v>0</v>
      </c>
      <c r="C183" s="163">
        <f xml:space="preserve"> 'CASE DATA'!C183</f>
        <v>0</v>
      </c>
      <c r="D183" s="162">
        <f xml:space="preserve"> 'CASE DATA'!E183</f>
        <v>0</v>
      </c>
      <c r="E183" s="162">
        <f xml:space="preserve"> 'CASE DATA'!F183</f>
        <v>0</v>
      </c>
      <c r="F183" s="138">
        <f xml:space="preserve"> 'CASE DATA'!G183</f>
        <v>0</v>
      </c>
      <c r="G183" s="6" t="str">
        <f>IF(AND(F183="YES", OR(E183="GTR",E183="GPL",E183="DEF",E183="JUV")), 'CASE DATA'!K183, "N/A")</f>
        <v>N/A</v>
      </c>
      <c r="H183" s="6" t="str">
        <f>IF(AND(F183="YES", OR(E183="GTR",E183="GPL",E183="DEF",E183="JUV")), (SUM('CASE DATA'!I183:J183)+SUM('CASE DATA'!L183:R183)), "N/A")</f>
        <v>N/A</v>
      </c>
      <c r="I183" s="21" t="str">
        <f t="shared" si="15"/>
        <v>N/A</v>
      </c>
      <c r="J183" s="6" t="str">
        <f t="shared" si="16"/>
        <v>NO</v>
      </c>
      <c r="K183" s="6" t="str">
        <f>IF(J183="YES",'CASE DATA'!K183,"N/A")</f>
        <v>N/A</v>
      </c>
      <c r="L183" s="6" t="str">
        <f>IF(J183="YES", SUM('CASE DATA'!I183:J183)+SUM('CASE DATA'!L183:R183),"N/A")</f>
        <v>N/A</v>
      </c>
      <c r="M183" s="21">
        <f t="shared" si="17"/>
        <v>0</v>
      </c>
    </row>
    <row r="184" spans="1:13" x14ac:dyDescent="0.25">
      <c r="A184" s="162">
        <f xml:space="preserve"> 'CASE DATA'!A184</f>
        <v>0</v>
      </c>
      <c r="B184" s="162">
        <f xml:space="preserve"> 'CASE DATA'!B184</f>
        <v>0</v>
      </c>
      <c r="C184" s="163">
        <f xml:space="preserve"> 'CASE DATA'!C184</f>
        <v>0</v>
      </c>
      <c r="D184" s="162">
        <f xml:space="preserve"> 'CASE DATA'!E184</f>
        <v>0</v>
      </c>
      <c r="E184" s="162">
        <f xml:space="preserve"> 'CASE DATA'!F184</f>
        <v>0</v>
      </c>
      <c r="F184" s="138">
        <f xml:space="preserve"> 'CASE DATA'!G184</f>
        <v>0</v>
      </c>
      <c r="G184" s="6" t="str">
        <f>IF(AND(F184="YES", OR(E184="GTR",E184="GPL",E184="DEF",E184="JUV")), 'CASE DATA'!K184, "N/A")</f>
        <v>N/A</v>
      </c>
      <c r="H184" s="6" t="str">
        <f>IF(AND(F184="YES", OR(E184="GTR",E184="GPL",E184="DEF",E184="JUV")), (SUM('CASE DATA'!I184:J184)+SUM('CASE DATA'!L184:R184)), "N/A")</f>
        <v>N/A</v>
      </c>
      <c r="I184" s="21" t="str">
        <f t="shared" si="15"/>
        <v>N/A</v>
      </c>
      <c r="J184" s="6" t="str">
        <f t="shared" si="16"/>
        <v>NO</v>
      </c>
      <c r="K184" s="6" t="str">
        <f>IF(J184="YES",'CASE DATA'!K184,"N/A")</f>
        <v>N/A</v>
      </c>
      <c r="L184" s="6" t="str">
        <f>IF(J184="YES", SUM('CASE DATA'!I184:J184)+SUM('CASE DATA'!L184:R184),"N/A")</f>
        <v>N/A</v>
      </c>
      <c r="M184" s="21">
        <f t="shared" si="17"/>
        <v>0</v>
      </c>
    </row>
    <row r="185" spans="1:13" x14ac:dyDescent="0.25">
      <c r="A185" s="162">
        <f xml:space="preserve"> 'CASE DATA'!A185</f>
        <v>0</v>
      </c>
      <c r="B185" s="162">
        <f xml:space="preserve"> 'CASE DATA'!B185</f>
        <v>0</v>
      </c>
      <c r="C185" s="163">
        <f xml:space="preserve"> 'CASE DATA'!C185</f>
        <v>0</v>
      </c>
      <c r="D185" s="162">
        <f xml:space="preserve"> 'CASE DATA'!E185</f>
        <v>0</v>
      </c>
      <c r="E185" s="162">
        <f xml:space="preserve"> 'CASE DATA'!F185</f>
        <v>0</v>
      </c>
      <c r="F185" s="138">
        <f xml:space="preserve"> 'CASE DATA'!G185</f>
        <v>0</v>
      </c>
      <c r="G185" s="6" t="str">
        <f>IF(AND(F185="YES", OR(E185="GTR",E185="GPL",E185="DEF",E185="JUV")), 'CASE DATA'!K185, "N/A")</f>
        <v>N/A</v>
      </c>
      <c r="H185" s="6" t="str">
        <f>IF(AND(F185="YES", OR(E185="GTR",E185="GPL",E185="DEF",E185="JUV")), (SUM('CASE DATA'!I185:J185)+SUM('CASE DATA'!L185:R185)), "N/A")</f>
        <v>N/A</v>
      </c>
      <c r="I185" s="21" t="str">
        <f t="shared" si="15"/>
        <v>N/A</v>
      </c>
      <c r="J185" s="6" t="str">
        <f t="shared" si="16"/>
        <v>NO</v>
      </c>
      <c r="K185" s="6" t="str">
        <f>IF(J185="YES",'CASE DATA'!K185,"N/A")</f>
        <v>N/A</v>
      </c>
      <c r="L185" s="6" t="str">
        <f>IF(J185="YES", SUM('CASE DATA'!I185:J185)+SUM('CASE DATA'!L185:R185),"N/A")</f>
        <v>N/A</v>
      </c>
      <c r="M185" s="21">
        <f t="shared" si="17"/>
        <v>0</v>
      </c>
    </row>
    <row r="186" spans="1:13" x14ac:dyDescent="0.25">
      <c r="A186" s="162">
        <f xml:space="preserve"> 'CASE DATA'!A186</f>
        <v>0</v>
      </c>
      <c r="B186" s="162">
        <f xml:space="preserve"> 'CASE DATA'!B186</f>
        <v>0</v>
      </c>
      <c r="C186" s="163">
        <f xml:space="preserve"> 'CASE DATA'!C186</f>
        <v>0</v>
      </c>
      <c r="D186" s="162">
        <f xml:space="preserve"> 'CASE DATA'!E186</f>
        <v>0</v>
      </c>
      <c r="E186" s="162">
        <f xml:space="preserve"> 'CASE DATA'!F186</f>
        <v>0</v>
      </c>
      <c r="F186" s="138">
        <f xml:space="preserve"> 'CASE DATA'!G186</f>
        <v>0</v>
      </c>
      <c r="G186" s="6" t="str">
        <f>IF(AND(F186="YES", OR(E186="GTR",E186="GPL",E186="DEF",E186="JUV")), 'CASE DATA'!K186, "N/A")</f>
        <v>N/A</v>
      </c>
      <c r="H186" s="6" t="str">
        <f>IF(AND(F186="YES", OR(E186="GTR",E186="GPL",E186="DEF",E186="JUV")), (SUM('CASE DATA'!I186:J186)+SUM('CASE DATA'!L186:R186)), "N/A")</f>
        <v>N/A</v>
      </c>
      <c r="I186" s="21" t="str">
        <f t="shared" si="15"/>
        <v>N/A</v>
      </c>
      <c r="J186" s="6" t="str">
        <f t="shared" si="16"/>
        <v>NO</v>
      </c>
      <c r="K186" s="6" t="str">
        <f>IF(J186="YES",'CASE DATA'!K186,"N/A")</f>
        <v>N/A</v>
      </c>
      <c r="L186" s="6" t="str">
        <f>IF(J186="YES", SUM('CASE DATA'!I186:J186)+SUM('CASE DATA'!L186:R186),"N/A")</f>
        <v>N/A</v>
      </c>
      <c r="M186" s="21">
        <f t="shared" si="17"/>
        <v>0</v>
      </c>
    </row>
    <row r="187" spans="1:13" x14ac:dyDescent="0.25">
      <c r="A187" s="162">
        <f xml:space="preserve"> 'CASE DATA'!A187</f>
        <v>0</v>
      </c>
      <c r="B187" s="162">
        <f xml:space="preserve"> 'CASE DATA'!B187</f>
        <v>0</v>
      </c>
      <c r="C187" s="163">
        <f xml:space="preserve"> 'CASE DATA'!C187</f>
        <v>0</v>
      </c>
      <c r="D187" s="162">
        <f xml:space="preserve"> 'CASE DATA'!E187</f>
        <v>0</v>
      </c>
      <c r="E187" s="162">
        <f xml:space="preserve"> 'CASE DATA'!F187</f>
        <v>0</v>
      </c>
      <c r="F187" s="138">
        <f xml:space="preserve"> 'CASE DATA'!G187</f>
        <v>0</v>
      </c>
      <c r="G187" s="6" t="str">
        <f>IF(AND(F187="YES", OR(E187="GTR",E187="GPL",E187="DEF",E187="JUV")), 'CASE DATA'!K187, "N/A")</f>
        <v>N/A</v>
      </c>
      <c r="H187" s="6" t="str">
        <f>IF(AND(F187="YES", OR(E187="GTR",E187="GPL",E187="DEF",E187="JUV")), (SUM('CASE DATA'!I187:J187)+SUM('CASE DATA'!L187:R187)), "N/A")</f>
        <v>N/A</v>
      </c>
      <c r="I187" s="21" t="str">
        <f t="shared" si="15"/>
        <v>N/A</v>
      </c>
      <c r="J187" s="6" t="str">
        <f t="shared" si="16"/>
        <v>NO</v>
      </c>
      <c r="K187" s="6" t="str">
        <f>IF(J187="YES",'CASE DATA'!K187,"N/A")</f>
        <v>N/A</v>
      </c>
      <c r="L187" s="6" t="str">
        <f>IF(J187="YES", SUM('CASE DATA'!I187:J187)+SUM('CASE DATA'!L187:R187),"N/A")</f>
        <v>N/A</v>
      </c>
      <c r="M187" s="21">
        <f t="shared" si="17"/>
        <v>0</v>
      </c>
    </row>
    <row r="188" spans="1:13" x14ac:dyDescent="0.25">
      <c r="A188" s="162">
        <f xml:space="preserve"> 'CASE DATA'!A188</f>
        <v>0</v>
      </c>
      <c r="B188" s="162">
        <f xml:space="preserve"> 'CASE DATA'!B188</f>
        <v>0</v>
      </c>
      <c r="C188" s="163">
        <f xml:space="preserve"> 'CASE DATA'!C188</f>
        <v>0</v>
      </c>
      <c r="D188" s="162">
        <f xml:space="preserve"> 'CASE DATA'!E188</f>
        <v>0</v>
      </c>
      <c r="E188" s="162">
        <f xml:space="preserve"> 'CASE DATA'!F188</f>
        <v>0</v>
      </c>
      <c r="F188" s="138">
        <f xml:space="preserve"> 'CASE DATA'!G188</f>
        <v>0</v>
      </c>
      <c r="G188" s="6" t="str">
        <f>IF(AND(F188="YES", OR(E188="GTR",E188="GPL",E188="DEF",E188="JUV")), 'CASE DATA'!K188, "N/A")</f>
        <v>N/A</v>
      </c>
      <c r="H188" s="6" t="str">
        <f>IF(AND(F188="YES", OR(E188="GTR",E188="GPL",E188="DEF",E188="JUV")), (SUM('CASE DATA'!I188:J188)+SUM('CASE DATA'!L188:R188)), "N/A")</f>
        <v>N/A</v>
      </c>
      <c r="I188" s="21" t="str">
        <f t="shared" si="15"/>
        <v>N/A</v>
      </c>
      <c r="J188" s="6" t="str">
        <f t="shared" si="16"/>
        <v>NO</v>
      </c>
      <c r="K188" s="6" t="str">
        <f>IF(J188="YES",'CASE DATA'!K188,"N/A")</f>
        <v>N/A</v>
      </c>
      <c r="L188" s="6" t="str">
        <f>IF(J188="YES", SUM('CASE DATA'!I188:J188)+SUM('CASE DATA'!L188:R188),"N/A")</f>
        <v>N/A</v>
      </c>
      <c r="M188" s="21">
        <f t="shared" si="17"/>
        <v>0</v>
      </c>
    </row>
    <row r="189" spans="1:13" x14ac:dyDescent="0.25">
      <c r="A189" s="162">
        <f xml:space="preserve"> 'CASE DATA'!A189</f>
        <v>0</v>
      </c>
      <c r="B189" s="162">
        <f xml:space="preserve"> 'CASE DATA'!B189</f>
        <v>0</v>
      </c>
      <c r="C189" s="163">
        <f xml:space="preserve"> 'CASE DATA'!C189</f>
        <v>0</v>
      </c>
      <c r="D189" s="162">
        <f xml:space="preserve"> 'CASE DATA'!E189</f>
        <v>0</v>
      </c>
      <c r="E189" s="162">
        <f xml:space="preserve"> 'CASE DATA'!F189</f>
        <v>0</v>
      </c>
      <c r="F189" s="138">
        <f xml:space="preserve"> 'CASE DATA'!G189</f>
        <v>0</v>
      </c>
      <c r="G189" s="6" t="str">
        <f>IF(AND(F189="YES", OR(E189="GTR",E189="GPL",E189="DEF",E189="JUV")), 'CASE DATA'!K189, "N/A")</f>
        <v>N/A</v>
      </c>
      <c r="H189" s="6" t="str">
        <f>IF(AND(F189="YES", OR(E189="GTR",E189="GPL",E189="DEF",E189="JUV")), (SUM('CASE DATA'!I189:J189)+SUM('CASE DATA'!L189:R189)), "N/A")</f>
        <v>N/A</v>
      </c>
      <c r="I189" s="21" t="str">
        <f t="shared" si="15"/>
        <v>N/A</v>
      </c>
      <c r="J189" s="6" t="str">
        <f t="shared" si="16"/>
        <v>NO</v>
      </c>
      <c r="K189" s="6" t="str">
        <f>IF(J189="YES",'CASE DATA'!K189,"N/A")</f>
        <v>N/A</v>
      </c>
      <c r="L189" s="6" t="str">
        <f>IF(J189="YES", SUM('CASE DATA'!I189:J189)+SUM('CASE DATA'!L189:R189),"N/A")</f>
        <v>N/A</v>
      </c>
      <c r="M189" s="21">
        <f t="shared" si="17"/>
        <v>0</v>
      </c>
    </row>
    <row r="190" spans="1:13" x14ac:dyDescent="0.25">
      <c r="A190" s="162">
        <f xml:space="preserve"> 'CASE DATA'!A190</f>
        <v>0</v>
      </c>
      <c r="B190" s="162">
        <f xml:space="preserve"> 'CASE DATA'!B190</f>
        <v>0</v>
      </c>
      <c r="C190" s="163">
        <f xml:space="preserve"> 'CASE DATA'!C190</f>
        <v>0</v>
      </c>
      <c r="D190" s="162">
        <f xml:space="preserve"> 'CASE DATA'!E190</f>
        <v>0</v>
      </c>
      <c r="E190" s="162">
        <f xml:space="preserve"> 'CASE DATA'!F190</f>
        <v>0</v>
      </c>
      <c r="F190" s="138">
        <f xml:space="preserve"> 'CASE DATA'!G190</f>
        <v>0</v>
      </c>
      <c r="G190" s="6" t="str">
        <f>IF(AND(F190="YES", OR(E190="GTR",E190="GPL",E190="DEF",E190="JUV")), 'CASE DATA'!K190, "N/A")</f>
        <v>N/A</v>
      </c>
      <c r="H190" s="6" t="str">
        <f>IF(AND(F190="YES", OR(E190="GTR",E190="GPL",E190="DEF",E190="JUV")), (SUM('CASE DATA'!I190:J190)+SUM('CASE DATA'!L190:R190)), "N/A")</f>
        <v>N/A</v>
      </c>
      <c r="I190" s="21" t="str">
        <f t="shared" si="15"/>
        <v>N/A</v>
      </c>
      <c r="J190" s="6" t="str">
        <f t="shared" si="16"/>
        <v>NO</v>
      </c>
      <c r="K190" s="6" t="str">
        <f>IF(J190="YES",'CASE DATA'!K190,"N/A")</f>
        <v>N/A</v>
      </c>
      <c r="L190" s="6" t="str">
        <f>IF(J190="YES", SUM('CASE DATA'!I190:J190)+SUM('CASE DATA'!L190:R190),"N/A")</f>
        <v>N/A</v>
      </c>
      <c r="M190" s="21">
        <f t="shared" si="17"/>
        <v>0</v>
      </c>
    </row>
    <row r="191" spans="1:13" x14ac:dyDescent="0.25">
      <c r="A191" s="162">
        <f xml:space="preserve"> 'CASE DATA'!A191</f>
        <v>0</v>
      </c>
      <c r="B191" s="162">
        <f xml:space="preserve"> 'CASE DATA'!B191</f>
        <v>0</v>
      </c>
      <c r="C191" s="163">
        <f xml:space="preserve"> 'CASE DATA'!C191</f>
        <v>0</v>
      </c>
      <c r="D191" s="162">
        <f xml:space="preserve"> 'CASE DATA'!E191</f>
        <v>0</v>
      </c>
      <c r="E191" s="162">
        <f xml:space="preserve"> 'CASE DATA'!F191</f>
        <v>0</v>
      </c>
      <c r="F191" s="138">
        <f xml:space="preserve"> 'CASE DATA'!G191</f>
        <v>0</v>
      </c>
      <c r="G191" s="6" t="str">
        <f>IF(AND(F191="YES", OR(E191="GTR",E191="GPL",E191="DEF",E191="JUV")), 'CASE DATA'!K191, "N/A")</f>
        <v>N/A</v>
      </c>
      <c r="H191" s="6" t="str">
        <f>IF(AND(F191="YES", OR(E191="GTR",E191="GPL",E191="DEF",E191="JUV")), (SUM('CASE DATA'!I191:J191)+SUM('CASE DATA'!L191:R191)), "N/A")</f>
        <v>N/A</v>
      </c>
      <c r="I191" s="21" t="str">
        <f t="shared" si="15"/>
        <v>N/A</v>
      </c>
      <c r="J191" s="6" t="str">
        <f t="shared" si="16"/>
        <v>NO</v>
      </c>
      <c r="K191" s="6" t="str">
        <f>IF(J191="YES",'CASE DATA'!K191,"N/A")</f>
        <v>N/A</v>
      </c>
      <c r="L191" s="6" t="str">
        <f>IF(J191="YES", SUM('CASE DATA'!I191:J191)+SUM('CASE DATA'!L191:R191),"N/A")</f>
        <v>N/A</v>
      </c>
      <c r="M191" s="21">
        <f t="shared" si="17"/>
        <v>0</v>
      </c>
    </row>
    <row r="192" spans="1:13" x14ac:dyDescent="0.25">
      <c r="A192" s="162">
        <f xml:space="preserve"> 'CASE DATA'!A192</f>
        <v>0</v>
      </c>
      <c r="B192" s="162">
        <f xml:space="preserve"> 'CASE DATA'!B192</f>
        <v>0</v>
      </c>
      <c r="C192" s="163">
        <f xml:space="preserve"> 'CASE DATA'!C192</f>
        <v>0</v>
      </c>
      <c r="D192" s="162">
        <f xml:space="preserve"> 'CASE DATA'!E192</f>
        <v>0</v>
      </c>
      <c r="E192" s="162">
        <f xml:space="preserve"> 'CASE DATA'!F192</f>
        <v>0</v>
      </c>
      <c r="F192" s="138">
        <f xml:space="preserve"> 'CASE DATA'!G192</f>
        <v>0</v>
      </c>
      <c r="G192" s="6" t="str">
        <f>IF(AND(F192="YES", OR(E192="GTR",E192="GPL",E192="DEF",E192="JUV")), 'CASE DATA'!K192, "N/A")</f>
        <v>N/A</v>
      </c>
      <c r="H192" s="6" t="str">
        <f>IF(AND(F192="YES", OR(E192="GTR",E192="GPL",E192="DEF",E192="JUV")), (SUM('CASE DATA'!I192:J192)+SUM('CASE DATA'!L192:R192)), "N/A")</f>
        <v>N/A</v>
      </c>
      <c r="I192" s="21" t="str">
        <f t="shared" si="15"/>
        <v>N/A</v>
      </c>
      <c r="J192" s="6" t="str">
        <f t="shared" si="16"/>
        <v>NO</v>
      </c>
      <c r="K192" s="6" t="str">
        <f>IF(J192="YES",'CASE DATA'!K192,"N/A")</f>
        <v>N/A</v>
      </c>
      <c r="L192" s="6" t="str">
        <f>IF(J192="YES", SUM('CASE DATA'!I192:J192)+SUM('CASE DATA'!L192:R192),"N/A")</f>
        <v>N/A</v>
      </c>
      <c r="M192" s="21">
        <f t="shared" si="17"/>
        <v>0</v>
      </c>
    </row>
    <row r="193" spans="1:13" x14ac:dyDescent="0.25">
      <c r="A193" s="162">
        <f xml:space="preserve"> 'CASE DATA'!A193</f>
        <v>0</v>
      </c>
      <c r="B193" s="162">
        <f xml:space="preserve"> 'CASE DATA'!B193</f>
        <v>0</v>
      </c>
      <c r="C193" s="163">
        <f xml:space="preserve"> 'CASE DATA'!C193</f>
        <v>0</v>
      </c>
      <c r="D193" s="162">
        <f xml:space="preserve"> 'CASE DATA'!E193</f>
        <v>0</v>
      </c>
      <c r="E193" s="162">
        <f xml:space="preserve"> 'CASE DATA'!F193</f>
        <v>0</v>
      </c>
      <c r="F193" s="138">
        <f xml:space="preserve"> 'CASE DATA'!G193</f>
        <v>0</v>
      </c>
      <c r="G193" s="6" t="str">
        <f>IF(AND(F193="YES", OR(E193="GTR",E193="GPL",E193="DEF",E193="JUV")), 'CASE DATA'!K193, "N/A")</f>
        <v>N/A</v>
      </c>
      <c r="H193" s="6" t="str">
        <f>IF(AND(F193="YES", OR(E193="GTR",E193="GPL",E193="DEF",E193="JUV")), (SUM('CASE DATA'!I193:J193)+SUM('CASE DATA'!L193:R193)), "N/A")</f>
        <v>N/A</v>
      </c>
      <c r="I193" s="21" t="str">
        <f t="shared" si="15"/>
        <v>N/A</v>
      </c>
      <c r="J193" s="6" t="str">
        <f t="shared" si="16"/>
        <v>NO</v>
      </c>
      <c r="K193" s="6" t="str">
        <f>IF(J193="YES",'CASE DATA'!K193,"N/A")</f>
        <v>N/A</v>
      </c>
      <c r="L193" s="6" t="str">
        <f>IF(J193="YES", SUM('CASE DATA'!I193:J193)+SUM('CASE DATA'!L193:R193),"N/A")</f>
        <v>N/A</v>
      </c>
      <c r="M193" s="21">
        <f t="shared" si="17"/>
        <v>0</v>
      </c>
    </row>
    <row r="194" spans="1:13" x14ac:dyDescent="0.25">
      <c r="A194" s="162">
        <f xml:space="preserve"> 'CASE DATA'!A194</f>
        <v>0</v>
      </c>
      <c r="B194" s="162">
        <f xml:space="preserve"> 'CASE DATA'!B194</f>
        <v>0</v>
      </c>
      <c r="C194" s="163">
        <f xml:space="preserve"> 'CASE DATA'!C194</f>
        <v>0</v>
      </c>
      <c r="D194" s="162">
        <f xml:space="preserve"> 'CASE DATA'!E194</f>
        <v>0</v>
      </c>
      <c r="E194" s="162">
        <f xml:space="preserve"> 'CASE DATA'!F194</f>
        <v>0</v>
      </c>
      <c r="F194" s="138">
        <f xml:space="preserve"> 'CASE DATA'!G194</f>
        <v>0</v>
      </c>
      <c r="G194" s="6" t="str">
        <f>IF(AND(F194="YES", OR(E194="GTR",E194="GPL",E194="DEF",E194="JUV")), 'CASE DATA'!K194, "N/A")</f>
        <v>N/A</v>
      </c>
      <c r="H194" s="6" t="str">
        <f>IF(AND(F194="YES", OR(E194="GTR",E194="GPL",E194="DEF",E194="JUV")), (SUM('CASE DATA'!I194:J194)+SUM('CASE DATA'!L194:R194)), "N/A")</f>
        <v>N/A</v>
      </c>
      <c r="I194" s="21" t="str">
        <f t="shared" si="15"/>
        <v>N/A</v>
      </c>
      <c r="J194" s="6" t="str">
        <f t="shared" si="16"/>
        <v>NO</v>
      </c>
      <c r="K194" s="6" t="str">
        <f>IF(J194="YES",'CASE DATA'!K194,"N/A")</f>
        <v>N/A</v>
      </c>
      <c r="L194" s="6" t="str">
        <f>IF(J194="YES", SUM('CASE DATA'!I194:J194)+SUM('CASE DATA'!L194:R194),"N/A")</f>
        <v>N/A</v>
      </c>
      <c r="M194" s="21">
        <f t="shared" si="17"/>
        <v>0</v>
      </c>
    </row>
    <row r="195" spans="1:13" x14ac:dyDescent="0.25">
      <c r="A195" s="162">
        <f xml:space="preserve"> 'CASE DATA'!A195</f>
        <v>0</v>
      </c>
      <c r="B195" s="162">
        <f xml:space="preserve"> 'CASE DATA'!B195</f>
        <v>0</v>
      </c>
      <c r="C195" s="163">
        <f xml:space="preserve"> 'CASE DATA'!C195</f>
        <v>0</v>
      </c>
      <c r="D195" s="162">
        <f xml:space="preserve"> 'CASE DATA'!E195</f>
        <v>0</v>
      </c>
      <c r="E195" s="162">
        <f xml:space="preserve"> 'CASE DATA'!F195</f>
        <v>0</v>
      </c>
      <c r="F195" s="138">
        <f xml:space="preserve"> 'CASE DATA'!G195</f>
        <v>0</v>
      </c>
      <c r="G195" s="6" t="str">
        <f>IF(AND(F195="YES", OR(E195="GTR",E195="GPL",E195="DEF",E195="JUV")), 'CASE DATA'!K195, "N/A")</f>
        <v>N/A</v>
      </c>
      <c r="H195" s="6" t="str">
        <f>IF(AND(F195="YES", OR(E195="GTR",E195="GPL",E195="DEF",E195="JUV")), (SUM('CASE DATA'!I195:J195)+SUM('CASE DATA'!L195:R195)), "N/A")</f>
        <v>N/A</v>
      </c>
      <c r="I195" s="21" t="str">
        <f t="shared" si="15"/>
        <v>N/A</v>
      </c>
      <c r="J195" s="6" t="str">
        <f t="shared" si="16"/>
        <v>NO</v>
      </c>
      <c r="K195" s="6" t="str">
        <f>IF(J195="YES",'CASE DATA'!K195,"N/A")</f>
        <v>N/A</v>
      </c>
      <c r="L195" s="6" t="str">
        <f>IF(J195="YES", SUM('CASE DATA'!I195:J195)+SUM('CASE DATA'!L195:R195),"N/A")</f>
        <v>N/A</v>
      </c>
      <c r="M195" s="21">
        <f t="shared" si="17"/>
        <v>0</v>
      </c>
    </row>
    <row r="196" spans="1:13" x14ac:dyDescent="0.25">
      <c r="A196" s="162">
        <f xml:space="preserve"> 'CASE DATA'!A196</f>
        <v>0</v>
      </c>
      <c r="B196" s="162">
        <f xml:space="preserve"> 'CASE DATA'!B196</f>
        <v>0</v>
      </c>
      <c r="C196" s="163">
        <f xml:space="preserve"> 'CASE DATA'!C196</f>
        <v>0</v>
      </c>
      <c r="D196" s="162">
        <f xml:space="preserve"> 'CASE DATA'!E196</f>
        <v>0</v>
      </c>
      <c r="E196" s="162">
        <f xml:space="preserve"> 'CASE DATA'!F196</f>
        <v>0</v>
      </c>
      <c r="F196" s="138">
        <f xml:space="preserve"> 'CASE DATA'!G196</f>
        <v>0</v>
      </c>
      <c r="G196" s="6" t="str">
        <f>IF(AND(F196="YES", OR(E196="GTR",E196="GPL",E196="DEF",E196="JUV")), 'CASE DATA'!K196, "N/A")</f>
        <v>N/A</v>
      </c>
      <c r="H196" s="6" t="str">
        <f>IF(AND(F196="YES", OR(E196="GTR",E196="GPL",E196="DEF",E196="JUV")), (SUM('CASE DATA'!I196:J196)+SUM('CASE DATA'!L196:R196)), "N/A")</f>
        <v>N/A</v>
      </c>
      <c r="I196" s="21" t="str">
        <f t="shared" si="15"/>
        <v>N/A</v>
      </c>
      <c r="J196" s="6" t="str">
        <f t="shared" si="16"/>
        <v>NO</v>
      </c>
      <c r="K196" s="6" t="str">
        <f>IF(J196="YES",'CASE DATA'!K196,"N/A")</f>
        <v>N/A</v>
      </c>
      <c r="L196" s="6" t="str">
        <f>IF(J196="YES", SUM('CASE DATA'!I196:J196)+SUM('CASE DATA'!L196:R196),"N/A")</f>
        <v>N/A</v>
      </c>
      <c r="M196" s="21">
        <f t="shared" si="17"/>
        <v>0</v>
      </c>
    </row>
    <row r="197" spans="1:13" x14ac:dyDescent="0.25">
      <c r="A197" s="162">
        <f xml:space="preserve"> 'CASE DATA'!A197</f>
        <v>0</v>
      </c>
      <c r="B197" s="162">
        <f xml:space="preserve"> 'CASE DATA'!B197</f>
        <v>0</v>
      </c>
      <c r="C197" s="163">
        <f xml:space="preserve"> 'CASE DATA'!C197</f>
        <v>0</v>
      </c>
      <c r="D197" s="162">
        <f xml:space="preserve"> 'CASE DATA'!E197</f>
        <v>0</v>
      </c>
      <c r="E197" s="162">
        <f xml:space="preserve"> 'CASE DATA'!F197</f>
        <v>0</v>
      </c>
      <c r="F197" s="138">
        <f xml:space="preserve"> 'CASE DATA'!G197</f>
        <v>0</v>
      </c>
      <c r="G197" s="6" t="str">
        <f>IF(AND(F197="YES", OR(E197="GTR",E197="GPL",E197="DEF",E197="JUV")), 'CASE DATA'!K197, "N/A")</f>
        <v>N/A</v>
      </c>
      <c r="H197" s="6" t="str">
        <f>IF(AND(F197="YES", OR(E197="GTR",E197="GPL",E197="DEF",E197="JUV")), (SUM('CASE DATA'!I197:J197)+SUM('CASE DATA'!L197:R197)), "N/A")</f>
        <v>N/A</v>
      </c>
      <c r="I197" s="21" t="str">
        <f t="shared" si="15"/>
        <v>N/A</v>
      </c>
      <c r="J197" s="6" t="str">
        <f t="shared" si="16"/>
        <v>NO</v>
      </c>
      <c r="K197" s="6" t="str">
        <f>IF(J197="YES",'CASE DATA'!K197,"N/A")</f>
        <v>N/A</v>
      </c>
      <c r="L197" s="6" t="str">
        <f>IF(J197="YES", SUM('CASE DATA'!I197:J197)+SUM('CASE DATA'!L197:R197),"N/A")</f>
        <v>N/A</v>
      </c>
      <c r="M197" s="21">
        <f t="shared" si="17"/>
        <v>0</v>
      </c>
    </row>
    <row r="198" spans="1:13" x14ac:dyDescent="0.25">
      <c r="A198" s="162">
        <f xml:space="preserve"> 'CASE DATA'!A198</f>
        <v>0</v>
      </c>
      <c r="B198" s="162">
        <f xml:space="preserve"> 'CASE DATA'!B198</f>
        <v>0</v>
      </c>
      <c r="C198" s="163">
        <f xml:space="preserve"> 'CASE DATA'!C198</f>
        <v>0</v>
      </c>
      <c r="D198" s="162">
        <f xml:space="preserve"> 'CASE DATA'!E198</f>
        <v>0</v>
      </c>
      <c r="E198" s="162">
        <f xml:space="preserve"> 'CASE DATA'!F198</f>
        <v>0</v>
      </c>
      <c r="F198" s="138">
        <f xml:space="preserve"> 'CASE DATA'!G198</f>
        <v>0</v>
      </c>
      <c r="G198" s="6" t="str">
        <f>IF(AND(F198="YES", OR(E198="GTR",E198="GPL",E198="DEF",E198="JUV")), 'CASE DATA'!K198, "N/A")</f>
        <v>N/A</v>
      </c>
      <c r="H198" s="6" t="str">
        <f>IF(AND(F198="YES", OR(E198="GTR",E198="GPL",E198="DEF",E198="JUV")), (SUM('CASE DATA'!I198:J198)+SUM('CASE DATA'!L198:R198)), "N/A")</f>
        <v>N/A</v>
      </c>
      <c r="I198" s="21" t="str">
        <f t="shared" si="15"/>
        <v>N/A</v>
      </c>
      <c r="J198" s="6" t="str">
        <f t="shared" si="16"/>
        <v>NO</v>
      </c>
      <c r="K198" s="6" t="str">
        <f>IF(J198="YES",'CASE DATA'!K198,"N/A")</f>
        <v>N/A</v>
      </c>
      <c r="L198" s="6" t="str">
        <f>IF(J198="YES", SUM('CASE DATA'!I198:J198)+SUM('CASE DATA'!L198:R198),"N/A")</f>
        <v>N/A</v>
      </c>
      <c r="M198" s="21">
        <f t="shared" si="17"/>
        <v>0</v>
      </c>
    </row>
    <row r="199" spans="1:13" x14ac:dyDescent="0.25">
      <c r="A199" s="162">
        <f xml:space="preserve"> 'CASE DATA'!A199</f>
        <v>0</v>
      </c>
      <c r="B199" s="162">
        <f xml:space="preserve"> 'CASE DATA'!B199</f>
        <v>0</v>
      </c>
      <c r="C199" s="163">
        <f xml:space="preserve"> 'CASE DATA'!C199</f>
        <v>0</v>
      </c>
      <c r="D199" s="162">
        <f xml:space="preserve"> 'CASE DATA'!E199</f>
        <v>0</v>
      </c>
      <c r="E199" s="162">
        <f xml:space="preserve"> 'CASE DATA'!F199</f>
        <v>0</v>
      </c>
      <c r="F199" s="138">
        <f xml:space="preserve"> 'CASE DATA'!G199</f>
        <v>0</v>
      </c>
      <c r="G199" s="6" t="str">
        <f>IF(AND(F199="YES", OR(E199="GTR",E199="GPL",E199="DEF",E199="JUV")), 'CASE DATA'!K199, "N/A")</f>
        <v>N/A</v>
      </c>
      <c r="H199" s="6" t="str">
        <f>IF(AND(F199="YES", OR(E199="GTR",E199="GPL",E199="DEF",E199="JUV")), (SUM('CASE DATA'!I199:J199)+SUM('CASE DATA'!L199:R199)), "N/A")</f>
        <v>N/A</v>
      </c>
      <c r="I199" s="21" t="str">
        <f t="shared" si="15"/>
        <v>N/A</v>
      </c>
      <c r="J199" s="6" t="str">
        <f t="shared" si="16"/>
        <v>NO</v>
      </c>
      <c r="K199" s="6" t="str">
        <f>IF(J199="YES",'CASE DATA'!K199,"N/A")</f>
        <v>N/A</v>
      </c>
      <c r="L199" s="6" t="str">
        <f>IF(J199="YES", SUM('CASE DATA'!I199:J199)+SUM('CASE DATA'!L199:R199),"N/A")</f>
        <v>N/A</v>
      </c>
      <c r="M199" s="21">
        <f t="shared" si="17"/>
        <v>0</v>
      </c>
    </row>
    <row r="200" spans="1:13" x14ac:dyDescent="0.25">
      <c r="A200" s="162">
        <f xml:space="preserve"> 'CASE DATA'!A200</f>
        <v>0</v>
      </c>
      <c r="B200" s="162">
        <f xml:space="preserve"> 'CASE DATA'!B200</f>
        <v>0</v>
      </c>
      <c r="C200" s="163">
        <f xml:space="preserve"> 'CASE DATA'!C200</f>
        <v>0</v>
      </c>
      <c r="D200" s="162">
        <f xml:space="preserve"> 'CASE DATA'!E200</f>
        <v>0</v>
      </c>
      <c r="E200" s="162">
        <f xml:space="preserve"> 'CASE DATA'!F200</f>
        <v>0</v>
      </c>
      <c r="F200" s="138">
        <f xml:space="preserve"> 'CASE DATA'!G200</f>
        <v>0</v>
      </c>
      <c r="G200" s="6" t="str">
        <f>IF(AND(F200="YES", OR(E200="GTR",E200="GPL",E200="DEF",E200="JUV")), 'CASE DATA'!K200, "N/A")</f>
        <v>N/A</v>
      </c>
      <c r="H200" s="6" t="str">
        <f>IF(AND(F200="YES", OR(E200="GTR",E200="GPL",E200="DEF",E200="JUV")), (SUM('CASE DATA'!I200:J200)+SUM('CASE DATA'!L200:R200)), "N/A")</f>
        <v>N/A</v>
      </c>
      <c r="I200" s="21" t="str">
        <f t="shared" si="15"/>
        <v>N/A</v>
      </c>
      <c r="J200" s="6" t="str">
        <f t="shared" si="16"/>
        <v>NO</v>
      </c>
      <c r="K200" s="6" t="str">
        <f>IF(J200="YES",'CASE DATA'!K200,"N/A")</f>
        <v>N/A</v>
      </c>
      <c r="L200" s="6" t="str">
        <f>IF(J200="YES", SUM('CASE DATA'!I200:J200)+SUM('CASE DATA'!L200:R200),"N/A")</f>
        <v>N/A</v>
      </c>
      <c r="M200" s="21">
        <f t="shared" si="17"/>
        <v>0</v>
      </c>
    </row>
  </sheetData>
  <mergeCells count="10">
    <mergeCell ref="A1:C1"/>
    <mergeCell ref="D1:E1"/>
    <mergeCell ref="H1:J1"/>
    <mergeCell ref="F2:I2"/>
    <mergeCell ref="J2:M2"/>
    <mergeCell ref="A2:A3"/>
    <mergeCell ref="B2:B3"/>
    <mergeCell ref="C2:C3"/>
    <mergeCell ref="D2:D3"/>
    <mergeCell ref="E2:E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200"/>
  <sheetViews>
    <sheetView workbookViewId="0">
      <pane ySplit="1" topLeftCell="A2" activePane="bottomLeft" state="frozen"/>
      <selection pane="bottomLeft" activeCell="A6" sqref="A6"/>
    </sheetView>
  </sheetViews>
  <sheetFormatPr defaultRowHeight="15" x14ac:dyDescent="0.25"/>
  <cols>
    <col min="1" max="4" width="20.7109375" customWidth="1"/>
    <col min="5" max="5" width="10.28515625" customWidth="1"/>
  </cols>
  <sheetData>
    <row r="1" spans="1:5" x14ac:dyDescent="0.25">
      <c r="A1" s="224" t="s">
        <v>9</v>
      </c>
      <c r="B1" s="249"/>
      <c r="C1" s="18">
        <f>SUM(C4:C100)</f>
        <v>0</v>
      </c>
      <c r="D1" s="20">
        <f>SUM(D4:D100)</f>
        <v>0</v>
      </c>
      <c r="E1" s="150">
        <f xml:space="preserve"> SUM(C1:D1)</f>
        <v>0</v>
      </c>
    </row>
    <row r="2" spans="1:5" x14ac:dyDescent="0.25">
      <c r="A2" s="248" t="s">
        <v>11</v>
      </c>
      <c r="B2" s="223" t="s">
        <v>66</v>
      </c>
      <c r="C2" s="224"/>
      <c r="D2" s="224"/>
      <c r="E2" s="187"/>
    </row>
    <row r="3" spans="1:5" x14ac:dyDescent="0.25">
      <c r="A3" s="248"/>
      <c r="B3" s="143" t="s">
        <v>14</v>
      </c>
      <c r="C3" s="15" t="s">
        <v>67</v>
      </c>
      <c r="D3" s="17" t="s">
        <v>68</v>
      </c>
      <c r="E3" s="150"/>
    </row>
    <row r="4" spans="1:5" x14ac:dyDescent="0.25">
      <c r="A4" s="162">
        <f xml:space="preserve"> 'CASE DATA'!A4</f>
        <v>0</v>
      </c>
      <c r="B4" s="185">
        <f xml:space="preserve"> 'CASE DATA'!F4</f>
        <v>0</v>
      </c>
      <c r="C4" s="166">
        <f xml:space="preserve"> IF(OR(B4="DISM", B4="JWV", B4="JUV", B4="CIV"), SUM('CASE DATA'!I4:R4), 'CASE DATA'!J4+'CASE DATA'!L4+'CASE DATA'!M4+'CASE DATA'!P4+'CASE DATA'!Q4+'CASE DATA'!R4+'CASE DATA'!K4+'CASE DATA'!O4)</f>
        <v>0</v>
      </c>
      <c r="D4" s="168">
        <f xml:space="preserve"> IF(OR(B4="DISM", B4="JWV", B4="JUV", B4="CIV"), 0, 'CASE DATA'!I4+'CASE DATA'!N4)</f>
        <v>0</v>
      </c>
      <c r="E4" s="187"/>
    </row>
    <row r="5" spans="1:5" x14ac:dyDescent="0.25">
      <c r="A5" s="162">
        <f xml:space="preserve"> 'CASE DATA'!A5</f>
        <v>0</v>
      </c>
      <c r="B5" s="185">
        <f xml:space="preserve"> 'CASE DATA'!F5</f>
        <v>0</v>
      </c>
      <c r="C5" s="166">
        <f xml:space="preserve"> IF(OR(B5="DISM", B5="JWV", B5="JUV", B5="CIV"), SUM('CASE DATA'!I5:R5), 'CASE DATA'!J5+'CASE DATA'!L5+'CASE DATA'!M5+'CASE DATA'!P5+'CASE DATA'!Q5+'CASE DATA'!R5+'CASE DATA'!K5+'CASE DATA'!O5)</f>
        <v>0</v>
      </c>
      <c r="D5" s="168">
        <f xml:space="preserve"> IF(OR(B5="DISM", B5="JWV", B5="JUV", B5="CIV"), 0, 'CASE DATA'!I5+'CASE DATA'!N5)</f>
        <v>0</v>
      </c>
      <c r="E5" s="187"/>
    </row>
    <row r="6" spans="1:5" x14ac:dyDescent="0.25">
      <c r="A6" s="162">
        <f xml:space="preserve"> 'CASE DATA'!A6</f>
        <v>0</v>
      </c>
      <c r="B6" s="185">
        <f xml:space="preserve"> 'CASE DATA'!F6</f>
        <v>0</v>
      </c>
      <c r="C6" s="166">
        <f xml:space="preserve"> IF(OR(B6="DISM", B6="JWV", B6="JUV", B6="CIV"), SUM('CASE DATA'!I6:R6), 'CASE DATA'!J6+'CASE DATA'!L6+'CASE DATA'!M6+'CASE DATA'!P6+'CASE DATA'!Q6+'CASE DATA'!R6+'CASE DATA'!K6+'CASE DATA'!O6)</f>
        <v>0</v>
      </c>
      <c r="D6" s="168">
        <f xml:space="preserve"> IF(OR(B6="DISM", B6="JWV", B6="JUV", B6="CIV"), 0, 'CASE DATA'!I6+'CASE DATA'!N6)</f>
        <v>0</v>
      </c>
      <c r="E6" s="187"/>
    </row>
    <row r="7" spans="1:5" x14ac:dyDescent="0.25">
      <c r="A7" s="162">
        <f xml:space="preserve"> 'CASE DATA'!A7</f>
        <v>0</v>
      </c>
      <c r="B7" s="185">
        <f xml:space="preserve"> 'CASE DATA'!F7</f>
        <v>0</v>
      </c>
      <c r="C7" s="166">
        <f xml:space="preserve"> IF(OR(B7="DISM", B7="JWV", B7="JUV", B7="CIV"), SUM('CASE DATA'!I7:R7), 'CASE DATA'!J7+'CASE DATA'!L7+'CASE DATA'!M7+'CASE DATA'!P7+'CASE DATA'!Q7+'CASE DATA'!R7+'CASE DATA'!K7+'CASE DATA'!O7)</f>
        <v>0</v>
      </c>
      <c r="D7" s="168">
        <f xml:space="preserve"> IF(OR(B7="DISM", B7="JWV", B7="JUV", B7="CIV"), 0, 'CASE DATA'!I7+'CASE DATA'!N7)</f>
        <v>0</v>
      </c>
      <c r="E7" s="187"/>
    </row>
    <row r="8" spans="1:5" x14ac:dyDescent="0.25">
      <c r="A8" s="162">
        <f xml:space="preserve"> 'CASE DATA'!A8</f>
        <v>0</v>
      </c>
      <c r="B8" s="185">
        <f xml:space="preserve"> 'CASE DATA'!F8</f>
        <v>0</v>
      </c>
      <c r="C8" s="166">
        <f xml:space="preserve"> IF(OR(B8="DISM", B8="JWV", B8="JUV", B8="CIV"), SUM('CASE DATA'!I8:R8), 'CASE DATA'!J8+'CASE DATA'!L8+'CASE DATA'!M8+'CASE DATA'!P8+'CASE DATA'!Q8+'CASE DATA'!R8+'CASE DATA'!K8+'CASE DATA'!O8)</f>
        <v>0</v>
      </c>
      <c r="D8" s="168">
        <f xml:space="preserve"> IF(OR(B8="DISM", B8="JWV", B8="JUV", B8="CIV"), 0, 'CASE DATA'!I8+'CASE DATA'!N8)</f>
        <v>0</v>
      </c>
      <c r="E8" s="187"/>
    </row>
    <row r="9" spans="1:5" x14ac:dyDescent="0.25">
      <c r="A9" s="162">
        <f xml:space="preserve"> 'CASE DATA'!A9</f>
        <v>0</v>
      </c>
      <c r="B9" s="185">
        <f xml:space="preserve"> 'CASE DATA'!F9</f>
        <v>0</v>
      </c>
      <c r="C9" s="166">
        <f xml:space="preserve"> IF(OR(B9="DISM", B9="JWV", B9="JUV", B9="CIV"), SUM('CASE DATA'!I9:R9), 'CASE DATA'!J9+'CASE DATA'!L9+'CASE DATA'!M9+'CASE DATA'!P9+'CASE DATA'!Q9+'CASE DATA'!R9+'CASE DATA'!K9+'CASE DATA'!O9)</f>
        <v>0</v>
      </c>
      <c r="D9" s="168">
        <f xml:space="preserve"> IF(OR(B9="DISM", B9="JWV", B9="JUV", B9="CIV"), 0, 'CASE DATA'!I9+'CASE DATA'!N9)</f>
        <v>0</v>
      </c>
      <c r="E9" s="187"/>
    </row>
    <row r="10" spans="1:5" x14ac:dyDescent="0.25">
      <c r="A10" s="162">
        <f xml:space="preserve"> 'CASE DATA'!A10</f>
        <v>0</v>
      </c>
      <c r="B10" s="185">
        <f xml:space="preserve"> 'CASE DATA'!F10</f>
        <v>0</v>
      </c>
      <c r="C10" s="166">
        <f xml:space="preserve"> IF(OR(B10="DISM", B10="JWV", B10="JUV", B10="CIV"), SUM('CASE DATA'!I10:R10), 'CASE DATA'!J10+'CASE DATA'!L10+'CASE DATA'!M10+'CASE DATA'!P10+'CASE DATA'!Q10+'CASE DATA'!R10+'CASE DATA'!K10+'CASE DATA'!O10)</f>
        <v>0</v>
      </c>
      <c r="D10" s="168">
        <f xml:space="preserve"> IF(OR(B10="DISM", B10="JWV", B10="JUV", B10="CIV"), 0, 'CASE DATA'!I10+'CASE DATA'!N10)</f>
        <v>0</v>
      </c>
      <c r="E10" s="187"/>
    </row>
    <row r="11" spans="1:5" x14ac:dyDescent="0.25">
      <c r="A11" s="162">
        <f xml:space="preserve"> 'CASE DATA'!A11</f>
        <v>0</v>
      </c>
      <c r="B11" s="185">
        <f xml:space="preserve"> 'CASE DATA'!F11</f>
        <v>0</v>
      </c>
      <c r="C11" s="166">
        <f xml:space="preserve"> IF(OR(B11="DISM", B11="JWV", B11="JUV", B11="CIV"), SUM('CASE DATA'!I11:R11), 'CASE DATA'!J11+'CASE DATA'!L11+'CASE DATA'!M11+'CASE DATA'!P11+'CASE DATA'!Q11+'CASE DATA'!R11+'CASE DATA'!K11+'CASE DATA'!O11)</f>
        <v>0</v>
      </c>
      <c r="D11" s="168">
        <f xml:space="preserve"> IF(OR(B11="DISM", B11="JWV", B11="JUV", B11="CIV"), 0, 'CASE DATA'!I11+'CASE DATA'!N11)</f>
        <v>0</v>
      </c>
      <c r="E11" s="187"/>
    </row>
    <row r="12" spans="1:5" x14ac:dyDescent="0.25">
      <c r="A12" s="162">
        <f xml:space="preserve"> 'CASE DATA'!A12</f>
        <v>0</v>
      </c>
      <c r="B12" s="185">
        <f xml:space="preserve"> 'CASE DATA'!F12</f>
        <v>0</v>
      </c>
      <c r="C12" s="166">
        <f xml:space="preserve"> IF(OR(B12="DISM", B12="JWV", B12="JUV", B12="CIV"), SUM('CASE DATA'!I12:R12), 'CASE DATA'!J12+'CASE DATA'!L12+'CASE DATA'!M12+'CASE DATA'!P12+'CASE DATA'!Q12+'CASE DATA'!R12+'CASE DATA'!K12+'CASE DATA'!O12)</f>
        <v>0</v>
      </c>
      <c r="D12" s="168">
        <f xml:space="preserve"> IF(OR(B12="DISM", B12="JWV", B12="JUV", B12="CIV"), 0, 'CASE DATA'!I12+'CASE DATA'!N12)</f>
        <v>0</v>
      </c>
      <c r="E12" s="187"/>
    </row>
    <row r="13" spans="1:5" x14ac:dyDescent="0.25">
      <c r="A13" s="162">
        <f xml:space="preserve"> 'CASE DATA'!A13</f>
        <v>0</v>
      </c>
      <c r="B13" s="185">
        <f xml:space="preserve"> 'CASE DATA'!F13</f>
        <v>0</v>
      </c>
      <c r="C13" s="166">
        <f xml:space="preserve"> IF(OR(B13="DISM", B13="JWV", B13="JUV", B13="CIV"), SUM('CASE DATA'!I13:R13), 'CASE DATA'!J13+'CASE DATA'!L13+'CASE DATA'!M13+'CASE DATA'!P13+'CASE DATA'!Q13+'CASE DATA'!R13+'CASE DATA'!K13+'CASE DATA'!O13)</f>
        <v>0</v>
      </c>
      <c r="D13" s="168">
        <f xml:space="preserve"> IF(OR(B13="DISM", B13="JWV", B13="JUV", B13="CIV"), 0, 'CASE DATA'!I13+'CASE DATA'!N13)</f>
        <v>0</v>
      </c>
      <c r="E13" s="187"/>
    </row>
    <row r="14" spans="1:5" x14ac:dyDescent="0.25">
      <c r="A14" s="162">
        <f xml:space="preserve"> 'CASE DATA'!A14</f>
        <v>0</v>
      </c>
      <c r="B14" s="185">
        <f xml:space="preserve"> 'CASE DATA'!F14</f>
        <v>0</v>
      </c>
      <c r="C14" s="166">
        <f xml:space="preserve"> IF(OR(B14="DISM", B14="JWV", B14="JUV", B14="CIV"), SUM('CASE DATA'!I14:R14), 'CASE DATA'!J14+'CASE DATA'!L14+'CASE DATA'!M14+'CASE DATA'!P14+'CASE DATA'!Q14+'CASE DATA'!R14+'CASE DATA'!K14+'CASE DATA'!O14)</f>
        <v>0</v>
      </c>
      <c r="D14" s="168">
        <f xml:space="preserve"> IF(OR(B14="DISM", B14="JWV", B14="JUV", B14="CIV"), 0, 'CASE DATA'!I14+'CASE DATA'!N14)</f>
        <v>0</v>
      </c>
      <c r="E14" s="187"/>
    </row>
    <row r="15" spans="1:5" x14ac:dyDescent="0.25">
      <c r="A15" s="162">
        <f xml:space="preserve"> 'CASE DATA'!A15</f>
        <v>0</v>
      </c>
      <c r="B15" s="185">
        <f xml:space="preserve"> 'CASE DATA'!F15</f>
        <v>0</v>
      </c>
      <c r="C15" s="166">
        <f xml:space="preserve"> IF(OR(B15="DISM", B15="JWV", B15="JUV", B15="CIV"), SUM('CASE DATA'!I15:R15), 'CASE DATA'!J15+'CASE DATA'!L15+'CASE DATA'!M15+'CASE DATA'!P15+'CASE DATA'!Q15+'CASE DATA'!R15+'CASE DATA'!K15+'CASE DATA'!O15)</f>
        <v>0</v>
      </c>
      <c r="D15" s="168">
        <f xml:space="preserve"> IF(OR(B15="DISM", B15="JWV", B15="JUV", B15="CIV"), 0, 'CASE DATA'!I15+'CASE DATA'!N15)</f>
        <v>0</v>
      </c>
      <c r="E15" s="187"/>
    </row>
    <row r="16" spans="1:5" x14ac:dyDescent="0.25">
      <c r="A16" s="162">
        <f xml:space="preserve"> 'CASE DATA'!A16</f>
        <v>0</v>
      </c>
      <c r="B16" s="185">
        <f xml:space="preserve"> 'CASE DATA'!F16</f>
        <v>0</v>
      </c>
      <c r="C16" s="166">
        <f xml:space="preserve"> IF(OR(B16="DISM", B16="JWV", B16="JUV", B16="CIV"), SUM('CASE DATA'!I16:R16), 'CASE DATA'!J16+'CASE DATA'!L16+'CASE DATA'!M16+'CASE DATA'!P16+'CASE DATA'!Q16+'CASE DATA'!R16+'CASE DATA'!K16+'CASE DATA'!O16)</f>
        <v>0</v>
      </c>
      <c r="D16" s="168">
        <f xml:space="preserve"> IF(OR(B16="DISM", B16="JWV", B16="JUV", B16="CIV"), 0, 'CASE DATA'!I16+'CASE DATA'!N16)</f>
        <v>0</v>
      </c>
      <c r="E16" s="187"/>
    </row>
    <row r="17" spans="1:5" x14ac:dyDescent="0.25">
      <c r="A17" s="162">
        <f xml:space="preserve"> 'CASE DATA'!A17</f>
        <v>0</v>
      </c>
      <c r="B17" s="185">
        <f xml:space="preserve"> 'CASE DATA'!F17</f>
        <v>0</v>
      </c>
      <c r="C17" s="166">
        <f xml:space="preserve"> IF(OR(B17="DISM", B17="JWV", B17="JUV", B17="CIV"), SUM('CASE DATA'!I17:R17), 'CASE DATA'!J17+'CASE DATA'!L17+'CASE DATA'!M17+'CASE DATA'!P17+'CASE DATA'!Q17+'CASE DATA'!R17+'CASE DATA'!K17+'CASE DATA'!O17)</f>
        <v>0</v>
      </c>
      <c r="D17" s="168">
        <f xml:space="preserve"> IF(OR(B17="DISM", B17="JWV", B17="JUV", B17="CIV"), 0, 'CASE DATA'!I17+'CASE DATA'!N17)</f>
        <v>0</v>
      </c>
      <c r="E17" s="187"/>
    </row>
    <row r="18" spans="1:5" x14ac:dyDescent="0.25">
      <c r="A18" s="162">
        <f xml:space="preserve"> 'CASE DATA'!A18</f>
        <v>0</v>
      </c>
      <c r="B18" s="185">
        <f xml:space="preserve"> 'CASE DATA'!F18</f>
        <v>0</v>
      </c>
      <c r="C18" s="166">
        <f xml:space="preserve"> IF(OR(B18="DISM", B18="JWV", B18="JUV", B18="CIV"), SUM('CASE DATA'!I18:R18), 'CASE DATA'!J18+'CASE DATA'!L18+'CASE DATA'!M18+'CASE DATA'!P18+'CASE DATA'!Q18+'CASE DATA'!R18+'CASE DATA'!K18+'CASE DATA'!O18)</f>
        <v>0</v>
      </c>
      <c r="D18" s="168">
        <f xml:space="preserve"> IF(OR(B18="DISM", B18="JWV", B18="JUV", B18="CIV"), 0, 'CASE DATA'!I18+'CASE DATA'!N18)</f>
        <v>0</v>
      </c>
      <c r="E18" s="187"/>
    </row>
    <row r="19" spans="1:5" x14ac:dyDescent="0.25">
      <c r="A19" s="162">
        <f xml:space="preserve"> 'CASE DATA'!A19</f>
        <v>0</v>
      </c>
      <c r="B19" s="185">
        <f xml:space="preserve"> 'CASE DATA'!F19</f>
        <v>0</v>
      </c>
      <c r="C19" s="166">
        <f xml:space="preserve"> IF(OR(B19="DISM", B19="JWV", B19="JUV", B19="CIV"), SUM('CASE DATA'!I19:R19), 'CASE DATA'!J19+'CASE DATA'!L19+'CASE DATA'!M19+'CASE DATA'!P19+'CASE DATA'!Q19+'CASE DATA'!R19+'CASE DATA'!K19+'CASE DATA'!O19)</f>
        <v>0</v>
      </c>
      <c r="D19" s="168">
        <f xml:space="preserve"> IF(OR(B19="DISM", B19="JWV", B19="JUV", B19="CIV"), 0, 'CASE DATA'!I19+'CASE DATA'!N19)</f>
        <v>0</v>
      </c>
      <c r="E19" s="187"/>
    </row>
    <row r="20" spans="1:5" x14ac:dyDescent="0.25">
      <c r="A20" s="162">
        <f xml:space="preserve"> 'CASE DATA'!A20</f>
        <v>0</v>
      </c>
      <c r="B20" s="185">
        <f xml:space="preserve"> 'CASE DATA'!F20</f>
        <v>0</v>
      </c>
      <c r="C20" s="166">
        <f xml:space="preserve"> IF(OR(B20="DISM", B20="JWV", B20="JUV", B20="CIV"), SUM('CASE DATA'!I20:R20), 'CASE DATA'!J20+'CASE DATA'!L20+'CASE DATA'!M20+'CASE DATA'!P20+'CASE DATA'!Q20+'CASE DATA'!R20+'CASE DATA'!K20+'CASE DATA'!O20)</f>
        <v>0</v>
      </c>
      <c r="D20" s="168">
        <f xml:space="preserve"> IF(OR(B20="DISM", B20="JWV", B20="JUV", B20="CIV"), 0, 'CASE DATA'!I20+'CASE DATA'!N20)</f>
        <v>0</v>
      </c>
      <c r="E20" s="187"/>
    </row>
    <row r="21" spans="1:5" x14ac:dyDescent="0.25">
      <c r="A21" s="162">
        <f xml:space="preserve"> 'CASE DATA'!A21</f>
        <v>0</v>
      </c>
      <c r="B21" s="185">
        <f xml:space="preserve"> 'CASE DATA'!F21</f>
        <v>0</v>
      </c>
      <c r="C21" s="166">
        <f xml:space="preserve"> IF(OR(B21="DISM", B21="JWV", B21="JUV", B21="CIV"), SUM('CASE DATA'!I21:R21), 'CASE DATA'!J21+'CASE DATA'!L21+'CASE DATA'!M21+'CASE DATA'!P21+'CASE DATA'!Q21+'CASE DATA'!R21+'CASE DATA'!K21+'CASE DATA'!O21)</f>
        <v>0</v>
      </c>
      <c r="D21" s="168">
        <f xml:space="preserve"> IF(OR(B21="DISM", B21="JWV", B21="JUV", B21="CIV"), 0, 'CASE DATA'!I21+'CASE DATA'!N21)</f>
        <v>0</v>
      </c>
      <c r="E21" s="187"/>
    </row>
    <row r="22" spans="1:5" x14ac:dyDescent="0.25">
      <c r="A22" s="162">
        <f xml:space="preserve"> 'CASE DATA'!A22</f>
        <v>0</v>
      </c>
      <c r="B22" s="185">
        <f xml:space="preserve"> 'CASE DATA'!F22</f>
        <v>0</v>
      </c>
      <c r="C22" s="166">
        <f xml:space="preserve"> IF(OR(B22="DISM", B22="JWV", B22="JUV", B22="CIV"), SUM('CASE DATA'!I22:R22), 'CASE DATA'!J22+'CASE DATA'!L22+'CASE DATA'!M22+'CASE DATA'!P22+'CASE DATA'!Q22+'CASE DATA'!R22+'CASE DATA'!K22+'CASE DATA'!O22)</f>
        <v>0</v>
      </c>
      <c r="D22" s="168">
        <f xml:space="preserve"> IF(OR(B22="DISM", B22="JWV", B22="JUV", B22="CIV"), 0, 'CASE DATA'!I22+'CASE DATA'!N22)</f>
        <v>0</v>
      </c>
      <c r="E22" s="187"/>
    </row>
    <row r="23" spans="1:5" x14ac:dyDescent="0.25">
      <c r="A23" s="162">
        <f xml:space="preserve"> 'CASE DATA'!A23</f>
        <v>0</v>
      </c>
      <c r="B23" s="185">
        <f xml:space="preserve"> 'CASE DATA'!F23</f>
        <v>0</v>
      </c>
      <c r="C23" s="166">
        <f xml:space="preserve"> IF(OR(B23="DISM", B23="JWV", B23="JUV", B23="CIV"), SUM('CASE DATA'!I23:R23), 'CASE DATA'!J23+'CASE DATA'!L23+'CASE DATA'!M23+'CASE DATA'!P23+'CASE DATA'!Q23+'CASE DATA'!R23+'CASE DATA'!K23+'CASE DATA'!O23)</f>
        <v>0</v>
      </c>
      <c r="D23" s="168">
        <f xml:space="preserve"> IF(OR(B23="DISM", B23="JWV", B23="JUV", B23="CIV"), 0, 'CASE DATA'!I23+'CASE DATA'!N23)</f>
        <v>0</v>
      </c>
      <c r="E23" s="187"/>
    </row>
    <row r="24" spans="1:5" x14ac:dyDescent="0.25">
      <c r="A24" s="162">
        <f xml:space="preserve"> 'CASE DATA'!A24</f>
        <v>0</v>
      </c>
      <c r="B24" s="185">
        <f xml:space="preserve"> 'CASE DATA'!F24</f>
        <v>0</v>
      </c>
      <c r="C24" s="166">
        <f xml:space="preserve"> IF(OR(B24="DISM", B24="JWV", B24="JUV", B24="CIV"), SUM('CASE DATA'!I24:R24), 'CASE DATA'!J24+'CASE DATA'!L24+'CASE DATA'!M24+'CASE DATA'!P24+'CASE DATA'!Q24+'CASE DATA'!R24+'CASE DATA'!K24+'CASE DATA'!O24)</f>
        <v>0</v>
      </c>
      <c r="D24" s="168">
        <f xml:space="preserve"> IF(OR(B24="DISM", B24="JWV", B24="JUV", B24="CIV"), 0, 'CASE DATA'!I24+'CASE DATA'!N24)</f>
        <v>0</v>
      </c>
      <c r="E24" s="187"/>
    </row>
    <row r="25" spans="1:5" x14ac:dyDescent="0.25">
      <c r="A25" s="162">
        <f xml:space="preserve"> 'CASE DATA'!A25</f>
        <v>0</v>
      </c>
      <c r="B25" s="185">
        <f xml:space="preserve"> 'CASE DATA'!F25</f>
        <v>0</v>
      </c>
      <c r="C25" s="166">
        <f xml:space="preserve"> IF(OR(B25="DISM", B25="JWV", B25="JUV", B25="CIV"), SUM('CASE DATA'!I25:R25), 'CASE DATA'!J25+'CASE DATA'!L25+'CASE DATA'!M25+'CASE DATA'!P25+'CASE DATA'!Q25+'CASE DATA'!R25+'CASE DATA'!K25+'CASE DATA'!O25)</f>
        <v>0</v>
      </c>
      <c r="D25" s="168">
        <f xml:space="preserve"> IF(OR(B25="DISM", B25="JWV", B25="JUV", B25="CIV"), 0, 'CASE DATA'!I25+'CASE DATA'!N25)</f>
        <v>0</v>
      </c>
      <c r="E25" s="187"/>
    </row>
    <row r="26" spans="1:5" x14ac:dyDescent="0.25">
      <c r="A26" s="162">
        <f xml:space="preserve"> 'CASE DATA'!A26</f>
        <v>0</v>
      </c>
      <c r="B26" s="185">
        <f xml:space="preserve"> 'CASE DATA'!F26</f>
        <v>0</v>
      </c>
      <c r="C26" s="166">
        <f xml:space="preserve"> IF(OR(B26="DISM", B26="JWV", B26="JUV", B26="CIV"), SUM('CASE DATA'!I26:R26), 'CASE DATA'!J26+'CASE DATA'!L26+'CASE DATA'!M26+'CASE DATA'!P26+'CASE DATA'!Q26+'CASE DATA'!R26+'CASE DATA'!K26+'CASE DATA'!O26)</f>
        <v>0</v>
      </c>
      <c r="D26" s="168">
        <f xml:space="preserve"> IF(OR(B26="DISM", B26="JWV", B26="JUV", B26="CIV"), 0, 'CASE DATA'!I26+'CASE DATA'!N26)</f>
        <v>0</v>
      </c>
      <c r="E26" s="187"/>
    </row>
    <row r="27" spans="1:5" x14ac:dyDescent="0.25">
      <c r="A27" s="162">
        <f xml:space="preserve"> 'CASE DATA'!A27</f>
        <v>0</v>
      </c>
      <c r="B27" s="185">
        <f xml:space="preserve"> 'CASE DATA'!F27</f>
        <v>0</v>
      </c>
      <c r="C27" s="166">
        <f xml:space="preserve"> IF(OR(B27="DISM", B27="JWV", B27="JUV", B27="CIV"), SUM('CASE DATA'!I27:R27), 'CASE DATA'!J27+'CASE DATA'!L27+'CASE DATA'!M27+'CASE DATA'!P27+'CASE DATA'!Q27+'CASE DATA'!R27+'CASE DATA'!K27+'CASE DATA'!O27)</f>
        <v>0</v>
      </c>
      <c r="D27" s="168">
        <f xml:space="preserve"> IF(OR(B27="DISM", B27="JWV", B27="JUV", B27="CIV"), 0, 'CASE DATA'!I27+'CASE DATA'!N27)</f>
        <v>0</v>
      </c>
      <c r="E27" s="187"/>
    </row>
    <row r="28" spans="1:5" x14ac:dyDescent="0.25">
      <c r="A28" s="162">
        <f xml:space="preserve"> 'CASE DATA'!A28</f>
        <v>0</v>
      </c>
      <c r="B28" s="185">
        <f xml:space="preserve"> 'CASE DATA'!F28</f>
        <v>0</v>
      </c>
      <c r="C28" s="166">
        <f xml:space="preserve"> IF(OR(B28="DISM", B28="JWV", B28="JUV", B28="CIV"), SUM('CASE DATA'!I28:R28), 'CASE DATA'!J28+'CASE DATA'!L28+'CASE DATA'!M28+'CASE DATA'!P28+'CASE DATA'!Q28+'CASE DATA'!R28+'CASE DATA'!K28+'CASE DATA'!O28)</f>
        <v>0</v>
      </c>
      <c r="D28" s="168">
        <f xml:space="preserve"> IF(OR(B28="DISM", B28="JWV", B28="JUV", B28="CIV"), 0, 'CASE DATA'!I28+'CASE DATA'!N28)</f>
        <v>0</v>
      </c>
      <c r="E28" s="187"/>
    </row>
    <row r="29" spans="1:5" x14ac:dyDescent="0.25">
      <c r="A29" s="162">
        <f xml:space="preserve"> 'CASE DATA'!A29</f>
        <v>0</v>
      </c>
      <c r="B29" s="185">
        <f xml:space="preserve"> 'CASE DATA'!F29</f>
        <v>0</v>
      </c>
      <c r="C29" s="166">
        <f xml:space="preserve"> IF(OR(B29="DISM", B29="JWV", B29="JUV", B29="CIV"), SUM('CASE DATA'!I29:R29), 'CASE DATA'!J29+'CASE DATA'!L29+'CASE DATA'!M29+'CASE DATA'!P29+'CASE DATA'!Q29+'CASE DATA'!R29+'CASE DATA'!K29+'CASE DATA'!O29)</f>
        <v>0</v>
      </c>
      <c r="D29" s="168">
        <f xml:space="preserve"> IF(OR(B29="DISM", B29="JWV", B29="JUV", B29="CIV"), 0, 'CASE DATA'!I29+'CASE DATA'!N29)</f>
        <v>0</v>
      </c>
      <c r="E29" s="187"/>
    </row>
    <row r="30" spans="1:5" x14ac:dyDescent="0.25">
      <c r="A30" s="162">
        <f xml:space="preserve"> 'CASE DATA'!A30</f>
        <v>0</v>
      </c>
      <c r="B30" s="185">
        <f xml:space="preserve"> 'CASE DATA'!F30</f>
        <v>0</v>
      </c>
      <c r="C30" s="166">
        <f xml:space="preserve"> IF(OR(B30="DISM", B30="JWV", B30="JUV", B30="CIV"), SUM('CASE DATA'!I30:R30), 'CASE DATA'!J30+'CASE DATA'!L30+'CASE DATA'!M30+'CASE DATA'!P30+'CASE DATA'!Q30+'CASE DATA'!R30+'CASE DATA'!K30+'CASE DATA'!O30)</f>
        <v>0</v>
      </c>
      <c r="D30" s="168">
        <f xml:space="preserve"> IF(OR(B30="DISM", B30="JWV", B30="JUV", B30="CIV"), 0, 'CASE DATA'!I30+'CASE DATA'!N30)</f>
        <v>0</v>
      </c>
      <c r="E30" s="187"/>
    </row>
    <row r="31" spans="1:5" x14ac:dyDescent="0.25">
      <c r="A31" s="162">
        <f xml:space="preserve"> 'CASE DATA'!A31</f>
        <v>0</v>
      </c>
      <c r="B31" s="185">
        <f xml:space="preserve"> 'CASE DATA'!F31</f>
        <v>0</v>
      </c>
      <c r="C31" s="166">
        <f xml:space="preserve"> IF(OR(B31="DISM", B31="JWV", B31="JUV", B31="CIV"), SUM('CASE DATA'!I31:R31), 'CASE DATA'!J31+'CASE DATA'!L31+'CASE DATA'!M31+'CASE DATA'!P31+'CASE DATA'!Q31+'CASE DATA'!R31+'CASE DATA'!K31+'CASE DATA'!O31)</f>
        <v>0</v>
      </c>
      <c r="D31" s="168">
        <f xml:space="preserve"> IF(OR(B31="DISM", B31="JWV", B31="JUV", B31="CIV"), 0, 'CASE DATA'!I31+'CASE DATA'!N31)</f>
        <v>0</v>
      </c>
      <c r="E31" s="187"/>
    </row>
    <row r="32" spans="1:5" x14ac:dyDescent="0.25">
      <c r="A32" s="162">
        <f xml:space="preserve"> 'CASE DATA'!A32</f>
        <v>0</v>
      </c>
      <c r="B32" s="185">
        <f xml:space="preserve"> 'CASE DATA'!F32</f>
        <v>0</v>
      </c>
      <c r="C32" s="166">
        <f xml:space="preserve"> IF(OR(B32="DISM", B32="JWV", B32="JUV", B32="CIV"), SUM('CASE DATA'!I32:R32), 'CASE DATA'!J32+'CASE DATA'!L32+'CASE DATA'!M32+'CASE DATA'!P32+'CASE DATA'!Q32+'CASE DATA'!R32+'CASE DATA'!K32+'CASE DATA'!O32)</f>
        <v>0</v>
      </c>
      <c r="D32" s="168">
        <f xml:space="preserve"> IF(OR(B32="DISM", B32="JWV", B32="JUV", B32="CIV"), 0, 'CASE DATA'!I32+'CASE DATA'!N32)</f>
        <v>0</v>
      </c>
      <c r="E32" s="187"/>
    </row>
    <row r="33" spans="1:5" x14ac:dyDescent="0.25">
      <c r="A33" s="162">
        <f xml:space="preserve"> 'CASE DATA'!A33</f>
        <v>0</v>
      </c>
      <c r="B33" s="185">
        <f xml:space="preserve"> 'CASE DATA'!F33</f>
        <v>0</v>
      </c>
      <c r="C33" s="166">
        <f xml:space="preserve"> IF(OR(B33="DISM", B33="JWV", B33="JUV", B33="CIV"), SUM('CASE DATA'!I33:R33), 'CASE DATA'!J33+'CASE DATA'!L33+'CASE DATA'!M33+'CASE DATA'!P33+'CASE DATA'!Q33+'CASE DATA'!R33+'CASE DATA'!K33+'CASE DATA'!O33)</f>
        <v>0</v>
      </c>
      <c r="D33" s="168">
        <f xml:space="preserve"> IF(OR(B33="DISM", B33="JWV", B33="JUV", B33="CIV"), 0, 'CASE DATA'!I33+'CASE DATA'!N33)</f>
        <v>0</v>
      </c>
      <c r="E33" s="187"/>
    </row>
    <row r="34" spans="1:5" x14ac:dyDescent="0.25">
      <c r="A34" s="162">
        <f xml:space="preserve"> 'CASE DATA'!A34</f>
        <v>0</v>
      </c>
      <c r="B34" s="185">
        <f xml:space="preserve"> 'CASE DATA'!F34</f>
        <v>0</v>
      </c>
      <c r="C34" s="166">
        <f xml:space="preserve"> IF(OR(B34="DISM", B34="JWV", B34="JUV", B34="CIV"), SUM('CASE DATA'!I34:R34), 'CASE DATA'!J34+'CASE DATA'!L34+'CASE DATA'!M34+'CASE DATA'!P34+'CASE DATA'!Q34+'CASE DATA'!R34+'CASE DATA'!K34+'CASE DATA'!O34)</f>
        <v>0</v>
      </c>
      <c r="D34" s="168">
        <f xml:space="preserve"> IF(OR(B34="DISM", B34="JWV", B34="JUV", B34="CIV"), 0, 'CASE DATA'!I34+'CASE DATA'!N34)</f>
        <v>0</v>
      </c>
      <c r="E34" s="187"/>
    </row>
    <row r="35" spans="1:5" x14ac:dyDescent="0.25">
      <c r="A35" s="162">
        <f xml:space="preserve"> 'CASE DATA'!A35</f>
        <v>0</v>
      </c>
      <c r="B35" s="185">
        <f xml:space="preserve"> 'CASE DATA'!F35</f>
        <v>0</v>
      </c>
      <c r="C35" s="166">
        <f xml:space="preserve"> IF(OR(B35="DISM", B35="JWV", B35="JUV", B35="CIV"), SUM('CASE DATA'!I35:R35), 'CASE DATA'!J35+'CASE DATA'!L35+'CASE DATA'!M35+'CASE DATA'!P35+'CASE DATA'!Q35+'CASE DATA'!R35+'CASE DATA'!K35+'CASE DATA'!O35)</f>
        <v>0</v>
      </c>
      <c r="D35" s="168">
        <f xml:space="preserve"> IF(OR(B35="DISM", B35="JWV", B35="JUV", B35="CIV"), 0, 'CASE DATA'!I35+'CASE DATA'!N35)</f>
        <v>0</v>
      </c>
      <c r="E35" s="187"/>
    </row>
    <row r="36" spans="1:5" x14ac:dyDescent="0.25">
      <c r="A36" s="162">
        <f xml:space="preserve"> 'CASE DATA'!A36</f>
        <v>0</v>
      </c>
      <c r="B36" s="185">
        <f xml:space="preserve"> 'CASE DATA'!F36</f>
        <v>0</v>
      </c>
      <c r="C36" s="166">
        <f xml:space="preserve"> IF(OR(B36="DISM", B36="JWV", B36="JUV", B36="CIV"), SUM('CASE DATA'!I36:R36), 'CASE DATA'!J36+'CASE DATA'!L36+'CASE DATA'!M36+'CASE DATA'!P36+'CASE DATA'!Q36+'CASE DATA'!R36+'CASE DATA'!K36+'CASE DATA'!O36)</f>
        <v>0</v>
      </c>
      <c r="D36" s="168">
        <f xml:space="preserve"> IF(OR(B36="DISM", B36="JWV", B36="JUV", B36="CIV"), 0, 'CASE DATA'!I36+'CASE DATA'!N36)</f>
        <v>0</v>
      </c>
      <c r="E36" s="187"/>
    </row>
    <row r="37" spans="1:5" x14ac:dyDescent="0.25">
      <c r="A37" s="162">
        <f xml:space="preserve"> 'CASE DATA'!A37</f>
        <v>0</v>
      </c>
      <c r="B37" s="185">
        <f xml:space="preserve"> 'CASE DATA'!F37</f>
        <v>0</v>
      </c>
      <c r="C37" s="166">
        <f xml:space="preserve"> IF(OR(B37="DISM", B37="JWV", B37="JUV", B37="CIV"), SUM('CASE DATA'!I37:R37), 'CASE DATA'!J37+'CASE DATA'!L37+'CASE DATA'!M37+'CASE DATA'!P37+'CASE DATA'!Q37+'CASE DATA'!R37+'CASE DATA'!K37+'CASE DATA'!O37)</f>
        <v>0</v>
      </c>
      <c r="D37" s="168">
        <f xml:space="preserve"> IF(OR(B37="DISM", B37="JWV", B37="JUV", B37="CIV"), 0, 'CASE DATA'!I37+'CASE DATA'!N37)</f>
        <v>0</v>
      </c>
      <c r="E37" s="187"/>
    </row>
    <row r="38" spans="1:5" x14ac:dyDescent="0.25">
      <c r="A38" s="162">
        <f xml:space="preserve"> 'CASE DATA'!A38</f>
        <v>0</v>
      </c>
      <c r="B38" s="185">
        <f xml:space="preserve"> 'CASE DATA'!F38</f>
        <v>0</v>
      </c>
      <c r="C38" s="166">
        <f xml:space="preserve"> IF(OR(B38="DISM", B38="JWV", B38="JUV", B38="CIV"), SUM('CASE DATA'!I38:R38), 'CASE DATA'!J38+'CASE DATA'!L38+'CASE DATA'!M38+'CASE DATA'!P38+'CASE DATA'!Q38+'CASE DATA'!R38+'CASE DATA'!K38+'CASE DATA'!O38)</f>
        <v>0</v>
      </c>
      <c r="D38" s="168">
        <f xml:space="preserve"> IF(OR(B38="DISM", B38="JWV", B38="JUV", B38="CIV"), 0, 'CASE DATA'!I38+'CASE DATA'!N38)</f>
        <v>0</v>
      </c>
      <c r="E38" s="187"/>
    </row>
    <row r="39" spans="1:5" x14ac:dyDescent="0.25">
      <c r="A39" s="162">
        <f xml:space="preserve"> 'CASE DATA'!A39</f>
        <v>0</v>
      </c>
      <c r="B39" s="185">
        <f xml:space="preserve"> 'CASE DATA'!F39</f>
        <v>0</v>
      </c>
      <c r="C39" s="166">
        <f xml:space="preserve"> IF(OR(B39="DISM", B39="JWV", B39="JUV", B39="CIV"), SUM('CASE DATA'!I39:R39), 'CASE DATA'!J39+'CASE DATA'!L39+'CASE DATA'!M39+'CASE DATA'!P39+'CASE DATA'!Q39+'CASE DATA'!R39+'CASE DATA'!K39+'CASE DATA'!O39)</f>
        <v>0</v>
      </c>
      <c r="D39" s="168">
        <f xml:space="preserve"> IF(OR(B39="DISM", B39="JWV", B39="JUV", B39="CIV"), 0, 'CASE DATA'!I39+'CASE DATA'!N39)</f>
        <v>0</v>
      </c>
      <c r="E39" s="187"/>
    </row>
    <row r="40" spans="1:5" x14ac:dyDescent="0.25">
      <c r="A40" s="162">
        <f xml:space="preserve"> 'CASE DATA'!A40</f>
        <v>0</v>
      </c>
      <c r="B40" s="185">
        <f xml:space="preserve"> 'CASE DATA'!F40</f>
        <v>0</v>
      </c>
      <c r="C40" s="166">
        <f xml:space="preserve"> IF(OR(B40="DISM", B40="JWV", B40="JUV", B40="CIV"), SUM('CASE DATA'!I40:R40), 'CASE DATA'!J40+'CASE DATA'!L40+'CASE DATA'!M40+'CASE DATA'!P40+'CASE DATA'!Q40+'CASE DATA'!R40+'CASE DATA'!K40+'CASE DATA'!O40)</f>
        <v>0</v>
      </c>
      <c r="D40" s="168">
        <f xml:space="preserve"> IF(OR(B40="DISM", B40="JWV", B40="JUV", B40="CIV"), 0, 'CASE DATA'!I40+'CASE DATA'!N40)</f>
        <v>0</v>
      </c>
      <c r="E40" s="187"/>
    </row>
    <row r="41" spans="1:5" x14ac:dyDescent="0.25">
      <c r="A41" s="162">
        <f xml:space="preserve"> 'CASE DATA'!A41</f>
        <v>0</v>
      </c>
      <c r="B41" s="185">
        <f xml:space="preserve"> 'CASE DATA'!F41</f>
        <v>0</v>
      </c>
      <c r="C41" s="166">
        <f xml:space="preserve"> IF(OR(B41="DISM", B41="JWV", B41="JUV", B41="CIV"), SUM('CASE DATA'!I41:R41), 'CASE DATA'!J41+'CASE DATA'!L41+'CASE DATA'!M41+'CASE DATA'!P41+'CASE DATA'!Q41+'CASE DATA'!R41+'CASE DATA'!K41+'CASE DATA'!O41)</f>
        <v>0</v>
      </c>
      <c r="D41" s="168">
        <f xml:space="preserve"> IF(OR(B41="DISM", B41="JWV", B41="JUV", B41="CIV"), 0, 'CASE DATA'!I41+'CASE DATA'!N41)</f>
        <v>0</v>
      </c>
      <c r="E41" s="187"/>
    </row>
    <row r="42" spans="1:5" x14ac:dyDescent="0.25">
      <c r="A42" s="162">
        <f xml:space="preserve"> 'CASE DATA'!A42</f>
        <v>0</v>
      </c>
      <c r="B42" s="185">
        <f xml:space="preserve"> 'CASE DATA'!F42</f>
        <v>0</v>
      </c>
      <c r="C42" s="166">
        <f xml:space="preserve"> IF(OR(B42="DISM", B42="JWV", B42="JUV", B42="CIV"), SUM('CASE DATA'!I42:R42), 'CASE DATA'!J42+'CASE DATA'!L42+'CASE DATA'!M42+'CASE DATA'!P42+'CASE DATA'!Q42+'CASE DATA'!R42+'CASE DATA'!K42+'CASE DATA'!O42)</f>
        <v>0</v>
      </c>
      <c r="D42" s="168">
        <f xml:space="preserve"> IF(OR(B42="DISM", B42="JWV", B42="JUV", B42="CIV"), 0, 'CASE DATA'!I42+'CASE DATA'!N42)</f>
        <v>0</v>
      </c>
      <c r="E42" s="187"/>
    </row>
    <row r="43" spans="1:5" x14ac:dyDescent="0.25">
      <c r="A43" s="162">
        <f xml:space="preserve"> 'CASE DATA'!A43</f>
        <v>0</v>
      </c>
      <c r="B43" s="185">
        <f xml:space="preserve"> 'CASE DATA'!F43</f>
        <v>0</v>
      </c>
      <c r="C43" s="166">
        <f xml:space="preserve"> IF(OR(B43="DISM", B43="JWV", B43="JUV", B43="CIV"), SUM('CASE DATA'!I43:R43), 'CASE DATA'!J43+'CASE DATA'!L43+'CASE DATA'!M43+'CASE DATA'!P43+'CASE DATA'!Q43+'CASE DATA'!R43+'CASE DATA'!K43+'CASE DATA'!O43)</f>
        <v>0</v>
      </c>
      <c r="D43" s="168">
        <f xml:space="preserve"> IF(OR(B43="DISM", B43="JWV", B43="JUV", B43="CIV"), 0, 'CASE DATA'!I43+'CASE DATA'!N43)</f>
        <v>0</v>
      </c>
      <c r="E43" s="187"/>
    </row>
    <row r="44" spans="1:5" x14ac:dyDescent="0.25">
      <c r="A44" s="162">
        <f xml:space="preserve"> 'CASE DATA'!A44</f>
        <v>0</v>
      </c>
      <c r="B44" s="185">
        <f xml:space="preserve"> 'CASE DATA'!F44</f>
        <v>0</v>
      </c>
      <c r="C44" s="166">
        <f xml:space="preserve"> IF(OR(B44="DISM", B44="JWV", B44="JUV", B44="CIV"), SUM('CASE DATA'!I44:R44), 'CASE DATA'!J44+'CASE DATA'!L44+'CASE DATA'!M44+'CASE DATA'!P44+'CASE DATA'!Q44+'CASE DATA'!R44+'CASE DATA'!K44+'CASE DATA'!O44)</f>
        <v>0</v>
      </c>
      <c r="D44" s="168">
        <f xml:space="preserve"> IF(OR(B44="DISM", B44="JWV", B44="JUV", B44="CIV"), 0, 'CASE DATA'!I44+'CASE DATA'!N44)</f>
        <v>0</v>
      </c>
      <c r="E44" s="187"/>
    </row>
    <row r="45" spans="1:5" x14ac:dyDescent="0.25">
      <c r="A45" s="162">
        <f xml:space="preserve"> 'CASE DATA'!A45</f>
        <v>0</v>
      </c>
      <c r="B45" s="185">
        <f xml:space="preserve"> 'CASE DATA'!F45</f>
        <v>0</v>
      </c>
      <c r="C45" s="166">
        <f xml:space="preserve"> IF(OR(B45="DISM", B45="JWV", B45="JUV", B45="CIV"), SUM('CASE DATA'!I45:R45), 'CASE DATA'!J45+'CASE DATA'!L45+'CASE DATA'!M45+'CASE DATA'!P45+'CASE DATA'!Q45+'CASE DATA'!R45+'CASE DATA'!K45+'CASE DATA'!O45)</f>
        <v>0</v>
      </c>
      <c r="D45" s="168">
        <f xml:space="preserve"> IF(OR(B45="DISM", B45="JWV", B45="JUV", B45="CIV"), 0, 'CASE DATA'!I45+'CASE DATA'!N45)</f>
        <v>0</v>
      </c>
      <c r="E45" s="150"/>
    </row>
    <row r="46" spans="1:5" x14ac:dyDescent="0.25">
      <c r="A46" s="162">
        <f xml:space="preserve"> 'CASE DATA'!A46</f>
        <v>0</v>
      </c>
      <c r="B46" s="185">
        <f xml:space="preserve"> 'CASE DATA'!F46</f>
        <v>0</v>
      </c>
      <c r="C46" s="166">
        <f xml:space="preserve"> IF(OR(B46="DISM", B46="JWV", B46="JUV", B46="CIV"), SUM('CASE DATA'!I46:R46), 'CASE DATA'!J46+'CASE DATA'!L46+'CASE DATA'!M46+'CASE DATA'!P46+'CASE DATA'!Q46+'CASE DATA'!R46+'CASE DATA'!K46+'CASE DATA'!O46)</f>
        <v>0</v>
      </c>
      <c r="D46" s="168">
        <f xml:space="preserve"> IF(OR(B46="DISM", B46="JWV", B46="JUV", B46="CIV"), 0, 'CASE DATA'!I46+'CASE DATA'!N46)</f>
        <v>0</v>
      </c>
      <c r="E46" s="187"/>
    </row>
    <row r="47" spans="1:5" x14ac:dyDescent="0.25">
      <c r="A47" s="162">
        <f xml:space="preserve"> 'CASE DATA'!A47</f>
        <v>0</v>
      </c>
      <c r="B47" s="185">
        <f xml:space="preserve"> 'CASE DATA'!F47</f>
        <v>0</v>
      </c>
      <c r="C47" s="166">
        <f xml:space="preserve"> IF(OR(B47="DISM", B47="JWV", B47="JUV", B47="CIV"), SUM('CASE DATA'!I47:R47), 'CASE DATA'!J47+'CASE DATA'!L47+'CASE DATA'!M47+'CASE DATA'!P47+'CASE DATA'!Q47+'CASE DATA'!R47+'CASE DATA'!K47+'CASE DATA'!O47)</f>
        <v>0</v>
      </c>
      <c r="D47" s="168">
        <f xml:space="preserve"> IF(OR(B47="DISM", B47="JWV", B47="JUV", B47="CIV"), 0, 'CASE DATA'!I47+'CASE DATA'!N47)</f>
        <v>0</v>
      </c>
      <c r="E47" s="187"/>
    </row>
    <row r="48" spans="1:5" x14ac:dyDescent="0.25">
      <c r="A48" s="162">
        <f xml:space="preserve"> 'CASE DATA'!A48</f>
        <v>0</v>
      </c>
      <c r="B48" s="185">
        <f xml:space="preserve"> 'CASE DATA'!F48</f>
        <v>0</v>
      </c>
      <c r="C48" s="166">
        <f xml:space="preserve"> IF(OR(B48="DISM", B48="JWV", B48="JUV", B48="CIV"), SUM('CASE DATA'!I48:R48), 'CASE DATA'!J48+'CASE DATA'!L48+'CASE DATA'!M48+'CASE DATA'!P48+'CASE DATA'!Q48+'CASE DATA'!R48+'CASE DATA'!K48+'CASE DATA'!O48)</f>
        <v>0</v>
      </c>
      <c r="D48" s="168">
        <f xml:space="preserve"> IF(OR(B48="DISM", B48="JWV", B48="JUV", B48="CIV"), 0, 'CASE DATA'!I48+'CASE DATA'!N48)</f>
        <v>0</v>
      </c>
      <c r="E48" s="187"/>
    </row>
    <row r="49" spans="1:5" x14ac:dyDescent="0.25">
      <c r="A49" s="162">
        <f xml:space="preserve"> 'CASE DATA'!A49</f>
        <v>0</v>
      </c>
      <c r="B49" s="185">
        <f xml:space="preserve"> 'CASE DATA'!F49</f>
        <v>0</v>
      </c>
      <c r="C49" s="166">
        <f xml:space="preserve"> IF(OR(B49="DISM", B49="JWV", B49="JUV", B49="CIV"), SUM('CASE DATA'!I49:R49), 'CASE DATA'!J49+'CASE DATA'!L49+'CASE DATA'!M49+'CASE DATA'!P49+'CASE DATA'!Q49+'CASE DATA'!R49+'CASE DATA'!K49+'CASE DATA'!O49)</f>
        <v>0</v>
      </c>
      <c r="D49" s="168">
        <f xml:space="preserve"> IF(OR(B49="DISM", B49="JWV", B49="JUV", B49="CIV"), 0, 'CASE DATA'!I49+'CASE DATA'!N49)</f>
        <v>0</v>
      </c>
      <c r="E49" s="187"/>
    </row>
    <row r="50" spans="1:5" x14ac:dyDescent="0.25">
      <c r="A50" s="162">
        <f xml:space="preserve"> 'CASE DATA'!A50</f>
        <v>0</v>
      </c>
      <c r="B50" s="185">
        <f xml:space="preserve"> 'CASE DATA'!F50</f>
        <v>0</v>
      </c>
      <c r="C50" s="166">
        <f xml:space="preserve"> IF(OR(B50="DISM", B50="JWV", B50="JUV", B50="CIV"), SUM('CASE DATA'!I50:R50), 'CASE DATA'!J50+'CASE DATA'!L50+'CASE DATA'!M50+'CASE DATA'!P50+'CASE DATA'!Q50+'CASE DATA'!R50+'CASE DATA'!K50+'CASE DATA'!O50)</f>
        <v>0</v>
      </c>
      <c r="D50" s="168">
        <f xml:space="preserve"> IF(OR(B50="DISM", B50="JWV", B50="JUV", B50="CIV"), 0, 'CASE DATA'!I50+'CASE DATA'!N50)</f>
        <v>0</v>
      </c>
      <c r="E50" s="187"/>
    </row>
    <row r="51" spans="1:5" x14ac:dyDescent="0.25">
      <c r="A51" s="162">
        <f xml:space="preserve"> 'CASE DATA'!A51</f>
        <v>0</v>
      </c>
      <c r="B51" s="185">
        <f xml:space="preserve"> 'CASE DATA'!F51</f>
        <v>0</v>
      </c>
      <c r="C51" s="166">
        <f xml:space="preserve"> IF(OR(B51="DISM", B51="JWV", B51="JUV", B51="CIV"), SUM('CASE DATA'!I51:R51), 'CASE DATA'!J51+'CASE DATA'!L51+'CASE DATA'!M51+'CASE DATA'!P51+'CASE DATA'!Q51+'CASE DATA'!R51+'CASE DATA'!K51+'CASE DATA'!O51)</f>
        <v>0</v>
      </c>
      <c r="D51" s="168">
        <f xml:space="preserve"> IF(OR(B51="DISM", B51="JWV", B51="JUV", B51="CIV"), 0, 'CASE DATA'!I51+'CASE DATA'!N51)</f>
        <v>0</v>
      </c>
      <c r="E51" s="187"/>
    </row>
    <row r="52" spans="1:5" x14ac:dyDescent="0.25">
      <c r="A52" s="162">
        <f xml:space="preserve"> 'CASE DATA'!A52</f>
        <v>0</v>
      </c>
      <c r="B52" s="185">
        <f xml:space="preserve"> 'CASE DATA'!F52</f>
        <v>0</v>
      </c>
      <c r="C52" s="166">
        <f xml:space="preserve"> IF(OR(B52="DISM", B52="JWV", B52="JUV", B52="CIV"), SUM('CASE DATA'!I52:R52), 'CASE DATA'!J52+'CASE DATA'!L52+'CASE DATA'!M52+'CASE DATA'!P52+'CASE DATA'!Q52+'CASE DATA'!R52+'CASE DATA'!K52+'CASE DATA'!O52)</f>
        <v>0</v>
      </c>
      <c r="D52" s="168">
        <f xml:space="preserve"> IF(OR(B52="DISM", B52="JWV", B52="JUV", B52="CIV"), 0, 'CASE DATA'!I52+'CASE DATA'!N52)</f>
        <v>0</v>
      </c>
      <c r="E52" s="187"/>
    </row>
    <row r="53" spans="1:5" x14ac:dyDescent="0.25">
      <c r="A53" s="162">
        <f xml:space="preserve"> 'CASE DATA'!A53</f>
        <v>0</v>
      </c>
      <c r="B53" s="185">
        <f xml:space="preserve"> 'CASE DATA'!F53</f>
        <v>0</v>
      </c>
      <c r="C53" s="166">
        <f xml:space="preserve"> IF(OR(B53="DISM", B53="JWV", B53="JUV", B53="CIV"), SUM('CASE DATA'!I53:R53), 'CASE DATA'!J53+'CASE DATA'!L53+'CASE DATA'!M53+'CASE DATA'!P53+'CASE DATA'!Q53+'CASE DATA'!R53+'CASE DATA'!K53+'CASE DATA'!O53)</f>
        <v>0</v>
      </c>
      <c r="D53" s="168">
        <f xml:space="preserve"> IF(OR(B53="DISM", B53="JWV", B53="JUV", B53="CIV"), 0, 'CASE DATA'!I53+'CASE DATA'!N53)</f>
        <v>0</v>
      </c>
      <c r="E53" s="187"/>
    </row>
    <row r="54" spans="1:5" x14ac:dyDescent="0.25">
      <c r="A54" s="162">
        <f xml:space="preserve"> 'CASE DATA'!A54</f>
        <v>0</v>
      </c>
      <c r="B54" s="185">
        <f xml:space="preserve"> 'CASE DATA'!F54</f>
        <v>0</v>
      </c>
      <c r="C54" s="166">
        <f xml:space="preserve"> IF(OR(B54="DISM", B54="JWV", B54="JUV", B54="CIV"), SUM('CASE DATA'!I54:R54), 'CASE DATA'!J54+'CASE DATA'!L54+'CASE DATA'!M54+'CASE DATA'!P54+'CASE DATA'!Q54+'CASE DATA'!R54+'CASE DATA'!K54+'CASE DATA'!O54)</f>
        <v>0</v>
      </c>
      <c r="D54" s="168">
        <f xml:space="preserve"> IF(OR(B54="DISM", B54="JWV", B54="JUV", B54="CIV"), 0, 'CASE DATA'!I54+'CASE DATA'!N54)</f>
        <v>0</v>
      </c>
      <c r="E54" s="187"/>
    </row>
    <row r="55" spans="1:5" x14ac:dyDescent="0.25">
      <c r="A55" s="162">
        <f xml:space="preserve"> 'CASE DATA'!A55</f>
        <v>0</v>
      </c>
      <c r="B55" s="185">
        <f xml:space="preserve"> 'CASE DATA'!F55</f>
        <v>0</v>
      </c>
      <c r="C55" s="166">
        <f xml:space="preserve"> IF(OR(B55="DISM", B55="JWV", B55="JUV", B55="CIV"), SUM('CASE DATA'!I55:R55), 'CASE DATA'!J55+'CASE DATA'!L55+'CASE DATA'!M55+'CASE DATA'!P55+'CASE DATA'!Q55+'CASE DATA'!R55+'CASE DATA'!K55+'CASE DATA'!O55)</f>
        <v>0</v>
      </c>
      <c r="D55" s="168">
        <f xml:space="preserve"> IF(OR(B55="DISM", B55="JWV", B55="JUV", B55="CIV"), 0, 'CASE DATA'!I55+'CASE DATA'!N55)</f>
        <v>0</v>
      </c>
      <c r="E55" s="187"/>
    </row>
    <row r="56" spans="1:5" x14ac:dyDescent="0.25">
      <c r="A56" s="162">
        <f xml:space="preserve"> 'CASE DATA'!A56</f>
        <v>0</v>
      </c>
      <c r="B56" s="185">
        <f xml:space="preserve"> 'CASE DATA'!F56</f>
        <v>0</v>
      </c>
      <c r="C56" s="166">
        <f xml:space="preserve"> IF(OR(B56="DISM", B56="JWV", B56="JUV", B56="CIV"), SUM('CASE DATA'!I56:R56), 'CASE DATA'!J56+'CASE DATA'!L56+'CASE DATA'!M56+'CASE DATA'!P56+'CASE DATA'!Q56+'CASE DATA'!R56+'CASE DATA'!K56+'CASE DATA'!O56)</f>
        <v>0</v>
      </c>
      <c r="D56" s="168">
        <f xml:space="preserve"> IF(OR(B56="DISM", B56="JWV", B56="JUV", B56="CIV"), 0, 'CASE DATA'!I56+'CASE DATA'!N56)</f>
        <v>0</v>
      </c>
      <c r="E56" s="187"/>
    </row>
    <row r="57" spans="1:5" x14ac:dyDescent="0.25">
      <c r="A57" s="162">
        <f xml:space="preserve"> 'CASE DATA'!A57</f>
        <v>0</v>
      </c>
      <c r="B57" s="185">
        <f xml:space="preserve"> 'CASE DATA'!F57</f>
        <v>0</v>
      </c>
      <c r="C57" s="166">
        <f xml:space="preserve"> IF(OR(B57="DISM", B57="JWV", B57="JUV", B57="CIV"), SUM('CASE DATA'!I57:R57), 'CASE DATA'!J57+'CASE DATA'!L57+'CASE DATA'!M57+'CASE DATA'!P57+'CASE DATA'!Q57+'CASE DATA'!R57+'CASE DATA'!K57+'CASE DATA'!O57)</f>
        <v>0</v>
      </c>
      <c r="D57" s="168">
        <f xml:space="preserve"> IF(OR(B57="DISM", B57="JWV", B57="JUV", B57="CIV"), 0, 'CASE DATA'!I57+'CASE DATA'!N57)</f>
        <v>0</v>
      </c>
      <c r="E57" s="187"/>
    </row>
    <row r="58" spans="1:5" x14ac:dyDescent="0.25">
      <c r="A58" s="162">
        <f xml:space="preserve"> 'CASE DATA'!A58</f>
        <v>0</v>
      </c>
      <c r="B58" s="185">
        <f xml:space="preserve"> 'CASE DATA'!F58</f>
        <v>0</v>
      </c>
      <c r="C58" s="166">
        <f xml:space="preserve"> IF(OR(B58="DISM", B58="JWV", B58="JUV", B58="CIV"), SUM('CASE DATA'!I58:R58), 'CASE DATA'!J58+'CASE DATA'!L58+'CASE DATA'!M58+'CASE DATA'!P58+'CASE DATA'!Q58+'CASE DATA'!R58+'CASE DATA'!K58+'CASE DATA'!O58)</f>
        <v>0</v>
      </c>
      <c r="D58" s="168">
        <f xml:space="preserve"> IF(OR(B58="DISM", B58="JWV", B58="JUV", B58="CIV"), 0, 'CASE DATA'!I58+'CASE DATA'!N58)</f>
        <v>0</v>
      </c>
      <c r="E58" s="187"/>
    </row>
    <row r="59" spans="1:5" x14ac:dyDescent="0.25">
      <c r="A59" s="162">
        <f xml:space="preserve"> 'CASE DATA'!A59</f>
        <v>0</v>
      </c>
      <c r="B59" s="185">
        <f xml:space="preserve"> 'CASE DATA'!F59</f>
        <v>0</v>
      </c>
      <c r="C59" s="166">
        <f xml:space="preserve"> IF(OR(B59="DISM", B59="JWV", B59="JUV", B59="CIV"), SUM('CASE DATA'!I59:R59), 'CASE DATA'!J59+'CASE DATA'!L59+'CASE DATA'!M59+'CASE DATA'!P59+'CASE DATA'!Q59+'CASE DATA'!R59+'CASE DATA'!K59+'CASE DATA'!O59)</f>
        <v>0</v>
      </c>
      <c r="D59" s="168">
        <f xml:space="preserve"> IF(OR(B59="DISM", B59="JWV", B59="JUV", B59="CIV"), 0, 'CASE DATA'!I59+'CASE DATA'!N59)</f>
        <v>0</v>
      </c>
      <c r="E59" s="187"/>
    </row>
    <row r="60" spans="1:5" x14ac:dyDescent="0.25">
      <c r="A60" s="162">
        <f xml:space="preserve"> 'CASE DATA'!A60</f>
        <v>0</v>
      </c>
      <c r="B60" s="185">
        <f xml:space="preserve"> 'CASE DATA'!F60</f>
        <v>0</v>
      </c>
      <c r="C60" s="166">
        <f xml:space="preserve"> IF(OR(B60="DISM", B60="JWV", B60="JUV", B60="CIV"), SUM('CASE DATA'!I60:R60), 'CASE DATA'!J60+'CASE DATA'!L60+'CASE DATA'!M60+'CASE DATA'!P60+'CASE DATA'!Q60+'CASE DATA'!R60+'CASE DATA'!K60+'CASE DATA'!O60)</f>
        <v>0</v>
      </c>
      <c r="D60" s="168">
        <f xml:space="preserve"> IF(OR(B60="DISM", B60="JWV", B60="JUV", B60="CIV"), 0, 'CASE DATA'!I60+'CASE DATA'!N60)</f>
        <v>0</v>
      </c>
      <c r="E60" s="187"/>
    </row>
    <row r="61" spans="1:5" x14ac:dyDescent="0.25">
      <c r="A61" s="162">
        <f xml:space="preserve"> 'CASE DATA'!A61</f>
        <v>0</v>
      </c>
      <c r="B61" s="185">
        <f xml:space="preserve"> 'CASE DATA'!F61</f>
        <v>0</v>
      </c>
      <c r="C61" s="166">
        <f xml:space="preserve"> IF(OR(B61="DISM", B61="JWV", B61="JUV", B61="CIV"), SUM('CASE DATA'!I61:R61), 'CASE DATA'!J61+'CASE DATA'!L61+'CASE DATA'!M61+'CASE DATA'!P61+'CASE DATA'!Q61+'CASE DATA'!R61+'CASE DATA'!K61+'CASE DATA'!O61)</f>
        <v>0</v>
      </c>
      <c r="D61" s="168">
        <f xml:space="preserve"> IF(OR(B61="DISM", B61="JWV", B61="JUV", B61="CIV"), 0, 'CASE DATA'!I61+'CASE DATA'!N61)</f>
        <v>0</v>
      </c>
      <c r="E61" s="187"/>
    </row>
    <row r="62" spans="1:5" x14ac:dyDescent="0.25">
      <c r="A62" s="162">
        <f xml:space="preserve"> 'CASE DATA'!A62</f>
        <v>0</v>
      </c>
      <c r="B62" s="185">
        <f xml:space="preserve"> 'CASE DATA'!F62</f>
        <v>0</v>
      </c>
      <c r="C62" s="166">
        <f xml:space="preserve"> IF(OR(B62="DISM", B62="JWV", B62="JUV", B62="CIV"), SUM('CASE DATA'!I62:R62), 'CASE DATA'!J62+'CASE DATA'!L62+'CASE DATA'!M62+'CASE DATA'!P62+'CASE DATA'!Q62+'CASE DATA'!R62+'CASE DATA'!K62+'CASE DATA'!O62)</f>
        <v>0</v>
      </c>
      <c r="D62" s="168">
        <f xml:space="preserve"> IF(OR(B62="DISM", B62="JWV", B62="JUV", B62="CIV"), 0, 'CASE DATA'!I62+'CASE DATA'!N62)</f>
        <v>0</v>
      </c>
      <c r="E62" s="187"/>
    </row>
    <row r="63" spans="1:5" x14ac:dyDescent="0.25">
      <c r="A63" s="162">
        <f xml:space="preserve"> 'CASE DATA'!A63</f>
        <v>0</v>
      </c>
      <c r="B63" s="185">
        <f xml:space="preserve"> 'CASE DATA'!F63</f>
        <v>0</v>
      </c>
      <c r="C63" s="166">
        <f xml:space="preserve"> IF(OR(B63="DISM", B63="JWV", B63="JUV", B63="CIV"), SUM('CASE DATA'!I63:R63), 'CASE DATA'!J63+'CASE DATA'!L63+'CASE DATA'!M63+'CASE DATA'!P63+'CASE DATA'!Q63+'CASE DATA'!R63+'CASE DATA'!K63+'CASE DATA'!O63)</f>
        <v>0</v>
      </c>
      <c r="D63" s="168">
        <f xml:space="preserve"> IF(OR(B63="DISM", B63="JWV", B63="JUV", B63="CIV"), 0, 'CASE DATA'!I63+'CASE DATA'!N63)</f>
        <v>0</v>
      </c>
      <c r="E63" s="187"/>
    </row>
    <row r="64" spans="1:5" x14ac:dyDescent="0.25">
      <c r="A64" s="162">
        <f xml:space="preserve"> 'CASE DATA'!A64</f>
        <v>0</v>
      </c>
      <c r="B64" s="185">
        <f xml:space="preserve"> 'CASE DATA'!F64</f>
        <v>0</v>
      </c>
      <c r="C64" s="166">
        <f xml:space="preserve"> IF(OR(B64="DISM", B64="JWV", B64="JUV", B64="CIV"), SUM('CASE DATA'!I64:R64), 'CASE DATA'!J64+'CASE DATA'!L64+'CASE DATA'!M64+'CASE DATA'!P64+'CASE DATA'!Q64+'CASE DATA'!R64+'CASE DATA'!K64+'CASE DATA'!O64)</f>
        <v>0</v>
      </c>
      <c r="D64" s="168">
        <f xml:space="preserve"> IF(OR(B64="DISM", B64="JWV", B64="JUV", B64="CIV"), 0, 'CASE DATA'!I64+'CASE DATA'!N64)</f>
        <v>0</v>
      </c>
      <c r="E64" s="187"/>
    </row>
    <row r="65" spans="1:5" x14ac:dyDescent="0.25">
      <c r="A65" s="162">
        <f xml:space="preserve"> 'CASE DATA'!A65</f>
        <v>0</v>
      </c>
      <c r="B65" s="185">
        <f xml:space="preserve"> 'CASE DATA'!F65</f>
        <v>0</v>
      </c>
      <c r="C65" s="166">
        <f xml:space="preserve"> IF(OR(B65="DISM", B65="JWV", B65="JUV", B65="CIV"), SUM('CASE DATA'!I65:R65), 'CASE DATA'!J65+'CASE DATA'!L65+'CASE DATA'!M65+'CASE DATA'!P65+'CASE DATA'!Q65+'CASE DATA'!R65+'CASE DATA'!K65+'CASE DATA'!O65)</f>
        <v>0</v>
      </c>
      <c r="D65" s="168">
        <f xml:space="preserve"> IF(OR(B65="DISM", B65="JWV", B65="JUV", B65="CIV"), 0, 'CASE DATA'!I65+'CASE DATA'!N65)</f>
        <v>0</v>
      </c>
      <c r="E65" s="187"/>
    </row>
    <row r="66" spans="1:5" x14ac:dyDescent="0.25">
      <c r="A66" s="162">
        <f xml:space="preserve"> 'CASE DATA'!A66</f>
        <v>0</v>
      </c>
      <c r="B66" s="185">
        <f xml:space="preserve"> 'CASE DATA'!F66</f>
        <v>0</v>
      </c>
      <c r="C66" s="166">
        <f xml:space="preserve"> IF(OR(B66="DISM", B66="JWV", B66="JUV", B66="CIV"), SUM('CASE DATA'!I66:R66), 'CASE DATA'!J66+'CASE DATA'!L66+'CASE DATA'!M66+'CASE DATA'!P66+'CASE DATA'!Q66+'CASE DATA'!R66+'CASE DATA'!K66+'CASE DATA'!O66)</f>
        <v>0</v>
      </c>
      <c r="D66" s="168">
        <f xml:space="preserve"> IF(OR(B66="DISM", B66="JWV", B66="JUV", B66="CIV"), 0, 'CASE DATA'!I66+'CASE DATA'!N66)</f>
        <v>0</v>
      </c>
      <c r="E66" s="187"/>
    </row>
    <row r="67" spans="1:5" x14ac:dyDescent="0.25">
      <c r="A67" s="162">
        <f xml:space="preserve"> 'CASE DATA'!A67</f>
        <v>0</v>
      </c>
      <c r="B67" s="185">
        <f xml:space="preserve"> 'CASE DATA'!F67</f>
        <v>0</v>
      </c>
      <c r="C67" s="166">
        <f xml:space="preserve"> IF(OR(B67="DISM", B67="JWV", B67="JUV", B67="CIV"), SUM('CASE DATA'!I67:R67), 'CASE DATA'!J67+'CASE DATA'!L67+'CASE DATA'!M67+'CASE DATA'!P67+'CASE DATA'!Q67+'CASE DATA'!R67+'CASE DATA'!K67+'CASE DATA'!O67)</f>
        <v>0</v>
      </c>
      <c r="D67" s="168">
        <f xml:space="preserve"> IF(OR(B67="DISM", B67="JWV", B67="JUV", B67="CIV"), 0, 'CASE DATA'!I67+'CASE DATA'!N67)</f>
        <v>0</v>
      </c>
      <c r="E67" s="187"/>
    </row>
    <row r="68" spans="1:5" x14ac:dyDescent="0.25">
      <c r="A68" s="162">
        <f xml:space="preserve"> 'CASE DATA'!A68</f>
        <v>0</v>
      </c>
      <c r="B68" s="185">
        <f xml:space="preserve"> 'CASE DATA'!F68</f>
        <v>0</v>
      </c>
      <c r="C68" s="166">
        <f xml:space="preserve"> IF(OR(B68="DISM", B68="JWV", B68="JUV", B68="CIV"), SUM('CASE DATA'!I68:R68), 'CASE DATA'!J68+'CASE DATA'!L68+'CASE DATA'!M68+'CASE DATA'!P68+'CASE DATA'!Q68+'CASE DATA'!R68+'CASE DATA'!K68+'CASE DATA'!O68)</f>
        <v>0</v>
      </c>
      <c r="D68" s="168">
        <f xml:space="preserve"> IF(OR(B68="DISM", B68="JWV", B68="JUV", B68="CIV"), 0, 'CASE DATA'!I68+'CASE DATA'!N68)</f>
        <v>0</v>
      </c>
      <c r="E68" s="187"/>
    </row>
    <row r="69" spans="1:5" x14ac:dyDescent="0.25">
      <c r="A69" s="162">
        <f xml:space="preserve"> 'CASE DATA'!A69</f>
        <v>0</v>
      </c>
      <c r="B69" s="185">
        <f xml:space="preserve"> 'CASE DATA'!F69</f>
        <v>0</v>
      </c>
      <c r="C69" s="166">
        <f xml:space="preserve"> IF(OR(B69="DISM", B69="JWV", B69="JUV", B69="CIV"), SUM('CASE DATA'!I69:R69), 'CASE DATA'!J69+'CASE DATA'!L69+'CASE DATA'!M69+'CASE DATA'!P69+'CASE DATA'!Q69+'CASE DATA'!R69+'CASE DATA'!K69+'CASE DATA'!O69)</f>
        <v>0</v>
      </c>
      <c r="D69" s="168">
        <f xml:space="preserve"> IF(OR(B69="DISM", B69="JWV", B69="JUV", B69="CIV"), 0, 'CASE DATA'!I69+'CASE DATA'!N69)</f>
        <v>0</v>
      </c>
      <c r="E69" s="187"/>
    </row>
    <row r="70" spans="1:5" x14ac:dyDescent="0.25">
      <c r="A70" s="162">
        <f xml:space="preserve"> 'CASE DATA'!A70</f>
        <v>0</v>
      </c>
      <c r="B70" s="185">
        <f xml:space="preserve"> 'CASE DATA'!F70</f>
        <v>0</v>
      </c>
      <c r="C70" s="166">
        <f xml:space="preserve"> IF(OR(B70="DISM", B70="JWV", B70="JUV", B70="CIV"), SUM('CASE DATA'!I70:R70), 'CASE DATA'!J70+'CASE DATA'!L70+'CASE DATA'!M70+'CASE DATA'!P70+'CASE DATA'!Q70+'CASE DATA'!R70+'CASE DATA'!K70+'CASE DATA'!O70)</f>
        <v>0</v>
      </c>
      <c r="D70" s="168">
        <f xml:space="preserve"> IF(OR(B70="DISM", B70="JWV", B70="JUV", B70="CIV"), 0, 'CASE DATA'!I70+'CASE DATA'!N70)</f>
        <v>0</v>
      </c>
      <c r="E70" s="187"/>
    </row>
    <row r="71" spans="1:5" x14ac:dyDescent="0.25">
      <c r="A71" s="162">
        <f xml:space="preserve"> 'CASE DATA'!A71</f>
        <v>0</v>
      </c>
      <c r="B71" s="185">
        <f xml:space="preserve"> 'CASE DATA'!F71</f>
        <v>0</v>
      </c>
      <c r="C71" s="166">
        <f xml:space="preserve"> IF(OR(B71="DISM", B71="JWV", B71="JUV", B71="CIV"), SUM('CASE DATA'!I71:R71), 'CASE DATA'!J71+'CASE DATA'!L71+'CASE DATA'!M71+'CASE DATA'!P71+'CASE DATA'!Q71+'CASE DATA'!R71+'CASE DATA'!K71+'CASE DATA'!O71)</f>
        <v>0</v>
      </c>
      <c r="D71" s="168">
        <f xml:space="preserve"> IF(OR(B71="DISM", B71="JWV", B71="JUV", B71="CIV"), 0, 'CASE DATA'!I71+'CASE DATA'!N71)</f>
        <v>0</v>
      </c>
      <c r="E71" s="187"/>
    </row>
    <row r="72" spans="1:5" x14ac:dyDescent="0.25">
      <c r="A72" s="162">
        <f xml:space="preserve"> 'CASE DATA'!A72</f>
        <v>0</v>
      </c>
      <c r="B72" s="185">
        <f xml:space="preserve"> 'CASE DATA'!F72</f>
        <v>0</v>
      </c>
      <c r="C72" s="166">
        <f xml:space="preserve"> IF(OR(B72="DISM", B72="JWV", B72="JUV", B72="CIV"), SUM('CASE DATA'!I72:R72), 'CASE DATA'!J72+'CASE DATA'!L72+'CASE DATA'!M72+'CASE DATA'!P72+'CASE DATA'!Q72+'CASE DATA'!R72+'CASE DATA'!K72+'CASE DATA'!O72)</f>
        <v>0</v>
      </c>
      <c r="D72" s="168">
        <f xml:space="preserve"> IF(OR(B72="DISM", B72="JWV", B72="JUV", B72="CIV"), 0, 'CASE DATA'!I72+'CASE DATA'!N72)</f>
        <v>0</v>
      </c>
      <c r="E72" s="187"/>
    </row>
    <row r="73" spans="1:5" x14ac:dyDescent="0.25">
      <c r="A73" s="162">
        <f xml:space="preserve"> 'CASE DATA'!A73</f>
        <v>0</v>
      </c>
      <c r="B73" s="185">
        <f xml:space="preserve"> 'CASE DATA'!F73</f>
        <v>0</v>
      </c>
      <c r="C73" s="166">
        <f xml:space="preserve"> IF(OR(B73="DISM", B73="JWV", B73="JUV", B73="CIV"), SUM('CASE DATA'!I73:R73), 'CASE DATA'!J73+'CASE DATA'!L73+'CASE DATA'!M73+'CASE DATA'!P73+'CASE DATA'!Q73+'CASE DATA'!R73+'CASE DATA'!K73+'CASE DATA'!O73)</f>
        <v>0</v>
      </c>
      <c r="D73" s="168">
        <f xml:space="preserve"> IF(OR(B73="DISM", B73="JWV", B73="JUV", B73="CIV"), 0, 'CASE DATA'!I73+'CASE DATA'!N73)</f>
        <v>0</v>
      </c>
      <c r="E73" s="187"/>
    </row>
    <row r="74" spans="1:5" x14ac:dyDescent="0.25">
      <c r="A74" s="162">
        <f xml:space="preserve"> 'CASE DATA'!A74</f>
        <v>0</v>
      </c>
      <c r="B74" s="185">
        <f xml:space="preserve"> 'CASE DATA'!F74</f>
        <v>0</v>
      </c>
      <c r="C74" s="166">
        <f xml:space="preserve"> IF(OR(B74="DISM", B74="JWV", B74="JUV", B74="CIV"), SUM('CASE DATA'!I74:R74), 'CASE DATA'!J74+'CASE DATA'!L74+'CASE DATA'!M74+'CASE DATA'!P74+'CASE DATA'!Q74+'CASE DATA'!R74+'CASE DATA'!K74+'CASE DATA'!O74)</f>
        <v>0</v>
      </c>
      <c r="D74" s="168">
        <f xml:space="preserve"> IF(OR(B74="DISM", B74="JWV", B74="JUV", B74="CIV"), 0, 'CASE DATA'!I74+'CASE DATA'!N74)</f>
        <v>0</v>
      </c>
      <c r="E74" s="187"/>
    </row>
    <row r="75" spans="1:5" x14ac:dyDescent="0.25">
      <c r="A75" s="162">
        <f xml:space="preserve"> 'CASE DATA'!A75</f>
        <v>0</v>
      </c>
      <c r="B75" s="185">
        <f xml:space="preserve"> 'CASE DATA'!F75</f>
        <v>0</v>
      </c>
      <c r="C75" s="166">
        <f xml:space="preserve"> IF(OR(B75="DISM", B75="JWV", B75="JUV", B75="CIV"), SUM('CASE DATA'!I75:R75), 'CASE DATA'!J75+'CASE DATA'!L75+'CASE DATA'!M75+'CASE DATA'!P75+'CASE DATA'!Q75+'CASE DATA'!R75+'CASE DATA'!K75+'CASE DATA'!O75)</f>
        <v>0</v>
      </c>
      <c r="D75" s="168">
        <f xml:space="preserve"> IF(OR(B75="DISM", B75="JWV", B75="JUV", B75="CIV"), 0, 'CASE DATA'!I75+'CASE DATA'!N75)</f>
        <v>0</v>
      </c>
      <c r="E75" s="187"/>
    </row>
    <row r="76" spans="1:5" x14ac:dyDescent="0.25">
      <c r="A76" s="162">
        <f xml:space="preserve"> 'CASE DATA'!A76</f>
        <v>0</v>
      </c>
      <c r="B76" s="185">
        <f xml:space="preserve"> 'CASE DATA'!F76</f>
        <v>0</v>
      </c>
      <c r="C76" s="166">
        <f xml:space="preserve"> IF(OR(B76="DISM", B76="JWV", B76="JUV", B76="CIV"), SUM('CASE DATA'!I76:R76), 'CASE DATA'!J76+'CASE DATA'!L76+'CASE DATA'!M76+'CASE DATA'!P76+'CASE DATA'!Q76+'CASE DATA'!R76+'CASE DATA'!K76+'CASE DATA'!O76)</f>
        <v>0</v>
      </c>
      <c r="D76" s="168">
        <f xml:space="preserve"> IF(OR(B76="DISM", B76="JWV", B76="JUV", B76="CIV"), 0, 'CASE DATA'!I76+'CASE DATA'!N76)</f>
        <v>0</v>
      </c>
      <c r="E76" s="187"/>
    </row>
    <row r="77" spans="1:5" x14ac:dyDescent="0.25">
      <c r="A77" s="162">
        <f xml:space="preserve"> 'CASE DATA'!A77</f>
        <v>0</v>
      </c>
      <c r="B77" s="185">
        <f xml:space="preserve"> 'CASE DATA'!F77</f>
        <v>0</v>
      </c>
      <c r="C77" s="166">
        <f xml:space="preserve"> IF(OR(B77="DISM", B77="JWV", B77="JUV", B77="CIV"), SUM('CASE DATA'!I77:R77), 'CASE DATA'!J77+'CASE DATA'!L77+'CASE DATA'!M77+'CASE DATA'!P77+'CASE DATA'!Q77+'CASE DATA'!R77+'CASE DATA'!K77+'CASE DATA'!O77)</f>
        <v>0</v>
      </c>
      <c r="D77" s="168">
        <f xml:space="preserve"> IF(OR(B77="DISM", B77="JWV", B77="JUV", B77="CIV"), 0, 'CASE DATA'!I77+'CASE DATA'!N77)</f>
        <v>0</v>
      </c>
      <c r="E77" s="187"/>
    </row>
    <row r="78" spans="1:5" x14ac:dyDescent="0.25">
      <c r="A78" s="162">
        <f xml:space="preserve"> 'CASE DATA'!A78</f>
        <v>0</v>
      </c>
      <c r="B78" s="185">
        <f xml:space="preserve"> 'CASE DATA'!F78</f>
        <v>0</v>
      </c>
      <c r="C78" s="166">
        <f xml:space="preserve"> IF(OR(B78="DISM", B78="JWV", B78="JUV", B78="CIV"), SUM('CASE DATA'!I78:R78), 'CASE DATA'!J78+'CASE DATA'!L78+'CASE DATA'!M78+'CASE DATA'!P78+'CASE DATA'!Q78+'CASE DATA'!R78+'CASE DATA'!K78+'CASE DATA'!O78)</f>
        <v>0</v>
      </c>
      <c r="D78" s="168">
        <f xml:space="preserve"> IF(OR(B78="DISM", B78="JWV", B78="JUV", B78="CIV"), 0, 'CASE DATA'!I78+'CASE DATA'!N78)</f>
        <v>0</v>
      </c>
      <c r="E78" s="187"/>
    </row>
    <row r="79" spans="1:5" x14ac:dyDescent="0.25">
      <c r="A79" s="162">
        <f xml:space="preserve"> 'CASE DATA'!A79</f>
        <v>0</v>
      </c>
      <c r="B79" s="185">
        <f xml:space="preserve"> 'CASE DATA'!F79</f>
        <v>0</v>
      </c>
      <c r="C79" s="166">
        <f xml:space="preserve"> IF(OR(B79="DISM", B79="JWV", B79="JUV", B79="CIV"), SUM('CASE DATA'!I79:R79), 'CASE DATA'!J79+'CASE DATA'!L79+'CASE DATA'!M79+'CASE DATA'!P79+'CASE DATA'!Q79+'CASE DATA'!R79+'CASE DATA'!K79+'CASE DATA'!O79)</f>
        <v>0</v>
      </c>
      <c r="D79" s="168">
        <f xml:space="preserve"> IF(OR(B79="DISM", B79="JWV", B79="JUV", B79="CIV"), 0, 'CASE DATA'!I79+'CASE DATA'!N79)</f>
        <v>0</v>
      </c>
      <c r="E79" s="187"/>
    </row>
    <row r="80" spans="1:5" x14ac:dyDescent="0.25">
      <c r="A80" s="162">
        <f xml:space="preserve"> 'CASE DATA'!A80</f>
        <v>0</v>
      </c>
      <c r="B80" s="185">
        <f xml:space="preserve"> 'CASE DATA'!F80</f>
        <v>0</v>
      </c>
      <c r="C80" s="166">
        <f xml:space="preserve"> IF(OR(B80="DISM", B80="JWV", B80="JUV", B80="CIV"), SUM('CASE DATA'!I80:R80), 'CASE DATA'!J80+'CASE DATA'!L80+'CASE DATA'!M80+'CASE DATA'!P80+'CASE DATA'!Q80+'CASE DATA'!R80+'CASE DATA'!K80+'CASE DATA'!O80)</f>
        <v>0</v>
      </c>
      <c r="D80" s="168">
        <f xml:space="preserve"> IF(OR(B80="DISM", B80="JWV", B80="JUV", B80="CIV"), 0, 'CASE DATA'!I80+'CASE DATA'!N80)</f>
        <v>0</v>
      </c>
      <c r="E80" s="187"/>
    </row>
    <row r="81" spans="1:5" x14ac:dyDescent="0.25">
      <c r="A81" s="162">
        <f xml:space="preserve"> 'CASE DATA'!A81</f>
        <v>0</v>
      </c>
      <c r="B81" s="185">
        <f xml:space="preserve"> 'CASE DATA'!F81</f>
        <v>0</v>
      </c>
      <c r="C81" s="166">
        <f xml:space="preserve"> IF(OR(B81="DISM", B81="JWV", B81="JUV", B81="CIV"), SUM('CASE DATA'!I81:R81), 'CASE DATA'!J81+'CASE DATA'!L81+'CASE DATA'!M81+'CASE DATA'!P81+'CASE DATA'!Q81+'CASE DATA'!R81+'CASE DATA'!K81+'CASE DATA'!O81)</f>
        <v>0</v>
      </c>
      <c r="D81" s="168">
        <f xml:space="preserve"> IF(OR(B81="DISM", B81="JWV", B81="JUV", B81="CIV"), 0, 'CASE DATA'!I81+'CASE DATA'!N81)</f>
        <v>0</v>
      </c>
      <c r="E81" s="187"/>
    </row>
    <row r="82" spans="1:5" x14ac:dyDescent="0.25">
      <c r="A82" s="162">
        <f xml:space="preserve"> 'CASE DATA'!A82</f>
        <v>0</v>
      </c>
      <c r="B82" s="185">
        <f xml:space="preserve"> 'CASE DATA'!F82</f>
        <v>0</v>
      </c>
      <c r="C82" s="166">
        <f xml:space="preserve"> IF(OR(B82="DISM", B82="JWV", B82="JUV", B82="CIV"), SUM('CASE DATA'!I82:R82), 'CASE DATA'!J82+'CASE DATA'!L82+'CASE DATA'!M82+'CASE DATA'!P82+'CASE DATA'!Q82+'CASE DATA'!R82+'CASE DATA'!K82+'CASE DATA'!O82)</f>
        <v>0</v>
      </c>
      <c r="D82" s="168">
        <f xml:space="preserve"> IF(OR(B82="DISM", B82="JWV", B82="JUV", B82="CIV"), 0, 'CASE DATA'!I82+'CASE DATA'!N82)</f>
        <v>0</v>
      </c>
      <c r="E82" s="187"/>
    </row>
    <row r="83" spans="1:5" x14ac:dyDescent="0.25">
      <c r="A83" s="162">
        <f xml:space="preserve"> 'CASE DATA'!A83</f>
        <v>0</v>
      </c>
      <c r="B83" s="185">
        <f xml:space="preserve"> 'CASE DATA'!F83</f>
        <v>0</v>
      </c>
      <c r="C83" s="166">
        <f xml:space="preserve"> IF(OR(B83="DISM", B83="JWV", B83="JUV", B83="CIV"), SUM('CASE DATA'!I83:R83), 'CASE DATA'!J83+'CASE DATA'!L83+'CASE DATA'!M83+'CASE DATA'!P83+'CASE DATA'!Q83+'CASE DATA'!R83+'CASE DATA'!K83+'CASE DATA'!O83)</f>
        <v>0</v>
      </c>
      <c r="D83" s="168">
        <f xml:space="preserve"> IF(OR(B83="DISM", B83="JWV", B83="JUV", B83="CIV"), 0, 'CASE DATA'!I83+'CASE DATA'!N83)</f>
        <v>0</v>
      </c>
      <c r="E83" s="187"/>
    </row>
    <row r="84" spans="1:5" x14ac:dyDescent="0.25">
      <c r="A84" s="162">
        <f xml:space="preserve"> 'CASE DATA'!A84</f>
        <v>0</v>
      </c>
      <c r="B84" s="185">
        <f xml:space="preserve"> 'CASE DATA'!F84</f>
        <v>0</v>
      </c>
      <c r="C84" s="166">
        <f xml:space="preserve"> IF(OR(B84="DISM", B84="JWV", B84="JUV", B84="CIV"), SUM('CASE DATA'!I84:R84), 'CASE DATA'!J84+'CASE DATA'!L84+'CASE DATA'!M84+'CASE DATA'!P84+'CASE DATA'!Q84+'CASE DATA'!R84+'CASE DATA'!K84+'CASE DATA'!O84)</f>
        <v>0</v>
      </c>
      <c r="D84" s="168">
        <f xml:space="preserve"> IF(OR(B84="DISM", B84="JWV", B84="JUV", B84="CIV"), 0, 'CASE DATA'!I84+'CASE DATA'!N84)</f>
        <v>0</v>
      </c>
      <c r="E84" s="187"/>
    </row>
    <row r="85" spans="1:5" x14ac:dyDescent="0.25">
      <c r="A85" s="162">
        <f xml:space="preserve"> 'CASE DATA'!A85</f>
        <v>0</v>
      </c>
      <c r="B85" s="185">
        <f xml:space="preserve"> 'CASE DATA'!F85</f>
        <v>0</v>
      </c>
      <c r="C85" s="166">
        <f xml:space="preserve"> IF(OR(B85="DISM", B85="JWV", B85="JUV", B85="CIV"), SUM('CASE DATA'!I85:R85), 'CASE DATA'!J85+'CASE DATA'!L85+'CASE DATA'!M85+'CASE DATA'!P85+'CASE DATA'!Q85+'CASE DATA'!R85+'CASE DATA'!K85+'CASE DATA'!O85)</f>
        <v>0</v>
      </c>
      <c r="D85" s="168">
        <f xml:space="preserve"> IF(OR(B85="DISM", B85="JWV", B85="JUV", B85="CIV"), 0, 'CASE DATA'!I85+'CASE DATA'!N85)</f>
        <v>0</v>
      </c>
      <c r="E85" s="187"/>
    </row>
    <row r="86" spans="1:5" x14ac:dyDescent="0.25">
      <c r="A86" s="162">
        <f xml:space="preserve"> 'CASE DATA'!A86</f>
        <v>0</v>
      </c>
      <c r="B86" s="185">
        <f xml:space="preserve"> 'CASE DATA'!F86</f>
        <v>0</v>
      </c>
      <c r="C86" s="166">
        <f xml:space="preserve"> IF(OR(B86="DISM", B86="JWV", B86="JUV", B86="CIV"), SUM('CASE DATA'!I86:R86), 'CASE DATA'!J86+'CASE DATA'!L86+'CASE DATA'!M86+'CASE DATA'!P86+'CASE DATA'!Q86+'CASE DATA'!R86+'CASE DATA'!K86+'CASE DATA'!O86)</f>
        <v>0</v>
      </c>
      <c r="D86" s="168">
        <f xml:space="preserve"> IF(OR(B86="DISM", B86="JWV", B86="JUV", B86="CIV"), 0, 'CASE DATA'!I86+'CASE DATA'!N86)</f>
        <v>0</v>
      </c>
      <c r="E86" s="187"/>
    </row>
    <row r="87" spans="1:5" x14ac:dyDescent="0.25">
      <c r="A87" s="162">
        <f xml:space="preserve"> 'CASE DATA'!A87</f>
        <v>0</v>
      </c>
      <c r="B87" s="185">
        <f xml:space="preserve"> 'CASE DATA'!F87</f>
        <v>0</v>
      </c>
      <c r="C87" s="166">
        <f xml:space="preserve"> IF(OR(B87="DISM", B87="JWV", B87="JUV", B87="CIV"), SUM('CASE DATA'!I87:R87), 'CASE DATA'!J87+'CASE DATA'!L87+'CASE DATA'!M87+'CASE DATA'!P87+'CASE DATA'!Q87+'CASE DATA'!R87+'CASE DATA'!K87+'CASE DATA'!O87)</f>
        <v>0</v>
      </c>
      <c r="D87" s="168">
        <f xml:space="preserve"> IF(OR(B87="DISM", B87="JWV", B87="JUV", B87="CIV"), 0, 'CASE DATA'!I87+'CASE DATA'!N87)</f>
        <v>0</v>
      </c>
      <c r="E87" s="187"/>
    </row>
    <row r="88" spans="1:5" x14ac:dyDescent="0.25">
      <c r="A88" s="162">
        <f xml:space="preserve"> 'CASE DATA'!A88</f>
        <v>0</v>
      </c>
      <c r="B88" s="185">
        <f xml:space="preserve"> 'CASE DATA'!F88</f>
        <v>0</v>
      </c>
      <c r="C88" s="166">
        <f xml:space="preserve"> IF(OR(B88="DISM", B88="JWV", B88="JUV", B88="CIV"), SUM('CASE DATA'!I88:R88), 'CASE DATA'!J88+'CASE DATA'!L88+'CASE DATA'!M88+'CASE DATA'!P88+'CASE DATA'!Q88+'CASE DATA'!R88+'CASE DATA'!K88+'CASE DATA'!O88)</f>
        <v>0</v>
      </c>
      <c r="D88" s="168">
        <f xml:space="preserve"> IF(OR(B88="DISM", B88="JWV", B88="JUV", B88="CIV"), 0, 'CASE DATA'!I88+'CASE DATA'!N88)</f>
        <v>0</v>
      </c>
      <c r="E88" s="187"/>
    </row>
    <row r="89" spans="1:5" x14ac:dyDescent="0.25">
      <c r="A89" s="162">
        <f xml:space="preserve"> 'CASE DATA'!A89</f>
        <v>0</v>
      </c>
      <c r="B89" s="185">
        <f xml:space="preserve"> 'CASE DATA'!F89</f>
        <v>0</v>
      </c>
      <c r="C89" s="166">
        <f xml:space="preserve"> IF(OR(B89="DISM", B89="JWV", B89="JUV", B89="CIV"), SUM('CASE DATA'!I89:R89), 'CASE DATA'!J89+'CASE DATA'!L89+'CASE DATA'!M89+'CASE DATA'!P89+'CASE DATA'!Q89+'CASE DATA'!R89+'CASE DATA'!K89+'CASE DATA'!O89)</f>
        <v>0</v>
      </c>
      <c r="D89" s="168">
        <f xml:space="preserve"> IF(OR(B89="DISM", B89="JWV", B89="JUV", B89="CIV"), 0, 'CASE DATA'!I89+'CASE DATA'!N89)</f>
        <v>0</v>
      </c>
      <c r="E89" s="187"/>
    </row>
    <row r="90" spans="1:5" x14ac:dyDescent="0.25">
      <c r="A90" s="162">
        <f xml:space="preserve"> 'CASE DATA'!A90</f>
        <v>0</v>
      </c>
      <c r="B90" s="185">
        <f xml:space="preserve"> 'CASE DATA'!F90</f>
        <v>0</v>
      </c>
      <c r="C90" s="166">
        <f xml:space="preserve"> IF(OR(B90="DISM", B90="JWV", B90="JUV", B90="CIV"), SUM('CASE DATA'!I90:R90), 'CASE DATA'!J90+'CASE DATA'!L90+'CASE DATA'!M90+'CASE DATA'!P90+'CASE DATA'!Q90+'CASE DATA'!R90+'CASE DATA'!K90+'CASE DATA'!O90)</f>
        <v>0</v>
      </c>
      <c r="D90" s="168">
        <f xml:space="preserve"> IF(OR(B90="DISM", B90="JWV", B90="JUV", B90="CIV"), 0, 'CASE DATA'!I90+'CASE DATA'!N90)</f>
        <v>0</v>
      </c>
      <c r="E90" s="187"/>
    </row>
    <row r="91" spans="1:5" x14ac:dyDescent="0.25">
      <c r="A91" s="162">
        <f xml:space="preserve"> 'CASE DATA'!A91</f>
        <v>0</v>
      </c>
      <c r="B91" s="185">
        <f xml:space="preserve"> 'CASE DATA'!F91</f>
        <v>0</v>
      </c>
      <c r="C91" s="166">
        <f xml:space="preserve"> IF(OR(B91="DISM", B91="JWV", B91="JUV", B91="CIV"), SUM('CASE DATA'!I91:R91), 'CASE DATA'!J91+'CASE DATA'!L91+'CASE DATA'!M91+'CASE DATA'!P91+'CASE DATA'!Q91+'CASE DATA'!R91+'CASE DATA'!K91+'CASE DATA'!O91)</f>
        <v>0</v>
      </c>
      <c r="D91" s="168">
        <f xml:space="preserve"> IF(OR(B91="DISM", B91="JWV", B91="JUV", B91="CIV"), 0, 'CASE DATA'!I91+'CASE DATA'!N91)</f>
        <v>0</v>
      </c>
      <c r="E91" s="187"/>
    </row>
    <row r="92" spans="1:5" x14ac:dyDescent="0.25">
      <c r="A92" s="162">
        <f xml:space="preserve"> 'CASE DATA'!A92</f>
        <v>0</v>
      </c>
      <c r="B92" s="185">
        <f xml:space="preserve"> 'CASE DATA'!F92</f>
        <v>0</v>
      </c>
      <c r="C92" s="166">
        <f xml:space="preserve"> IF(OR(B92="DISM", B92="JWV", B92="JUV", B92="CIV"), SUM('CASE DATA'!I92:R92), 'CASE DATA'!J92+'CASE DATA'!L92+'CASE DATA'!M92+'CASE DATA'!P92+'CASE DATA'!Q92+'CASE DATA'!R92+'CASE DATA'!K92+'CASE DATA'!O92)</f>
        <v>0</v>
      </c>
      <c r="D92" s="168">
        <f xml:space="preserve"> IF(OR(B92="DISM", B92="JWV", B92="JUV", B92="CIV"), 0, 'CASE DATA'!I92+'CASE DATA'!N92)</f>
        <v>0</v>
      </c>
      <c r="E92" s="187"/>
    </row>
    <row r="93" spans="1:5" x14ac:dyDescent="0.25">
      <c r="A93" s="162">
        <f xml:space="preserve"> 'CASE DATA'!A93</f>
        <v>0</v>
      </c>
      <c r="B93" s="185">
        <f xml:space="preserve"> 'CASE DATA'!F93</f>
        <v>0</v>
      </c>
      <c r="C93" s="166">
        <f xml:space="preserve"> IF(OR(B93="DISM", B93="JWV", B93="JUV", B93="CIV"), SUM('CASE DATA'!I93:R93), 'CASE DATA'!J93+'CASE DATA'!L93+'CASE DATA'!M93+'CASE DATA'!P93+'CASE DATA'!Q93+'CASE DATA'!R93+'CASE DATA'!K93+'CASE DATA'!O93)</f>
        <v>0</v>
      </c>
      <c r="D93" s="168">
        <f xml:space="preserve"> IF(OR(B93="DISM", B93="JWV", B93="JUV", B93="CIV"), 0, 'CASE DATA'!I93+'CASE DATA'!N93)</f>
        <v>0</v>
      </c>
      <c r="E93" s="187"/>
    </row>
    <row r="94" spans="1:5" x14ac:dyDescent="0.25">
      <c r="A94" s="162">
        <f xml:space="preserve"> 'CASE DATA'!A94</f>
        <v>0</v>
      </c>
      <c r="B94" s="185">
        <f xml:space="preserve"> 'CASE DATA'!F94</f>
        <v>0</v>
      </c>
      <c r="C94" s="166">
        <f xml:space="preserve"> IF(OR(B94="DISM", B94="JWV", B94="JUV", B94="CIV"), SUM('CASE DATA'!I94:R94), 'CASE DATA'!J94+'CASE DATA'!L94+'CASE DATA'!M94+'CASE DATA'!P94+'CASE DATA'!Q94+'CASE DATA'!R94+'CASE DATA'!K94+'CASE DATA'!O94)</f>
        <v>0</v>
      </c>
      <c r="D94" s="168">
        <f xml:space="preserve"> IF(OR(B94="DISM", B94="JWV", B94="JUV", B94="CIV"), 0, 'CASE DATA'!I94+'CASE DATA'!N94)</f>
        <v>0</v>
      </c>
      <c r="E94" s="187"/>
    </row>
    <row r="95" spans="1:5" x14ac:dyDescent="0.25">
      <c r="A95" s="162">
        <f xml:space="preserve"> 'CASE DATA'!A95</f>
        <v>0</v>
      </c>
      <c r="B95" s="185">
        <f xml:space="preserve"> 'CASE DATA'!F95</f>
        <v>0</v>
      </c>
      <c r="C95" s="166">
        <f xml:space="preserve"> IF(OR(B95="DISM", B95="JWV", B95="JUV", B95="CIV"), SUM('CASE DATA'!I95:R95), 'CASE DATA'!J95+'CASE DATA'!L95+'CASE DATA'!M95+'CASE DATA'!P95+'CASE DATA'!Q95+'CASE DATA'!R95+'CASE DATA'!K95+'CASE DATA'!O95)</f>
        <v>0</v>
      </c>
      <c r="D95" s="168">
        <f xml:space="preserve"> IF(OR(B95="DISM", B95="JWV", B95="JUV", B95="CIV"), 0, 'CASE DATA'!I95+'CASE DATA'!N95)</f>
        <v>0</v>
      </c>
      <c r="E95" s="187"/>
    </row>
    <row r="96" spans="1:5" x14ac:dyDescent="0.25">
      <c r="A96" s="162">
        <f xml:space="preserve"> 'CASE DATA'!A96</f>
        <v>0</v>
      </c>
      <c r="B96" s="185">
        <f xml:space="preserve"> 'CASE DATA'!F96</f>
        <v>0</v>
      </c>
      <c r="C96" s="166">
        <f xml:space="preserve"> IF(OR(B96="DISM", B96="JWV", B96="JUV", B96="CIV"), SUM('CASE DATA'!I96:R96), 'CASE DATA'!J96+'CASE DATA'!L96+'CASE DATA'!M96+'CASE DATA'!P96+'CASE DATA'!Q96+'CASE DATA'!R96+'CASE DATA'!K96+'CASE DATA'!O96)</f>
        <v>0</v>
      </c>
      <c r="D96" s="168">
        <f xml:space="preserve"> IF(OR(B96="DISM", B96="JWV", B96="JUV", B96="CIV"), 0, 'CASE DATA'!I96+'CASE DATA'!N96)</f>
        <v>0</v>
      </c>
      <c r="E96" s="187"/>
    </row>
    <row r="97" spans="1:5" x14ac:dyDescent="0.25">
      <c r="A97" s="162">
        <f xml:space="preserve"> 'CASE DATA'!A97</f>
        <v>0</v>
      </c>
      <c r="B97" s="185">
        <f xml:space="preserve"> 'CASE DATA'!F97</f>
        <v>0</v>
      </c>
      <c r="C97" s="166">
        <f xml:space="preserve"> IF(OR(B97="DISM", B97="JWV", B97="JUV", B97="CIV"), SUM('CASE DATA'!I97:R97), 'CASE DATA'!J97+'CASE DATA'!L97+'CASE DATA'!M97+'CASE DATA'!P97+'CASE DATA'!Q97+'CASE DATA'!R97+'CASE DATA'!K97+'CASE DATA'!O97)</f>
        <v>0</v>
      </c>
      <c r="D97" s="168">
        <f xml:space="preserve"> IF(OR(B97="DISM", B97="JWV", B97="JUV", B97="CIV"), 0, 'CASE DATA'!I97+'CASE DATA'!N97)</f>
        <v>0</v>
      </c>
      <c r="E97" s="187"/>
    </row>
    <row r="98" spans="1:5" x14ac:dyDescent="0.25">
      <c r="A98" s="162">
        <f xml:space="preserve"> 'CASE DATA'!A98</f>
        <v>0</v>
      </c>
      <c r="B98" s="185">
        <f xml:space="preserve"> 'CASE DATA'!F98</f>
        <v>0</v>
      </c>
      <c r="C98" s="166">
        <f xml:space="preserve"> IF(OR(B98="DISM", B98="JWV", B98="JUV", B98="CIV"), SUM('CASE DATA'!I98:R98), 'CASE DATA'!J98+'CASE DATA'!L98+'CASE DATA'!M98+'CASE DATA'!P98+'CASE DATA'!Q98+'CASE DATA'!R98+'CASE DATA'!K98+'CASE DATA'!O98)</f>
        <v>0</v>
      </c>
      <c r="D98" s="168">
        <f xml:space="preserve"> IF(OR(B98="DISM", B98="JWV", B98="JUV", B98="CIV"), 0, 'CASE DATA'!I98+'CASE DATA'!N98)</f>
        <v>0</v>
      </c>
      <c r="E98" s="187"/>
    </row>
    <row r="99" spans="1:5" x14ac:dyDescent="0.25">
      <c r="A99" s="162">
        <f xml:space="preserve"> 'CASE DATA'!A99</f>
        <v>0</v>
      </c>
      <c r="B99" s="185">
        <f xml:space="preserve"> 'CASE DATA'!F99</f>
        <v>0</v>
      </c>
      <c r="C99" s="166">
        <f xml:space="preserve"> IF(OR(B99="DISM", B99="JWV", B99="JUV", B99="CIV"), SUM('CASE DATA'!I99:R99), 'CASE DATA'!J99+'CASE DATA'!L99+'CASE DATA'!M99+'CASE DATA'!P99+'CASE DATA'!Q99+'CASE DATA'!R99+'CASE DATA'!K99+'CASE DATA'!O99)</f>
        <v>0</v>
      </c>
      <c r="D99" s="168">
        <f xml:space="preserve"> IF(OR(B99="DISM", B99="JWV", B99="JUV", B99="CIV"), 0, 'CASE DATA'!I99+'CASE DATA'!N99)</f>
        <v>0</v>
      </c>
      <c r="E99" s="187"/>
    </row>
    <row r="100" spans="1:5" x14ac:dyDescent="0.25">
      <c r="A100" s="162">
        <f xml:space="preserve"> 'CASE DATA'!A100</f>
        <v>0</v>
      </c>
      <c r="B100" s="185">
        <f xml:space="preserve"> 'CASE DATA'!F100</f>
        <v>0</v>
      </c>
      <c r="C100" s="166">
        <f xml:space="preserve"> IF(OR(B100="DISM", B100="JWV", B100="JUV", B100="CIV"), SUM('CASE DATA'!I100:R100), 'CASE DATA'!J100+'CASE DATA'!L100+'CASE DATA'!M100+'CASE DATA'!P100+'CASE DATA'!Q100+'CASE DATA'!R100+'CASE DATA'!K100+'CASE DATA'!O100)</f>
        <v>0</v>
      </c>
      <c r="D100" s="168">
        <f xml:space="preserve"> IF(OR(B100="DISM", B100="JWV", B100="JUV", B100="CIV"), 0, 'CASE DATA'!I100+'CASE DATA'!N100)</f>
        <v>0</v>
      </c>
      <c r="E100" s="187"/>
    </row>
    <row r="101" spans="1:5" x14ac:dyDescent="0.25">
      <c r="A101" s="162">
        <f xml:space="preserve"> 'CASE DATA'!A101</f>
        <v>0</v>
      </c>
      <c r="B101" s="185">
        <f xml:space="preserve"> 'CASE DATA'!F101</f>
        <v>0</v>
      </c>
      <c r="C101" s="166">
        <f xml:space="preserve"> IF(OR(B101="DISM", B101="JWV", B101="JUV", B101="CIV"), SUM('CASE DATA'!I101:R101), 'CASE DATA'!J101+'CASE DATA'!L101+'CASE DATA'!M101+'CASE DATA'!P101+'CASE DATA'!Q101+'CASE DATA'!R101+'CASE DATA'!K101+'CASE DATA'!O101)</f>
        <v>0</v>
      </c>
      <c r="D101" s="168">
        <f xml:space="preserve"> IF(OR(B101="DISM", B101="JWV", B101="JUV", B101="CIV"), 0, 'CASE DATA'!I101+'CASE DATA'!N101)</f>
        <v>0</v>
      </c>
      <c r="E101" s="187"/>
    </row>
    <row r="102" spans="1:5" x14ac:dyDescent="0.25">
      <c r="A102" s="162">
        <f xml:space="preserve"> 'CASE DATA'!A102</f>
        <v>0</v>
      </c>
      <c r="B102" s="185">
        <f xml:space="preserve"> 'CASE DATA'!F102</f>
        <v>0</v>
      </c>
      <c r="C102" s="166">
        <f xml:space="preserve"> IF(OR(B102="DISM", B102="JWV", B102="JUV", B102="CIV"), SUM('CASE DATA'!I102:R102), 'CASE DATA'!J102+'CASE DATA'!L102+'CASE DATA'!M102+'CASE DATA'!P102+'CASE DATA'!Q102+'CASE DATA'!R102+'CASE DATA'!K102+'CASE DATA'!O102)</f>
        <v>0</v>
      </c>
      <c r="D102" s="168">
        <f xml:space="preserve"> IF(OR(B102="DISM", B102="JWV", B102="JUV", B102="CIV"), 0, 'CASE DATA'!I102+'CASE DATA'!N102)</f>
        <v>0</v>
      </c>
      <c r="E102" s="187"/>
    </row>
    <row r="103" spans="1:5" x14ac:dyDescent="0.25">
      <c r="A103" s="162">
        <f xml:space="preserve"> 'CASE DATA'!A103</f>
        <v>0</v>
      </c>
      <c r="B103" s="185">
        <f xml:space="preserve"> 'CASE DATA'!F103</f>
        <v>0</v>
      </c>
      <c r="C103" s="166">
        <f xml:space="preserve"> IF(OR(B103="DISM", B103="JWV", B103="JUV", B103="CIV"), SUM('CASE DATA'!I103:R103), 'CASE DATA'!J103+'CASE DATA'!L103+'CASE DATA'!M103+'CASE DATA'!P103+'CASE DATA'!Q103+'CASE DATA'!R103+'CASE DATA'!K103+'CASE DATA'!O103)</f>
        <v>0</v>
      </c>
      <c r="D103" s="168">
        <f xml:space="preserve"> IF(OR(B103="DISM", B103="JWV", B103="JUV", B103="CIV"), 0, 'CASE DATA'!I103+'CASE DATA'!N103)</f>
        <v>0</v>
      </c>
      <c r="E103" s="187"/>
    </row>
    <row r="104" spans="1:5" x14ac:dyDescent="0.25">
      <c r="A104" s="162">
        <f xml:space="preserve"> 'CASE DATA'!A104</f>
        <v>0</v>
      </c>
      <c r="B104" s="185">
        <f xml:space="preserve"> 'CASE DATA'!F104</f>
        <v>0</v>
      </c>
      <c r="C104" s="166">
        <f xml:space="preserve"> IF(OR(B104="DISM", B104="JWV", B104="JUV", B104="CIV"), SUM('CASE DATA'!I104:R104), 'CASE DATA'!J104+'CASE DATA'!L104+'CASE DATA'!M104+'CASE DATA'!P104+'CASE DATA'!Q104+'CASE DATA'!R104+'CASE DATA'!K104+'CASE DATA'!O104)</f>
        <v>0</v>
      </c>
      <c r="D104" s="168">
        <f xml:space="preserve"> IF(OR(B104="DISM", B104="JWV", B104="JUV", B104="CIV"), 0, 'CASE DATA'!I104+'CASE DATA'!N104)</f>
        <v>0</v>
      </c>
      <c r="E104" s="187"/>
    </row>
    <row r="105" spans="1:5" x14ac:dyDescent="0.25">
      <c r="A105" s="162">
        <f xml:space="preserve"> 'CASE DATA'!A105</f>
        <v>0</v>
      </c>
      <c r="B105" s="185">
        <f xml:space="preserve"> 'CASE DATA'!F105</f>
        <v>0</v>
      </c>
      <c r="C105" s="166">
        <f xml:space="preserve"> IF(OR(B105="DISM", B105="JWV", B105="JUV", B105="CIV"), SUM('CASE DATA'!I105:R105), 'CASE DATA'!J105+'CASE DATA'!L105+'CASE DATA'!M105+'CASE DATA'!P105+'CASE DATA'!Q105+'CASE DATA'!R105+'CASE DATA'!K105+'CASE DATA'!O105)</f>
        <v>0</v>
      </c>
      <c r="D105" s="168">
        <f xml:space="preserve"> IF(OR(B105="DISM", B105="JWV", B105="JUV", B105="CIV"), 0, 'CASE DATA'!I105+'CASE DATA'!N105)</f>
        <v>0</v>
      </c>
      <c r="E105" s="187"/>
    </row>
    <row r="106" spans="1:5" x14ac:dyDescent="0.25">
      <c r="A106" s="162">
        <f xml:space="preserve"> 'CASE DATA'!A106</f>
        <v>0</v>
      </c>
      <c r="B106" s="185">
        <f xml:space="preserve"> 'CASE DATA'!F106</f>
        <v>0</v>
      </c>
      <c r="C106" s="166">
        <f xml:space="preserve"> IF(OR(B106="DISM", B106="JWV", B106="JUV", B106="CIV"), SUM('CASE DATA'!I106:R106), 'CASE DATA'!J106+'CASE DATA'!L106+'CASE DATA'!M106+'CASE DATA'!P106+'CASE DATA'!Q106+'CASE DATA'!R106+'CASE DATA'!K106+'CASE DATA'!O106)</f>
        <v>0</v>
      </c>
      <c r="D106" s="168">
        <f xml:space="preserve"> IF(OR(B106="DISM", B106="JWV", B106="JUV", B106="CIV"), 0, 'CASE DATA'!I106+'CASE DATA'!N106)</f>
        <v>0</v>
      </c>
      <c r="E106" s="187"/>
    </row>
    <row r="107" spans="1:5" x14ac:dyDescent="0.25">
      <c r="A107" s="162">
        <f xml:space="preserve"> 'CASE DATA'!A107</f>
        <v>0</v>
      </c>
      <c r="B107" s="185">
        <f xml:space="preserve"> 'CASE DATA'!F107</f>
        <v>0</v>
      </c>
      <c r="C107" s="166">
        <f xml:space="preserve"> IF(OR(B107="DISM", B107="JWV", B107="JUV", B107="CIV"), SUM('CASE DATA'!I107:R107), 'CASE DATA'!J107+'CASE DATA'!L107+'CASE DATA'!M107+'CASE DATA'!P107+'CASE DATA'!Q107+'CASE DATA'!R107+'CASE DATA'!K107+'CASE DATA'!O107)</f>
        <v>0</v>
      </c>
      <c r="D107" s="168">
        <f xml:space="preserve"> IF(OR(B107="DISM", B107="JWV", B107="JUV", B107="CIV"), 0, 'CASE DATA'!I107+'CASE DATA'!N107)</f>
        <v>0</v>
      </c>
      <c r="E107" s="187"/>
    </row>
    <row r="108" spans="1:5" x14ac:dyDescent="0.25">
      <c r="A108" s="162">
        <f xml:space="preserve"> 'CASE DATA'!A108</f>
        <v>0</v>
      </c>
      <c r="B108" s="185">
        <f xml:space="preserve"> 'CASE DATA'!F108</f>
        <v>0</v>
      </c>
      <c r="C108" s="166">
        <f xml:space="preserve"> IF(OR(B108="DISM", B108="JWV", B108="JUV", B108="CIV"), SUM('CASE DATA'!I108:R108), 'CASE DATA'!J108+'CASE DATA'!L108+'CASE DATA'!M108+'CASE DATA'!P108+'CASE DATA'!Q108+'CASE DATA'!R108+'CASE DATA'!K108+'CASE DATA'!O108)</f>
        <v>0</v>
      </c>
      <c r="D108" s="168">
        <f xml:space="preserve"> IF(OR(B108="DISM", B108="JWV", B108="JUV", B108="CIV"), 0, 'CASE DATA'!I108+'CASE DATA'!N108)</f>
        <v>0</v>
      </c>
      <c r="E108" s="187"/>
    </row>
    <row r="109" spans="1:5" x14ac:dyDescent="0.25">
      <c r="A109" s="162">
        <f xml:space="preserve"> 'CASE DATA'!A109</f>
        <v>0</v>
      </c>
      <c r="B109" s="185">
        <f xml:space="preserve"> 'CASE DATA'!F109</f>
        <v>0</v>
      </c>
      <c r="C109" s="166">
        <f xml:space="preserve"> IF(OR(B109="DISM", B109="JWV", B109="JUV", B109="CIV"), SUM('CASE DATA'!I109:R109), 'CASE DATA'!J109+'CASE DATA'!L109+'CASE DATA'!M109+'CASE DATA'!P109+'CASE DATA'!Q109+'CASE DATA'!R109+'CASE DATA'!K109+'CASE DATA'!O109)</f>
        <v>0</v>
      </c>
      <c r="D109" s="168">
        <f xml:space="preserve"> IF(OR(B109="DISM", B109="JWV", B109="JUV", B109="CIV"), 0, 'CASE DATA'!I109+'CASE DATA'!N109)</f>
        <v>0</v>
      </c>
      <c r="E109" s="187"/>
    </row>
    <row r="110" spans="1:5" x14ac:dyDescent="0.25">
      <c r="A110" s="162">
        <f xml:space="preserve"> 'CASE DATA'!A110</f>
        <v>0</v>
      </c>
      <c r="B110" s="185">
        <f xml:space="preserve"> 'CASE DATA'!F110</f>
        <v>0</v>
      </c>
      <c r="C110" s="166">
        <f xml:space="preserve"> IF(OR(B110="DISM", B110="JWV", B110="JUV", B110="CIV"), SUM('CASE DATA'!I110:R110), 'CASE DATA'!J110+'CASE DATA'!L110+'CASE DATA'!M110+'CASE DATA'!P110+'CASE DATA'!Q110+'CASE DATA'!R110+'CASE DATA'!K110+'CASE DATA'!O110)</f>
        <v>0</v>
      </c>
      <c r="D110" s="168">
        <f xml:space="preserve"> IF(OR(B110="DISM", B110="JWV", B110="JUV", B110="CIV"), 0, 'CASE DATA'!I110+'CASE DATA'!N110)</f>
        <v>0</v>
      </c>
      <c r="E110" s="187"/>
    </row>
    <row r="111" spans="1:5" x14ac:dyDescent="0.25">
      <c r="A111" s="162">
        <f xml:space="preserve"> 'CASE DATA'!A111</f>
        <v>0</v>
      </c>
      <c r="B111" s="185">
        <f xml:space="preserve"> 'CASE DATA'!F111</f>
        <v>0</v>
      </c>
      <c r="C111" s="166">
        <f xml:space="preserve"> IF(OR(B111="DISM", B111="JWV", B111="JUV", B111="CIV"), SUM('CASE DATA'!I111:R111), 'CASE DATA'!J111+'CASE DATA'!L111+'CASE DATA'!M111+'CASE DATA'!P111+'CASE DATA'!Q111+'CASE DATA'!R111+'CASE DATA'!K111+'CASE DATA'!O111)</f>
        <v>0</v>
      </c>
      <c r="D111" s="168">
        <f xml:space="preserve"> IF(OR(B111="DISM", B111="JWV", B111="JUV", B111="CIV"), 0, 'CASE DATA'!I111+'CASE DATA'!N111)</f>
        <v>0</v>
      </c>
      <c r="E111" s="187"/>
    </row>
    <row r="112" spans="1:5" x14ac:dyDescent="0.25">
      <c r="A112" s="162">
        <f xml:space="preserve"> 'CASE DATA'!A112</f>
        <v>0</v>
      </c>
      <c r="B112" s="185">
        <f xml:space="preserve"> 'CASE DATA'!F112</f>
        <v>0</v>
      </c>
      <c r="C112" s="166">
        <f xml:space="preserve"> IF(OR(B112="DISM", B112="JWV", B112="JUV", B112="CIV"), SUM('CASE DATA'!I112:R112), 'CASE DATA'!J112+'CASE DATA'!L112+'CASE DATA'!M112+'CASE DATA'!P112+'CASE DATA'!Q112+'CASE DATA'!R112+'CASE DATA'!K112+'CASE DATA'!O112)</f>
        <v>0</v>
      </c>
      <c r="D112" s="168">
        <f xml:space="preserve"> IF(OR(B112="DISM", B112="JWV", B112="JUV", B112="CIV"), 0, 'CASE DATA'!I112+'CASE DATA'!N112)</f>
        <v>0</v>
      </c>
      <c r="E112" s="187"/>
    </row>
    <row r="113" spans="1:5" x14ac:dyDescent="0.25">
      <c r="A113" s="162">
        <f xml:space="preserve"> 'CASE DATA'!A113</f>
        <v>0</v>
      </c>
      <c r="B113" s="185">
        <f xml:space="preserve"> 'CASE DATA'!F113</f>
        <v>0</v>
      </c>
      <c r="C113" s="166">
        <f xml:space="preserve"> IF(OR(B113="DISM", B113="JWV", B113="JUV", B113="CIV"), SUM('CASE DATA'!I113:R113), 'CASE DATA'!J113+'CASE DATA'!L113+'CASE DATA'!M113+'CASE DATA'!P113+'CASE DATA'!Q113+'CASE DATA'!R113+'CASE DATA'!K113+'CASE DATA'!O113)</f>
        <v>0</v>
      </c>
      <c r="D113" s="168">
        <f xml:space="preserve"> IF(OR(B113="DISM", B113="JWV", B113="JUV", B113="CIV"), 0, 'CASE DATA'!I113+'CASE DATA'!N113)</f>
        <v>0</v>
      </c>
      <c r="E113" s="187"/>
    </row>
    <row r="114" spans="1:5" x14ac:dyDescent="0.25">
      <c r="A114" s="162">
        <f xml:space="preserve"> 'CASE DATA'!A114</f>
        <v>0</v>
      </c>
      <c r="B114" s="185">
        <f xml:space="preserve"> 'CASE DATA'!F114</f>
        <v>0</v>
      </c>
      <c r="C114" s="166">
        <f xml:space="preserve"> IF(OR(B114="DISM", B114="JWV", B114="JUV", B114="CIV"), SUM('CASE DATA'!I114:R114), 'CASE DATA'!J114+'CASE DATA'!L114+'CASE DATA'!M114+'CASE DATA'!P114+'CASE DATA'!Q114+'CASE DATA'!R114+'CASE DATA'!K114+'CASE DATA'!O114)</f>
        <v>0</v>
      </c>
      <c r="D114" s="168">
        <f xml:space="preserve"> IF(OR(B114="DISM", B114="JWV", B114="JUV", B114="CIV"), 0, 'CASE DATA'!I114+'CASE DATA'!N114)</f>
        <v>0</v>
      </c>
      <c r="E114" s="187"/>
    </row>
    <row r="115" spans="1:5" x14ac:dyDescent="0.25">
      <c r="A115" s="162">
        <f xml:space="preserve"> 'CASE DATA'!A115</f>
        <v>0</v>
      </c>
      <c r="B115" s="185">
        <f xml:space="preserve"> 'CASE DATA'!F115</f>
        <v>0</v>
      </c>
      <c r="C115" s="166">
        <f xml:space="preserve"> IF(OR(B115="DISM", B115="JWV", B115="JUV", B115="CIV"), SUM('CASE DATA'!I115:R115), 'CASE DATA'!J115+'CASE DATA'!L115+'CASE DATA'!M115+'CASE DATA'!P115+'CASE DATA'!Q115+'CASE DATA'!R115+'CASE DATA'!K115+'CASE DATA'!O115)</f>
        <v>0</v>
      </c>
      <c r="D115" s="168">
        <f xml:space="preserve"> IF(OR(B115="DISM", B115="JWV", B115="JUV", B115="CIV"), 0, 'CASE DATA'!I115+'CASE DATA'!N115)</f>
        <v>0</v>
      </c>
      <c r="E115" s="187"/>
    </row>
    <row r="116" spans="1:5" x14ac:dyDescent="0.25">
      <c r="A116" s="162">
        <f xml:space="preserve"> 'CASE DATA'!A116</f>
        <v>0</v>
      </c>
      <c r="B116" s="185">
        <f xml:space="preserve"> 'CASE DATA'!F116</f>
        <v>0</v>
      </c>
      <c r="C116" s="166">
        <f xml:space="preserve"> IF(OR(B116="DISM", B116="JWV", B116="JUV", B116="CIV"), SUM('CASE DATA'!I116:R116), 'CASE DATA'!J116+'CASE DATA'!L116+'CASE DATA'!M116+'CASE DATA'!P116+'CASE DATA'!Q116+'CASE DATA'!R116+'CASE DATA'!K116+'CASE DATA'!O116)</f>
        <v>0</v>
      </c>
      <c r="D116" s="168">
        <f xml:space="preserve"> IF(OR(B116="DISM", B116="JWV", B116="JUV", B116="CIV"), 0, 'CASE DATA'!I116+'CASE DATA'!N116)</f>
        <v>0</v>
      </c>
      <c r="E116" s="187"/>
    </row>
    <row r="117" spans="1:5" x14ac:dyDescent="0.25">
      <c r="A117" s="162">
        <f xml:space="preserve"> 'CASE DATA'!A117</f>
        <v>0</v>
      </c>
      <c r="B117" s="185">
        <f xml:space="preserve"> 'CASE DATA'!F117</f>
        <v>0</v>
      </c>
      <c r="C117" s="166">
        <f xml:space="preserve"> IF(OR(B117="DISM", B117="JWV", B117="JUV", B117="CIV"), SUM('CASE DATA'!I117:R117), 'CASE DATA'!J117+'CASE DATA'!L117+'CASE DATA'!M117+'CASE DATA'!P117+'CASE DATA'!Q117+'CASE DATA'!R117+'CASE DATA'!K117+'CASE DATA'!O117)</f>
        <v>0</v>
      </c>
      <c r="D117" s="168">
        <f xml:space="preserve"> IF(OR(B117="DISM", B117="JWV", B117="JUV", B117="CIV"), 0, 'CASE DATA'!I117+'CASE DATA'!N117)</f>
        <v>0</v>
      </c>
      <c r="E117" s="187"/>
    </row>
    <row r="118" spans="1:5" x14ac:dyDescent="0.25">
      <c r="A118" s="162">
        <f xml:space="preserve"> 'CASE DATA'!A118</f>
        <v>0</v>
      </c>
      <c r="B118" s="185">
        <f xml:space="preserve"> 'CASE DATA'!F118</f>
        <v>0</v>
      </c>
      <c r="C118" s="166">
        <f xml:space="preserve"> IF(OR(B118="DISM", B118="JWV", B118="JUV", B118="CIV"), SUM('CASE DATA'!I118:R118), 'CASE DATA'!J118+'CASE DATA'!L118+'CASE DATA'!M118+'CASE DATA'!P118+'CASE DATA'!Q118+'CASE DATA'!R118+'CASE DATA'!K118+'CASE DATA'!O118)</f>
        <v>0</v>
      </c>
      <c r="D118" s="168">
        <f xml:space="preserve"> IF(OR(B118="DISM", B118="JWV", B118="JUV", B118="CIV"), 0, 'CASE DATA'!I118+'CASE DATA'!N118)</f>
        <v>0</v>
      </c>
      <c r="E118" s="187"/>
    </row>
    <row r="119" spans="1:5" x14ac:dyDescent="0.25">
      <c r="A119" s="162">
        <f xml:space="preserve"> 'CASE DATA'!A119</f>
        <v>0</v>
      </c>
      <c r="B119" s="185">
        <f xml:space="preserve"> 'CASE DATA'!F119</f>
        <v>0</v>
      </c>
      <c r="C119" s="166">
        <f xml:space="preserve"> IF(OR(B119="DISM", B119="JWV", B119="JUV", B119="CIV"), SUM('CASE DATA'!I119:R119), 'CASE DATA'!J119+'CASE DATA'!L119+'CASE DATA'!M119+'CASE DATA'!P119+'CASE DATA'!Q119+'CASE DATA'!R119+'CASE DATA'!K119+'CASE DATA'!O119)</f>
        <v>0</v>
      </c>
      <c r="D119" s="168">
        <f xml:space="preserve"> IF(OR(B119="DISM", B119="JWV", B119="JUV", B119="CIV"), 0, 'CASE DATA'!I119+'CASE DATA'!N119)</f>
        <v>0</v>
      </c>
      <c r="E119" s="187"/>
    </row>
    <row r="120" spans="1:5" x14ac:dyDescent="0.25">
      <c r="A120" s="162">
        <f xml:space="preserve"> 'CASE DATA'!A120</f>
        <v>0</v>
      </c>
      <c r="B120" s="185">
        <f xml:space="preserve"> 'CASE DATA'!F120</f>
        <v>0</v>
      </c>
      <c r="C120" s="166">
        <f xml:space="preserve"> IF(OR(B120="DISM", B120="JWV", B120="JUV", B120="CIV"), SUM('CASE DATA'!I120:R120), 'CASE DATA'!J120+'CASE DATA'!L120+'CASE DATA'!M120+'CASE DATA'!P120+'CASE DATA'!Q120+'CASE DATA'!R120+'CASE DATA'!K120+'CASE DATA'!O120)</f>
        <v>0</v>
      </c>
      <c r="D120" s="168">
        <f xml:space="preserve"> IF(OR(B120="DISM", B120="JWV", B120="JUV", B120="CIV"), 0, 'CASE DATA'!I120+'CASE DATA'!N120)</f>
        <v>0</v>
      </c>
      <c r="E120" s="187"/>
    </row>
    <row r="121" spans="1:5" x14ac:dyDescent="0.25">
      <c r="A121" s="162">
        <f xml:space="preserve"> 'CASE DATA'!A121</f>
        <v>0</v>
      </c>
      <c r="B121" s="185">
        <f xml:space="preserve"> 'CASE DATA'!F121</f>
        <v>0</v>
      </c>
      <c r="C121" s="166">
        <f xml:space="preserve"> IF(OR(B121="DISM", B121="JWV", B121="JUV", B121="CIV"), SUM('CASE DATA'!I121:R121), 'CASE DATA'!J121+'CASE DATA'!L121+'CASE DATA'!M121+'CASE DATA'!P121+'CASE DATA'!Q121+'CASE DATA'!R121+'CASE DATA'!K121+'CASE DATA'!O121)</f>
        <v>0</v>
      </c>
      <c r="D121" s="168">
        <f xml:space="preserve"> IF(OR(B121="DISM", B121="JWV", B121="JUV", B121="CIV"), 0, 'CASE DATA'!I121+'CASE DATA'!N121)</f>
        <v>0</v>
      </c>
      <c r="E121" s="187"/>
    </row>
    <row r="122" spans="1:5" x14ac:dyDescent="0.25">
      <c r="A122" s="162">
        <f xml:space="preserve"> 'CASE DATA'!A122</f>
        <v>0</v>
      </c>
      <c r="B122" s="185">
        <f xml:space="preserve"> 'CASE DATA'!F122</f>
        <v>0</v>
      </c>
      <c r="C122" s="166">
        <f xml:space="preserve"> IF(OR(B122="DISM", B122="JWV", B122="JUV", B122="CIV"), SUM('CASE DATA'!I122:R122), 'CASE DATA'!J122+'CASE DATA'!L122+'CASE DATA'!M122+'CASE DATA'!P122+'CASE DATA'!Q122+'CASE DATA'!R122+'CASE DATA'!K122+'CASE DATA'!O122)</f>
        <v>0</v>
      </c>
      <c r="D122" s="168">
        <f xml:space="preserve"> IF(OR(B122="DISM", B122="JWV", B122="JUV", B122="CIV"), 0, 'CASE DATA'!I122+'CASE DATA'!N122)</f>
        <v>0</v>
      </c>
      <c r="E122" s="187"/>
    </row>
    <row r="123" spans="1:5" x14ac:dyDescent="0.25">
      <c r="A123" s="162">
        <f xml:space="preserve"> 'CASE DATA'!A123</f>
        <v>0</v>
      </c>
      <c r="B123" s="185">
        <f xml:space="preserve"> 'CASE DATA'!F123</f>
        <v>0</v>
      </c>
      <c r="C123" s="166">
        <f xml:space="preserve"> IF(OR(B123="DISM", B123="JWV", B123="JUV", B123="CIV"), SUM('CASE DATA'!I123:R123), 'CASE DATA'!J123+'CASE DATA'!L123+'CASE DATA'!M123+'CASE DATA'!P123+'CASE DATA'!Q123+'CASE DATA'!R123+'CASE DATA'!K123+'CASE DATA'!O123)</f>
        <v>0</v>
      </c>
      <c r="D123" s="168">
        <f xml:space="preserve"> IF(OR(B123="DISM", B123="JWV", B123="JUV", B123="CIV"), 0, 'CASE DATA'!I123+'CASE DATA'!N123)</f>
        <v>0</v>
      </c>
      <c r="E123" s="187"/>
    </row>
    <row r="124" spans="1:5" x14ac:dyDescent="0.25">
      <c r="A124" s="162">
        <f xml:space="preserve"> 'CASE DATA'!A124</f>
        <v>0</v>
      </c>
      <c r="B124" s="185">
        <f xml:space="preserve"> 'CASE DATA'!F124</f>
        <v>0</v>
      </c>
      <c r="C124" s="166">
        <f xml:space="preserve"> IF(OR(B124="DISM", B124="JWV", B124="JUV", B124="CIV"), SUM('CASE DATA'!I124:R124), 'CASE DATA'!J124+'CASE DATA'!L124+'CASE DATA'!M124+'CASE DATA'!P124+'CASE DATA'!Q124+'CASE DATA'!R124+'CASE DATA'!K124+'CASE DATA'!O124)</f>
        <v>0</v>
      </c>
      <c r="D124" s="168">
        <f xml:space="preserve"> IF(OR(B124="DISM", B124="JWV", B124="JUV", B124="CIV"), 0, 'CASE DATA'!I124+'CASE DATA'!N124)</f>
        <v>0</v>
      </c>
      <c r="E124" s="187"/>
    </row>
    <row r="125" spans="1:5" x14ac:dyDescent="0.25">
      <c r="A125" s="162">
        <f xml:space="preserve"> 'CASE DATA'!A125</f>
        <v>0</v>
      </c>
      <c r="B125" s="185">
        <f xml:space="preserve"> 'CASE DATA'!F125</f>
        <v>0</v>
      </c>
      <c r="C125" s="166">
        <f xml:space="preserve"> IF(OR(B125="DISM", B125="JWV", B125="JUV", B125="CIV"), SUM('CASE DATA'!I125:R125), 'CASE DATA'!J125+'CASE DATA'!L125+'CASE DATA'!M125+'CASE DATA'!P125+'CASE DATA'!Q125+'CASE DATA'!R125+'CASE DATA'!K125+'CASE DATA'!O125)</f>
        <v>0</v>
      </c>
      <c r="D125" s="168">
        <f xml:space="preserve"> IF(OR(B125="DISM", B125="JWV", B125="JUV", B125="CIV"), 0, 'CASE DATA'!I125+'CASE DATA'!N125)</f>
        <v>0</v>
      </c>
      <c r="E125" s="187"/>
    </row>
    <row r="126" spans="1:5" x14ac:dyDescent="0.25">
      <c r="A126" s="162">
        <f xml:space="preserve"> 'CASE DATA'!A126</f>
        <v>0</v>
      </c>
      <c r="B126" s="185">
        <f xml:space="preserve"> 'CASE DATA'!F126</f>
        <v>0</v>
      </c>
      <c r="C126" s="166">
        <f xml:space="preserve"> IF(OR(B126="DISM", B126="JWV", B126="JUV", B126="CIV"), SUM('CASE DATA'!I126:R126), 'CASE DATA'!J126+'CASE DATA'!L126+'CASE DATA'!M126+'CASE DATA'!P126+'CASE DATA'!Q126+'CASE DATA'!R126+'CASE DATA'!K126+'CASE DATA'!O126)</f>
        <v>0</v>
      </c>
      <c r="D126" s="168">
        <f xml:space="preserve"> IF(OR(B126="DISM", B126="JWV", B126="JUV", B126="CIV"), 0, 'CASE DATA'!I126+'CASE DATA'!N126)</f>
        <v>0</v>
      </c>
      <c r="E126" s="187"/>
    </row>
    <row r="127" spans="1:5" x14ac:dyDescent="0.25">
      <c r="A127" s="162">
        <f xml:space="preserve"> 'CASE DATA'!A127</f>
        <v>0</v>
      </c>
      <c r="B127" s="185">
        <f xml:space="preserve"> 'CASE DATA'!F127</f>
        <v>0</v>
      </c>
      <c r="C127" s="166">
        <f xml:space="preserve"> IF(OR(B127="DISM", B127="JWV", B127="JUV", B127="CIV"), SUM('CASE DATA'!I127:R127), 'CASE DATA'!J127+'CASE DATA'!L127+'CASE DATA'!M127+'CASE DATA'!P127+'CASE DATA'!Q127+'CASE DATA'!R127+'CASE DATA'!K127+'CASE DATA'!O127)</f>
        <v>0</v>
      </c>
      <c r="D127" s="168">
        <f xml:space="preserve"> IF(OR(B127="DISM", B127="JWV", B127="JUV", B127="CIV"), 0, 'CASE DATA'!I127+'CASE DATA'!N127)</f>
        <v>0</v>
      </c>
      <c r="E127" s="187"/>
    </row>
    <row r="128" spans="1:5" x14ac:dyDescent="0.25">
      <c r="A128" s="162">
        <f xml:space="preserve"> 'CASE DATA'!A128</f>
        <v>0</v>
      </c>
      <c r="B128" s="185">
        <f xml:space="preserve"> 'CASE DATA'!F128</f>
        <v>0</v>
      </c>
      <c r="C128" s="166">
        <f xml:space="preserve"> IF(OR(B128="DISM", B128="JWV", B128="JUV", B128="CIV"), SUM('CASE DATA'!I128:R128), 'CASE DATA'!J128+'CASE DATA'!L128+'CASE DATA'!M128+'CASE DATA'!P128+'CASE DATA'!Q128+'CASE DATA'!R128+'CASE DATA'!K128+'CASE DATA'!O128)</f>
        <v>0</v>
      </c>
      <c r="D128" s="168">
        <f xml:space="preserve"> IF(OR(B128="DISM", B128="JWV", B128="JUV", B128="CIV"), 0, 'CASE DATA'!I128+'CASE DATA'!N128)</f>
        <v>0</v>
      </c>
      <c r="E128" s="187"/>
    </row>
    <row r="129" spans="1:5" x14ac:dyDescent="0.25">
      <c r="A129" s="162">
        <f xml:space="preserve"> 'CASE DATA'!A129</f>
        <v>0</v>
      </c>
      <c r="B129" s="185">
        <f xml:space="preserve"> 'CASE DATA'!F129</f>
        <v>0</v>
      </c>
      <c r="C129" s="166">
        <f xml:space="preserve"> IF(OR(B129="DISM", B129="JWV", B129="JUV", B129="CIV"), SUM('CASE DATA'!I129:R129), 'CASE DATA'!J129+'CASE DATA'!L129+'CASE DATA'!M129+'CASE DATA'!P129+'CASE DATA'!Q129+'CASE DATA'!R129+'CASE DATA'!K129+'CASE DATA'!O129)</f>
        <v>0</v>
      </c>
      <c r="D129" s="168">
        <f xml:space="preserve"> IF(OR(B129="DISM", B129="JWV", B129="JUV", B129="CIV"), 0, 'CASE DATA'!I129+'CASE DATA'!N129)</f>
        <v>0</v>
      </c>
      <c r="E129" s="187"/>
    </row>
    <row r="130" spans="1:5" x14ac:dyDescent="0.25">
      <c r="A130" s="162">
        <f xml:space="preserve"> 'CASE DATA'!A130</f>
        <v>0</v>
      </c>
      <c r="B130" s="185">
        <f xml:space="preserve"> 'CASE DATA'!F130</f>
        <v>0</v>
      </c>
      <c r="C130" s="166">
        <f xml:space="preserve"> IF(OR(B130="DISM", B130="JWV", B130="JUV", B130="CIV"), SUM('CASE DATA'!I130:R130), 'CASE DATA'!J130+'CASE DATA'!L130+'CASE DATA'!M130+'CASE DATA'!P130+'CASE DATA'!Q130+'CASE DATA'!R130+'CASE DATA'!K130+'CASE DATA'!O130)</f>
        <v>0</v>
      </c>
      <c r="D130" s="168">
        <f xml:space="preserve"> IF(OR(B130="DISM", B130="JWV", B130="JUV", B130="CIV"), 0, 'CASE DATA'!I130+'CASE DATA'!N130)</f>
        <v>0</v>
      </c>
      <c r="E130" s="187"/>
    </row>
    <row r="131" spans="1:5" x14ac:dyDescent="0.25">
      <c r="A131" s="162">
        <f xml:space="preserve"> 'CASE DATA'!A131</f>
        <v>0</v>
      </c>
      <c r="B131" s="185">
        <f xml:space="preserve"> 'CASE DATA'!F131</f>
        <v>0</v>
      </c>
      <c r="C131" s="166">
        <f xml:space="preserve"> IF(OR(B131="DISM", B131="JWV", B131="JUV", B131="CIV"), SUM('CASE DATA'!I131:R131), 'CASE DATA'!J131+'CASE DATA'!L131+'CASE DATA'!M131+'CASE DATA'!P131+'CASE DATA'!Q131+'CASE DATA'!R131+'CASE DATA'!K131+'CASE DATA'!O131)</f>
        <v>0</v>
      </c>
      <c r="D131" s="168">
        <f xml:space="preserve"> IF(OR(B131="DISM", B131="JWV", B131="JUV", B131="CIV"), 0, 'CASE DATA'!I131+'CASE DATA'!N131)</f>
        <v>0</v>
      </c>
      <c r="E131" s="187"/>
    </row>
    <row r="132" spans="1:5" x14ac:dyDescent="0.25">
      <c r="A132" s="162">
        <f xml:space="preserve"> 'CASE DATA'!A132</f>
        <v>0</v>
      </c>
      <c r="B132" s="185">
        <f xml:space="preserve"> 'CASE DATA'!F132</f>
        <v>0</v>
      </c>
      <c r="C132" s="166">
        <f xml:space="preserve"> IF(OR(B132="DISM", B132="JWV", B132="JUV", B132="CIV"), SUM('CASE DATA'!I132:R132), 'CASE DATA'!J132+'CASE DATA'!L132+'CASE DATA'!M132+'CASE DATA'!P132+'CASE DATA'!Q132+'CASE DATA'!R132+'CASE DATA'!K132+'CASE DATA'!O132)</f>
        <v>0</v>
      </c>
      <c r="D132" s="168">
        <f xml:space="preserve"> IF(OR(B132="DISM", B132="JWV", B132="JUV", B132="CIV"), 0, 'CASE DATA'!I132+'CASE DATA'!N132)</f>
        <v>0</v>
      </c>
      <c r="E132" s="187"/>
    </row>
    <row r="133" spans="1:5" x14ac:dyDescent="0.25">
      <c r="A133" s="162">
        <f xml:space="preserve"> 'CASE DATA'!A133</f>
        <v>0</v>
      </c>
      <c r="B133" s="185">
        <f xml:space="preserve"> 'CASE DATA'!F133</f>
        <v>0</v>
      </c>
      <c r="C133" s="166">
        <f xml:space="preserve"> IF(OR(B133="DISM", B133="JWV", B133="JUV", B133="CIV"), SUM('CASE DATA'!I133:R133), 'CASE DATA'!J133+'CASE DATA'!L133+'CASE DATA'!M133+'CASE DATA'!P133+'CASE DATA'!Q133+'CASE DATA'!R133+'CASE DATA'!K133+'CASE DATA'!O133)</f>
        <v>0</v>
      </c>
      <c r="D133" s="168">
        <f xml:space="preserve"> IF(OR(B133="DISM", B133="JWV", B133="JUV", B133="CIV"), 0, 'CASE DATA'!I133+'CASE DATA'!N133)</f>
        <v>0</v>
      </c>
      <c r="E133" s="187"/>
    </row>
    <row r="134" spans="1:5" x14ac:dyDescent="0.25">
      <c r="A134" s="162">
        <f xml:space="preserve"> 'CASE DATA'!A134</f>
        <v>0</v>
      </c>
      <c r="B134" s="185">
        <f xml:space="preserve"> 'CASE DATA'!F134</f>
        <v>0</v>
      </c>
      <c r="C134" s="166">
        <f xml:space="preserve"> IF(OR(B134="DISM", B134="JWV", B134="JUV", B134="CIV"), SUM('CASE DATA'!I134:R134), 'CASE DATA'!J134+'CASE DATA'!L134+'CASE DATA'!M134+'CASE DATA'!P134+'CASE DATA'!Q134+'CASE DATA'!R134+'CASE DATA'!K134+'CASE DATA'!O134)</f>
        <v>0</v>
      </c>
      <c r="D134" s="168">
        <f xml:space="preserve"> IF(OR(B134="DISM", B134="JWV", B134="JUV", B134="CIV"), 0, 'CASE DATA'!I134+'CASE DATA'!N134)</f>
        <v>0</v>
      </c>
      <c r="E134" s="187"/>
    </row>
    <row r="135" spans="1:5" x14ac:dyDescent="0.25">
      <c r="A135" s="162">
        <f xml:space="preserve"> 'CASE DATA'!A135</f>
        <v>0</v>
      </c>
      <c r="B135" s="185">
        <f xml:space="preserve"> 'CASE DATA'!F135</f>
        <v>0</v>
      </c>
      <c r="C135" s="166">
        <f xml:space="preserve"> IF(OR(B135="DISM", B135="JWV", B135="JUV", B135="CIV"), SUM('CASE DATA'!I135:R135), 'CASE DATA'!J135+'CASE DATA'!L135+'CASE DATA'!M135+'CASE DATA'!P135+'CASE DATA'!Q135+'CASE DATA'!R135+'CASE DATA'!K135+'CASE DATA'!O135)</f>
        <v>0</v>
      </c>
      <c r="D135" s="168">
        <f xml:space="preserve"> IF(OR(B135="DISM", B135="JWV", B135="JUV", B135="CIV"), 0, 'CASE DATA'!I135+'CASE DATA'!N135)</f>
        <v>0</v>
      </c>
      <c r="E135" s="187"/>
    </row>
    <row r="136" spans="1:5" x14ac:dyDescent="0.25">
      <c r="A136" s="162">
        <f xml:space="preserve"> 'CASE DATA'!A136</f>
        <v>0</v>
      </c>
      <c r="B136" s="185">
        <f xml:space="preserve"> 'CASE DATA'!F136</f>
        <v>0</v>
      </c>
      <c r="C136" s="166">
        <f xml:space="preserve"> IF(OR(B136="DISM", B136="JWV", B136="JUV", B136="CIV"), SUM('CASE DATA'!I136:R136), 'CASE DATA'!J136+'CASE DATA'!L136+'CASE DATA'!M136+'CASE DATA'!P136+'CASE DATA'!Q136+'CASE DATA'!R136+'CASE DATA'!K136+'CASE DATA'!O136)</f>
        <v>0</v>
      </c>
      <c r="D136" s="168">
        <f xml:space="preserve"> IF(OR(B136="DISM", B136="JWV", B136="JUV", B136="CIV"), 0, 'CASE DATA'!I136+'CASE DATA'!N136)</f>
        <v>0</v>
      </c>
      <c r="E136" s="187"/>
    </row>
    <row r="137" spans="1:5" x14ac:dyDescent="0.25">
      <c r="A137" s="162">
        <f xml:space="preserve"> 'CASE DATA'!A137</f>
        <v>0</v>
      </c>
      <c r="B137" s="185">
        <f xml:space="preserve"> 'CASE DATA'!F137</f>
        <v>0</v>
      </c>
      <c r="C137" s="166">
        <f xml:space="preserve"> IF(OR(B137="DISM", B137="JWV", B137="JUV", B137="CIV"), SUM('CASE DATA'!I137:R137), 'CASE DATA'!J137+'CASE DATA'!L137+'CASE DATA'!M137+'CASE DATA'!P137+'CASE DATA'!Q137+'CASE DATA'!R137+'CASE DATA'!K137+'CASE DATA'!O137)</f>
        <v>0</v>
      </c>
      <c r="D137" s="168">
        <f xml:space="preserve"> IF(OR(B137="DISM", B137="JWV", B137="JUV", B137="CIV"), 0, 'CASE DATA'!I137+'CASE DATA'!N137)</f>
        <v>0</v>
      </c>
      <c r="E137" s="187"/>
    </row>
    <row r="138" spans="1:5" x14ac:dyDescent="0.25">
      <c r="A138" s="162">
        <f xml:space="preserve"> 'CASE DATA'!A138</f>
        <v>0</v>
      </c>
      <c r="B138" s="185">
        <f xml:space="preserve"> 'CASE DATA'!F138</f>
        <v>0</v>
      </c>
      <c r="C138" s="166">
        <f xml:space="preserve"> IF(OR(B138="DISM", B138="JWV", B138="JUV", B138="CIV"), SUM('CASE DATA'!I138:R138), 'CASE DATA'!J138+'CASE DATA'!L138+'CASE DATA'!M138+'CASE DATA'!P138+'CASE DATA'!Q138+'CASE DATA'!R138+'CASE DATA'!K138+'CASE DATA'!O138)</f>
        <v>0</v>
      </c>
      <c r="D138" s="168">
        <f xml:space="preserve"> IF(OR(B138="DISM", B138="JWV", B138="JUV", B138="CIV"), 0, 'CASE DATA'!I138+'CASE DATA'!N138)</f>
        <v>0</v>
      </c>
      <c r="E138" s="187"/>
    </row>
    <row r="139" spans="1:5" x14ac:dyDescent="0.25">
      <c r="A139" s="162">
        <f xml:space="preserve"> 'CASE DATA'!A139</f>
        <v>0</v>
      </c>
      <c r="B139" s="185">
        <f xml:space="preserve"> 'CASE DATA'!F139</f>
        <v>0</v>
      </c>
      <c r="C139" s="166">
        <f xml:space="preserve"> IF(OR(B139="DISM", B139="JWV", B139="JUV", B139="CIV"), SUM('CASE DATA'!I139:R139), 'CASE DATA'!J139+'CASE DATA'!L139+'CASE DATA'!M139+'CASE DATA'!P139+'CASE DATA'!Q139+'CASE DATA'!R139+'CASE DATA'!K139+'CASE DATA'!O139)</f>
        <v>0</v>
      </c>
      <c r="D139" s="168">
        <f xml:space="preserve"> IF(OR(B139="DISM", B139="JWV", B139="JUV", B139="CIV"), 0, 'CASE DATA'!I139+'CASE DATA'!N139)</f>
        <v>0</v>
      </c>
      <c r="E139" s="187"/>
    </row>
    <row r="140" spans="1:5" x14ac:dyDescent="0.25">
      <c r="A140" s="162">
        <f xml:space="preserve"> 'CASE DATA'!A140</f>
        <v>0</v>
      </c>
      <c r="B140" s="185">
        <f xml:space="preserve"> 'CASE DATA'!F140</f>
        <v>0</v>
      </c>
      <c r="C140" s="166">
        <f xml:space="preserve"> IF(OR(B140="DISM", B140="JWV", B140="JUV", B140="CIV"), SUM('CASE DATA'!I140:R140), 'CASE DATA'!J140+'CASE DATA'!L140+'CASE DATA'!M140+'CASE DATA'!P140+'CASE DATA'!Q140+'CASE DATA'!R140+'CASE DATA'!K140+'CASE DATA'!O140)</f>
        <v>0</v>
      </c>
      <c r="D140" s="168">
        <f xml:space="preserve"> IF(OR(B140="DISM", B140="JWV", B140="JUV", B140="CIV"), 0, 'CASE DATA'!I140+'CASE DATA'!N140)</f>
        <v>0</v>
      </c>
      <c r="E140" s="187"/>
    </row>
    <row r="141" spans="1:5" x14ac:dyDescent="0.25">
      <c r="A141" s="162">
        <f xml:space="preserve"> 'CASE DATA'!A141</f>
        <v>0</v>
      </c>
      <c r="B141" s="185">
        <f xml:space="preserve"> 'CASE DATA'!F141</f>
        <v>0</v>
      </c>
      <c r="C141" s="166">
        <f xml:space="preserve"> IF(OR(B141="DISM", B141="JWV", B141="JUV", B141="CIV"), SUM('CASE DATA'!I141:R141), 'CASE DATA'!J141+'CASE DATA'!L141+'CASE DATA'!M141+'CASE DATA'!P141+'CASE DATA'!Q141+'CASE DATA'!R141+'CASE DATA'!K141+'CASE DATA'!O141)</f>
        <v>0</v>
      </c>
      <c r="D141" s="168">
        <f xml:space="preserve"> IF(OR(B141="DISM", B141="JWV", B141="JUV", B141="CIV"), 0, 'CASE DATA'!I141+'CASE DATA'!N141)</f>
        <v>0</v>
      </c>
      <c r="E141" s="187"/>
    </row>
    <row r="142" spans="1:5" x14ac:dyDescent="0.25">
      <c r="A142" s="162">
        <f xml:space="preserve"> 'CASE DATA'!A142</f>
        <v>0</v>
      </c>
      <c r="B142" s="185">
        <f xml:space="preserve"> 'CASE DATA'!F142</f>
        <v>0</v>
      </c>
      <c r="C142" s="166">
        <f xml:space="preserve"> IF(OR(B142="DISM", B142="JWV", B142="JUV", B142="CIV"), SUM('CASE DATA'!I142:R142), 'CASE DATA'!J142+'CASE DATA'!L142+'CASE DATA'!M142+'CASE DATA'!P142+'CASE DATA'!Q142+'CASE DATA'!R142+'CASE DATA'!K142+'CASE DATA'!O142)</f>
        <v>0</v>
      </c>
      <c r="D142" s="168">
        <f xml:space="preserve"> IF(OR(B142="DISM", B142="JWV", B142="JUV", B142="CIV"), 0, 'CASE DATA'!I142+'CASE DATA'!N142)</f>
        <v>0</v>
      </c>
      <c r="E142" s="187"/>
    </row>
    <row r="143" spans="1:5" x14ac:dyDescent="0.25">
      <c r="A143" s="162">
        <f xml:space="preserve"> 'CASE DATA'!A143</f>
        <v>0</v>
      </c>
      <c r="B143" s="185">
        <f xml:space="preserve"> 'CASE DATA'!F143</f>
        <v>0</v>
      </c>
      <c r="C143" s="166">
        <f xml:space="preserve"> IF(OR(B143="DISM", B143="JWV", B143="JUV", B143="CIV"), SUM('CASE DATA'!I143:R143), 'CASE DATA'!J143+'CASE DATA'!L143+'CASE DATA'!M143+'CASE DATA'!P143+'CASE DATA'!Q143+'CASE DATA'!R143+'CASE DATA'!K143+'CASE DATA'!O143)</f>
        <v>0</v>
      </c>
      <c r="D143" s="168">
        <f xml:space="preserve"> IF(OR(B143="DISM", B143="JWV", B143="JUV", B143="CIV"), 0, 'CASE DATA'!I143+'CASE DATA'!N143)</f>
        <v>0</v>
      </c>
      <c r="E143" s="187"/>
    </row>
    <row r="144" spans="1:5" x14ac:dyDescent="0.25">
      <c r="A144" s="162">
        <f xml:space="preserve"> 'CASE DATA'!A144</f>
        <v>0</v>
      </c>
      <c r="B144" s="185">
        <f xml:space="preserve"> 'CASE DATA'!F144</f>
        <v>0</v>
      </c>
      <c r="C144" s="166">
        <f xml:space="preserve"> IF(OR(B144="DISM", B144="JWV", B144="JUV", B144="CIV"), SUM('CASE DATA'!I144:R144), 'CASE DATA'!J144+'CASE DATA'!L144+'CASE DATA'!M144+'CASE DATA'!P144+'CASE DATA'!Q144+'CASE DATA'!R144+'CASE DATA'!K144+'CASE DATA'!O144)</f>
        <v>0</v>
      </c>
      <c r="D144" s="168">
        <f xml:space="preserve"> IF(OR(B144="DISM", B144="JWV", B144="JUV", B144="CIV"), 0, 'CASE DATA'!I144+'CASE DATA'!N144)</f>
        <v>0</v>
      </c>
      <c r="E144" s="187"/>
    </row>
    <row r="145" spans="1:5" x14ac:dyDescent="0.25">
      <c r="A145" s="162">
        <f xml:space="preserve"> 'CASE DATA'!A145</f>
        <v>0</v>
      </c>
      <c r="B145" s="185">
        <f xml:space="preserve"> 'CASE DATA'!F145</f>
        <v>0</v>
      </c>
      <c r="C145" s="166">
        <f xml:space="preserve"> IF(OR(B145="DISM", B145="JWV", B145="JUV", B145="CIV"), SUM('CASE DATA'!I145:R145), 'CASE DATA'!J145+'CASE DATA'!L145+'CASE DATA'!M145+'CASE DATA'!P145+'CASE DATA'!Q145+'CASE DATA'!R145+'CASE DATA'!K145+'CASE DATA'!O145)</f>
        <v>0</v>
      </c>
      <c r="D145" s="168">
        <f xml:space="preserve"> IF(OR(B145="DISM", B145="JWV", B145="JUV", B145="CIV"), 0, 'CASE DATA'!I145+'CASE DATA'!N145)</f>
        <v>0</v>
      </c>
      <c r="E145" s="187"/>
    </row>
    <row r="146" spans="1:5" x14ac:dyDescent="0.25">
      <c r="A146" s="162">
        <f xml:space="preserve"> 'CASE DATA'!A146</f>
        <v>0</v>
      </c>
      <c r="B146" s="185">
        <f xml:space="preserve"> 'CASE DATA'!F146</f>
        <v>0</v>
      </c>
      <c r="C146" s="166">
        <f xml:space="preserve"> IF(OR(B146="DISM", B146="JWV", B146="JUV", B146="CIV"), SUM('CASE DATA'!I146:R146), 'CASE DATA'!J146+'CASE DATA'!L146+'CASE DATA'!M146+'CASE DATA'!P146+'CASE DATA'!Q146+'CASE DATA'!R146+'CASE DATA'!K146+'CASE DATA'!O146)</f>
        <v>0</v>
      </c>
      <c r="D146" s="168">
        <f xml:space="preserve"> IF(OR(B146="DISM", B146="JWV", B146="JUV", B146="CIV"), 0, 'CASE DATA'!I146+'CASE DATA'!N146)</f>
        <v>0</v>
      </c>
      <c r="E146" s="187"/>
    </row>
    <row r="147" spans="1:5" x14ac:dyDescent="0.25">
      <c r="A147" s="162">
        <f xml:space="preserve"> 'CASE DATA'!A147</f>
        <v>0</v>
      </c>
      <c r="B147" s="185">
        <f xml:space="preserve"> 'CASE DATA'!F147</f>
        <v>0</v>
      </c>
      <c r="C147" s="166">
        <f xml:space="preserve"> IF(OR(B147="DISM", B147="JWV", B147="JUV", B147="CIV"), SUM('CASE DATA'!I147:R147), 'CASE DATA'!J147+'CASE DATA'!L147+'CASE DATA'!M147+'CASE DATA'!P147+'CASE DATA'!Q147+'CASE DATA'!R147+'CASE DATA'!K147+'CASE DATA'!O147)</f>
        <v>0</v>
      </c>
      <c r="D147" s="168">
        <f xml:space="preserve"> IF(OR(B147="DISM", B147="JWV", B147="JUV", B147="CIV"), 0, 'CASE DATA'!I147+'CASE DATA'!N147)</f>
        <v>0</v>
      </c>
      <c r="E147" s="187"/>
    </row>
    <row r="148" spans="1:5" x14ac:dyDescent="0.25">
      <c r="A148" s="162">
        <f xml:space="preserve"> 'CASE DATA'!A148</f>
        <v>0</v>
      </c>
      <c r="B148" s="185">
        <f xml:space="preserve"> 'CASE DATA'!F148</f>
        <v>0</v>
      </c>
      <c r="C148" s="166">
        <f xml:space="preserve"> IF(OR(B148="DISM", B148="JWV", B148="JUV", B148="CIV"), SUM('CASE DATA'!I148:R148), 'CASE DATA'!J148+'CASE DATA'!L148+'CASE DATA'!M148+'CASE DATA'!P148+'CASE DATA'!Q148+'CASE DATA'!R148+'CASE DATA'!K148+'CASE DATA'!O148)</f>
        <v>0</v>
      </c>
      <c r="D148" s="168">
        <f xml:space="preserve"> IF(OR(B148="DISM", B148="JWV", B148="JUV", B148="CIV"), 0, 'CASE DATA'!I148+'CASE DATA'!N148)</f>
        <v>0</v>
      </c>
      <c r="E148" s="187"/>
    </row>
    <row r="149" spans="1:5" x14ac:dyDescent="0.25">
      <c r="A149" s="162">
        <f xml:space="preserve"> 'CASE DATA'!A149</f>
        <v>0</v>
      </c>
      <c r="B149" s="185">
        <f xml:space="preserve"> 'CASE DATA'!F149</f>
        <v>0</v>
      </c>
      <c r="C149" s="166">
        <f xml:space="preserve"> IF(OR(B149="DISM", B149="JWV", B149="JUV", B149="CIV"), SUM('CASE DATA'!I149:R149), 'CASE DATA'!J149+'CASE DATA'!L149+'CASE DATA'!M149+'CASE DATA'!P149+'CASE DATA'!Q149+'CASE DATA'!R149+'CASE DATA'!K149+'CASE DATA'!O149)</f>
        <v>0</v>
      </c>
      <c r="D149" s="168">
        <f xml:space="preserve"> IF(OR(B149="DISM", B149="JWV", B149="JUV", B149="CIV"), 0, 'CASE DATA'!I149+'CASE DATA'!N149)</f>
        <v>0</v>
      </c>
      <c r="E149" s="187"/>
    </row>
    <row r="150" spans="1:5" x14ac:dyDescent="0.25">
      <c r="A150" s="162">
        <f xml:space="preserve"> 'CASE DATA'!A150</f>
        <v>0</v>
      </c>
      <c r="B150" s="185">
        <f xml:space="preserve"> 'CASE DATA'!F150</f>
        <v>0</v>
      </c>
      <c r="C150" s="166">
        <f xml:space="preserve"> IF(OR(B150="DISM", B150="JWV", B150="JUV", B150="CIV"), SUM('CASE DATA'!I150:R150), 'CASE DATA'!J150+'CASE DATA'!L150+'CASE DATA'!M150+'CASE DATA'!P150+'CASE DATA'!Q150+'CASE DATA'!R150+'CASE DATA'!K150+'CASE DATA'!O150)</f>
        <v>0</v>
      </c>
      <c r="D150" s="168">
        <f xml:space="preserve"> IF(OR(B150="DISM", B150="JWV", B150="JUV", B150="CIV"), 0, 'CASE DATA'!I150+'CASE DATA'!N150)</f>
        <v>0</v>
      </c>
      <c r="E150" s="187"/>
    </row>
    <row r="151" spans="1:5" x14ac:dyDescent="0.25">
      <c r="A151" s="162">
        <f xml:space="preserve"> 'CASE DATA'!A151</f>
        <v>0</v>
      </c>
      <c r="B151" s="185">
        <f xml:space="preserve"> 'CASE DATA'!F151</f>
        <v>0</v>
      </c>
      <c r="C151" s="166">
        <f xml:space="preserve"> IF(OR(B151="DISM", B151="JWV", B151="JUV", B151="CIV"), SUM('CASE DATA'!I151:R151), 'CASE DATA'!J151+'CASE DATA'!L151+'CASE DATA'!M151+'CASE DATA'!P151+'CASE DATA'!Q151+'CASE DATA'!R151+'CASE DATA'!K151+'CASE DATA'!O151)</f>
        <v>0</v>
      </c>
      <c r="D151" s="168">
        <f xml:space="preserve"> IF(OR(B151="DISM", B151="JWV", B151="JUV", B151="CIV"), 0, 'CASE DATA'!I151+'CASE DATA'!N151)</f>
        <v>0</v>
      </c>
      <c r="E151" s="187"/>
    </row>
    <row r="152" spans="1:5" x14ac:dyDescent="0.25">
      <c r="A152" s="162">
        <f xml:space="preserve"> 'CASE DATA'!A152</f>
        <v>0</v>
      </c>
      <c r="B152" s="185">
        <f xml:space="preserve"> 'CASE DATA'!F152</f>
        <v>0</v>
      </c>
      <c r="C152" s="166">
        <f xml:space="preserve"> IF(OR(B152="DISM", B152="JWV", B152="JUV", B152="CIV"), SUM('CASE DATA'!I152:R152), 'CASE DATA'!J152+'CASE DATA'!L152+'CASE DATA'!M152+'CASE DATA'!P152+'CASE DATA'!Q152+'CASE DATA'!R152+'CASE DATA'!K152+'CASE DATA'!O152)</f>
        <v>0</v>
      </c>
      <c r="D152" s="168">
        <f xml:space="preserve"> IF(OR(B152="DISM", B152="JWV", B152="JUV", B152="CIV"), 0, 'CASE DATA'!I152+'CASE DATA'!N152)</f>
        <v>0</v>
      </c>
      <c r="E152" s="187"/>
    </row>
    <row r="153" spans="1:5" x14ac:dyDescent="0.25">
      <c r="A153" s="162">
        <f xml:space="preserve"> 'CASE DATA'!A153</f>
        <v>0</v>
      </c>
      <c r="B153" s="185">
        <f xml:space="preserve"> 'CASE DATA'!F153</f>
        <v>0</v>
      </c>
      <c r="C153" s="166">
        <f xml:space="preserve"> IF(OR(B153="DISM", B153="JWV", B153="JUV", B153="CIV"), SUM('CASE DATA'!I153:R153), 'CASE DATA'!J153+'CASE DATA'!L153+'CASE DATA'!M153+'CASE DATA'!P153+'CASE DATA'!Q153+'CASE DATA'!R153+'CASE DATA'!K153+'CASE DATA'!O153)</f>
        <v>0</v>
      </c>
      <c r="D153" s="168">
        <f xml:space="preserve"> IF(OR(B153="DISM", B153="JWV", B153="JUV", B153="CIV"), 0, 'CASE DATA'!I153+'CASE DATA'!N153)</f>
        <v>0</v>
      </c>
      <c r="E153" s="187"/>
    </row>
    <row r="154" spans="1:5" x14ac:dyDescent="0.25">
      <c r="A154" s="162">
        <f xml:space="preserve"> 'CASE DATA'!A154</f>
        <v>0</v>
      </c>
      <c r="B154" s="185">
        <f xml:space="preserve"> 'CASE DATA'!F154</f>
        <v>0</v>
      </c>
      <c r="C154" s="166">
        <f xml:space="preserve"> IF(OR(B154="DISM", B154="JWV", B154="JUV", B154="CIV"), SUM('CASE DATA'!I154:R154), 'CASE DATA'!J154+'CASE DATA'!L154+'CASE DATA'!M154+'CASE DATA'!P154+'CASE DATA'!Q154+'CASE DATA'!R154+'CASE DATA'!K154+'CASE DATA'!O154)</f>
        <v>0</v>
      </c>
      <c r="D154" s="168">
        <f xml:space="preserve"> IF(OR(B154="DISM", B154="JWV", B154="JUV", B154="CIV"), 0, 'CASE DATA'!I154+'CASE DATA'!N154)</f>
        <v>0</v>
      </c>
      <c r="E154" s="187"/>
    </row>
    <row r="155" spans="1:5" x14ac:dyDescent="0.25">
      <c r="A155" s="162">
        <f xml:space="preserve"> 'CASE DATA'!A155</f>
        <v>0</v>
      </c>
      <c r="B155" s="185">
        <f xml:space="preserve"> 'CASE DATA'!F155</f>
        <v>0</v>
      </c>
      <c r="C155" s="166">
        <f xml:space="preserve"> IF(OR(B155="DISM", B155="JWV", B155="JUV", B155="CIV"), SUM('CASE DATA'!I155:R155), 'CASE DATA'!J155+'CASE DATA'!L155+'CASE DATA'!M155+'CASE DATA'!P155+'CASE DATA'!Q155+'CASE DATA'!R155+'CASE DATA'!K155+'CASE DATA'!O155)</f>
        <v>0</v>
      </c>
      <c r="D155" s="168">
        <f xml:space="preserve"> IF(OR(B155="DISM", B155="JWV", B155="JUV", B155="CIV"), 0, 'CASE DATA'!I155+'CASE DATA'!N155)</f>
        <v>0</v>
      </c>
      <c r="E155" s="187"/>
    </row>
    <row r="156" spans="1:5" x14ac:dyDescent="0.25">
      <c r="A156" s="162">
        <f xml:space="preserve"> 'CASE DATA'!A156</f>
        <v>0</v>
      </c>
      <c r="B156" s="185">
        <f xml:space="preserve"> 'CASE DATA'!F156</f>
        <v>0</v>
      </c>
      <c r="C156" s="166">
        <f xml:space="preserve"> IF(OR(B156="DISM", B156="JWV", B156="JUV", B156="CIV"), SUM('CASE DATA'!I156:R156), 'CASE DATA'!J156+'CASE DATA'!L156+'CASE DATA'!M156+'CASE DATA'!P156+'CASE DATA'!Q156+'CASE DATA'!R156+'CASE DATA'!K156+'CASE DATA'!O156)</f>
        <v>0</v>
      </c>
      <c r="D156" s="168">
        <f xml:space="preserve"> IF(OR(B156="DISM", B156="JWV", B156="JUV", B156="CIV"), 0, 'CASE DATA'!I156+'CASE DATA'!N156)</f>
        <v>0</v>
      </c>
      <c r="E156" s="187"/>
    </row>
    <row r="157" spans="1:5" x14ac:dyDescent="0.25">
      <c r="A157" s="162">
        <f xml:space="preserve"> 'CASE DATA'!A157</f>
        <v>0</v>
      </c>
      <c r="B157" s="185">
        <f xml:space="preserve"> 'CASE DATA'!F157</f>
        <v>0</v>
      </c>
      <c r="C157" s="166">
        <f xml:space="preserve"> IF(OR(B157="DISM", B157="JWV", B157="JUV", B157="CIV"), SUM('CASE DATA'!I157:R157), 'CASE DATA'!J157+'CASE DATA'!L157+'CASE DATA'!M157+'CASE DATA'!P157+'CASE DATA'!Q157+'CASE DATA'!R157+'CASE DATA'!K157+'CASE DATA'!O157)</f>
        <v>0</v>
      </c>
      <c r="D157" s="168">
        <f xml:space="preserve"> IF(OR(B157="DISM", B157="JWV", B157="JUV", B157="CIV"), 0, 'CASE DATA'!I157+'CASE DATA'!N157)</f>
        <v>0</v>
      </c>
      <c r="E157" s="187"/>
    </row>
    <row r="158" spans="1:5" x14ac:dyDescent="0.25">
      <c r="A158" s="162">
        <f xml:space="preserve"> 'CASE DATA'!A158</f>
        <v>0</v>
      </c>
      <c r="B158" s="185">
        <f xml:space="preserve"> 'CASE DATA'!F158</f>
        <v>0</v>
      </c>
      <c r="C158" s="166">
        <f xml:space="preserve"> IF(OR(B158="DISM", B158="JWV", B158="JUV", B158="CIV"), SUM('CASE DATA'!I158:R158), 'CASE DATA'!J158+'CASE DATA'!L158+'CASE DATA'!M158+'CASE DATA'!P158+'CASE DATA'!Q158+'CASE DATA'!R158+'CASE DATA'!K158+'CASE DATA'!O158)</f>
        <v>0</v>
      </c>
      <c r="D158" s="168">
        <f xml:space="preserve"> IF(OR(B158="DISM", B158="JWV", B158="JUV", B158="CIV"), 0, 'CASE DATA'!I158+'CASE DATA'!N158)</f>
        <v>0</v>
      </c>
      <c r="E158" s="187"/>
    </row>
    <row r="159" spans="1:5" x14ac:dyDescent="0.25">
      <c r="A159" s="162">
        <f xml:space="preserve"> 'CASE DATA'!A159</f>
        <v>0</v>
      </c>
      <c r="B159" s="185">
        <f xml:space="preserve"> 'CASE DATA'!F159</f>
        <v>0</v>
      </c>
      <c r="C159" s="166">
        <f xml:space="preserve"> IF(OR(B159="DISM", B159="JWV", B159="JUV", B159="CIV"), SUM('CASE DATA'!I159:R159), 'CASE DATA'!J159+'CASE DATA'!L159+'CASE DATA'!M159+'CASE DATA'!P159+'CASE DATA'!Q159+'CASE DATA'!R159+'CASE DATA'!K159+'CASE DATA'!O159)</f>
        <v>0</v>
      </c>
      <c r="D159" s="168">
        <f xml:space="preserve"> IF(OR(B159="DISM", B159="JWV", B159="JUV", B159="CIV"), 0, 'CASE DATA'!I159+'CASE DATA'!N159)</f>
        <v>0</v>
      </c>
      <c r="E159" s="187"/>
    </row>
    <row r="160" spans="1:5" x14ac:dyDescent="0.25">
      <c r="A160" s="162">
        <f xml:space="preserve"> 'CASE DATA'!A160</f>
        <v>0</v>
      </c>
      <c r="B160" s="185">
        <f xml:space="preserve"> 'CASE DATA'!F160</f>
        <v>0</v>
      </c>
      <c r="C160" s="166">
        <f xml:space="preserve"> IF(OR(B160="DISM", B160="JWV", B160="JUV", B160="CIV"), SUM('CASE DATA'!I160:R160), 'CASE DATA'!J160+'CASE DATA'!L160+'CASE DATA'!M160+'CASE DATA'!P160+'CASE DATA'!Q160+'CASE DATA'!R160+'CASE DATA'!K160+'CASE DATA'!O160)</f>
        <v>0</v>
      </c>
      <c r="D160" s="168">
        <f xml:space="preserve"> IF(OR(B160="DISM", B160="JWV", B160="JUV", B160="CIV"), 0, 'CASE DATA'!I160+'CASE DATA'!N160)</f>
        <v>0</v>
      </c>
      <c r="E160" s="187"/>
    </row>
    <row r="161" spans="1:5" x14ac:dyDescent="0.25">
      <c r="A161" s="162">
        <f xml:space="preserve"> 'CASE DATA'!A161</f>
        <v>0</v>
      </c>
      <c r="B161" s="185">
        <f xml:space="preserve"> 'CASE DATA'!F161</f>
        <v>0</v>
      </c>
      <c r="C161" s="166">
        <f xml:space="preserve"> IF(OR(B161="DISM", B161="JWV", B161="JUV", B161="CIV"), SUM('CASE DATA'!I161:R161), 'CASE DATA'!J161+'CASE DATA'!L161+'CASE DATA'!M161+'CASE DATA'!P161+'CASE DATA'!Q161+'CASE DATA'!R161+'CASE DATA'!K161+'CASE DATA'!O161)</f>
        <v>0</v>
      </c>
      <c r="D161" s="168">
        <f xml:space="preserve"> IF(OR(B161="DISM", B161="JWV", B161="JUV", B161="CIV"), 0, 'CASE DATA'!I161+'CASE DATA'!N161)</f>
        <v>0</v>
      </c>
      <c r="E161" s="187"/>
    </row>
    <row r="162" spans="1:5" x14ac:dyDescent="0.25">
      <c r="A162" s="162">
        <f xml:space="preserve"> 'CASE DATA'!A162</f>
        <v>0</v>
      </c>
      <c r="B162" s="185">
        <f xml:space="preserve"> 'CASE DATA'!F162</f>
        <v>0</v>
      </c>
      <c r="C162" s="166">
        <f xml:space="preserve"> IF(OR(B162="DISM", B162="JWV", B162="JUV", B162="CIV"), SUM('CASE DATA'!I162:R162), 'CASE DATA'!J162+'CASE DATA'!L162+'CASE DATA'!M162+'CASE DATA'!P162+'CASE DATA'!Q162+'CASE DATA'!R162+'CASE DATA'!K162+'CASE DATA'!O162)</f>
        <v>0</v>
      </c>
      <c r="D162" s="168">
        <f xml:space="preserve"> IF(OR(B162="DISM", B162="JWV", B162="JUV", B162="CIV"), 0, 'CASE DATA'!I162+'CASE DATA'!N162)</f>
        <v>0</v>
      </c>
      <c r="E162" s="187"/>
    </row>
    <row r="163" spans="1:5" x14ac:dyDescent="0.25">
      <c r="A163" s="162">
        <f xml:space="preserve"> 'CASE DATA'!A163</f>
        <v>0</v>
      </c>
      <c r="B163" s="185">
        <f xml:space="preserve"> 'CASE DATA'!F163</f>
        <v>0</v>
      </c>
      <c r="C163" s="166">
        <f xml:space="preserve"> IF(OR(B163="DISM", B163="JWV", B163="JUV", B163="CIV"), SUM('CASE DATA'!I163:R163), 'CASE DATA'!J163+'CASE DATA'!L163+'CASE DATA'!M163+'CASE DATA'!P163+'CASE DATA'!Q163+'CASE DATA'!R163+'CASE DATA'!K163+'CASE DATA'!O163)</f>
        <v>0</v>
      </c>
      <c r="D163" s="168">
        <f xml:space="preserve"> IF(OR(B163="DISM", B163="JWV", B163="JUV", B163="CIV"), 0, 'CASE DATA'!I163+'CASE DATA'!N163)</f>
        <v>0</v>
      </c>
      <c r="E163" s="187"/>
    </row>
    <row r="164" spans="1:5" x14ac:dyDescent="0.25">
      <c r="A164" s="162">
        <f xml:space="preserve"> 'CASE DATA'!A164</f>
        <v>0</v>
      </c>
      <c r="B164" s="185">
        <f xml:space="preserve"> 'CASE DATA'!F164</f>
        <v>0</v>
      </c>
      <c r="C164" s="166">
        <f xml:space="preserve"> IF(OR(B164="DISM", B164="JWV", B164="JUV", B164="CIV"), SUM('CASE DATA'!I164:R164), 'CASE DATA'!J164+'CASE DATA'!L164+'CASE DATA'!M164+'CASE DATA'!P164+'CASE DATA'!Q164+'CASE DATA'!R164+'CASE DATA'!K164+'CASE DATA'!O164)</f>
        <v>0</v>
      </c>
      <c r="D164" s="168">
        <f xml:space="preserve"> IF(OR(B164="DISM", B164="JWV", B164="JUV", B164="CIV"), 0, 'CASE DATA'!I164+'CASE DATA'!N164)</f>
        <v>0</v>
      </c>
      <c r="E164" s="187"/>
    </row>
    <row r="165" spans="1:5" x14ac:dyDescent="0.25">
      <c r="A165" s="162">
        <f xml:space="preserve"> 'CASE DATA'!A165</f>
        <v>0</v>
      </c>
      <c r="B165" s="185">
        <f xml:space="preserve"> 'CASE DATA'!F165</f>
        <v>0</v>
      </c>
      <c r="C165" s="166">
        <f xml:space="preserve"> IF(OR(B165="DISM", B165="JWV", B165="JUV", B165="CIV"), SUM('CASE DATA'!I165:R165), 'CASE DATA'!J165+'CASE DATA'!L165+'CASE DATA'!M165+'CASE DATA'!P165+'CASE DATA'!Q165+'CASE DATA'!R165+'CASE DATA'!K165+'CASE DATA'!O165)</f>
        <v>0</v>
      </c>
      <c r="D165" s="168">
        <f xml:space="preserve"> IF(OR(B165="DISM", B165="JWV", B165="JUV", B165="CIV"), 0, 'CASE DATA'!I165+'CASE DATA'!N165)</f>
        <v>0</v>
      </c>
      <c r="E165" s="187"/>
    </row>
    <row r="166" spans="1:5" x14ac:dyDescent="0.25">
      <c r="A166" s="162">
        <f xml:space="preserve"> 'CASE DATA'!A166</f>
        <v>0</v>
      </c>
      <c r="B166" s="185">
        <f xml:space="preserve"> 'CASE DATA'!F166</f>
        <v>0</v>
      </c>
      <c r="C166" s="166">
        <f xml:space="preserve"> IF(OR(B166="DISM", B166="JWV", B166="JUV", B166="CIV"), SUM('CASE DATA'!I166:R166), 'CASE DATA'!J166+'CASE DATA'!L166+'CASE DATA'!M166+'CASE DATA'!P166+'CASE DATA'!Q166+'CASE DATA'!R166+'CASE DATA'!K166+'CASE DATA'!O166)</f>
        <v>0</v>
      </c>
      <c r="D166" s="168">
        <f xml:space="preserve"> IF(OR(B166="DISM", B166="JWV", B166="JUV", B166="CIV"), 0, 'CASE DATA'!I166+'CASE DATA'!N166)</f>
        <v>0</v>
      </c>
      <c r="E166" s="187"/>
    </row>
    <row r="167" spans="1:5" x14ac:dyDescent="0.25">
      <c r="A167" s="162">
        <f xml:space="preserve"> 'CASE DATA'!A167</f>
        <v>0</v>
      </c>
      <c r="B167" s="185">
        <f xml:space="preserve"> 'CASE DATA'!F167</f>
        <v>0</v>
      </c>
      <c r="C167" s="166">
        <f xml:space="preserve"> IF(OR(B167="DISM", B167="JWV", B167="JUV", B167="CIV"), SUM('CASE DATA'!I167:R167), 'CASE DATA'!J167+'CASE DATA'!L167+'CASE DATA'!M167+'CASE DATA'!P167+'CASE DATA'!Q167+'CASE DATA'!R167+'CASE DATA'!K167+'CASE DATA'!O167)</f>
        <v>0</v>
      </c>
      <c r="D167" s="168">
        <f xml:space="preserve"> IF(OR(B167="DISM", B167="JWV", B167="JUV", B167="CIV"), 0, 'CASE DATA'!I167+'CASE DATA'!N167)</f>
        <v>0</v>
      </c>
      <c r="E167" s="187"/>
    </row>
    <row r="168" spans="1:5" x14ac:dyDescent="0.25">
      <c r="A168" s="162">
        <f xml:space="preserve"> 'CASE DATA'!A168</f>
        <v>0</v>
      </c>
      <c r="B168" s="185">
        <f xml:space="preserve"> 'CASE DATA'!F168</f>
        <v>0</v>
      </c>
      <c r="C168" s="166">
        <f xml:space="preserve"> IF(OR(B168="DISM", B168="JWV", B168="JUV", B168="CIV"), SUM('CASE DATA'!I168:R168), 'CASE DATA'!J168+'CASE DATA'!L168+'CASE DATA'!M168+'CASE DATA'!P168+'CASE DATA'!Q168+'CASE DATA'!R168+'CASE DATA'!K168+'CASE DATA'!O168)</f>
        <v>0</v>
      </c>
      <c r="D168" s="168">
        <f xml:space="preserve"> IF(OR(B168="DISM", B168="JWV", B168="JUV", B168="CIV"), 0, 'CASE DATA'!I168+'CASE DATA'!N168)</f>
        <v>0</v>
      </c>
      <c r="E168" s="187"/>
    </row>
    <row r="169" spans="1:5" x14ac:dyDescent="0.25">
      <c r="A169" s="162">
        <f xml:space="preserve"> 'CASE DATA'!A169</f>
        <v>0</v>
      </c>
      <c r="B169" s="185">
        <f xml:space="preserve"> 'CASE DATA'!F169</f>
        <v>0</v>
      </c>
      <c r="C169" s="166">
        <f xml:space="preserve"> IF(OR(B169="DISM", B169="JWV", B169="JUV", B169="CIV"), SUM('CASE DATA'!I169:R169), 'CASE DATA'!J169+'CASE DATA'!L169+'CASE DATA'!M169+'CASE DATA'!P169+'CASE DATA'!Q169+'CASE DATA'!R169+'CASE DATA'!K169+'CASE DATA'!O169)</f>
        <v>0</v>
      </c>
      <c r="D169" s="168">
        <f xml:space="preserve"> IF(OR(B169="DISM", B169="JWV", B169="JUV", B169="CIV"), 0, 'CASE DATA'!I169+'CASE DATA'!N169)</f>
        <v>0</v>
      </c>
      <c r="E169" s="187"/>
    </row>
    <row r="170" spans="1:5" x14ac:dyDescent="0.25">
      <c r="A170" s="162">
        <f xml:space="preserve"> 'CASE DATA'!A170</f>
        <v>0</v>
      </c>
      <c r="B170" s="185">
        <f xml:space="preserve"> 'CASE DATA'!F170</f>
        <v>0</v>
      </c>
      <c r="C170" s="166">
        <f xml:space="preserve"> IF(OR(B170="DISM", B170="JWV", B170="JUV", B170="CIV"), SUM('CASE DATA'!I170:R170), 'CASE DATA'!J170+'CASE DATA'!L170+'CASE DATA'!M170+'CASE DATA'!P170+'CASE DATA'!Q170+'CASE DATA'!R170+'CASE DATA'!K170+'CASE DATA'!O170)</f>
        <v>0</v>
      </c>
      <c r="D170" s="168">
        <f xml:space="preserve"> IF(OR(B170="DISM", B170="JWV", B170="JUV", B170="CIV"), 0, 'CASE DATA'!I170+'CASE DATA'!N170)</f>
        <v>0</v>
      </c>
      <c r="E170" s="187"/>
    </row>
    <row r="171" spans="1:5" x14ac:dyDescent="0.25">
      <c r="A171" s="162">
        <f xml:space="preserve"> 'CASE DATA'!A171</f>
        <v>0</v>
      </c>
      <c r="B171" s="185">
        <f xml:space="preserve"> 'CASE DATA'!F171</f>
        <v>0</v>
      </c>
      <c r="C171" s="166">
        <f xml:space="preserve"> IF(OR(B171="DISM", B171="JWV", B171="JUV", B171="CIV"), SUM('CASE DATA'!I171:R171), 'CASE DATA'!J171+'CASE DATA'!L171+'CASE DATA'!M171+'CASE DATA'!P171+'CASE DATA'!Q171+'CASE DATA'!R171+'CASE DATA'!K171+'CASE DATA'!O171)</f>
        <v>0</v>
      </c>
      <c r="D171" s="168">
        <f xml:space="preserve"> IF(OR(B171="DISM", B171="JWV", B171="JUV", B171="CIV"), 0, 'CASE DATA'!I171+'CASE DATA'!N171)</f>
        <v>0</v>
      </c>
      <c r="E171" s="187"/>
    </row>
    <row r="172" spans="1:5" x14ac:dyDescent="0.25">
      <c r="A172" s="162">
        <f xml:space="preserve"> 'CASE DATA'!A172</f>
        <v>0</v>
      </c>
      <c r="B172" s="185">
        <f xml:space="preserve"> 'CASE DATA'!F172</f>
        <v>0</v>
      </c>
      <c r="C172" s="166">
        <f xml:space="preserve"> IF(OR(B172="DISM", B172="JWV", B172="JUV", B172="CIV"), SUM('CASE DATA'!I172:R172), 'CASE DATA'!J172+'CASE DATA'!L172+'CASE DATA'!M172+'CASE DATA'!P172+'CASE DATA'!Q172+'CASE DATA'!R172+'CASE DATA'!K172+'CASE DATA'!O172)</f>
        <v>0</v>
      </c>
      <c r="D172" s="168">
        <f xml:space="preserve"> IF(OR(B172="DISM", B172="JWV", B172="JUV", B172="CIV"), 0, 'CASE DATA'!I172+'CASE DATA'!N172)</f>
        <v>0</v>
      </c>
      <c r="E172" s="187"/>
    </row>
    <row r="173" spans="1:5" x14ac:dyDescent="0.25">
      <c r="A173" s="162">
        <f xml:space="preserve"> 'CASE DATA'!A173</f>
        <v>0</v>
      </c>
      <c r="B173" s="185">
        <f xml:space="preserve"> 'CASE DATA'!F173</f>
        <v>0</v>
      </c>
      <c r="C173" s="166">
        <f xml:space="preserve"> IF(OR(B173="DISM", B173="JWV", B173="JUV", B173="CIV"), SUM('CASE DATA'!I173:R173), 'CASE DATA'!J173+'CASE DATA'!L173+'CASE DATA'!M173+'CASE DATA'!P173+'CASE DATA'!Q173+'CASE DATA'!R173+'CASE DATA'!K173+'CASE DATA'!O173)</f>
        <v>0</v>
      </c>
      <c r="D173" s="168">
        <f xml:space="preserve"> IF(OR(B173="DISM", B173="JWV", B173="JUV", B173="CIV"), 0, 'CASE DATA'!I173+'CASE DATA'!N173)</f>
        <v>0</v>
      </c>
      <c r="E173" s="187"/>
    </row>
    <row r="174" spans="1:5" x14ac:dyDescent="0.25">
      <c r="A174" s="162">
        <f xml:space="preserve"> 'CASE DATA'!A174</f>
        <v>0</v>
      </c>
      <c r="B174" s="185">
        <f xml:space="preserve"> 'CASE DATA'!F174</f>
        <v>0</v>
      </c>
      <c r="C174" s="166">
        <f xml:space="preserve"> IF(OR(B174="DISM", B174="JWV", B174="JUV", B174="CIV"), SUM('CASE DATA'!I174:R174), 'CASE DATA'!J174+'CASE DATA'!L174+'CASE DATA'!M174+'CASE DATA'!P174+'CASE DATA'!Q174+'CASE DATA'!R174+'CASE DATA'!K174+'CASE DATA'!O174)</f>
        <v>0</v>
      </c>
      <c r="D174" s="168">
        <f xml:space="preserve"> IF(OR(B174="DISM", B174="JWV", B174="JUV", B174="CIV"), 0, 'CASE DATA'!I174+'CASE DATA'!N174)</f>
        <v>0</v>
      </c>
      <c r="E174" s="187"/>
    </row>
    <row r="175" spans="1:5" x14ac:dyDescent="0.25">
      <c r="A175" s="162">
        <f xml:space="preserve"> 'CASE DATA'!A175</f>
        <v>0</v>
      </c>
      <c r="B175" s="185">
        <f xml:space="preserve"> 'CASE DATA'!F175</f>
        <v>0</v>
      </c>
      <c r="C175" s="166">
        <f xml:space="preserve"> IF(OR(B175="DISM", B175="JWV", B175="JUV", B175="CIV"), SUM('CASE DATA'!I175:R175), 'CASE DATA'!J175+'CASE DATA'!L175+'CASE DATA'!M175+'CASE DATA'!P175+'CASE DATA'!Q175+'CASE DATA'!R175+'CASE DATA'!K175+'CASE DATA'!O175)</f>
        <v>0</v>
      </c>
      <c r="D175" s="168">
        <f xml:space="preserve"> IF(OR(B175="DISM", B175="JWV", B175="JUV", B175="CIV"), 0, 'CASE DATA'!I175+'CASE DATA'!N175)</f>
        <v>0</v>
      </c>
      <c r="E175" s="187"/>
    </row>
    <row r="176" spans="1:5" x14ac:dyDescent="0.25">
      <c r="A176" s="162">
        <f xml:space="preserve"> 'CASE DATA'!A176</f>
        <v>0</v>
      </c>
      <c r="B176" s="185">
        <f xml:space="preserve"> 'CASE DATA'!F176</f>
        <v>0</v>
      </c>
      <c r="C176" s="166">
        <f xml:space="preserve"> IF(OR(B176="DISM", B176="JWV", B176="JUV", B176="CIV"), SUM('CASE DATA'!I176:R176), 'CASE DATA'!J176+'CASE DATA'!L176+'CASE DATA'!M176+'CASE DATA'!P176+'CASE DATA'!Q176+'CASE DATA'!R176+'CASE DATA'!K176+'CASE DATA'!O176)</f>
        <v>0</v>
      </c>
      <c r="D176" s="168">
        <f xml:space="preserve"> IF(OR(B176="DISM", B176="JWV", B176="JUV", B176="CIV"), 0, 'CASE DATA'!I176+'CASE DATA'!N176)</f>
        <v>0</v>
      </c>
      <c r="E176" s="187"/>
    </row>
    <row r="177" spans="1:5" x14ac:dyDescent="0.25">
      <c r="A177" s="162">
        <f xml:space="preserve"> 'CASE DATA'!A177</f>
        <v>0</v>
      </c>
      <c r="B177" s="185">
        <f xml:space="preserve"> 'CASE DATA'!F177</f>
        <v>0</v>
      </c>
      <c r="C177" s="166">
        <f xml:space="preserve"> IF(OR(B177="DISM", B177="JWV", B177="JUV", B177="CIV"), SUM('CASE DATA'!I177:R177), 'CASE DATA'!J177+'CASE DATA'!L177+'CASE DATA'!M177+'CASE DATA'!P177+'CASE DATA'!Q177+'CASE DATA'!R177+'CASE DATA'!K177+'CASE DATA'!O177)</f>
        <v>0</v>
      </c>
      <c r="D177" s="168">
        <f xml:space="preserve"> IF(OR(B177="DISM", B177="JWV", B177="JUV", B177="CIV"), 0, 'CASE DATA'!I177+'CASE DATA'!N177)</f>
        <v>0</v>
      </c>
      <c r="E177" s="187"/>
    </row>
    <row r="178" spans="1:5" x14ac:dyDescent="0.25">
      <c r="A178" s="162">
        <f xml:space="preserve"> 'CASE DATA'!A178</f>
        <v>0</v>
      </c>
      <c r="B178" s="185">
        <f xml:space="preserve"> 'CASE DATA'!F178</f>
        <v>0</v>
      </c>
      <c r="C178" s="166">
        <f xml:space="preserve"> IF(OR(B178="DISM", B178="JWV", B178="JUV", B178="CIV"), SUM('CASE DATA'!I178:R178), 'CASE DATA'!J178+'CASE DATA'!L178+'CASE DATA'!M178+'CASE DATA'!P178+'CASE DATA'!Q178+'CASE DATA'!R178+'CASE DATA'!K178+'CASE DATA'!O178)</f>
        <v>0</v>
      </c>
      <c r="D178" s="168">
        <f xml:space="preserve"> IF(OR(B178="DISM", B178="JWV", B178="JUV", B178="CIV"), 0, 'CASE DATA'!I178+'CASE DATA'!N178)</f>
        <v>0</v>
      </c>
      <c r="E178" s="187"/>
    </row>
    <row r="179" spans="1:5" x14ac:dyDescent="0.25">
      <c r="A179" s="162">
        <f xml:space="preserve"> 'CASE DATA'!A179</f>
        <v>0</v>
      </c>
      <c r="B179" s="185">
        <f xml:space="preserve"> 'CASE DATA'!F179</f>
        <v>0</v>
      </c>
      <c r="C179" s="166">
        <f xml:space="preserve"> IF(OR(B179="DISM", B179="JWV", B179="JUV", B179="CIV"), SUM('CASE DATA'!I179:R179), 'CASE DATA'!J179+'CASE DATA'!L179+'CASE DATA'!M179+'CASE DATA'!P179+'CASE DATA'!Q179+'CASE DATA'!R179+'CASE DATA'!K179+'CASE DATA'!O179)</f>
        <v>0</v>
      </c>
      <c r="D179" s="168">
        <f xml:space="preserve"> IF(OR(B179="DISM", B179="JWV", B179="JUV", B179="CIV"), 0, 'CASE DATA'!I179+'CASE DATA'!N179)</f>
        <v>0</v>
      </c>
      <c r="E179" s="187"/>
    </row>
    <row r="180" spans="1:5" x14ac:dyDescent="0.25">
      <c r="A180" s="162">
        <f xml:space="preserve"> 'CASE DATA'!A180</f>
        <v>0</v>
      </c>
      <c r="B180" s="185">
        <f xml:space="preserve"> 'CASE DATA'!F180</f>
        <v>0</v>
      </c>
      <c r="C180" s="166">
        <f xml:space="preserve"> IF(OR(B180="DISM", B180="JWV", B180="JUV", B180="CIV"), SUM('CASE DATA'!I180:R180), 'CASE DATA'!J180+'CASE DATA'!L180+'CASE DATA'!M180+'CASE DATA'!P180+'CASE DATA'!Q180+'CASE DATA'!R180+'CASE DATA'!K180+'CASE DATA'!O180)</f>
        <v>0</v>
      </c>
      <c r="D180" s="168">
        <f xml:space="preserve"> IF(OR(B180="DISM", B180="JWV", B180="JUV", B180="CIV"), 0, 'CASE DATA'!I180+'CASE DATA'!N180)</f>
        <v>0</v>
      </c>
      <c r="E180" s="187"/>
    </row>
    <row r="181" spans="1:5" x14ac:dyDescent="0.25">
      <c r="A181" s="162">
        <f xml:space="preserve"> 'CASE DATA'!A181</f>
        <v>0</v>
      </c>
      <c r="B181" s="185">
        <f xml:space="preserve"> 'CASE DATA'!F181</f>
        <v>0</v>
      </c>
      <c r="C181" s="166">
        <f xml:space="preserve"> IF(OR(B181="DISM", B181="JWV", B181="JUV", B181="CIV"), SUM('CASE DATA'!I181:R181), 'CASE DATA'!J181+'CASE DATA'!L181+'CASE DATA'!M181+'CASE DATA'!P181+'CASE DATA'!Q181+'CASE DATA'!R181+'CASE DATA'!K181+'CASE DATA'!O181)</f>
        <v>0</v>
      </c>
      <c r="D181" s="168">
        <f xml:space="preserve"> IF(OR(B181="DISM", B181="JWV", B181="JUV", B181="CIV"), 0, 'CASE DATA'!I181+'CASE DATA'!N181)</f>
        <v>0</v>
      </c>
      <c r="E181" s="187"/>
    </row>
    <row r="182" spans="1:5" x14ac:dyDescent="0.25">
      <c r="A182" s="162">
        <f xml:space="preserve"> 'CASE DATA'!A182</f>
        <v>0</v>
      </c>
      <c r="B182" s="185">
        <f xml:space="preserve"> 'CASE DATA'!F182</f>
        <v>0</v>
      </c>
      <c r="C182" s="166">
        <f xml:space="preserve"> IF(OR(B182="DISM", B182="JWV", B182="JUV", B182="CIV"), SUM('CASE DATA'!I182:R182), 'CASE DATA'!J182+'CASE DATA'!L182+'CASE DATA'!M182+'CASE DATA'!P182+'CASE DATA'!Q182+'CASE DATA'!R182+'CASE DATA'!K182+'CASE DATA'!O182)</f>
        <v>0</v>
      </c>
      <c r="D182" s="168">
        <f xml:space="preserve"> IF(OR(B182="DISM", B182="JWV", B182="JUV", B182="CIV"), 0, 'CASE DATA'!I182+'CASE DATA'!N182)</f>
        <v>0</v>
      </c>
      <c r="E182" s="187"/>
    </row>
    <row r="183" spans="1:5" x14ac:dyDescent="0.25">
      <c r="A183" s="162">
        <f xml:space="preserve"> 'CASE DATA'!A183</f>
        <v>0</v>
      </c>
      <c r="B183" s="185">
        <f xml:space="preserve"> 'CASE DATA'!F183</f>
        <v>0</v>
      </c>
      <c r="C183" s="166">
        <f xml:space="preserve"> IF(OR(B183="DISM", B183="JWV", B183="JUV", B183="CIV"), SUM('CASE DATA'!I183:R183), 'CASE DATA'!J183+'CASE DATA'!L183+'CASE DATA'!M183+'CASE DATA'!P183+'CASE DATA'!Q183+'CASE DATA'!R183+'CASE DATA'!K183+'CASE DATA'!O183)</f>
        <v>0</v>
      </c>
      <c r="D183" s="168">
        <f xml:space="preserve"> IF(OR(B183="DISM", B183="JWV", B183="JUV", B183="CIV"), 0, 'CASE DATA'!I183+'CASE DATA'!N183)</f>
        <v>0</v>
      </c>
      <c r="E183" s="187"/>
    </row>
    <row r="184" spans="1:5" x14ac:dyDescent="0.25">
      <c r="A184" s="162">
        <f xml:space="preserve"> 'CASE DATA'!A184</f>
        <v>0</v>
      </c>
      <c r="B184" s="185">
        <f xml:space="preserve"> 'CASE DATA'!F184</f>
        <v>0</v>
      </c>
      <c r="C184" s="166">
        <f xml:space="preserve"> IF(OR(B184="DISM", B184="JWV", B184="JUV", B184="CIV"), SUM('CASE DATA'!I184:R184), 'CASE DATA'!J184+'CASE DATA'!L184+'CASE DATA'!M184+'CASE DATA'!P184+'CASE DATA'!Q184+'CASE DATA'!R184+'CASE DATA'!K184+'CASE DATA'!O184)</f>
        <v>0</v>
      </c>
      <c r="D184" s="168">
        <f xml:space="preserve"> IF(OR(B184="DISM", B184="JWV", B184="JUV", B184="CIV"), 0, 'CASE DATA'!I184+'CASE DATA'!N184)</f>
        <v>0</v>
      </c>
      <c r="E184" s="187"/>
    </row>
    <row r="185" spans="1:5" x14ac:dyDescent="0.25">
      <c r="A185" s="162">
        <f xml:space="preserve"> 'CASE DATA'!A185</f>
        <v>0</v>
      </c>
      <c r="B185" s="185">
        <f xml:space="preserve"> 'CASE DATA'!F185</f>
        <v>0</v>
      </c>
      <c r="C185" s="166">
        <f xml:space="preserve"> IF(OR(B185="DISM", B185="JWV", B185="JUV", B185="CIV"), SUM('CASE DATA'!I185:R185), 'CASE DATA'!J185+'CASE DATA'!L185+'CASE DATA'!M185+'CASE DATA'!P185+'CASE DATA'!Q185+'CASE DATA'!R185+'CASE DATA'!K185+'CASE DATA'!O185)</f>
        <v>0</v>
      </c>
      <c r="D185" s="168">
        <f xml:space="preserve"> IF(OR(B185="DISM", B185="JWV", B185="JUV", B185="CIV"), 0, 'CASE DATA'!I185+'CASE DATA'!N185)</f>
        <v>0</v>
      </c>
      <c r="E185" s="187"/>
    </row>
    <row r="186" spans="1:5" x14ac:dyDescent="0.25">
      <c r="A186" s="162">
        <f xml:space="preserve"> 'CASE DATA'!A186</f>
        <v>0</v>
      </c>
      <c r="B186" s="185">
        <f xml:space="preserve"> 'CASE DATA'!F186</f>
        <v>0</v>
      </c>
      <c r="C186" s="166">
        <f xml:space="preserve"> IF(OR(B186="DISM", B186="JWV", B186="JUV", B186="CIV"), SUM('CASE DATA'!I186:R186), 'CASE DATA'!J186+'CASE DATA'!L186+'CASE DATA'!M186+'CASE DATA'!P186+'CASE DATA'!Q186+'CASE DATA'!R186+'CASE DATA'!K186+'CASE DATA'!O186)</f>
        <v>0</v>
      </c>
      <c r="D186" s="168">
        <f xml:space="preserve"> IF(OR(B186="DISM", B186="JWV", B186="JUV", B186="CIV"), 0, 'CASE DATA'!I186+'CASE DATA'!N186)</f>
        <v>0</v>
      </c>
      <c r="E186" s="187"/>
    </row>
    <row r="187" spans="1:5" x14ac:dyDescent="0.25">
      <c r="A187" s="162">
        <f xml:space="preserve"> 'CASE DATA'!A187</f>
        <v>0</v>
      </c>
      <c r="B187" s="185">
        <f xml:space="preserve"> 'CASE DATA'!F187</f>
        <v>0</v>
      </c>
      <c r="C187" s="166">
        <f xml:space="preserve"> IF(OR(B187="DISM", B187="JWV", B187="JUV", B187="CIV"), SUM('CASE DATA'!I187:R187), 'CASE DATA'!J187+'CASE DATA'!L187+'CASE DATA'!M187+'CASE DATA'!P187+'CASE DATA'!Q187+'CASE DATA'!R187+'CASE DATA'!K187+'CASE DATA'!O187)</f>
        <v>0</v>
      </c>
      <c r="D187" s="168">
        <f xml:space="preserve"> IF(OR(B187="DISM", B187="JWV", B187="JUV", B187="CIV"), 0, 'CASE DATA'!I187+'CASE DATA'!N187)</f>
        <v>0</v>
      </c>
      <c r="E187" s="187"/>
    </row>
    <row r="188" spans="1:5" x14ac:dyDescent="0.25">
      <c r="A188" s="162">
        <f xml:space="preserve"> 'CASE DATA'!A188</f>
        <v>0</v>
      </c>
      <c r="B188" s="185">
        <f xml:space="preserve"> 'CASE DATA'!F188</f>
        <v>0</v>
      </c>
      <c r="C188" s="166">
        <f xml:space="preserve"> IF(OR(B188="DISM", B188="JWV", B188="JUV", B188="CIV"), SUM('CASE DATA'!I188:R188), 'CASE DATA'!J188+'CASE DATA'!L188+'CASE DATA'!M188+'CASE DATA'!P188+'CASE DATA'!Q188+'CASE DATA'!R188+'CASE DATA'!K188+'CASE DATA'!O188)</f>
        <v>0</v>
      </c>
      <c r="D188" s="168">
        <f xml:space="preserve"> IF(OR(B188="DISM", B188="JWV", B188="JUV", B188="CIV"), 0, 'CASE DATA'!I188+'CASE DATA'!N188)</f>
        <v>0</v>
      </c>
      <c r="E188" s="187"/>
    </row>
    <row r="189" spans="1:5" x14ac:dyDescent="0.25">
      <c r="A189" s="162">
        <f xml:space="preserve"> 'CASE DATA'!A189</f>
        <v>0</v>
      </c>
      <c r="B189" s="185">
        <f xml:space="preserve"> 'CASE DATA'!F189</f>
        <v>0</v>
      </c>
      <c r="C189" s="166">
        <f xml:space="preserve"> IF(OR(B189="DISM", B189="JWV", B189="JUV", B189="CIV"), SUM('CASE DATA'!I189:R189), 'CASE DATA'!J189+'CASE DATA'!L189+'CASE DATA'!M189+'CASE DATA'!P189+'CASE DATA'!Q189+'CASE DATA'!R189+'CASE DATA'!K189+'CASE DATA'!O189)</f>
        <v>0</v>
      </c>
      <c r="D189" s="168">
        <f xml:space="preserve"> IF(OR(B189="DISM", B189="JWV", B189="JUV", B189="CIV"), 0, 'CASE DATA'!I189+'CASE DATA'!N189)</f>
        <v>0</v>
      </c>
      <c r="E189" s="187"/>
    </row>
    <row r="190" spans="1:5" x14ac:dyDescent="0.25">
      <c r="A190" s="162">
        <f xml:space="preserve"> 'CASE DATA'!A190</f>
        <v>0</v>
      </c>
      <c r="B190" s="185">
        <f xml:space="preserve"> 'CASE DATA'!F190</f>
        <v>0</v>
      </c>
      <c r="C190" s="166">
        <f xml:space="preserve"> IF(OR(B190="DISM", B190="JWV", B190="JUV", B190="CIV"), SUM('CASE DATA'!I190:R190), 'CASE DATA'!J190+'CASE DATA'!L190+'CASE DATA'!M190+'CASE DATA'!P190+'CASE DATA'!Q190+'CASE DATA'!R190+'CASE DATA'!K190+'CASE DATA'!O190)</f>
        <v>0</v>
      </c>
      <c r="D190" s="168">
        <f xml:space="preserve"> IF(OR(B190="DISM", B190="JWV", B190="JUV", B190="CIV"), 0, 'CASE DATA'!I190+'CASE DATA'!N190)</f>
        <v>0</v>
      </c>
      <c r="E190" s="187"/>
    </row>
    <row r="191" spans="1:5" x14ac:dyDescent="0.25">
      <c r="A191" s="162">
        <f xml:space="preserve"> 'CASE DATA'!A191</f>
        <v>0</v>
      </c>
      <c r="B191" s="185">
        <f xml:space="preserve"> 'CASE DATA'!F191</f>
        <v>0</v>
      </c>
      <c r="C191" s="166">
        <f xml:space="preserve"> IF(OR(B191="DISM", B191="JWV", B191="JUV", B191="CIV"), SUM('CASE DATA'!I191:R191), 'CASE DATA'!J191+'CASE DATA'!L191+'CASE DATA'!M191+'CASE DATA'!P191+'CASE DATA'!Q191+'CASE DATA'!R191+'CASE DATA'!K191+'CASE DATA'!O191)</f>
        <v>0</v>
      </c>
      <c r="D191" s="168">
        <f xml:space="preserve"> IF(OR(B191="DISM", B191="JWV", B191="JUV", B191="CIV"), 0, 'CASE DATA'!I191+'CASE DATA'!N191)</f>
        <v>0</v>
      </c>
      <c r="E191" s="187"/>
    </row>
    <row r="192" spans="1:5" x14ac:dyDescent="0.25">
      <c r="A192" s="162">
        <f xml:space="preserve"> 'CASE DATA'!A192</f>
        <v>0</v>
      </c>
      <c r="B192" s="185">
        <f xml:space="preserve"> 'CASE DATA'!F192</f>
        <v>0</v>
      </c>
      <c r="C192" s="166">
        <f xml:space="preserve"> IF(OR(B192="DISM", B192="JWV", B192="JUV", B192="CIV"), SUM('CASE DATA'!I192:R192), 'CASE DATA'!J192+'CASE DATA'!L192+'CASE DATA'!M192+'CASE DATA'!P192+'CASE DATA'!Q192+'CASE DATA'!R192+'CASE DATA'!K192+'CASE DATA'!O192)</f>
        <v>0</v>
      </c>
      <c r="D192" s="168">
        <f xml:space="preserve"> IF(OR(B192="DISM", B192="JWV", B192="JUV", B192="CIV"), 0, 'CASE DATA'!I192+'CASE DATA'!N192)</f>
        <v>0</v>
      </c>
      <c r="E192" s="187"/>
    </row>
    <row r="193" spans="1:5" x14ac:dyDescent="0.25">
      <c r="A193" s="162">
        <f xml:space="preserve"> 'CASE DATA'!A193</f>
        <v>0</v>
      </c>
      <c r="B193" s="185">
        <f xml:space="preserve"> 'CASE DATA'!F193</f>
        <v>0</v>
      </c>
      <c r="C193" s="166">
        <f xml:space="preserve"> IF(OR(B193="DISM", B193="JWV", B193="JUV", B193="CIV"), SUM('CASE DATA'!I193:R193), 'CASE DATA'!J193+'CASE DATA'!L193+'CASE DATA'!M193+'CASE DATA'!P193+'CASE DATA'!Q193+'CASE DATA'!R193+'CASE DATA'!K193+'CASE DATA'!O193)</f>
        <v>0</v>
      </c>
      <c r="D193" s="168">
        <f xml:space="preserve"> IF(OR(B193="DISM", B193="JWV", B193="JUV", B193="CIV"), 0, 'CASE DATA'!I193+'CASE DATA'!N193)</f>
        <v>0</v>
      </c>
      <c r="E193" s="187"/>
    </row>
    <row r="194" spans="1:5" x14ac:dyDescent="0.25">
      <c r="A194" s="162">
        <f xml:space="preserve"> 'CASE DATA'!A194</f>
        <v>0</v>
      </c>
      <c r="B194" s="185">
        <f xml:space="preserve"> 'CASE DATA'!F194</f>
        <v>0</v>
      </c>
      <c r="C194" s="166">
        <f xml:space="preserve"> IF(OR(B194="DISM", B194="JWV", B194="JUV", B194="CIV"), SUM('CASE DATA'!I194:R194), 'CASE DATA'!J194+'CASE DATA'!L194+'CASE DATA'!M194+'CASE DATA'!P194+'CASE DATA'!Q194+'CASE DATA'!R194+'CASE DATA'!K194+'CASE DATA'!O194)</f>
        <v>0</v>
      </c>
      <c r="D194" s="168">
        <f xml:space="preserve"> IF(OR(B194="DISM", B194="JWV", B194="JUV", B194="CIV"), 0, 'CASE DATA'!I194+'CASE DATA'!N194)</f>
        <v>0</v>
      </c>
      <c r="E194" s="187"/>
    </row>
    <row r="195" spans="1:5" x14ac:dyDescent="0.25">
      <c r="A195" s="162">
        <f xml:space="preserve"> 'CASE DATA'!A195</f>
        <v>0</v>
      </c>
      <c r="B195" s="185">
        <f xml:space="preserve"> 'CASE DATA'!F195</f>
        <v>0</v>
      </c>
      <c r="C195" s="166">
        <f xml:space="preserve"> IF(OR(B195="DISM", B195="JWV", B195="JUV", B195="CIV"), SUM('CASE DATA'!I195:R195), 'CASE DATA'!J195+'CASE DATA'!L195+'CASE DATA'!M195+'CASE DATA'!P195+'CASE DATA'!Q195+'CASE DATA'!R195+'CASE DATA'!K195+'CASE DATA'!O195)</f>
        <v>0</v>
      </c>
      <c r="D195" s="168">
        <f xml:space="preserve"> IF(OR(B195="DISM", B195="JWV", B195="JUV", B195="CIV"), 0, 'CASE DATA'!I195+'CASE DATA'!N195)</f>
        <v>0</v>
      </c>
      <c r="E195" s="187"/>
    </row>
    <row r="196" spans="1:5" x14ac:dyDescent="0.25">
      <c r="A196" s="162">
        <f xml:space="preserve"> 'CASE DATA'!A196</f>
        <v>0</v>
      </c>
      <c r="B196" s="185">
        <f xml:space="preserve"> 'CASE DATA'!F196</f>
        <v>0</v>
      </c>
      <c r="C196" s="166">
        <f xml:space="preserve"> IF(OR(B196="DISM", B196="JWV", B196="JUV", B196="CIV"), SUM('CASE DATA'!I196:R196), 'CASE DATA'!J196+'CASE DATA'!L196+'CASE DATA'!M196+'CASE DATA'!P196+'CASE DATA'!Q196+'CASE DATA'!R196+'CASE DATA'!K196+'CASE DATA'!O196)</f>
        <v>0</v>
      </c>
      <c r="D196" s="168">
        <f xml:space="preserve"> IF(OR(B196="DISM", B196="JWV", B196="JUV", B196="CIV"), 0, 'CASE DATA'!I196+'CASE DATA'!N196)</f>
        <v>0</v>
      </c>
      <c r="E196" s="187"/>
    </row>
    <row r="197" spans="1:5" x14ac:dyDescent="0.25">
      <c r="A197" s="162">
        <f xml:space="preserve"> 'CASE DATA'!A197</f>
        <v>0</v>
      </c>
      <c r="B197" s="185">
        <f xml:space="preserve"> 'CASE DATA'!F197</f>
        <v>0</v>
      </c>
      <c r="C197" s="166">
        <f xml:space="preserve"> IF(OR(B197="DISM", B197="JWV", B197="JUV", B197="CIV"), SUM('CASE DATA'!I197:R197), 'CASE DATA'!J197+'CASE DATA'!L197+'CASE DATA'!M197+'CASE DATA'!P197+'CASE DATA'!Q197+'CASE DATA'!R197+'CASE DATA'!K197+'CASE DATA'!O197)</f>
        <v>0</v>
      </c>
      <c r="D197" s="168">
        <f xml:space="preserve"> IF(OR(B197="DISM", B197="JWV", B197="JUV", B197="CIV"), 0, 'CASE DATA'!I197+'CASE DATA'!N197)</f>
        <v>0</v>
      </c>
      <c r="E197" s="187"/>
    </row>
    <row r="198" spans="1:5" x14ac:dyDescent="0.25">
      <c r="A198" s="162">
        <f xml:space="preserve"> 'CASE DATA'!A198</f>
        <v>0</v>
      </c>
      <c r="B198" s="185">
        <f xml:space="preserve"> 'CASE DATA'!F198</f>
        <v>0</v>
      </c>
      <c r="C198" s="166">
        <f xml:space="preserve"> IF(OR(B198="DISM", B198="JWV", B198="JUV", B198="CIV"), SUM('CASE DATA'!I198:R198), 'CASE DATA'!J198+'CASE DATA'!L198+'CASE DATA'!M198+'CASE DATA'!P198+'CASE DATA'!Q198+'CASE DATA'!R198+'CASE DATA'!K198+'CASE DATA'!O198)</f>
        <v>0</v>
      </c>
      <c r="D198" s="168">
        <f xml:space="preserve"> IF(OR(B198="DISM", B198="JWV", B198="JUV", B198="CIV"), 0, 'CASE DATA'!I198+'CASE DATA'!N198)</f>
        <v>0</v>
      </c>
      <c r="E198" s="187"/>
    </row>
    <row r="199" spans="1:5" x14ac:dyDescent="0.25">
      <c r="A199" s="162">
        <f xml:space="preserve"> 'CASE DATA'!A199</f>
        <v>0</v>
      </c>
      <c r="B199" s="185">
        <f xml:space="preserve"> 'CASE DATA'!F199</f>
        <v>0</v>
      </c>
      <c r="C199" s="166">
        <f xml:space="preserve"> IF(OR(B199="DISM", B199="JWV", B199="JUV", B199="CIV"), SUM('CASE DATA'!I199:R199), 'CASE DATA'!J199+'CASE DATA'!L199+'CASE DATA'!M199+'CASE DATA'!P199+'CASE DATA'!Q199+'CASE DATA'!R199+'CASE DATA'!K199+'CASE DATA'!O199)</f>
        <v>0</v>
      </c>
      <c r="D199" s="168">
        <f xml:space="preserve"> IF(OR(B199="DISM", B199="JWV", B199="JUV", B199="CIV"), 0, 'CASE DATA'!I199+'CASE DATA'!N199)</f>
        <v>0</v>
      </c>
      <c r="E199" s="187"/>
    </row>
    <row r="200" spans="1:5" x14ac:dyDescent="0.25">
      <c r="A200" s="162">
        <f xml:space="preserve"> 'CASE DATA'!A200</f>
        <v>0</v>
      </c>
      <c r="B200" s="185">
        <f xml:space="preserve"> 'CASE DATA'!F200</f>
        <v>0</v>
      </c>
      <c r="C200" s="166">
        <f xml:space="preserve"> IF(OR(B200="DISM", B200="JWV", B200="JUV", B200="CIV"), SUM('CASE DATA'!I200:R200), 'CASE DATA'!J200+'CASE DATA'!L200+'CASE DATA'!M200+'CASE DATA'!P200+'CASE DATA'!Q200+'CASE DATA'!R200+'CASE DATA'!K200+'CASE DATA'!O200)</f>
        <v>0</v>
      </c>
      <c r="D200" s="168">
        <f xml:space="preserve"> IF(OR(B200="DISM", B200="JWV", B200="JUV", B200="CIV"), 0, 'CASE DATA'!I200+'CASE DATA'!N200)</f>
        <v>0</v>
      </c>
      <c r="E200" s="187"/>
    </row>
  </sheetData>
  <mergeCells count="3">
    <mergeCell ref="A1:B1"/>
    <mergeCell ref="A2:A3"/>
    <mergeCell ref="B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100"/>
  <sheetViews>
    <sheetView workbookViewId="0">
      <pane ySplit="1" topLeftCell="A2" activePane="bottomLeft" state="frozen"/>
      <selection pane="bottomLeft" activeCell="A6" sqref="A6"/>
    </sheetView>
  </sheetViews>
  <sheetFormatPr defaultRowHeight="15" x14ac:dyDescent="0.25"/>
  <cols>
    <col min="1" max="5" width="20.7109375" customWidth="1"/>
    <col min="6" max="6" width="14.7109375" customWidth="1"/>
  </cols>
  <sheetData>
    <row r="1" spans="1:6" x14ac:dyDescent="0.25">
      <c r="A1" s="224" t="s">
        <v>9</v>
      </c>
      <c r="B1" s="249"/>
      <c r="C1" s="18">
        <f>SUM(C4:C100)</f>
        <v>0</v>
      </c>
      <c r="D1" s="19">
        <f>SUM(D4:D100)</f>
        <v>0</v>
      </c>
      <c r="E1" s="20">
        <f>SUM(E4:E100)</f>
        <v>0</v>
      </c>
      <c r="F1" s="150">
        <f xml:space="preserve"> SUM(C1:E1)</f>
        <v>0</v>
      </c>
    </row>
    <row r="2" spans="1:6" x14ac:dyDescent="0.25">
      <c r="A2" s="248" t="s">
        <v>11</v>
      </c>
      <c r="B2" s="223" t="s">
        <v>69</v>
      </c>
      <c r="C2" s="224"/>
      <c r="D2" s="224"/>
      <c r="E2" s="224"/>
      <c r="F2" s="187"/>
    </row>
    <row r="3" spans="1:6" x14ac:dyDescent="0.25">
      <c r="A3" s="248"/>
      <c r="B3" s="143" t="s">
        <v>14</v>
      </c>
      <c r="C3" s="15" t="s">
        <v>70</v>
      </c>
      <c r="D3" s="16" t="s">
        <v>71</v>
      </c>
      <c r="E3" s="17" t="s">
        <v>72</v>
      </c>
      <c r="F3" s="150"/>
    </row>
    <row r="4" spans="1:6" x14ac:dyDescent="0.25">
      <c r="A4" s="162">
        <f xml:space="preserve"> 'CASE DATA'!A4</f>
        <v>0</v>
      </c>
      <c r="B4" s="185">
        <f xml:space="preserve"> 'CASE DATA'!F4</f>
        <v>0</v>
      </c>
      <c r="C4" s="166">
        <f>IF('CASE DATA'!C4&lt;'BASIC INFO'!$B$3-7300,'CASE DATA'!K4+'CASE DATA'!O4,0)</f>
        <v>0</v>
      </c>
      <c r="D4" s="167">
        <f>IF('CASE DATA'!C4&lt;'BASIC INFO'!$B$3-7300,'CASE DATA'!I4+'CASE DATA'!J4+'CASE DATA'!L4+'CASE DATA'!M4+'CASE DATA'!N4+'CASE DATA'!P4+'CASE DATA'!Q4+'CASE DATA'!R4,0)</f>
        <v>0</v>
      </c>
      <c r="E4" s="168">
        <f>IF('CASE DATA'!C4&gt;'BASIC INFO'!$B$3-7300,SUM('CASE DATA'!I4:'CASE DATA'!R4),0)</f>
        <v>0</v>
      </c>
      <c r="F4" s="187"/>
    </row>
    <row r="5" spans="1:6" x14ac:dyDescent="0.25">
      <c r="A5" s="162">
        <f xml:space="preserve"> 'CASE DATA'!A5</f>
        <v>0</v>
      </c>
      <c r="B5" s="185">
        <f xml:space="preserve"> 'CASE DATA'!F5</f>
        <v>0</v>
      </c>
      <c r="C5" s="166">
        <f>IF('CASE DATA'!C5&lt;'BASIC INFO'!$B$3-7300,'CASE DATA'!K5+'CASE DATA'!O5,0)</f>
        <v>0</v>
      </c>
      <c r="D5" s="167">
        <f>IF('CASE DATA'!C5&lt;'BASIC INFO'!$B$3-7300,'CASE DATA'!I5+'CASE DATA'!J5+'CASE DATA'!L5+'CASE DATA'!M5+'CASE DATA'!N5+'CASE DATA'!P5+'CASE DATA'!Q5+'CASE DATA'!R5,0)</f>
        <v>0</v>
      </c>
      <c r="E5" s="168">
        <f>IF('CASE DATA'!C5&gt;'BASIC INFO'!$B$3-7300,SUM('CASE DATA'!I5:'CASE DATA'!R5),0)</f>
        <v>0</v>
      </c>
      <c r="F5" s="187"/>
    </row>
    <row r="6" spans="1:6" x14ac:dyDescent="0.25">
      <c r="A6" s="162">
        <f xml:space="preserve"> 'CASE DATA'!A6</f>
        <v>0</v>
      </c>
      <c r="B6" s="185">
        <f xml:space="preserve"> 'CASE DATA'!F6</f>
        <v>0</v>
      </c>
      <c r="C6" s="166">
        <f>IF('CASE DATA'!C6&lt;'BASIC INFO'!$B$3-7300,'CASE DATA'!K6+'CASE DATA'!O6,0)</f>
        <v>0</v>
      </c>
      <c r="D6" s="167">
        <f>IF('CASE DATA'!C6&lt;'BASIC INFO'!$B$3-7300,'CASE DATA'!I6+'CASE DATA'!J6+'CASE DATA'!L6+'CASE DATA'!M6+'CASE DATA'!N6+'CASE DATA'!P6+'CASE DATA'!Q6+'CASE DATA'!R6,0)</f>
        <v>0</v>
      </c>
      <c r="E6" s="168">
        <f>IF('CASE DATA'!C6&gt;'BASIC INFO'!$B$3-7300,SUM('CASE DATA'!I6:'CASE DATA'!R6),0)</f>
        <v>0</v>
      </c>
      <c r="F6" s="187"/>
    </row>
    <row r="7" spans="1:6" x14ac:dyDescent="0.25">
      <c r="A7" s="162">
        <f xml:space="preserve"> 'CASE DATA'!A7</f>
        <v>0</v>
      </c>
      <c r="B7" s="185">
        <f xml:space="preserve"> 'CASE DATA'!F7</f>
        <v>0</v>
      </c>
      <c r="C7" s="166">
        <f>IF('CASE DATA'!C7&lt;'BASIC INFO'!$B$3-7300,'CASE DATA'!K7+'CASE DATA'!O7,0)</f>
        <v>0</v>
      </c>
      <c r="D7" s="167">
        <f>IF('CASE DATA'!C7&lt;'BASIC INFO'!$B$3-7300,'CASE DATA'!I7+'CASE DATA'!J7+'CASE DATA'!L7+'CASE DATA'!M7+'CASE DATA'!N7+'CASE DATA'!P7+'CASE DATA'!Q7+'CASE DATA'!R7,0)</f>
        <v>0</v>
      </c>
      <c r="E7" s="168">
        <f>IF('CASE DATA'!C7&gt;'BASIC INFO'!$B$3-7300,SUM('CASE DATA'!I7:'CASE DATA'!R7),0)</f>
        <v>0</v>
      </c>
      <c r="F7" s="187"/>
    </row>
    <row r="8" spans="1:6" x14ac:dyDescent="0.25">
      <c r="A8" s="162">
        <f xml:space="preserve"> 'CASE DATA'!A8</f>
        <v>0</v>
      </c>
      <c r="B8" s="185">
        <f xml:space="preserve"> 'CASE DATA'!F8</f>
        <v>0</v>
      </c>
      <c r="C8" s="166">
        <f>IF('CASE DATA'!C8&lt;'BASIC INFO'!$B$3-7300,'CASE DATA'!K8+'CASE DATA'!O8,0)</f>
        <v>0</v>
      </c>
      <c r="D8" s="167">
        <f>IF('CASE DATA'!C8&lt;'BASIC INFO'!$B$3-7300,'CASE DATA'!I8+'CASE DATA'!J8+'CASE DATA'!L8+'CASE DATA'!M8+'CASE DATA'!N8+'CASE DATA'!P8+'CASE DATA'!Q8+'CASE DATA'!R8,0)</f>
        <v>0</v>
      </c>
      <c r="E8" s="168">
        <f>IF('CASE DATA'!C8&gt;'BASIC INFO'!$B$3-7300,SUM('CASE DATA'!I8:'CASE DATA'!R8),0)</f>
        <v>0</v>
      </c>
      <c r="F8" s="187"/>
    </row>
    <row r="9" spans="1:6" x14ac:dyDescent="0.25">
      <c r="A9" s="162">
        <f xml:space="preserve"> 'CASE DATA'!A9</f>
        <v>0</v>
      </c>
      <c r="B9" s="185">
        <f xml:space="preserve"> 'CASE DATA'!F9</f>
        <v>0</v>
      </c>
      <c r="C9" s="166">
        <f>IF('CASE DATA'!C9&lt;'BASIC INFO'!$B$3-7300,'CASE DATA'!K9+'CASE DATA'!O9,0)</f>
        <v>0</v>
      </c>
      <c r="D9" s="167">
        <f>IF('CASE DATA'!C9&lt;'BASIC INFO'!$B$3-7300,'CASE DATA'!I9+'CASE DATA'!J9+'CASE DATA'!L9+'CASE DATA'!M9+'CASE DATA'!N9+'CASE DATA'!P9+'CASE DATA'!Q9+'CASE DATA'!R9,0)</f>
        <v>0</v>
      </c>
      <c r="E9" s="168">
        <f>IF('CASE DATA'!C9&gt;'BASIC INFO'!$B$3-7300,SUM('CASE DATA'!I9:'CASE DATA'!R9),0)</f>
        <v>0</v>
      </c>
      <c r="F9" s="187"/>
    </row>
    <row r="10" spans="1:6" x14ac:dyDescent="0.25">
      <c r="A10" s="162">
        <f xml:space="preserve"> 'CASE DATA'!A10</f>
        <v>0</v>
      </c>
      <c r="B10" s="185">
        <f xml:space="preserve"> 'CASE DATA'!F10</f>
        <v>0</v>
      </c>
      <c r="C10" s="166">
        <f>IF('CASE DATA'!C10&lt;'BASIC INFO'!$B$3-7300,'CASE DATA'!K10+'CASE DATA'!O10,0)</f>
        <v>0</v>
      </c>
      <c r="D10" s="167">
        <f>IF('CASE DATA'!C10&lt;'BASIC INFO'!$B$3-7300,'CASE DATA'!I10+'CASE DATA'!J10+'CASE DATA'!L10+'CASE DATA'!M10+'CASE DATA'!N10+'CASE DATA'!P10+'CASE DATA'!Q10+'CASE DATA'!R10,0)</f>
        <v>0</v>
      </c>
      <c r="E10" s="168">
        <f>IF('CASE DATA'!C10&gt;'BASIC INFO'!$B$3-7300,SUM('CASE DATA'!I10:'CASE DATA'!R10),0)</f>
        <v>0</v>
      </c>
      <c r="F10" s="187"/>
    </row>
    <row r="11" spans="1:6" x14ac:dyDescent="0.25">
      <c r="A11" s="162">
        <f xml:space="preserve"> 'CASE DATA'!A11</f>
        <v>0</v>
      </c>
      <c r="B11" s="185">
        <f xml:space="preserve"> 'CASE DATA'!F11</f>
        <v>0</v>
      </c>
      <c r="C11" s="166">
        <f>IF('CASE DATA'!C11&lt;'BASIC INFO'!$B$3-7300,'CASE DATA'!K11+'CASE DATA'!O11,0)</f>
        <v>0</v>
      </c>
      <c r="D11" s="167">
        <f>IF('CASE DATA'!C11&lt;'BASIC INFO'!$B$3-7300,'CASE DATA'!I11+'CASE DATA'!J11+'CASE DATA'!L11+'CASE DATA'!M11+'CASE DATA'!N11+'CASE DATA'!P11+'CASE DATA'!Q11+'CASE DATA'!R11,0)</f>
        <v>0</v>
      </c>
      <c r="E11" s="168">
        <f>IF('CASE DATA'!C11&gt;'BASIC INFO'!$B$3-7300,SUM('CASE DATA'!I11:'CASE DATA'!R11),0)</f>
        <v>0</v>
      </c>
      <c r="F11" s="187"/>
    </row>
    <row r="12" spans="1:6" x14ac:dyDescent="0.25">
      <c r="A12" s="162">
        <f xml:space="preserve"> 'CASE DATA'!A12</f>
        <v>0</v>
      </c>
      <c r="B12" s="185">
        <f xml:space="preserve"> 'CASE DATA'!F12</f>
        <v>0</v>
      </c>
      <c r="C12" s="166">
        <f>IF('CASE DATA'!C12&lt;'BASIC INFO'!$B$3-7300,'CASE DATA'!K12+'CASE DATA'!O12,0)</f>
        <v>0</v>
      </c>
      <c r="D12" s="167">
        <f>IF('CASE DATA'!C12&lt;'BASIC INFO'!$B$3-7300,'CASE DATA'!I12+'CASE DATA'!J12+'CASE DATA'!L12+'CASE DATA'!M12+'CASE DATA'!N12+'CASE DATA'!P12+'CASE DATA'!Q12+'CASE DATA'!R12,0)</f>
        <v>0</v>
      </c>
      <c r="E12" s="168">
        <f>IF('CASE DATA'!C12&gt;'BASIC INFO'!$B$3-7300,SUM('CASE DATA'!I12:'CASE DATA'!R12),0)</f>
        <v>0</v>
      </c>
      <c r="F12" s="187"/>
    </row>
    <row r="13" spans="1:6" x14ac:dyDescent="0.25">
      <c r="A13" s="162">
        <f xml:space="preserve"> 'CASE DATA'!A13</f>
        <v>0</v>
      </c>
      <c r="B13" s="185">
        <f xml:space="preserve"> 'CASE DATA'!F13</f>
        <v>0</v>
      </c>
      <c r="C13" s="166">
        <f>IF('CASE DATA'!C13&lt;'BASIC INFO'!$B$3-7300,'CASE DATA'!K13+'CASE DATA'!O13,0)</f>
        <v>0</v>
      </c>
      <c r="D13" s="167">
        <f>IF('CASE DATA'!C13&lt;'BASIC INFO'!$B$3-7300,'CASE DATA'!I13+'CASE DATA'!J13+'CASE DATA'!L13+'CASE DATA'!M13+'CASE DATA'!N13+'CASE DATA'!P13+'CASE DATA'!Q13+'CASE DATA'!R13,0)</f>
        <v>0</v>
      </c>
      <c r="E13" s="168">
        <f>IF('CASE DATA'!C13&gt;'BASIC INFO'!$B$3-7300,SUM('CASE DATA'!I13:'CASE DATA'!R13),0)</f>
        <v>0</v>
      </c>
      <c r="F13" s="187"/>
    </row>
    <row r="14" spans="1:6" x14ac:dyDescent="0.25">
      <c r="A14" s="162">
        <f xml:space="preserve"> 'CASE DATA'!A14</f>
        <v>0</v>
      </c>
      <c r="B14" s="185">
        <f xml:space="preserve"> 'CASE DATA'!F14</f>
        <v>0</v>
      </c>
      <c r="C14" s="166">
        <f>IF('CASE DATA'!C14&lt;'BASIC INFO'!$B$3-7300,'CASE DATA'!K14+'CASE DATA'!O14,0)</f>
        <v>0</v>
      </c>
      <c r="D14" s="167">
        <f>IF('CASE DATA'!C14&lt;'BASIC INFO'!$B$3-7300,'CASE DATA'!I14+'CASE DATA'!J14+'CASE DATA'!L14+'CASE DATA'!M14+'CASE DATA'!N14+'CASE DATA'!P14+'CASE DATA'!Q14+'CASE DATA'!R14,0)</f>
        <v>0</v>
      </c>
      <c r="E14" s="168">
        <f>IF('CASE DATA'!C14&gt;'BASIC INFO'!$B$3-7300,SUM('CASE DATA'!I14:'CASE DATA'!R14),0)</f>
        <v>0</v>
      </c>
      <c r="F14" s="187"/>
    </row>
    <row r="15" spans="1:6" x14ac:dyDescent="0.25">
      <c r="A15" s="162">
        <f xml:space="preserve"> 'CASE DATA'!A15</f>
        <v>0</v>
      </c>
      <c r="B15" s="185">
        <f xml:space="preserve"> 'CASE DATA'!F15</f>
        <v>0</v>
      </c>
      <c r="C15" s="166">
        <f>IF('CASE DATA'!C15&lt;'BASIC INFO'!$B$3-7300,'CASE DATA'!K15+'CASE DATA'!O15,0)</f>
        <v>0</v>
      </c>
      <c r="D15" s="167">
        <f>IF('CASE DATA'!C15&lt;'BASIC INFO'!$B$3-7300,'CASE DATA'!I15+'CASE DATA'!J15+'CASE DATA'!L15+'CASE DATA'!M15+'CASE DATA'!N15+'CASE DATA'!P15+'CASE DATA'!Q15+'CASE DATA'!R15,0)</f>
        <v>0</v>
      </c>
      <c r="E15" s="168">
        <f>IF('CASE DATA'!C15&gt;'BASIC INFO'!$B$3-7300,SUM('CASE DATA'!I15:'CASE DATA'!R15),0)</f>
        <v>0</v>
      </c>
      <c r="F15" s="187"/>
    </row>
    <row r="16" spans="1:6" x14ac:dyDescent="0.25">
      <c r="A16" s="162">
        <f xml:space="preserve"> 'CASE DATA'!A16</f>
        <v>0</v>
      </c>
      <c r="B16" s="185">
        <f xml:space="preserve"> 'CASE DATA'!F16</f>
        <v>0</v>
      </c>
      <c r="C16" s="166">
        <f>IF('CASE DATA'!C16&lt;'BASIC INFO'!$B$3-7300,'CASE DATA'!K16+'CASE DATA'!O16,0)</f>
        <v>0</v>
      </c>
      <c r="D16" s="167">
        <f>IF('CASE DATA'!C16&lt;'BASIC INFO'!$B$3-7300,'CASE DATA'!I16+'CASE DATA'!J16+'CASE DATA'!L16+'CASE DATA'!M16+'CASE DATA'!N16+'CASE DATA'!P16+'CASE DATA'!Q16+'CASE DATA'!R16,0)</f>
        <v>0</v>
      </c>
      <c r="E16" s="168">
        <f>IF('CASE DATA'!C16&gt;'BASIC INFO'!$B$3-7300,SUM('CASE DATA'!I16:'CASE DATA'!R16),0)</f>
        <v>0</v>
      </c>
      <c r="F16" s="187"/>
    </row>
    <row r="17" spans="1:6" x14ac:dyDescent="0.25">
      <c r="A17" s="162">
        <f xml:space="preserve"> 'CASE DATA'!A17</f>
        <v>0</v>
      </c>
      <c r="B17" s="185">
        <f xml:space="preserve"> 'CASE DATA'!F17</f>
        <v>0</v>
      </c>
      <c r="C17" s="166">
        <f>IF('CASE DATA'!C17&lt;'BASIC INFO'!$B$3-7300,'CASE DATA'!K17+'CASE DATA'!O17,0)</f>
        <v>0</v>
      </c>
      <c r="D17" s="167">
        <f>IF('CASE DATA'!C17&lt;'BASIC INFO'!$B$3-7300,'CASE DATA'!I17+'CASE DATA'!J17+'CASE DATA'!L17+'CASE DATA'!M17+'CASE DATA'!N17+'CASE DATA'!P17+'CASE DATA'!Q17+'CASE DATA'!R17,0)</f>
        <v>0</v>
      </c>
      <c r="E17" s="168">
        <f>IF('CASE DATA'!C17&gt;'BASIC INFO'!$B$3-7300,SUM('CASE DATA'!I17:'CASE DATA'!R17),0)</f>
        <v>0</v>
      </c>
      <c r="F17" s="187"/>
    </row>
    <row r="18" spans="1:6" x14ac:dyDescent="0.25">
      <c r="A18" s="162">
        <f xml:space="preserve"> 'CASE DATA'!A18</f>
        <v>0</v>
      </c>
      <c r="B18" s="185">
        <f xml:space="preserve"> 'CASE DATA'!F18</f>
        <v>0</v>
      </c>
      <c r="C18" s="166">
        <f>IF('CASE DATA'!C18&lt;'BASIC INFO'!$B$3-7300,'CASE DATA'!K18+'CASE DATA'!O18,0)</f>
        <v>0</v>
      </c>
      <c r="D18" s="167">
        <f>IF('CASE DATA'!C18&lt;'BASIC INFO'!$B$3-7300,'CASE DATA'!I18+'CASE DATA'!J18+'CASE DATA'!L18+'CASE DATA'!M18+'CASE DATA'!N18+'CASE DATA'!P18+'CASE DATA'!Q18+'CASE DATA'!R18,0)</f>
        <v>0</v>
      </c>
      <c r="E18" s="168">
        <f>IF('CASE DATA'!C18&gt;'BASIC INFO'!$B$3-7300,SUM('CASE DATA'!I18:'CASE DATA'!R18),0)</f>
        <v>0</v>
      </c>
      <c r="F18" s="187"/>
    </row>
    <row r="19" spans="1:6" x14ac:dyDescent="0.25">
      <c r="A19" s="162">
        <f xml:space="preserve"> 'CASE DATA'!A19</f>
        <v>0</v>
      </c>
      <c r="B19" s="185">
        <f xml:space="preserve"> 'CASE DATA'!F19</f>
        <v>0</v>
      </c>
      <c r="C19" s="166">
        <f>IF('CASE DATA'!C19&lt;'BASIC INFO'!$B$3-7300,'CASE DATA'!K19+'CASE DATA'!O19,0)</f>
        <v>0</v>
      </c>
      <c r="D19" s="167">
        <f>IF('CASE DATA'!C19&lt;'BASIC INFO'!$B$3-7300,'CASE DATA'!I19+'CASE DATA'!J19+'CASE DATA'!L19+'CASE DATA'!M19+'CASE DATA'!N19+'CASE DATA'!P19+'CASE DATA'!Q19+'CASE DATA'!R19,0)</f>
        <v>0</v>
      </c>
      <c r="E19" s="168">
        <f>IF('CASE DATA'!C19&gt;'BASIC INFO'!$B$3-7300,SUM('CASE DATA'!I19:'CASE DATA'!R19),0)</f>
        <v>0</v>
      </c>
      <c r="F19" s="187"/>
    </row>
    <row r="20" spans="1:6" x14ac:dyDescent="0.25">
      <c r="A20" s="162">
        <f xml:space="preserve"> 'CASE DATA'!A20</f>
        <v>0</v>
      </c>
      <c r="B20" s="185">
        <f xml:space="preserve"> 'CASE DATA'!F20</f>
        <v>0</v>
      </c>
      <c r="C20" s="166">
        <f>IF('CASE DATA'!C20&lt;'BASIC INFO'!$B$3-7300,'CASE DATA'!K20+'CASE DATA'!O20,0)</f>
        <v>0</v>
      </c>
      <c r="D20" s="167">
        <f>IF('CASE DATA'!C20&lt;'BASIC INFO'!$B$3-7300,'CASE DATA'!I20+'CASE DATA'!J20+'CASE DATA'!L20+'CASE DATA'!M20+'CASE DATA'!N20+'CASE DATA'!P20+'CASE DATA'!Q20+'CASE DATA'!R20,0)</f>
        <v>0</v>
      </c>
      <c r="E20" s="168">
        <f>IF('CASE DATA'!C20&gt;'BASIC INFO'!$B$3-7300,SUM('CASE DATA'!I20:'CASE DATA'!R20),0)</f>
        <v>0</v>
      </c>
      <c r="F20" s="187"/>
    </row>
    <row r="21" spans="1:6" x14ac:dyDescent="0.25">
      <c r="A21" s="162">
        <f xml:space="preserve"> 'CASE DATA'!A21</f>
        <v>0</v>
      </c>
      <c r="B21" s="185">
        <f xml:space="preserve"> 'CASE DATA'!F21</f>
        <v>0</v>
      </c>
      <c r="C21" s="166">
        <f>IF('CASE DATA'!C21&lt;'BASIC INFO'!$B$3-7300,'CASE DATA'!K21+'CASE DATA'!O21,0)</f>
        <v>0</v>
      </c>
      <c r="D21" s="167">
        <f>IF('CASE DATA'!C21&lt;'BASIC INFO'!$B$3-7300,'CASE DATA'!I21+'CASE DATA'!J21+'CASE DATA'!L21+'CASE DATA'!M21+'CASE DATA'!N21+'CASE DATA'!P21+'CASE DATA'!Q21+'CASE DATA'!R21,0)</f>
        <v>0</v>
      </c>
      <c r="E21" s="168">
        <f>IF('CASE DATA'!C21&gt;'BASIC INFO'!$B$3-7300,SUM('CASE DATA'!I21:'CASE DATA'!R21),0)</f>
        <v>0</v>
      </c>
      <c r="F21" s="187"/>
    </row>
    <row r="22" spans="1:6" x14ac:dyDescent="0.25">
      <c r="A22" s="162">
        <f xml:space="preserve"> 'CASE DATA'!A22</f>
        <v>0</v>
      </c>
      <c r="B22" s="185">
        <f xml:space="preserve"> 'CASE DATA'!F22</f>
        <v>0</v>
      </c>
      <c r="C22" s="166">
        <f>IF('CASE DATA'!C22&lt;'BASIC INFO'!$B$3-7300,'CASE DATA'!K22+'CASE DATA'!O22,0)</f>
        <v>0</v>
      </c>
      <c r="D22" s="167">
        <f>IF('CASE DATA'!C22&lt;'BASIC INFO'!$B$3-7300,'CASE DATA'!I22+'CASE DATA'!J22+'CASE DATA'!L22+'CASE DATA'!M22+'CASE DATA'!N22+'CASE DATA'!P22+'CASE DATA'!Q22+'CASE DATA'!R22,0)</f>
        <v>0</v>
      </c>
      <c r="E22" s="168">
        <f>IF('CASE DATA'!C22&gt;'BASIC INFO'!$B$3-7300,SUM('CASE DATA'!I22:'CASE DATA'!R22),0)</f>
        <v>0</v>
      </c>
      <c r="F22" s="187"/>
    </row>
    <row r="23" spans="1:6" x14ac:dyDescent="0.25">
      <c r="A23" s="162">
        <f xml:space="preserve"> 'CASE DATA'!A23</f>
        <v>0</v>
      </c>
      <c r="B23" s="185">
        <f xml:space="preserve"> 'CASE DATA'!F23</f>
        <v>0</v>
      </c>
      <c r="C23" s="166">
        <f>IF('CASE DATA'!C23&lt;'BASIC INFO'!$B$3-7300,'CASE DATA'!K23+'CASE DATA'!O23,0)</f>
        <v>0</v>
      </c>
      <c r="D23" s="167">
        <f>IF('CASE DATA'!C23&lt;'BASIC INFO'!$B$3-7300,'CASE DATA'!I23+'CASE DATA'!J23+'CASE DATA'!L23+'CASE DATA'!M23+'CASE DATA'!N23+'CASE DATA'!P23+'CASE DATA'!Q23+'CASE DATA'!R23,0)</f>
        <v>0</v>
      </c>
      <c r="E23" s="168">
        <f>IF('CASE DATA'!C23&gt;'BASIC INFO'!$B$3-7300,SUM('CASE DATA'!I23:'CASE DATA'!R23),0)</f>
        <v>0</v>
      </c>
      <c r="F23" s="187"/>
    </row>
    <row r="24" spans="1:6" x14ac:dyDescent="0.25">
      <c r="A24" s="162">
        <f xml:space="preserve"> 'CASE DATA'!A24</f>
        <v>0</v>
      </c>
      <c r="B24" s="185">
        <f xml:space="preserve"> 'CASE DATA'!F24</f>
        <v>0</v>
      </c>
      <c r="C24" s="166">
        <f>IF('CASE DATA'!C24&lt;'BASIC INFO'!$B$3-7300,'CASE DATA'!K24+'CASE DATA'!O24,0)</f>
        <v>0</v>
      </c>
      <c r="D24" s="167">
        <f>IF('CASE DATA'!C24&lt;'BASIC INFO'!$B$3-7300,'CASE DATA'!I24+'CASE DATA'!J24+'CASE DATA'!L24+'CASE DATA'!M24+'CASE DATA'!N24+'CASE DATA'!P24+'CASE DATA'!Q24+'CASE DATA'!R24,0)</f>
        <v>0</v>
      </c>
      <c r="E24" s="168">
        <f>IF('CASE DATA'!C24&gt;'BASIC INFO'!$B$3-7300,SUM('CASE DATA'!I24:'CASE DATA'!R24),0)</f>
        <v>0</v>
      </c>
      <c r="F24" s="187"/>
    </row>
    <row r="25" spans="1:6" x14ac:dyDescent="0.25">
      <c r="A25" s="162">
        <f xml:space="preserve"> 'CASE DATA'!A25</f>
        <v>0</v>
      </c>
      <c r="B25" s="185">
        <f xml:space="preserve"> 'CASE DATA'!F25</f>
        <v>0</v>
      </c>
      <c r="C25" s="166">
        <f>IF('CASE DATA'!C25&lt;'BASIC INFO'!$B$3-7300,'CASE DATA'!K25+'CASE DATA'!O25,0)</f>
        <v>0</v>
      </c>
      <c r="D25" s="167">
        <f>IF('CASE DATA'!C25&lt;'BASIC INFO'!$B$3-7300,'CASE DATA'!I25+'CASE DATA'!J25+'CASE DATA'!L25+'CASE DATA'!M25+'CASE DATA'!N25+'CASE DATA'!P25+'CASE DATA'!Q25+'CASE DATA'!R25,0)</f>
        <v>0</v>
      </c>
      <c r="E25" s="168">
        <f>IF('CASE DATA'!C25&gt;'BASIC INFO'!$B$3-7300,SUM('CASE DATA'!I25:'CASE DATA'!R25),0)</f>
        <v>0</v>
      </c>
      <c r="F25" s="187"/>
    </row>
    <row r="26" spans="1:6" x14ac:dyDescent="0.25">
      <c r="A26" s="162">
        <f xml:space="preserve"> 'CASE DATA'!A26</f>
        <v>0</v>
      </c>
      <c r="B26" s="185">
        <f xml:space="preserve"> 'CASE DATA'!F26</f>
        <v>0</v>
      </c>
      <c r="C26" s="166">
        <f>IF('CASE DATA'!C26&lt;'BASIC INFO'!$B$3-7300,'CASE DATA'!K26+'CASE DATA'!O26,0)</f>
        <v>0</v>
      </c>
      <c r="D26" s="167">
        <f>IF('CASE DATA'!C26&lt;'BASIC INFO'!$B$3-7300,'CASE DATA'!I26+'CASE DATA'!J26+'CASE DATA'!L26+'CASE DATA'!M26+'CASE DATA'!N26+'CASE DATA'!P26+'CASE DATA'!Q26+'CASE DATA'!R26,0)</f>
        <v>0</v>
      </c>
      <c r="E26" s="168">
        <f>IF('CASE DATA'!C26&gt;'BASIC INFO'!$B$3-7300,SUM('CASE DATA'!I26:'CASE DATA'!R26),0)</f>
        <v>0</v>
      </c>
      <c r="F26" s="187"/>
    </row>
    <row r="27" spans="1:6" x14ac:dyDescent="0.25">
      <c r="A27" s="162">
        <f xml:space="preserve"> 'CASE DATA'!A27</f>
        <v>0</v>
      </c>
      <c r="B27" s="185">
        <f xml:space="preserve"> 'CASE DATA'!F27</f>
        <v>0</v>
      </c>
      <c r="C27" s="166">
        <f>IF('CASE DATA'!C27&lt;'BASIC INFO'!$B$3-7300,'CASE DATA'!K27+'CASE DATA'!O27,0)</f>
        <v>0</v>
      </c>
      <c r="D27" s="167">
        <f>IF('CASE DATA'!C27&lt;'BASIC INFO'!$B$3-7300,'CASE DATA'!I27+'CASE DATA'!J27+'CASE DATA'!L27+'CASE DATA'!M27+'CASE DATA'!N27+'CASE DATA'!P27+'CASE DATA'!Q27+'CASE DATA'!R27,0)</f>
        <v>0</v>
      </c>
      <c r="E27" s="168">
        <f>IF('CASE DATA'!C27&gt;'BASIC INFO'!$B$3-7300,SUM('CASE DATA'!I27:'CASE DATA'!R27),0)</f>
        <v>0</v>
      </c>
      <c r="F27" s="187"/>
    </row>
    <row r="28" spans="1:6" x14ac:dyDescent="0.25">
      <c r="A28" s="162">
        <f xml:space="preserve"> 'CASE DATA'!A28</f>
        <v>0</v>
      </c>
      <c r="B28" s="185">
        <f xml:space="preserve"> 'CASE DATA'!F28</f>
        <v>0</v>
      </c>
      <c r="C28" s="166">
        <f>IF('CASE DATA'!C28&lt;'BASIC INFO'!$B$3-7300,'CASE DATA'!K28+'CASE DATA'!O28,0)</f>
        <v>0</v>
      </c>
      <c r="D28" s="167">
        <f>IF('CASE DATA'!C28&lt;'BASIC INFO'!$B$3-7300,'CASE DATA'!I28+'CASE DATA'!J28+'CASE DATA'!L28+'CASE DATA'!M28+'CASE DATA'!N28+'CASE DATA'!P28+'CASE DATA'!Q28+'CASE DATA'!R28,0)</f>
        <v>0</v>
      </c>
      <c r="E28" s="168">
        <f>IF('CASE DATA'!C28&gt;'BASIC INFO'!$B$3-7300,SUM('CASE DATA'!I28:'CASE DATA'!R28),0)</f>
        <v>0</v>
      </c>
      <c r="F28" s="187"/>
    </row>
    <row r="29" spans="1:6" x14ac:dyDescent="0.25">
      <c r="A29" s="162">
        <f xml:space="preserve"> 'CASE DATA'!A29</f>
        <v>0</v>
      </c>
      <c r="B29" s="185">
        <f xml:space="preserve"> 'CASE DATA'!F29</f>
        <v>0</v>
      </c>
      <c r="C29" s="166">
        <f>IF('CASE DATA'!C29&lt;'BASIC INFO'!$B$3-7300,'CASE DATA'!K29+'CASE DATA'!O29,0)</f>
        <v>0</v>
      </c>
      <c r="D29" s="167">
        <f>IF('CASE DATA'!C29&lt;'BASIC INFO'!$B$3-7300,'CASE DATA'!I29+'CASE DATA'!J29+'CASE DATA'!L29+'CASE DATA'!M29+'CASE DATA'!N29+'CASE DATA'!P29+'CASE DATA'!Q29+'CASE DATA'!R29,0)</f>
        <v>0</v>
      </c>
      <c r="E29" s="168">
        <f>IF('CASE DATA'!C29&gt;'BASIC INFO'!$B$3-7300,SUM('CASE DATA'!I29:'CASE DATA'!R29),0)</f>
        <v>0</v>
      </c>
      <c r="F29" s="187"/>
    </row>
    <row r="30" spans="1:6" x14ac:dyDescent="0.25">
      <c r="A30" s="162">
        <f xml:space="preserve"> 'CASE DATA'!A30</f>
        <v>0</v>
      </c>
      <c r="B30" s="185">
        <f xml:space="preserve"> 'CASE DATA'!F30</f>
        <v>0</v>
      </c>
      <c r="C30" s="166">
        <f>IF('CASE DATA'!C30&lt;'BASIC INFO'!$B$3-7300,'CASE DATA'!K30+'CASE DATA'!O30,0)</f>
        <v>0</v>
      </c>
      <c r="D30" s="167">
        <f>IF('CASE DATA'!C30&lt;'BASIC INFO'!$B$3-7300,'CASE DATA'!I30+'CASE DATA'!J30+'CASE DATA'!L30+'CASE DATA'!M30+'CASE DATA'!N30+'CASE DATA'!P30+'CASE DATA'!Q30+'CASE DATA'!R30,0)</f>
        <v>0</v>
      </c>
      <c r="E30" s="168">
        <f>IF('CASE DATA'!C30&gt;'BASIC INFO'!$B$3-7300,SUM('CASE DATA'!I30:'CASE DATA'!R30),0)</f>
        <v>0</v>
      </c>
      <c r="F30" s="187"/>
    </row>
    <row r="31" spans="1:6" x14ac:dyDescent="0.25">
      <c r="A31" s="162">
        <f xml:space="preserve"> 'CASE DATA'!A31</f>
        <v>0</v>
      </c>
      <c r="B31" s="185">
        <f xml:space="preserve"> 'CASE DATA'!F31</f>
        <v>0</v>
      </c>
      <c r="C31" s="166">
        <f>IF('CASE DATA'!C31&lt;'BASIC INFO'!$B$3-7300,'CASE DATA'!K31+'CASE DATA'!O31,0)</f>
        <v>0</v>
      </c>
      <c r="D31" s="167">
        <f>IF('CASE DATA'!C31&lt;'BASIC INFO'!$B$3-7300,'CASE DATA'!I31+'CASE DATA'!J31+'CASE DATA'!L31+'CASE DATA'!M31+'CASE DATA'!N31+'CASE DATA'!P31+'CASE DATA'!Q31+'CASE DATA'!R31,0)</f>
        <v>0</v>
      </c>
      <c r="E31" s="168">
        <f>IF('CASE DATA'!C31&gt;'BASIC INFO'!$B$3-7300,SUM('CASE DATA'!I31:'CASE DATA'!R31),0)</f>
        <v>0</v>
      </c>
      <c r="F31" s="187"/>
    </row>
    <row r="32" spans="1:6" x14ac:dyDescent="0.25">
      <c r="A32" s="162">
        <f xml:space="preserve"> 'CASE DATA'!A32</f>
        <v>0</v>
      </c>
      <c r="B32" s="185">
        <f xml:space="preserve"> 'CASE DATA'!F32</f>
        <v>0</v>
      </c>
      <c r="C32" s="166">
        <f>IF('CASE DATA'!C32&lt;'BASIC INFO'!$B$3-7300,'CASE DATA'!K32+'CASE DATA'!O32,0)</f>
        <v>0</v>
      </c>
      <c r="D32" s="167">
        <f>IF('CASE DATA'!C32&lt;'BASIC INFO'!$B$3-7300,'CASE DATA'!I32+'CASE DATA'!J32+'CASE DATA'!L32+'CASE DATA'!M32+'CASE DATA'!N32+'CASE DATA'!P32+'CASE DATA'!Q32+'CASE DATA'!R32,0)</f>
        <v>0</v>
      </c>
      <c r="E32" s="168">
        <f>IF('CASE DATA'!C32&gt;'BASIC INFO'!$B$3-7300,SUM('CASE DATA'!I32:'CASE DATA'!R32),0)</f>
        <v>0</v>
      </c>
      <c r="F32" s="187"/>
    </row>
    <row r="33" spans="1:6" x14ac:dyDescent="0.25">
      <c r="A33" s="162">
        <f xml:space="preserve"> 'CASE DATA'!A33</f>
        <v>0</v>
      </c>
      <c r="B33" s="185">
        <f xml:space="preserve"> 'CASE DATA'!F33</f>
        <v>0</v>
      </c>
      <c r="C33" s="166">
        <f>IF('CASE DATA'!C33&lt;'BASIC INFO'!$B$3-7300,'CASE DATA'!K33+'CASE DATA'!O33,0)</f>
        <v>0</v>
      </c>
      <c r="D33" s="167">
        <f>IF('CASE DATA'!C33&lt;'BASIC INFO'!$B$3-7300,'CASE DATA'!I33+'CASE DATA'!J33+'CASE DATA'!L33+'CASE DATA'!M33+'CASE DATA'!N33+'CASE DATA'!P33+'CASE DATA'!Q33+'CASE DATA'!R33,0)</f>
        <v>0</v>
      </c>
      <c r="E33" s="168">
        <f>IF('CASE DATA'!C33&gt;'BASIC INFO'!$B$3-7300,SUM('CASE DATA'!I33:'CASE DATA'!R33),0)</f>
        <v>0</v>
      </c>
      <c r="F33" s="187"/>
    </row>
    <row r="34" spans="1:6" x14ac:dyDescent="0.25">
      <c r="A34" s="162">
        <f xml:space="preserve"> 'CASE DATA'!A34</f>
        <v>0</v>
      </c>
      <c r="B34" s="185">
        <f xml:space="preserve"> 'CASE DATA'!F34</f>
        <v>0</v>
      </c>
      <c r="C34" s="166">
        <f>IF('CASE DATA'!C34&lt;'BASIC INFO'!$B$3-7300,'CASE DATA'!K34+'CASE DATA'!O34,0)</f>
        <v>0</v>
      </c>
      <c r="D34" s="167">
        <f>IF('CASE DATA'!C34&lt;'BASIC INFO'!$B$3-7300,'CASE DATA'!I34+'CASE DATA'!J34+'CASE DATA'!L34+'CASE DATA'!M34+'CASE DATA'!N34+'CASE DATA'!P34+'CASE DATA'!Q34+'CASE DATA'!R34,0)</f>
        <v>0</v>
      </c>
      <c r="E34" s="168">
        <f>IF('CASE DATA'!C34&gt;'BASIC INFO'!$B$3-7300,SUM('CASE DATA'!I34:'CASE DATA'!R34),0)</f>
        <v>0</v>
      </c>
      <c r="F34" s="187"/>
    </row>
    <row r="35" spans="1:6" x14ac:dyDescent="0.25">
      <c r="A35" s="162">
        <f xml:space="preserve"> 'CASE DATA'!A35</f>
        <v>0</v>
      </c>
      <c r="B35" s="185">
        <f xml:space="preserve"> 'CASE DATA'!F35</f>
        <v>0</v>
      </c>
      <c r="C35" s="166">
        <f>IF('CASE DATA'!C35&lt;'BASIC INFO'!$B$3-7300,'CASE DATA'!K35+'CASE DATA'!O35,0)</f>
        <v>0</v>
      </c>
      <c r="D35" s="167">
        <f>IF('CASE DATA'!C35&lt;'BASIC INFO'!$B$3-7300,'CASE DATA'!I35+'CASE DATA'!J35+'CASE DATA'!L35+'CASE DATA'!M35+'CASE DATA'!N35+'CASE DATA'!P35+'CASE DATA'!Q35+'CASE DATA'!R35,0)</f>
        <v>0</v>
      </c>
      <c r="E35" s="168">
        <f>IF('CASE DATA'!C35&gt;'BASIC INFO'!$B$3-7300,SUM('CASE DATA'!I35:'CASE DATA'!R35),0)</f>
        <v>0</v>
      </c>
      <c r="F35" s="187"/>
    </row>
    <row r="36" spans="1:6" x14ac:dyDescent="0.25">
      <c r="A36" s="162">
        <f xml:space="preserve"> 'CASE DATA'!A36</f>
        <v>0</v>
      </c>
      <c r="B36" s="185">
        <f xml:space="preserve"> 'CASE DATA'!F36</f>
        <v>0</v>
      </c>
      <c r="C36" s="166">
        <f>IF('CASE DATA'!C36&lt;'BASIC INFO'!$B$3-7300,'CASE DATA'!K36+'CASE DATA'!O36,0)</f>
        <v>0</v>
      </c>
      <c r="D36" s="167">
        <f>IF('CASE DATA'!C36&lt;'BASIC INFO'!$B$3-7300,'CASE DATA'!I36+'CASE DATA'!J36+'CASE DATA'!L36+'CASE DATA'!M36+'CASE DATA'!N36+'CASE DATA'!P36+'CASE DATA'!Q36+'CASE DATA'!R36,0)</f>
        <v>0</v>
      </c>
      <c r="E36" s="168">
        <f>IF('CASE DATA'!C36&gt;'BASIC INFO'!$B$3-7300,SUM('CASE DATA'!I36:'CASE DATA'!R36),0)</f>
        <v>0</v>
      </c>
      <c r="F36" s="187"/>
    </row>
    <row r="37" spans="1:6" x14ac:dyDescent="0.25">
      <c r="A37" s="162">
        <f xml:space="preserve"> 'CASE DATA'!A37</f>
        <v>0</v>
      </c>
      <c r="B37" s="185">
        <f xml:space="preserve"> 'CASE DATA'!F37</f>
        <v>0</v>
      </c>
      <c r="C37" s="166">
        <f>IF('CASE DATA'!C37&lt;'BASIC INFO'!$B$3-7300,'CASE DATA'!K37+'CASE DATA'!O37,0)</f>
        <v>0</v>
      </c>
      <c r="D37" s="167">
        <f>IF('CASE DATA'!C37&lt;'BASIC INFO'!$B$3-7300,'CASE DATA'!I37+'CASE DATA'!J37+'CASE DATA'!L37+'CASE DATA'!M37+'CASE DATA'!N37+'CASE DATA'!P37+'CASE DATA'!Q37+'CASE DATA'!R37,0)</f>
        <v>0</v>
      </c>
      <c r="E37" s="168">
        <f>IF('CASE DATA'!C37&gt;'BASIC INFO'!$B$3-7300,SUM('CASE DATA'!I37:'CASE DATA'!R37),0)</f>
        <v>0</v>
      </c>
      <c r="F37" s="187"/>
    </row>
    <row r="38" spans="1:6" x14ac:dyDescent="0.25">
      <c r="A38" s="162">
        <f xml:space="preserve"> 'CASE DATA'!A38</f>
        <v>0</v>
      </c>
      <c r="B38" s="185">
        <f xml:space="preserve"> 'CASE DATA'!F38</f>
        <v>0</v>
      </c>
      <c r="C38" s="166">
        <f>IF('CASE DATA'!C38&lt;'BASIC INFO'!$B$3-7300,'CASE DATA'!K38+'CASE DATA'!O38,0)</f>
        <v>0</v>
      </c>
      <c r="D38" s="167">
        <f>IF('CASE DATA'!C38&lt;'BASIC INFO'!$B$3-7300,'CASE DATA'!I38+'CASE DATA'!J38+'CASE DATA'!L38+'CASE DATA'!M38+'CASE DATA'!N38+'CASE DATA'!P38+'CASE DATA'!Q38+'CASE DATA'!R38,0)</f>
        <v>0</v>
      </c>
      <c r="E38" s="168">
        <f>IF('CASE DATA'!C38&gt;'BASIC INFO'!$B$3-7300,SUM('CASE DATA'!I38:'CASE DATA'!R38),0)</f>
        <v>0</v>
      </c>
      <c r="F38" s="187"/>
    </row>
    <row r="39" spans="1:6" x14ac:dyDescent="0.25">
      <c r="A39" s="162">
        <f xml:space="preserve"> 'CASE DATA'!A39</f>
        <v>0</v>
      </c>
      <c r="B39" s="185">
        <f xml:space="preserve"> 'CASE DATA'!F39</f>
        <v>0</v>
      </c>
      <c r="C39" s="166">
        <f>IF('CASE DATA'!C39&lt;'BASIC INFO'!$B$3-7300,'CASE DATA'!K39+'CASE DATA'!O39,0)</f>
        <v>0</v>
      </c>
      <c r="D39" s="167">
        <f>IF('CASE DATA'!C39&lt;'BASIC INFO'!$B$3-7300,'CASE DATA'!I39+'CASE DATA'!J39+'CASE DATA'!L39+'CASE DATA'!M39+'CASE DATA'!N39+'CASE DATA'!P39+'CASE DATA'!Q39+'CASE DATA'!R39,0)</f>
        <v>0</v>
      </c>
      <c r="E39" s="168">
        <f>IF('CASE DATA'!C39&gt;'BASIC INFO'!$B$3-7300,SUM('CASE DATA'!I39:'CASE DATA'!R39),0)</f>
        <v>0</v>
      </c>
      <c r="F39" s="187"/>
    </row>
    <row r="40" spans="1:6" x14ac:dyDescent="0.25">
      <c r="A40" s="162">
        <f xml:space="preserve"> 'CASE DATA'!A40</f>
        <v>0</v>
      </c>
      <c r="B40" s="185">
        <f xml:space="preserve"> 'CASE DATA'!F40</f>
        <v>0</v>
      </c>
      <c r="C40" s="166">
        <f>IF('CASE DATA'!C40&lt;'BASIC INFO'!$B$3-7300,'CASE DATA'!K40+'CASE DATA'!O40,0)</f>
        <v>0</v>
      </c>
      <c r="D40" s="167">
        <f>IF('CASE DATA'!C40&lt;'BASIC INFO'!$B$3-7300,'CASE DATA'!I40+'CASE DATA'!J40+'CASE DATA'!L40+'CASE DATA'!M40+'CASE DATA'!N40+'CASE DATA'!P40+'CASE DATA'!Q40+'CASE DATA'!R40,0)</f>
        <v>0</v>
      </c>
      <c r="E40" s="168">
        <f>IF('CASE DATA'!C40&gt;'BASIC INFO'!$B$3-7300,SUM('CASE DATA'!I40:'CASE DATA'!R40),0)</f>
        <v>0</v>
      </c>
      <c r="F40" s="187"/>
    </row>
    <row r="41" spans="1:6" x14ac:dyDescent="0.25">
      <c r="A41" s="162">
        <f xml:space="preserve"> 'CASE DATA'!A41</f>
        <v>0</v>
      </c>
      <c r="B41" s="185">
        <f xml:space="preserve"> 'CASE DATA'!F41</f>
        <v>0</v>
      </c>
      <c r="C41" s="166">
        <f>IF('CASE DATA'!C41&lt;'BASIC INFO'!$B$3-7300,'CASE DATA'!K41+'CASE DATA'!O41,0)</f>
        <v>0</v>
      </c>
      <c r="D41" s="167">
        <f>IF('CASE DATA'!C41&lt;'BASIC INFO'!$B$3-7300,'CASE DATA'!I41+'CASE DATA'!J41+'CASE DATA'!L41+'CASE DATA'!M41+'CASE DATA'!N41+'CASE DATA'!P41+'CASE DATA'!Q41+'CASE DATA'!R41,0)</f>
        <v>0</v>
      </c>
      <c r="E41" s="168">
        <f>IF('CASE DATA'!C41&gt;'BASIC INFO'!$B$3-7300,SUM('CASE DATA'!I41:'CASE DATA'!R41),0)</f>
        <v>0</v>
      </c>
      <c r="F41" s="187"/>
    </row>
    <row r="42" spans="1:6" x14ac:dyDescent="0.25">
      <c r="A42" s="162">
        <f xml:space="preserve"> 'CASE DATA'!A42</f>
        <v>0</v>
      </c>
      <c r="B42" s="185">
        <f xml:space="preserve"> 'CASE DATA'!F42</f>
        <v>0</v>
      </c>
      <c r="C42" s="166">
        <f>IF('CASE DATA'!C42&lt;'BASIC INFO'!$B$3-7300,'CASE DATA'!K42+'CASE DATA'!O42,0)</f>
        <v>0</v>
      </c>
      <c r="D42" s="167">
        <f>IF('CASE DATA'!C42&lt;'BASIC INFO'!$B$3-7300,'CASE DATA'!I42+'CASE DATA'!J42+'CASE DATA'!L42+'CASE DATA'!M42+'CASE DATA'!N42+'CASE DATA'!P42+'CASE DATA'!Q42+'CASE DATA'!R42,0)</f>
        <v>0</v>
      </c>
      <c r="E42" s="168">
        <f>IF('CASE DATA'!C42&gt;'BASIC INFO'!$B$3-7300,SUM('CASE DATA'!I42:'CASE DATA'!R42),0)</f>
        <v>0</v>
      </c>
      <c r="F42" s="187"/>
    </row>
    <row r="43" spans="1:6" x14ac:dyDescent="0.25">
      <c r="A43" s="162">
        <f xml:space="preserve"> 'CASE DATA'!A43</f>
        <v>0</v>
      </c>
      <c r="B43" s="185">
        <f xml:space="preserve"> 'CASE DATA'!F43</f>
        <v>0</v>
      </c>
      <c r="C43" s="166">
        <f>IF('CASE DATA'!C43&lt;'BASIC INFO'!$B$3-7300,'CASE DATA'!K43+'CASE DATA'!O43,0)</f>
        <v>0</v>
      </c>
      <c r="D43" s="167">
        <f>IF('CASE DATA'!C43&lt;'BASIC INFO'!$B$3-7300,'CASE DATA'!I43+'CASE DATA'!J43+'CASE DATA'!L43+'CASE DATA'!M43+'CASE DATA'!N43+'CASE DATA'!P43+'CASE DATA'!Q43+'CASE DATA'!R43,0)</f>
        <v>0</v>
      </c>
      <c r="E43" s="168">
        <f>IF('CASE DATA'!C43&gt;'BASIC INFO'!$B$3-7300,SUM('CASE DATA'!I43:'CASE DATA'!R43),0)</f>
        <v>0</v>
      </c>
      <c r="F43" s="187"/>
    </row>
    <row r="44" spans="1:6" x14ac:dyDescent="0.25">
      <c r="A44" s="162">
        <f xml:space="preserve"> 'CASE DATA'!A44</f>
        <v>0</v>
      </c>
      <c r="B44" s="185">
        <f xml:space="preserve"> 'CASE DATA'!F44</f>
        <v>0</v>
      </c>
      <c r="C44" s="166">
        <f>IF('CASE DATA'!C44&lt;'BASIC INFO'!$B$3-7300,'CASE DATA'!K44+'CASE DATA'!O44,0)</f>
        <v>0</v>
      </c>
      <c r="D44" s="167">
        <f>IF('CASE DATA'!C44&lt;'BASIC INFO'!$B$3-7300,'CASE DATA'!I44+'CASE DATA'!J44+'CASE DATA'!L44+'CASE DATA'!M44+'CASE DATA'!N44+'CASE DATA'!P44+'CASE DATA'!Q44+'CASE DATA'!R44,0)</f>
        <v>0</v>
      </c>
      <c r="E44" s="168">
        <f>IF('CASE DATA'!C44&gt;'BASIC INFO'!$B$3-7300,SUM('CASE DATA'!I44:'CASE DATA'!R44),0)</f>
        <v>0</v>
      </c>
      <c r="F44" s="187"/>
    </row>
    <row r="45" spans="1:6" x14ac:dyDescent="0.25">
      <c r="A45" s="162">
        <f xml:space="preserve"> 'CASE DATA'!A45</f>
        <v>0</v>
      </c>
      <c r="B45" s="185">
        <f xml:space="preserve"> 'CASE DATA'!F45</f>
        <v>0</v>
      </c>
      <c r="C45" s="166">
        <f>IF('CASE DATA'!C45&lt;'BASIC INFO'!$B$3-7300,'CASE DATA'!K45+'CASE DATA'!O45,0)</f>
        <v>0</v>
      </c>
      <c r="D45" s="167">
        <f>IF('CASE DATA'!C45&lt;'BASIC INFO'!$B$3-7300,'CASE DATA'!I45+'CASE DATA'!J45+'CASE DATA'!L45+'CASE DATA'!M45+'CASE DATA'!N45+'CASE DATA'!P45+'CASE DATA'!Q45+'CASE DATA'!R45,0)</f>
        <v>0</v>
      </c>
      <c r="E45" s="168">
        <f>IF('CASE DATA'!C45&gt;'BASIC INFO'!$B$3-7300,SUM('CASE DATA'!I45:'CASE DATA'!R45),0)</f>
        <v>0</v>
      </c>
      <c r="F45" s="150"/>
    </row>
    <row r="46" spans="1:6" x14ac:dyDescent="0.25">
      <c r="A46" s="162">
        <f xml:space="preserve"> 'CASE DATA'!A46</f>
        <v>0</v>
      </c>
      <c r="B46" s="185">
        <f xml:space="preserve"> 'CASE DATA'!F46</f>
        <v>0</v>
      </c>
      <c r="C46" s="166">
        <f>IF('CASE DATA'!C46&lt;'BASIC INFO'!$B$3-7300,'CASE DATA'!K46+'CASE DATA'!O46,0)</f>
        <v>0</v>
      </c>
      <c r="D46" s="167">
        <f>IF('CASE DATA'!C46&lt;'BASIC INFO'!$B$3-7300,'CASE DATA'!I46+'CASE DATA'!J46+'CASE DATA'!L46+'CASE DATA'!M46+'CASE DATA'!N46+'CASE DATA'!P46+'CASE DATA'!Q46+'CASE DATA'!R46,0)</f>
        <v>0</v>
      </c>
      <c r="E46" s="168">
        <f>IF('CASE DATA'!C46&gt;'BASIC INFO'!$B$3-7300,SUM('CASE DATA'!I46:'CASE DATA'!R46),0)</f>
        <v>0</v>
      </c>
      <c r="F46" s="187"/>
    </row>
    <row r="47" spans="1:6" x14ac:dyDescent="0.25">
      <c r="A47" s="162">
        <f xml:space="preserve"> 'CASE DATA'!A47</f>
        <v>0</v>
      </c>
      <c r="B47" s="185">
        <f xml:space="preserve"> 'CASE DATA'!F47</f>
        <v>0</v>
      </c>
      <c r="C47" s="166">
        <f>IF('CASE DATA'!C47&lt;'BASIC INFO'!$B$3-7300,'CASE DATA'!K47+'CASE DATA'!O47,0)</f>
        <v>0</v>
      </c>
      <c r="D47" s="167">
        <f>IF('CASE DATA'!C47&lt;'BASIC INFO'!$B$3-7300,'CASE DATA'!I47+'CASE DATA'!J47+'CASE DATA'!L47+'CASE DATA'!M47+'CASE DATA'!N47+'CASE DATA'!P47+'CASE DATA'!Q47+'CASE DATA'!R47,0)</f>
        <v>0</v>
      </c>
      <c r="E47" s="168">
        <f>IF('CASE DATA'!C47&gt;'BASIC INFO'!$B$3-7300,SUM('CASE DATA'!I47:'CASE DATA'!R47),0)</f>
        <v>0</v>
      </c>
      <c r="F47" s="187"/>
    </row>
    <row r="48" spans="1:6" x14ac:dyDescent="0.25">
      <c r="A48" s="162">
        <f xml:space="preserve"> 'CASE DATA'!A48</f>
        <v>0</v>
      </c>
      <c r="B48" s="185">
        <f xml:space="preserve"> 'CASE DATA'!F48</f>
        <v>0</v>
      </c>
      <c r="C48" s="166">
        <f>IF('CASE DATA'!C48&lt;'BASIC INFO'!$B$3-7300,'CASE DATA'!K48+'CASE DATA'!O48,0)</f>
        <v>0</v>
      </c>
      <c r="D48" s="167">
        <f>IF('CASE DATA'!C48&lt;'BASIC INFO'!$B$3-7300,'CASE DATA'!I48+'CASE DATA'!J48+'CASE DATA'!L48+'CASE DATA'!M48+'CASE DATA'!N48+'CASE DATA'!P48+'CASE DATA'!Q48+'CASE DATA'!R48,0)</f>
        <v>0</v>
      </c>
      <c r="E48" s="168">
        <f>IF('CASE DATA'!C48&gt;'BASIC INFO'!$B$3-7300,SUM('CASE DATA'!I48:'CASE DATA'!R48),0)</f>
        <v>0</v>
      </c>
      <c r="F48" s="187"/>
    </row>
    <row r="49" spans="1:6" x14ac:dyDescent="0.25">
      <c r="A49" s="162">
        <f xml:space="preserve"> 'CASE DATA'!A49</f>
        <v>0</v>
      </c>
      <c r="B49" s="185">
        <f xml:space="preserve"> 'CASE DATA'!F49</f>
        <v>0</v>
      </c>
      <c r="C49" s="166">
        <f>IF('CASE DATA'!C49&lt;'BASIC INFO'!$B$3-7300,'CASE DATA'!K49+'CASE DATA'!O49,0)</f>
        <v>0</v>
      </c>
      <c r="D49" s="167">
        <f>IF('CASE DATA'!C49&lt;'BASIC INFO'!$B$3-7300,'CASE DATA'!I49+'CASE DATA'!J49+'CASE DATA'!L49+'CASE DATA'!M49+'CASE DATA'!N49+'CASE DATA'!P49+'CASE DATA'!Q49+'CASE DATA'!R49,0)</f>
        <v>0</v>
      </c>
      <c r="E49" s="168">
        <f>IF('CASE DATA'!C49&gt;'BASIC INFO'!$B$3-7300,SUM('CASE DATA'!I49:'CASE DATA'!R49),0)</f>
        <v>0</v>
      </c>
      <c r="F49" s="187"/>
    </row>
    <row r="50" spans="1:6" x14ac:dyDescent="0.25">
      <c r="A50" s="162">
        <f xml:space="preserve"> 'CASE DATA'!A50</f>
        <v>0</v>
      </c>
      <c r="B50" s="185">
        <f xml:space="preserve"> 'CASE DATA'!F50</f>
        <v>0</v>
      </c>
      <c r="C50" s="166">
        <f>IF('CASE DATA'!C50&lt;'BASIC INFO'!$B$3-7300,'CASE DATA'!K50+'CASE DATA'!O50,0)</f>
        <v>0</v>
      </c>
      <c r="D50" s="167">
        <f>IF('CASE DATA'!C50&lt;'BASIC INFO'!$B$3-7300,'CASE DATA'!I50+'CASE DATA'!J50+'CASE DATA'!L50+'CASE DATA'!M50+'CASE DATA'!N50+'CASE DATA'!P50+'CASE DATA'!Q50+'CASE DATA'!R50,0)</f>
        <v>0</v>
      </c>
      <c r="E50" s="168">
        <f>IF('CASE DATA'!C50&gt;'BASIC INFO'!$B$3-7300,SUM('CASE DATA'!I50:'CASE DATA'!R50),0)</f>
        <v>0</v>
      </c>
      <c r="F50" s="187"/>
    </row>
    <row r="51" spans="1:6" x14ac:dyDescent="0.25">
      <c r="A51" s="162">
        <f xml:space="preserve"> 'CASE DATA'!A51</f>
        <v>0</v>
      </c>
      <c r="B51" s="185">
        <f xml:space="preserve"> 'CASE DATA'!F51</f>
        <v>0</v>
      </c>
      <c r="C51" s="166">
        <f>IF('CASE DATA'!C51&lt;'BASIC INFO'!$B$3-7300,'CASE DATA'!K51+'CASE DATA'!O51,0)</f>
        <v>0</v>
      </c>
      <c r="D51" s="167">
        <f>IF('CASE DATA'!C51&lt;'BASIC INFO'!$B$3-7300,'CASE DATA'!I51+'CASE DATA'!J51+'CASE DATA'!L51+'CASE DATA'!M51+'CASE DATA'!N51+'CASE DATA'!P51+'CASE DATA'!Q51+'CASE DATA'!R51,0)</f>
        <v>0</v>
      </c>
      <c r="E51" s="168">
        <f>IF('CASE DATA'!C51&gt;'BASIC INFO'!$B$3-7300,SUM('CASE DATA'!I51:'CASE DATA'!R51),0)</f>
        <v>0</v>
      </c>
      <c r="F51" s="187"/>
    </row>
    <row r="52" spans="1:6" x14ac:dyDescent="0.25">
      <c r="A52" s="162">
        <f xml:space="preserve"> 'CASE DATA'!A52</f>
        <v>0</v>
      </c>
      <c r="B52" s="185">
        <f xml:space="preserve"> 'CASE DATA'!F52</f>
        <v>0</v>
      </c>
      <c r="C52" s="166">
        <f>IF('CASE DATA'!C52&lt;'BASIC INFO'!$B$3-7300,'CASE DATA'!K52+'CASE DATA'!O52,0)</f>
        <v>0</v>
      </c>
      <c r="D52" s="167">
        <f>IF('CASE DATA'!C52&lt;'BASIC INFO'!$B$3-7300,'CASE DATA'!I52+'CASE DATA'!J52+'CASE DATA'!L52+'CASE DATA'!M52+'CASE DATA'!N52+'CASE DATA'!P52+'CASE DATA'!Q52+'CASE DATA'!R52,0)</f>
        <v>0</v>
      </c>
      <c r="E52" s="168">
        <f>IF('CASE DATA'!C52&gt;'BASIC INFO'!$B$3-7300,SUM('CASE DATA'!I52:'CASE DATA'!R52),0)</f>
        <v>0</v>
      </c>
      <c r="F52" s="187"/>
    </row>
    <row r="53" spans="1:6" x14ac:dyDescent="0.25">
      <c r="A53" s="162">
        <f xml:space="preserve"> 'CASE DATA'!A53</f>
        <v>0</v>
      </c>
      <c r="B53" s="185">
        <f xml:space="preserve"> 'CASE DATA'!F53</f>
        <v>0</v>
      </c>
      <c r="C53" s="166">
        <f>IF('CASE DATA'!C53&lt;'BASIC INFO'!$B$3-7300,'CASE DATA'!K53+'CASE DATA'!O53,0)</f>
        <v>0</v>
      </c>
      <c r="D53" s="167">
        <f>IF('CASE DATA'!C53&lt;'BASIC INFO'!$B$3-7300,'CASE DATA'!I53+'CASE DATA'!J53+'CASE DATA'!L53+'CASE DATA'!M53+'CASE DATA'!N53+'CASE DATA'!P53+'CASE DATA'!Q53+'CASE DATA'!R53,0)</f>
        <v>0</v>
      </c>
      <c r="E53" s="168">
        <f>IF('CASE DATA'!C53&gt;'BASIC INFO'!$B$3-7300,SUM('CASE DATA'!I53:'CASE DATA'!R53),0)</f>
        <v>0</v>
      </c>
      <c r="F53" s="187"/>
    </row>
    <row r="54" spans="1:6" x14ac:dyDescent="0.25">
      <c r="A54" s="162">
        <f xml:space="preserve"> 'CASE DATA'!A54</f>
        <v>0</v>
      </c>
      <c r="B54" s="185">
        <f xml:space="preserve"> 'CASE DATA'!F54</f>
        <v>0</v>
      </c>
      <c r="C54" s="166">
        <f>IF('CASE DATA'!C54&lt;'BASIC INFO'!$B$3-7300,'CASE DATA'!K54+'CASE DATA'!O54,0)</f>
        <v>0</v>
      </c>
      <c r="D54" s="167">
        <f>IF('CASE DATA'!C54&lt;'BASIC INFO'!$B$3-7300,'CASE DATA'!I54+'CASE DATA'!J54+'CASE DATA'!L54+'CASE DATA'!M54+'CASE DATA'!N54+'CASE DATA'!P54+'CASE DATA'!Q54+'CASE DATA'!R54,0)</f>
        <v>0</v>
      </c>
      <c r="E54" s="168">
        <f>IF('CASE DATA'!C54&gt;'BASIC INFO'!$B$3-7300,SUM('CASE DATA'!I54:'CASE DATA'!R54),0)</f>
        <v>0</v>
      </c>
      <c r="F54" s="187"/>
    </row>
    <row r="55" spans="1:6" x14ac:dyDescent="0.25">
      <c r="A55" s="162">
        <f xml:space="preserve"> 'CASE DATA'!A55</f>
        <v>0</v>
      </c>
      <c r="B55" s="185">
        <f xml:space="preserve"> 'CASE DATA'!F55</f>
        <v>0</v>
      </c>
      <c r="C55" s="166">
        <f>IF('CASE DATA'!C55&lt;'BASIC INFO'!$B$3-7300,'CASE DATA'!K55+'CASE DATA'!O55,0)</f>
        <v>0</v>
      </c>
      <c r="D55" s="167">
        <f>IF('CASE DATA'!C55&lt;'BASIC INFO'!$B$3-7300,'CASE DATA'!I55+'CASE DATA'!J55+'CASE DATA'!L55+'CASE DATA'!M55+'CASE DATA'!N55+'CASE DATA'!P55+'CASE DATA'!Q55+'CASE DATA'!R55,0)</f>
        <v>0</v>
      </c>
      <c r="E55" s="168">
        <f>IF('CASE DATA'!C55&gt;'BASIC INFO'!$B$3-7300,SUM('CASE DATA'!I55:'CASE DATA'!R55),0)</f>
        <v>0</v>
      </c>
      <c r="F55" s="187"/>
    </row>
    <row r="56" spans="1:6" x14ac:dyDescent="0.25">
      <c r="A56" s="162">
        <f xml:space="preserve"> 'CASE DATA'!A56</f>
        <v>0</v>
      </c>
      <c r="B56" s="185">
        <f xml:space="preserve"> 'CASE DATA'!F56</f>
        <v>0</v>
      </c>
      <c r="C56" s="166">
        <f>IF('CASE DATA'!C56&lt;'BASIC INFO'!$B$3-7300,'CASE DATA'!K56+'CASE DATA'!O56,0)</f>
        <v>0</v>
      </c>
      <c r="D56" s="167">
        <f>IF('CASE DATA'!C56&lt;'BASIC INFO'!$B$3-7300,'CASE DATA'!I56+'CASE DATA'!J56+'CASE DATA'!L56+'CASE DATA'!M56+'CASE DATA'!N56+'CASE DATA'!P56+'CASE DATA'!Q56+'CASE DATA'!R56,0)</f>
        <v>0</v>
      </c>
      <c r="E56" s="168">
        <f>IF('CASE DATA'!C56&gt;'BASIC INFO'!$B$3-7300,SUM('CASE DATA'!I56:'CASE DATA'!R56),0)</f>
        <v>0</v>
      </c>
      <c r="F56" s="187"/>
    </row>
    <row r="57" spans="1:6" x14ac:dyDescent="0.25">
      <c r="A57" s="162">
        <f xml:space="preserve"> 'CASE DATA'!A57</f>
        <v>0</v>
      </c>
      <c r="B57" s="185">
        <f xml:space="preserve"> 'CASE DATA'!F57</f>
        <v>0</v>
      </c>
      <c r="C57" s="166">
        <f>IF('CASE DATA'!C57&lt;'BASIC INFO'!$B$3-7300,'CASE DATA'!K57+'CASE DATA'!O57,0)</f>
        <v>0</v>
      </c>
      <c r="D57" s="167">
        <f>IF('CASE DATA'!C57&lt;'BASIC INFO'!$B$3-7300,'CASE DATA'!I57+'CASE DATA'!J57+'CASE DATA'!L57+'CASE DATA'!M57+'CASE DATA'!N57+'CASE DATA'!P57+'CASE DATA'!Q57+'CASE DATA'!R57,0)</f>
        <v>0</v>
      </c>
      <c r="E57" s="168">
        <f>IF('CASE DATA'!C57&gt;'BASIC INFO'!$B$3-7300,SUM('CASE DATA'!I57:'CASE DATA'!R57),0)</f>
        <v>0</v>
      </c>
      <c r="F57" s="187"/>
    </row>
    <row r="58" spans="1:6" x14ac:dyDescent="0.25">
      <c r="A58" s="162">
        <f xml:space="preserve"> 'CASE DATA'!A58</f>
        <v>0</v>
      </c>
      <c r="B58" s="185">
        <f xml:space="preserve"> 'CASE DATA'!F58</f>
        <v>0</v>
      </c>
      <c r="C58" s="166">
        <f>IF('CASE DATA'!C58&lt;'BASIC INFO'!$B$3-7300,'CASE DATA'!K58+'CASE DATA'!O58,0)</f>
        <v>0</v>
      </c>
      <c r="D58" s="167">
        <f>IF('CASE DATA'!C58&lt;'BASIC INFO'!$B$3-7300,'CASE DATA'!I58+'CASE DATA'!J58+'CASE DATA'!L58+'CASE DATA'!M58+'CASE DATA'!N58+'CASE DATA'!P58+'CASE DATA'!Q58+'CASE DATA'!R58,0)</f>
        <v>0</v>
      </c>
      <c r="E58" s="168">
        <f>IF('CASE DATA'!C58&gt;'BASIC INFO'!$B$3-7300,SUM('CASE DATA'!I58:'CASE DATA'!R58),0)</f>
        <v>0</v>
      </c>
      <c r="F58" s="187"/>
    </row>
    <row r="59" spans="1:6" x14ac:dyDescent="0.25">
      <c r="A59" s="162">
        <f xml:space="preserve"> 'CASE DATA'!A59</f>
        <v>0</v>
      </c>
      <c r="B59" s="185">
        <f xml:space="preserve"> 'CASE DATA'!F59</f>
        <v>0</v>
      </c>
      <c r="C59" s="166">
        <f>IF('CASE DATA'!C59&lt;'BASIC INFO'!$B$3-7300,'CASE DATA'!K59+'CASE DATA'!O59,0)</f>
        <v>0</v>
      </c>
      <c r="D59" s="167">
        <f>IF('CASE DATA'!C59&lt;'BASIC INFO'!$B$3-7300,'CASE DATA'!I59+'CASE DATA'!J59+'CASE DATA'!L59+'CASE DATA'!M59+'CASE DATA'!N59+'CASE DATA'!P59+'CASE DATA'!Q59+'CASE DATA'!R59,0)</f>
        <v>0</v>
      </c>
      <c r="E59" s="168">
        <f>IF('CASE DATA'!C59&gt;'BASIC INFO'!$B$3-7300,SUM('CASE DATA'!I59:'CASE DATA'!R59),0)</f>
        <v>0</v>
      </c>
      <c r="F59" s="187"/>
    </row>
    <row r="60" spans="1:6" x14ac:dyDescent="0.25">
      <c r="A60" s="162">
        <f xml:space="preserve"> 'CASE DATA'!A60</f>
        <v>0</v>
      </c>
      <c r="B60" s="185">
        <f xml:space="preserve"> 'CASE DATA'!F60</f>
        <v>0</v>
      </c>
      <c r="C60" s="166">
        <f>IF('CASE DATA'!C60&lt;'BASIC INFO'!$B$3-7300,'CASE DATA'!K60+'CASE DATA'!O60,0)</f>
        <v>0</v>
      </c>
      <c r="D60" s="167">
        <f>IF('CASE DATA'!C60&lt;'BASIC INFO'!$B$3-7300,'CASE DATA'!I60+'CASE DATA'!J60+'CASE DATA'!L60+'CASE DATA'!M60+'CASE DATA'!N60+'CASE DATA'!P60+'CASE DATA'!Q60+'CASE DATA'!R60,0)</f>
        <v>0</v>
      </c>
      <c r="E60" s="168">
        <f>IF('CASE DATA'!C60&gt;'BASIC INFO'!$B$3-7300,SUM('CASE DATA'!I60:'CASE DATA'!R60),0)</f>
        <v>0</v>
      </c>
      <c r="F60" s="187"/>
    </row>
    <row r="61" spans="1:6" x14ac:dyDescent="0.25">
      <c r="A61" s="162">
        <f xml:space="preserve"> 'CASE DATA'!A61</f>
        <v>0</v>
      </c>
      <c r="B61" s="185">
        <f xml:space="preserve"> 'CASE DATA'!F61</f>
        <v>0</v>
      </c>
      <c r="C61" s="166">
        <f>IF('CASE DATA'!C61&lt;'BASIC INFO'!$B$3-7300,'CASE DATA'!K61+'CASE DATA'!O61,0)</f>
        <v>0</v>
      </c>
      <c r="D61" s="167">
        <f>IF('CASE DATA'!C61&lt;'BASIC INFO'!$B$3-7300,'CASE DATA'!I61+'CASE DATA'!J61+'CASE DATA'!L61+'CASE DATA'!M61+'CASE DATA'!N61+'CASE DATA'!P61+'CASE DATA'!Q61+'CASE DATA'!R61,0)</f>
        <v>0</v>
      </c>
      <c r="E61" s="168">
        <f>IF('CASE DATA'!C61&gt;'BASIC INFO'!$B$3-7300,SUM('CASE DATA'!I61:'CASE DATA'!R61),0)</f>
        <v>0</v>
      </c>
      <c r="F61" s="187"/>
    </row>
    <row r="62" spans="1:6" x14ac:dyDescent="0.25">
      <c r="A62" s="162">
        <f xml:space="preserve"> 'CASE DATA'!A62</f>
        <v>0</v>
      </c>
      <c r="B62" s="185">
        <f xml:space="preserve"> 'CASE DATA'!F62</f>
        <v>0</v>
      </c>
      <c r="C62" s="166">
        <f>IF('CASE DATA'!C62&lt;'BASIC INFO'!$B$3-7300,'CASE DATA'!K62+'CASE DATA'!O62,0)</f>
        <v>0</v>
      </c>
      <c r="D62" s="167">
        <f>IF('CASE DATA'!C62&lt;'BASIC INFO'!$B$3-7300,'CASE DATA'!I62+'CASE DATA'!J62+'CASE DATA'!L62+'CASE DATA'!M62+'CASE DATA'!N62+'CASE DATA'!P62+'CASE DATA'!Q62+'CASE DATA'!R62,0)</f>
        <v>0</v>
      </c>
      <c r="E62" s="168">
        <f>IF('CASE DATA'!C62&gt;'BASIC INFO'!$B$3-7300,SUM('CASE DATA'!I62:'CASE DATA'!R62),0)</f>
        <v>0</v>
      </c>
      <c r="F62" s="187"/>
    </row>
    <row r="63" spans="1:6" x14ac:dyDescent="0.25">
      <c r="A63" s="162">
        <f xml:space="preserve"> 'CASE DATA'!A63</f>
        <v>0</v>
      </c>
      <c r="B63" s="185">
        <f xml:space="preserve"> 'CASE DATA'!F63</f>
        <v>0</v>
      </c>
      <c r="C63" s="166">
        <f>IF('CASE DATA'!C63&lt;'BASIC INFO'!$B$3-7300,'CASE DATA'!K63+'CASE DATA'!O63,0)</f>
        <v>0</v>
      </c>
      <c r="D63" s="167">
        <f>IF('CASE DATA'!C63&lt;'BASIC INFO'!$B$3-7300,'CASE DATA'!I63+'CASE DATA'!J63+'CASE DATA'!L63+'CASE DATA'!M63+'CASE DATA'!N63+'CASE DATA'!P63+'CASE DATA'!Q63+'CASE DATA'!R63,0)</f>
        <v>0</v>
      </c>
      <c r="E63" s="168">
        <f>IF('CASE DATA'!C63&gt;'BASIC INFO'!$B$3-7300,SUM('CASE DATA'!I63:'CASE DATA'!R63),0)</f>
        <v>0</v>
      </c>
      <c r="F63" s="187"/>
    </row>
    <row r="64" spans="1:6" x14ac:dyDescent="0.25">
      <c r="A64" s="162">
        <f xml:space="preserve"> 'CASE DATA'!A64</f>
        <v>0</v>
      </c>
      <c r="B64" s="185">
        <f xml:space="preserve"> 'CASE DATA'!F64</f>
        <v>0</v>
      </c>
      <c r="C64" s="166">
        <f>IF('CASE DATA'!C64&lt;'BASIC INFO'!$B$3-7300,'CASE DATA'!K64+'CASE DATA'!O64,0)</f>
        <v>0</v>
      </c>
      <c r="D64" s="167">
        <f>IF('CASE DATA'!C64&lt;'BASIC INFO'!$B$3-7300,'CASE DATA'!I64+'CASE DATA'!J64+'CASE DATA'!L64+'CASE DATA'!M64+'CASE DATA'!N64+'CASE DATA'!P64+'CASE DATA'!Q64+'CASE DATA'!R64,0)</f>
        <v>0</v>
      </c>
      <c r="E64" s="168">
        <f>IF('CASE DATA'!C64&gt;'BASIC INFO'!$B$3-7300,SUM('CASE DATA'!I64:'CASE DATA'!R64),0)</f>
        <v>0</v>
      </c>
      <c r="F64" s="187"/>
    </row>
    <row r="65" spans="1:6" x14ac:dyDescent="0.25">
      <c r="A65" s="162">
        <f xml:space="preserve"> 'CASE DATA'!A65</f>
        <v>0</v>
      </c>
      <c r="B65" s="185">
        <f xml:space="preserve"> 'CASE DATA'!F65</f>
        <v>0</v>
      </c>
      <c r="C65" s="166">
        <f>IF('CASE DATA'!C65&lt;'BASIC INFO'!$B$3-7300,'CASE DATA'!K65+'CASE DATA'!O65,0)</f>
        <v>0</v>
      </c>
      <c r="D65" s="167">
        <f>IF('CASE DATA'!C65&lt;'BASIC INFO'!$B$3-7300,'CASE DATA'!I65+'CASE DATA'!J65+'CASE DATA'!L65+'CASE DATA'!M65+'CASE DATA'!N65+'CASE DATA'!P65+'CASE DATA'!Q65+'CASE DATA'!R65,0)</f>
        <v>0</v>
      </c>
      <c r="E65" s="168">
        <f>IF('CASE DATA'!C65&gt;'BASIC INFO'!$B$3-7300,SUM('CASE DATA'!I65:'CASE DATA'!R65),0)</f>
        <v>0</v>
      </c>
      <c r="F65" s="187"/>
    </row>
    <row r="66" spans="1:6" x14ac:dyDescent="0.25">
      <c r="A66" s="162">
        <f xml:space="preserve"> 'CASE DATA'!A66</f>
        <v>0</v>
      </c>
      <c r="B66" s="185">
        <f xml:space="preserve"> 'CASE DATA'!F66</f>
        <v>0</v>
      </c>
      <c r="C66" s="166">
        <f>IF('CASE DATA'!C66&lt;'BASIC INFO'!$B$3-7300,'CASE DATA'!K66+'CASE DATA'!O66,0)</f>
        <v>0</v>
      </c>
      <c r="D66" s="167">
        <f>IF('CASE DATA'!C66&lt;'BASIC INFO'!$B$3-7300,'CASE DATA'!I66+'CASE DATA'!J66+'CASE DATA'!L66+'CASE DATA'!M66+'CASE DATA'!N66+'CASE DATA'!P66+'CASE DATA'!Q66+'CASE DATA'!R66,0)</f>
        <v>0</v>
      </c>
      <c r="E66" s="168">
        <f>IF('CASE DATA'!C66&gt;'BASIC INFO'!$B$3-7300,SUM('CASE DATA'!I66:'CASE DATA'!R66),0)</f>
        <v>0</v>
      </c>
      <c r="F66" s="187"/>
    </row>
    <row r="67" spans="1:6" x14ac:dyDescent="0.25">
      <c r="A67" s="162">
        <f xml:space="preserve"> 'CASE DATA'!A67</f>
        <v>0</v>
      </c>
      <c r="B67" s="185">
        <f xml:space="preserve"> 'CASE DATA'!F67</f>
        <v>0</v>
      </c>
      <c r="C67" s="166">
        <f>IF('CASE DATA'!C67&lt;'BASIC INFO'!$B$3-7300,'CASE DATA'!K67+'CASE DATA'!O67,0)</f>
        <v>0</v>
      </c>
      <c r="D67" s="167">
        <f>IF('CASE DATA'!C67&lt;'BASIC INFO'!$B$3-7300,'CASE DATA'!I67+'CASE DATA'!J67+'CASE DATA'!L67+'CASE DATA'!M67+'CASE DATA'!N67+'CASE DATA'!P67+'CASE DATA'!Q67+'CASE DATA'!R67,0)</f>
        <v>0</v>
      </c>
      <c r="E67" s="168">
        <f>IF('CASE DATA'!C67&gt;'BASIC INFO'!$B$3-7300,SUM('CASE DATA'!I67:'CASE DATA'!R67),0)</f>
        <v>0</v>
      </c>
      <c r="F67" s="187"/>
    </row>
    <row r="68" spans="1:6" x14ac:dyDescent="0.25">
      <c r="A68" s="162">
        <f xml:space="preserve"> 'CASE DATA'!A68</f>
        <v>0</v>
      </c>
      <c r="B68" s="185">
        <f xml:space="preserve"> 'CASE DATA'!F68</f>
        <v>0</v>
      </c>
      <c r="C68" s="166">
        <f>IF('CASE DATA'!C68&lt;'BASIC INFO'!$B$3-7300,'CASE DATA'!K68+'CASE DATA'!O68,0)</f>
        <v>0</v>
      </c>
      <c r="D68" s="167">
        <f>IF('CASE DATA'!C68&lt;'BASIC INFO'!$B$3-7300,'CASE DATA'!I68+'CASE DATA'!J68+'CASE DATA'!L68+'CASE DATA'!M68+'CASE DATA'!N68+'CASE DATA'!P68+'CASE DATA'!Q68+'CASE DATA'!R68,0)</f>
        <v>0</v>
      </c>
      <c r="E68" s="168">
        <f>IF('CASE DATA'!C68&gt;'BASIC INFO'!$B$3-7300,SUM('CASE DATA'!I68:'CASE DATA'!R68),0)</f>
        <v>0</v>
      </c>
      <c r="F68" s="187"/>
    </row>
    <row r="69" spans="1:6" x14ac:dyDescent="0.25">
      <c r="A69" s="162">
        <f xml:space="preserve"> 'CASE DATA'!A69</f>
        <v>0</v>
      </c>
      <c r="B69" s="185">
        <f xml:space="preserve"> 'CASE DATA'!F69</f>
        <v>0</v>
      </c>
      <c r="C69" s="166">
        <f>IF('CASE DATA'!C69&lt;'BASIC INFO'!$B$3-7300,'CASE DATA'!K69+'CASE DATA'!O69,0)</f>
        <v>0</v>
      </c>
      <c r="D69" s="167">
        <f>IF('CASE DATA'!C69&lt;'BASIC INFO'!$B$3-7300,'CASE DATA'!I69+'CASE DATA'!J69+'CASE DATA'!L69+'CASE DATA'!M69+'CASE DATA'!N69+'CASE DATA'!P69+'CASE DATA'!Q69+'CASE DATA'!R69,0)</f>
        <v>0</v>
      </c>
      <c r="E69" s="168">
        <f>IF('CASE DATA'!C69&gt;'BASIC INFO'!$B$3-7300,SUM('CASE DATA'!I69:'CASE DATA'!R69),0)</f>
        <v>0</v>
      </c>
      <c r="F69" s="187"/>
    </row>
    <row r="70" spans="1:6" x14ac:dyDescent="0.25">
      <c r="A70" s="162">
        <f xml:space="preserve"> 'CASE DATA'!A70</f>
        <v>0</v>
      </c>
      <c r="B70" s="185">
        <f xml:space="preserve"> 'CASE DATA'!F70</f>
        <v>0</v>
      </c>
      <c r="C70" s="166">
        <f>IF('CASE DATA'!C70&lt;'BASIC INFO'!$B$3-7300,'CASE DATA'!K70+'CASE DATA'!O70,0)</f>
        <v>0</v>
      </c>
      <c r="D70" s="167">
        <f>IF('CASE DATA'!C70&lt;'BASIC INFO'!$B$3-7300,'CASE DATA'!I70+'CASE DATA'!J70+'CASE DATA'!L70+'CASE DATA'!M70+'CASE DATA'!N70+'CASE DATA'!P70+'CASE DATA'!Q70+'CASE DATA'!R70,0)</f>
        <v>0</v>
      </c>
      <c r="E70" s="168">
        <f>IF('CASE DATA'!C70&gt;'BASIC INFO'!$B$3-7300,SUM('CASE DATA'!I70:'CASE DATA'!R70),0)</f>
        <v>0</v>
      </c>
      <c r="F70" s="187"/>
    </row>
    <row r="71" spans="1:6" x14ac:dyDescent="0.25">
      <c r="A71" s="162">
        <f xml:space="preserve"> 'CASE DATA'!A71</f>
        <v>0</v>
      </c>
      <c r="B71" s="185">
        <f xml:space="preserve"> 'CASE DATA'!F71</f>
        <v>0</v>
      </c>
      <c r="C71" s="166">
        <f>IF('CASE DATA'!C71&lt;'BASIC INFO'!$B$3-7300,'CASE DATA'!K71+'CASE DATA'!O71,0)</f>
        <v>0</v>
      </c>
      <c r="D71" s="167">
        <f>IF('CASE DATA'!C71&lt;'BASIC INFO'!$B$3-7300,'CASE DATA'!I71+'CASE DATA'!J71+'CASE DATA'!L71+'CASE DATA'!M71+'CASE DATA'!N71+'CASE DATA'!P71+'CASE DATA'!Q71+'CASE DATA'!R71,0)</f>
        <v>0</v>
      </c>
      <c r="E71" s="168">
        <f>IF('CASE DATA'!C71&gt;'BASIC INFO'!$B$3-7300,SUM('CASE DATA'!I71:'CASE DATA'!R71),0)</f>
        <v>0</v>
      </c>
      <c r="F71" s="187"/>
    </row>
    <row r="72" spans="1:6" x14ac:dyDescent="0.25">
      <c r="A72" s="162">
        <f xml:space="preserve"> 'CASE DATA'!A72</f>
        <v>0</v>
      </c>
      <c r="B72" s="185">
        <f xml:space="preserve"> 'CASE DATA'!F72</f>
        <v>0</v>
      </c>
      <c r="C72" s="166">
        <f>IF('CASE DATA'!C72&lt;'BASIC INFO'!$B$3-7300,'CASE DATA'!K72+'CASE DATA'!O72,0)</f>
        <v>0</v>
      </c>
      <c r="D72" s="167">
        <f>IF('CASE DATA'!C72&lt;'BASIC INFO'!$B$3-7300,'CASE DATA'!I72+'CASE DATA'!J72+'CASE DATA'!L72+'CASE DATA'!M72+'CASE DATA'!N72+'CASE DATA'!P72+'CASE DATA'!Q72+'CASE DATA'!R72,0)</f>
        <v>0</v>
      </c>
      <c r="E72" s="168">
        <f>IF('CASE DATA'!C72&gt;'BASIC INFO'!$B$3-7300,SUM('CASE DATA'!I72:'CASE DATA'!R72),0)</f>
        <v>0</v>
      </c>
      <c r="F72" s="187"/>
    </row>
    <row r="73" spans="1:6" x14ac:dyDescent="0.25">
      <c r="A73" s="162">
        <f xml:space="preserve"> 'CASE DATA'!A73</f>
        <v>0</v>
      </c>
      <c r="B73" s="185">
        <f xml:space="preserve"> 'CASE DATA'!F73</f>
        <v>0</v>
      </c>
      <c r="C73" s="166">
        <f>IF('CASE DATA'!C73&lt;'BASIC INFO'!$B$3-7300,'CASE DATA'!K73+'CASE DATA'!O73,0)</f>
        <v>0</v>
      </c>
      <c r="D73" s="167">
        <f>IF('CASE DATA'!C73&lt;'BASIC INFO'!$B$3-7300,'CASE DATA'!I73+'CASE DATA'!J73+'CASE DATA'!L73+'CASE DATA'!M73+'CASE DATA'!N73+'CASE DATA'!P73+'CASE DATA'!Q73+'CASE DATA'!R73,0)</f>
        <v>0</v>
      </c>
      <c r="E73" s="168">
        <f>IF('CASE DATA'!C73&gt;'BASIC INFO'!$B$3-7300,SUM('CASE DATA'!I73:'CASE DATA'!R73),0)</f>
        <v>0</v>
      </c>
      <c r="F73" s="187"/>
    </row>
    <row r="74" spans="1:6" x14ac:dyDescent="0.25">
      <c r="A74" s="162">
        <f xml:space="preserve"> 'CASE DATA'!A74</f>
        <v>0</v>
      </c>
      <c r="B74" s="185">
        <f xml:space="preserve"> 'CASE DATA'!F74</f>
        <v>0</v>
      </c>
      <c r="C74" s="166">
        <f>IF('CASE DATA'!C74&lt;'BASIC INFO'!$B$3-7300,'CASE DATA'!K74+'CASE DATA'!O74,0)</f>
        <v>0</v>
      </c>
      <c r="D74" s="167">
        <f>IF('CASE DATA'!C74&lt;'BASIC INFO'!$B$3-7300,'CASE DATA'!I74+'CASE DATA'!J74+'CASE DATA'!L74+'CASE DATA'!M74+'CASE DATA'!N74+'CASE DATA'!P74+'CASE DATA'!Q74+'CASE DATA'!R74,0)</f>
        <v>0</v>
      </c>
      <c r="E74" s="168">
        <f>IF('CASE DATA'!C74&gt;'BASIC INFO'!$B$3-7300,SUM('CASE DATA'!I74:'CASE DATA'!R74),0)</f>
        <v>0</v>
      </c>
      <c r="F74" s="187"/>
    </row>
    <row r="75" spans="1:6" x14ac:dyDescent="0.25">
      <c r="A75" s="162">
        <f xml:space="preserve"> 'CASE DATA'!A75</f>
        <v>0</v>
      </c>
      <c r="B75" s="185">
        <f xml:space="preserve"> 'CASE DATA'!F75</f>
        <v>0</v>
      </c>
      <c r="C75" s="166">
        <f>IF('CASE DATA'!C75&lt;'BASIC INFO'!$B$3-7300,'CASE DATA'!K75+'CASE DATA'!O75,0)</f>
        <v>0</v>
      </c>
      <c r="D75" s="167">
        <f>IF('CASE DATA'!C75&lt;'BASIC INFO'!$B$3-7300,'CASE DATA'!I75+'CASE DATA'!J75+'CASE DATA'!L75+'CASE DATA'!M75+'CASE DATA'!N75+'CASE DATA'!P75+'CASE DATA'!Q75+'CASE DATA'!R75,0)</f>
        <v>0</v>
      </c>
      <c r="E75" s="168">
        <f>IF('CASE DATA'!C75&gt;'BASIC INFO'!$B$3-7300,SUM('CASE DATA'!I75:'CASE DATA'!R75),0)</f>
        <v>0</v>
      </c>
      <c r="F75" s="187"/>
    </row>
    <row r="76" spans="1:6" x14ac:dyDescent="0.25">
      <c r="A76" s="162">
        <f xml:space="preserve"> 'CASE DATA'!A76</f>
        <v>0</v>
      </c>
      <c r="B76" s="185">
        <f xml:space="preserve"> 'CASE DATA'!F76</f>
        <v>0</v>
      </c>
      <c r="C76" s="166">
        <f>IF('CASE DATA'!C76&lt;'BASIC INFO'!$B$3-7300,'CASE DATA'!K76+'CASE DATA'!O76,0)</f>
        <v>0</v>
      </c>
      <c r="D76" s="167">
        <f>IF('CASE DATA'!C76&lt;'BASIC INFO'!$B$3-7300,'CASE DATA'!I76+'CASE DATA'!J76+'CASE DATA'!L76+'CASE DATA'!M76+'CASE DATA'!N76+'CASE DATA'!P76+'CASE DATA'!Q76+'CASE DATA'!R76,0)</f>
        <v>0</v>
      </c>
      <c r="E76" s="168">
        <f>IF('CASE DATA'!C76&gt;'BASIC INFO'!$B$3-7300,SUM('CASE DATA'!I76:'CASE DATA'!R76),0)</f>
        <v>0</v>
      </c>
      <c r="F76" s="187"/>
    </row>
    <row r="77" spans="1:6" x14ac:dyDescent="0.25">
      <c r="A77" s="162">
        <f xml:space="preserve"> 'CASE DATA'!A77</f>
        <v>0</v>
      </c>
      <c r="B77" s="185">
        <f xml:space="preserve"> 'CASE DATA'!F77</f>
        <v>0</v>
      </c>
      <c r="C77" s="166">
        <f>IF('CASE DATA'!C77&lt;'BASIC INFO'!$B$3-7300,'CASE DATA'!K77+'CASE DATA'!O77,0)</f>
        <v>0</v>
      </c>
      <c r="D77" s="167">
        <f>IF('CASE DATA'!C77&lt;'BASIC INFO'!$B$3-7300,'CASE DATA'!I77+'CASE DATA'!J77+'CASE DATA'!L77+'CASE DATA'!M77+'CASE DATA'!N77+'CASE DATA'!P77+'CASE DATA'!Q77+'CASE DATA'!R77,0)</f>
        <v>0</v>
      </c>
      <c r="E77" s="168">
        <f>IF('CASE DATA'!C77&gt;'BASIC INFO'!$B$3-7300,SUM('CASE DATA'!I77:'CASE DATA'!R77),0)</f>
        <v>0</v>
      </c>
      <c r="F77" s="187"/>
    </row>
    <row r="78" spans="1:6" x14ac:dyDescent="0.25">
      <c r="A78" s="162">
        <f xml:space="preserve"> 'CASE DATA'!A78</f>
        <v>0</v>
      </c>
      <c r="B78" s="185">
        <f xml:space="preserve"> 'CASE DATA'!F78</f>
        <v>0</v>
      </c>
      <c r="C78" s="166">
        <f>IF('CASE DATA'!C78&lt;'BASIC INFO'!$B$3-7300,'CASE DATA'!K78+'CASE DATA'!O78,0)</f>
        <v>0</v>
      </c>
      <c r="D78" s="167">
        <f>IF('CASE DATA'!C78&lt;'BASIC INFO'!$B$3-7300,'CASE DATA'!I78+'CASE DATA'!J78+'CASE DATA'!L78+'CASE DATA'!M78+'CASE DATA'!N78+'CASE DATA'!P78+'CASE DATA'!Q78+'CASE DATA'!R78,0)</f>
        <v>0</v>
      </c>
      <c r="E78" s="168">
        <f>IF('CASE DATA'!C78&gt;'BASIC INFO'!$B$3-7300,SUM('CASE DATA'!I78:'CASE DATA'!R78),0)</f>
        <v>0</v>
      </c>
      <c r="F78" s="187"/>
    </row>
    <row r="79" spans="1:6" x14ac:dyDescent="0.25">
      <c r="A79" s="162">
        <f xml:space="preserve"> 'CASE DATA'!A79</f>
        <v>0</v>
      </c>
      <c r="B79" s="185">
        <f xml:space="preserve"> 'CASE DATA'!F79</f>
        <v>0</v>
      </c>
      <c r="C79" s="166">
        <f>IF('CASE DATA'!C79&lt;'BASIC INFO'!$B$3-7300,'CASE DATA'!K79+'CASE DATA'!O79,0)</f>
        <v>0</v>
      </c>
      <c r="D79" s="167">
        <f>IF('CASE DATA'!C79&lt;'BASIC INFO'!$B$3-7300,'CASE DATA'!I79+'CASE DATA'!J79+'CASE DATA'!L79+'CASE DATA'!M79+'CASE DATA'!N79+'CASE DATA'!P79+'CASE DATA'!Q79+'CASE DATA'!R79,0)</f>
        <v>0</v>
      </c>
      <c r="E79" s="168">
        <f>IF('CASE DATA'!C79&gt;'BASIC INFO'!$B$3-7300,SUM('CASE DATA'!I79:'CASE DATA'!R79),0)</f>
        <v>0</v>
      </c>
      <c r="F79" s="187"/>
    </row>
    <row r="80" spans="1:6" x14ac:dyDescent="0.25">
      <c r="A80" s="162">
        <f xml:space="preserve"> 'CASE DATA'!A80</f>
        <v>0</v>
      </c>
      <c r="B80" s="185">
        <f xml:space="preserve"> 'CASE DATA'!F80</f>
        <v>0</v>
      </c>
      <c r="C80" s="166">
        <f>IF('CASE DATA'!C80&lt;'BASIC INFO'!$B$3-7300,'CASE DATA'!K80+'CASE DATA'!O80,0)</f>
        <v>0</v>
      </c>
      <c r="D80" s="167">
        <f>IF('CASE DATA'!C80&lt;'BASIC INFO'!$B$3-7300,'CASE DATA'!I80+'CASE DATA'!J80+'CASE DATA'!L80+'CASE DATA'!M80+'CASE DATA'!N80+'CASE DATA'!P80+'CASE DATA'!Q80+'CASE DATA'!R80,0)</f>
        <v>0</v>
      </c>
      <c r="E80" s="168">
        <f>IF('CASE DATA'!C80&gt;'BASIC INFO'!$B$3-7300,SUM('CASE DATA'!I80:'CASE DATA'!R80),0)</f>
        <v>0</v>
      </c>
      <c r="F80" s="187"/>
    </row>
    <row r="81" spans="1:6" x14ac:dyDescent="0.25">
      <c r="A81" s="162">
        <f xml:space="preserve"> 'CASE DATA'!A81</f>
        <v>0</v>
      </c>
      <c r="B81" s="185">
        <f xml:space="preserve"> 'CASE DATA'!F81</f>
        <v>0</v>
      </c>
      <c r="C81" s="166">
        <f>IF('CASE DATA'!C81&lt;'BASIC INFO'!$B$3-7300,'CASE DATA'!K81+'CASE DATA'!O81,0)</f>
        <v>0</v>
      </c>
      <c r="D81" s="167">
        <f>IF('CASE DATA'!C81&lt;'BASIC INFO'!$B$3-7300,'CASE DATA'!I81+'CASE DATA'!J81+'CASE DATA'!L81+'CASE DATA'!M81+'CASE DATA'!N81+'CASE DATA'!P81+'CASE DATA'!Q81+'CASE DATA'!R81,0)</f>
        <v>0</v>
      </c>
      <c r="E81" s="168">
        <f>IF('CASE DATA'!C81&gt;'BASIC INFO'!$B$3-7300,SUM('CASE DATA'!I81:'CASE DATA'!R81),0)</f>
        <v>0</v>
      </c>
      <c r="F81" s="187"/>
    </row>
    <row r="82" spans="1:6" x14ac:dyDescent="0.25">
      <c r="A82" s="162">
        <f xml:space="preserve"> 'CASE DATA'!A82</f>
        <v>0</v>
      </c>
      <c r="B82" s="185">
        <f xml:space="preserve"> 'CASE DATA'!F82</f>
        <v>0</v>
      </c>
      <c r="C82" s="166">
        <f>IF('CASE DATA'!C82&lt;'BASIC INFO'!$B$3-7300,'CASE DATA'!K82+'CASE DATA'!O82,0)</f>
        <v>0</v>
      </c>
      <c r="D82" s="167">
        <f>IF('CASE DATA'!C82&lt;'BASIC INFO'!$B$3-7300,'CASE DATA'!I82+'CASE DATA'!J82+'CASE DATA'!L82+'CASE DATA'!M82+'CASE DATA'!N82+'CASE DATA'!P82+'CASE DATA'!Q82+'CASE DATA'!R82,0)</f>
        <v>0</v>
      </c>
      <c r="E82" s="168">
        <f>IF('CASE DATA'!C82&gt;'BASIC INFO'!$B$3-7300,SUM('CASE DATA'!I82:'CASE DATA'!R82),0)</f>
        <v>0</v>
      </c>
      <c r="F82" s="187"/>
    </row>
    <row r="83" spans="1:6" x14ac:dyDescent="0.25">
      <c r="A83" s="162">
        <f xml:space="preserve"> 'CASE DATA'!A83</f>
        <v>0</v>
      </c>
      <c r="B83" s="185">
        <f xml:space="preserve"> 'CASE DATA'!F83</f>
        <v>0</v>
      </c>
      <c r="C83" s="166">
        <f>IF('CASE DATA'!C83&lt;'BASIC INFO'!$B$3-7300,'CASE DATA'!K83+'CASE DATA'!O83,0)</f>
        <v>0</v>
      </c>
      <c r="D83" s="167">
        <f>IF('CASE DATA'!C83&lt;'BASIC INFO'!$B$3-7300,'CASE DATA'!I83+'CASE DATA'!J83+'CASE DATA'!L83+'CASE DATA'!M83+'CASE DATA'!N83+'CASE DATA'!P83+'CASE DATA'!Q83+'CASE DATA'!R83,0)</f>
        <v>0</v>
      </c>
      <c r="E83" s="168">
        <f>IF('CASE DATA'!C83&gt;'BASIC INFO'!$B$3-7300,SUM('CASE DATA'!I83:'CASE DATA'!R83),0)</f>
        <v>0</v>
      </c>
      <c r="F83" s="187"/>
    </row>
    <row r="84" spans="1:6" x14ac:dyDescent="0.25">
      <c r="A84" s="162">
        <f xml:space="preserve"> 'CASE DATA'!A84</f>
        <v>0</v>
      </c>
      <c r="B84" s="185">
        <f xml:space="preserve"> 'CASE DATA'!F84</f>
        <v>0</v>
      </c>
      <c r="C84" s="166">
        <f>IF('CASE DATA'!C84&lt;'BASIC INFO'!$B$3-7300,'CASE DATA'!K84+'CASE DATA'!O84,0)</f>
        <v>0</v>
      </c>
      <c r="D84" s="167">
        <f>IF('CASE DATA'!C84&lt;'BASIC INFO'!$B$3-7300,'CASE DATA'!I84+'CASE DATA'!J84+'CASE DATA'!L84+'CASE DATA'!M84+'CASE DATA'!N84+'CASE DATA'!P84+'CASE DATA'!Q84+'CASE DATA'!R84,0)</f>
        <v>0</v>
      </c>
      <c r="E84" s="168">
        <f>IF('CASE DATA'!C84&gt;'BASIC INFO'!$B$3-7300,SUM('CASE DATA'!I84:'CASE DATA'!R84),0)</f>
        <v>0</v>
      </c>
      <c r="F84" s="187"/>
    </row>
    <row r="85" spans="1:6" x14ac:dyDescent="0.25">
      <c r="A85" s="162">
        <f xml:space="preserve"> 'CASE DATA'!A85</f>
        <v>0</v>
      </c>
      <c r="B85" s="185">
        <f xml:space="preserve"> 'CASE DATA'!F85</f>
        <v>0</v>
      </c>
      <c r="C85" s="166">
        <f>IF('CASE DATA'!C85&lt;'BASIC INFO'!$B$3-7300,'CASE DATA'!K85+'CASE DATA'!O85,0)</f>
        <v>0</v>
      </c>
      <c r="D85" s="167">
        <f>IF('CASE DATA'!C85&lt;'BASIC INFO'!$B$3-7300,'CASE DATA'!I85+'CASE DATA'!J85+'CASE DATA'!L85+'CASE DATA'!M85+'CASE DATA'!N85+'CASE DATA'!P85+'CASE DATA'!Q85+'CASE DATA'!R85,0)</f>
        <v>0</v>
      </c>
      <c r="E85" s="168">
        <f>IF('CASE DATA'!C85&gt;'BASIC INFO'!$B$3-7300,SUM('CASE DATA'!I85:'CASE DATA'!R85),0)</f>
        <v>0</v>
      </c>
      <c r="F85" s="187"/>
    </row>
    <row r="86" spans="1:6" x14ac:dyDescent="0.25">
      <c r="A86" s="162">
        <f xml:space="preserve"> 'CASE DATA'!A86</f>
        <v>0</v>
      </c>
      <c r="B86" s="185">
        <f xml:space="preserve"> 'CASE DATA'!F86</f>
        <v>0</v>
      </c>
      <c r="C86" s="166">
        <f>IF('CASE DATA'!C86&lt;'BASIC INFO'!$B$3-7300,'CASE DATA'!K86+'CASE DATA'!O86,0)</f>
        <v>0</v>
      </c>
      <c r="D86" s="167">
        <f>IF('CASE DATA'!C86&lt;'BASIC INFO'!$B$3-7300,'CASE DATA'!I86+'CASE DATA'!J86+'CASE DATA'!L86+'CASE DATA'!M86+'CASE DATA'!N86+'CASE DATA'!P86+'CASE DATA'!Q86+'CASE DATA'!R86,0)</f>
        <v>0</v>
      </c>
      <c r="E86" s="168">
        <f>IF('CASE DATA'!C86&gt;'BASIC INFO'!$B$3-7300,SUM('CASE DATA'!I86:'CASE DATA'!R86),0)</f>
        <v>0</v>
      </c>
      <c r="F86" s="187"/>
    </row>
    <row r="87" spans="1:6" x14ac:dyDescent="0.25">
      <c r="A87" s="162">
        <f xml:space="preserve"> 'CASE DATA'!A87</f>
        <v>0</v>
      </c>
      <c r="B87" s="185">
        <f xml:space="preserve"> 'CASE DATA'!F87</f>
        <v>0</v>
      </c>
      <c r="C87" s="166">
        <f>IF('CASE DATA'!C87&lt;'BASIC INFO'!$B$3-7300,'CASE DATA'!K87+'CASE DATA'!O87,0)</f>
        <v>0</v>
      </c>
      <c r="D87" s="167">
        <f>IF('CASE DATA'!C87&lt;'BASIC INFO'!$B$3-7300,'CASE DATA'!I87+'CASE DATA'!J87+'CASE DATA'!L87+'CASE DATA'!M87+'CASE DATA'!N87+'CASE DATA'!P87+'CASE DATA'!Q87+'CASE DATA'!R87,0)</f>
        <v>0</v>
      </c>
      <c r="E87" s="168">
        <f>IF('CASE DATA'!C87&gt;'BASIC INFO'!$B$3-7300,SUM('CASE DATA'!I87:'CASE DATA'!R87),0)</f>
        <v>0</v>
      </c>
      <c r="F87" s="187"/>
    </row>
    <row r="88" spans="1:6" x14ac:dyDescent="0.25">
      <c r="A88" s="162">
        <f xml:space="preserve"> 'CASE DATA'!A88</f>
        <v>0</v>
      </c>
      <c r="B88" s="185">
        <f xml:space="preserve"> 'CASE DATA'!F88</f>
        <v>0</v>
      </c>
      <c r="C88" s="166">
        <f>IF('CASE DATA'!C88&lt;'BASIC INFO'!$B$3-7300,'CASE DATA'!K88+'CASE DATA'!O88,0)</f>
        <v>0</v>
      </c>
      <c r="D88" s="167">
        <f>IF('CASE DATA'!C88&lt;'BASIC INFO'!$B$3-7300,'CASE DATA'!I88+'CASE DATA'!J88+'CASE DATA'!L88+'CASE DATA'!M88+'CASE DATA'!N88+'CASE DATA'!P88+'CASE DATA'!Q88+'CASE DATA'!R88,0)</f>
        <v>0</v>
      </c>
      <c r="E88" s="168">
        <f>IF('CASE DATA'!C88&gt;'BASIC INFO'!$B$3-7300,SUM('CASE DATA'!I88:'CASE DATA'!R88),0)</f>
        <v>0</v>
      </c>
      <c r="F88" s="187"/>
    </row>
    <row r="89" spans="1:6" x14ac:dyDescent="0.25">
      <c r="A89" s="162">
        <f xml:space="preserve"> 'CASE DATA'!A89</f>
        <v>0</v>
      </c>
      <c r="B89" s="185">
        <f xml:space="preserve"> 'CASE DATA'!F89</f>
        <v>0</v>
      </c>
      <c r="C89" s="166">
        <f>IF('CASE DATA'!C89&lt;'BASIC INFO'!$B$3-7300,'CASE DATA'!K89+'CASE DATA'!O89,0)</f>
        <v>0</v>
      </c>
      <c r="D89" s="167">
        <f>IF('CASE DATA'!C89&lt;'BASIC INFO'!$B$3-7300,'CASE DATA'!I89+'CASE DATA'!J89+'CASE DATA'!L89+'CASE DATA'!M89+'CASE DATA'!N89+'CASE DATA'!P89+'CASE DATA'!Q89+'CASE DATA'!R89,0)</f>
        <v>0</v>
      </c>
      <c r="E89" s="168">
        <f>IF('CASE DATA'!C89&gt;'BASIC INFO'!$B$3-7300,SUM('CASE DATA'!I89:'CASE DATA'!R89),0)</f>
        <v>0</v>
      </c>
      <c r="F89" s="187"/>
    </row>
    <row r="90" spans="1:6" x14ac:dyDescent="0.25">
      <c r="A90" s="162">
        <f xml:space="preserve"> 'CASE DATA'!A90</f>
        <v>0</v>
      </c>
      <c r="B90" s="185">
        <f xml:space="preserve"> 'CASE DATA'!F90</f>
        <v>0</v>
      </c>
      <c r="C90" s="166">
        <f>IF('CASE DATA'!C90&lt;'BASIC INFO'!$B$3-7300,'CASE DATA'!K90+'CASE DATA'!O90,0)</f>
        <v>0</v>
      </c>
      <c r="D90" s="167">
        <f>IF('CASE DATA'!C90&lt;'BASIC INFO'!$B$3-7300,'CASE DATA'!I90+'CASE DATA'!J90+'CASE DATA'!L90+'CASE DATA'!M90+'CASE DATA'!N90+'CASE DATA'!P90+'CASE DATA'!Q90+'CASE DATA'!R90,0)</f>
        <v>0</v>
      </c>
      <c r="E90" s="168">
        <f>IF('CASE DATA'!C90&gt;'BASIC INFO'!$B$3-7300,SUM('CASE DATA'!I90:'CASE DATA'!R90),0)</f>
        <v>0</v>
      </c>
      <c r="F90" s="187"/>
    </row>
    <row r="91" spans="1:6" x14ac:dyDescent="0.25">
      <c r="A91" s="162">
        <f xml:space="preserve"> 'CASE DATA'!A91</f>
        <v>0</v>
      </c>
      <c r="B91" s="185">
        <f xml:space="preserve"> 'CASE DATA'!F91</f>
        <v>0</v>
      </c>
      <c r="C91" s="166">
        <f>IF('CASE DATA'!C91&lt;'BASIC INFO'!$B$3-7300,'CASE DATA'!K91+'CASE DATA'!O91,0)</f>
        <v>0</v>
      </c>
      <c r="D91" s="167">
        <f>IF('CASE DATA'!C91&lt;'BASIC INFO'!$B$3-7300,'CASE DATA'!I91+'CASE DATA'!J91+'CASE DATA'!L91+'CASE DATA'!M91+'CASE DATA'!N91+'CASE DATA'!P91+'CASE DATA'!Q91+'CASE DATA'!R91,0)</f>
        <v>0</v>
      </c>
      <c r="E91" s="168">
        <f>IF('CASE DATA'!C91&gt;'BASIC INFO'!$B$3-7300,SUM('CASE DATA'!I91:'CASE DATA'!R91),0)</f>
        <v>0</v>
      </c>
      <c r="F91" s="187"/>
    </row>
    <row r="92" spans="1:6" x14ac:dyDescent="0.25">
      <c r="A92" s="162">
        <f xml:space="preserve"> 'CASE DATA'!A92</f>
        <v>0</v>
      </c>
      <c r="B92" s="185">
        <f xml:space="preserve"> 'CASE DATA'!F92</f>
        <v>0</v>
      </c>
      <c r="C92" s="166">
        <f>IF('CASE DATA'!C92&lt;'BASIC INFO'!$B$3-7300,'CASE DATA'!K92+'CASE DATA'!O92,0)</f>
        <v>0</v>
      </c>
      <c r="D92" s="167">
        <f>IF('CASE DATA'!C92&lt;'BASIC INFO'!$B$3-7300,'CASE DATA'!I92+'CASE DATA'!J92+'CASE DATA'!L92+'CASE DATA'!M92+'CASE DATA'!N92+'CASE DATA'!P92+'CASE DATA'!Q92+'CASE DATA'!R92,0)</f>
        <v>0</v>
      </c>
      <c r="E92" s="168">
        <f>IF('CASE DATA'!C92&gt;'BASIC INFO'!$B$3-7300,SUM('CASE DATA'!I92:'CASE DATA'!R92),0)</f>
        <v>0</v>
      </c>
      <c r="F92" s="187"/>
    </row>
    <row r="93" spans="1:6" x14ac:dyDescent="0.25">
      <c r="A93" s="162">
        <f xml:space="preserve"> 'CASE DATA'!A93</f>
        <v>0</v>
      </c>
      <c r="B93" s="185">
        <f xml:space="preserve"> 'CASE DATA'!F93</f>
        <v>0</v>
      </c>
      <c r="C93" s="166">
        <f>IF('CASE DATA'!C93&lt;'BASIC INFO'!$B$3-7300,'CASE DATA'!K93+'CASE DATA'!O93,0)</f>
        <v>0</v>
      </c>
      <c r="D93" s="167">
        <f>IF('CASE DATA'!C93&lt;'BASIC INFO'!$B$3-7300,'CASE DATA'!I93+'CASE DATA'!J93+'CASE DATA'!L93+'CASE DATA'!M93+'CASE DATA'!N93+'CASE DATA'!P93+'CASE DATA'!Q93+'CASE DATA'!R93,0)</f>
        <v>0</v>
      </c>
      <c r="E93" s="168">
        <f>IF('CASE DATA'!C93&gt;'BASIC INFO'!$B$3-7300,SUM('CASE DATA'!I93:'CASE DATA'!R93),0)</f>
        <v>0</v>
      </c>
      <c r="F93" s="187"/>
    </row>
    <row r="94" spans="1:6" x14ac:dyDescent="0.25">
      <c r="A94" s="162">
        <f xml:space="preserve"> 'CASE DATA'!A94</f>
        <v>0</v>
      </c>
      <c r="B94" s="185">
        <f xml:space="preserve"> 'CASE DATA'!F94</f>
        <v>0</v>
      </c>
      <c r="C94" s="166">
        <f>IF('CASE DATA'!C94&lt;'BASIC INFO'!$B$3-7300,'CASE DATA'!K94+'CASE DATA'!O94,0)</f>
        <v>0</v>
      </c>
      <c r="D94" s="167">
        <f>IF('CASE DATA'!C94&lt;'BASIC INFO'!$B$3-7300,'CASE DATA'!I94+'CASE DATA'!J94+'CASE DATA'!L94+'CASE DATA'!M94+'CASE DATA'!N94+'CASE DATA'!P94+'CASE DATA'!Q94+'CASE DATA'!R94,0)</f>
        <v>0</v>
      </c>
      <c r="E94" s="168">
        <f>IF('CASE DATA'!C94&gt;'BASIC INFO'!$B$3-7300,SUM('CASE DATA'!I94:'CASE DATA'!R94),0)</f>
        <v>0</v>
      </c>
      <c r="F94" s="187"/>
    </row>
    <row r="95" spans="1:6" x14ac:dyDescent="0.25">
      <c r="A95" s="162">
        <f xml:space="preserve"> 'CASE DATA'!A95</f>
        <v>0</v>
      </c>
      <c r="B95" s="185">
        <f xml:space="preserve"> 'CASE DATA'!F95</f>
        <v>0</v>
      </c>
      <c r="C95" s="166">
        <f>IF('CASE DATA'!C95&lt;'BASIC INFO'!$B$3-7300,'CASE DATA'!K95+'CASE DATA'!O95,0)</f>
        <v>0</v>
      </c>
      <c r="D95" s="167">
        <f>IF('CASE DATA'!C95&lt;'BASIC INFO'!$B$3-7300,'CASE DATA'!I95+'CASE DATA'!J95+'CASE DATA'!L95+'CASE DATA'!M95+'CASE DATA'!N95+'CASE DATA'!P95+'CASE DATA'!Q95+'CASE DATA'!R95,0)</f>
        <v>0</v>
      </c>
      <c r="E95" s="168">
        <f>IF('CASE DATA'!C95&gt;'BASIC INFO'!$B$3-7300,SUM('CASE DATA'!I95:'CASE DATA'!R95),0)</f>
        <v>0</v>
      </c>
      <c r="F95" s="187"/>
    </row>
    <row r="96" spans="1:6" x14ac:dyDescent="0.25">
      <c r="A96" s="162">
        <f xml:space="preserve"> 'CASE DATA'!A96</f>
        <v>0</v>
      </c>
      <c r="B96" s="185">
        <f xml:space="preserve"> 'CASE DATA'!F96</f>
        <v>0</v>
      </c>
      <c r="C96" s="166">
        <f>IF('CASE DATA'!C96&lt;'BASIC INFO'!$B$3-7300,'CASE DATA'!K96+'CASE DATA'!O96,0)</f>
        <v>0</v>
      </c>
      <c r="D96" s="167">
        <f>IF('CASE DATA'!C96&lt;'BASIC INFO'!$B$3-7300,'CASE DATA'!I96+'CASE DATA'!J96+'CASE DATA'!L96+'CASE DATA'!M96+'CASE DATA'!N96+'CASE DATA'!P96+'CASE DATA'!Q96+'CASE DATA'!R96,0)</f>
        <v>0</v>
      </c>
      <c r="E96" s="168">
        <f>IF('CASE DATA'!C96&gt;'BASIC INFO'!$B$3-7300,SUM('CASE DATA'!I96:'CASE DATA'!R96),0)</f>
        <v>0</v>
      </c>
      <c r="F96" s="187"/>
    </row>
    <row r="97" spans="1:6" x14ac:dyDescent="0.25">
      <c r="A97" s="162">
        <f xml:space="preserve"> 'CASE DATA'!A97</f>
        <v>0</v>
      </c>
      <c r="B97" s="185">
        <f xml:space="preserve"> 'CASE DATA'!F97</f>
        <v>0</v>
      </c>
      <c r="C97" s="166">
        <f>IF('CASE DATA'!C97&lt;'BASIC INFO'!$B$3-7300,'CASE DATA'!K97+'CASE DATA'!O97,0)</f>
        <v>0</v>
      </c>
      <c r="D97" s="167">
        <f>IF('CASE DATA'!C97&lt;'BASIC INFO'!$B$3-7300,'CASE DATA'!I97+'CASE DATA'!J97+'CASE DATA'!L97+'CASE DATA'!M97+'CASE DATA'!N97+'CASE DATA'!P97+'CASE DATA'!Q97+'CASE DATA'!R97,0)</f>
        <v>0</v>
      </c>
      <c r="E97" s="168">
        <f>IF('CASE DATA'!C97&gt;'BASIC INFO'!$B$3-7300,SUM('CASE DATA'!I97:'CASE DATA'!R97),0)</f>
        <v>0</v>
      </c>
      <c r="F97" s="187"/>
    </row>
    <row r="98" spans="1:6" x14ac:dyDescent="0.25">
      <c r="A98" s="162">
        <f xml:space="preserve"> 'CASE DATA'!A98</f>
        <v>0</v>
      </c>
      <c r="B98" s="185">
        <f xml:space="preserve"> 'CASE DATA'!F98</f>
        <v>0</v>
      </c>
      <c r="C98" s="166">
        <f>IF('CASE DATA'!C98&lt;'BASIC INFO'!$B$3-7300,'CASE DATA'!K98+'CASE DATA'!O98,0)</f>
        <v>0</v>
      </c>
      <c r="D98" s="167">
        <f>IF('CASE DATA'!C98&lt;'BASIC INFO'!$B$3-7300,'CASE DATA'!I98+'CASE DATA'!J98+'CASE DATA'!L98+'CASE DATA'!M98+'CASE DATA'!N98+'CASE DATA'!P98+'CASE DATA'!Q98+'CASE DATA'!R98,0)</f>
        <v>0</v>
      </c>
      <c r="E98" s="168">
        <f>IF('CASE DATA'!C98&gt;'BASIC INFO'!$B$3-7300,SUM('CASE DATA'!I98:'CASE DATA'!R98),0)</f>
        <v>0</v>
      </c>
      <c r="F98" s="187"/>
    </row>
    <row r="99" spans="1:6" x14ac:dyDescent="0.25">
      <c r="A99" s="162">
        <f xml:space="preserve"> 'CASE DATA'!A99</f>
        <v>0</v>
      </c>
      <c r="B99" s="185">
        <f xml:space="preserve"> 'CASE DATA'!F99</f>
        <v>0</v>
      </c>
      <c r="C99" s="166">
        <f>IF('CASE DATA'!C99&lt;'BASIC INFO'!$B$3-7300,'CASE DATA'!K99+'CASE DATA'!O99,0)</f>
        <v>0</v>
      </c>
      <c r="D99" s="167">
        <f>IF('CASE DATA'!C99&lt;'BASIC INFO'!$B$3-7300,'CASE DATA'!I99+'CASE DATA'!J99+'CASE DATA'!L99+'CASE DATA'!M99+'CASE DATA'!N99+'CASE DATA'!P99+'CASE DATA'!Q99+'CASE DATA'!R99,0)</f>
        <v>0</v>
      </c>
      <c r="E99" s="168">
        <f>IF('CASE DATA'!C99&gt;'BASIC INFO'!$B$3-7300,SUM('CASE DATA'!I99:'CASE DATA'!R99),0)</f>
        <v>0</v>
      </c>
      <c r="F99" s="187"/>
    </row>
    <row r="100" spans="1:6" x14ac:dyDescent="0.25">
      <c r="A100" s="162">
        <f xml:space="preserve"> 'CASE DATA'!A100</f>
        <v>0</v>
      </c>
      <c r="B100" s="185">
        <f xml:space="preserve"> 'CASE DATA'!F100</f>
        <v>0</v>
      </c>
      <c r="C100" s="166">
        <f>IF('CASE DATA'!C100&lt;'BASIC INFO'!$B$3-7300,'CASE DATA'!K100+'CASE DATA'!O100,0)</f>
        <v>0</v>
      </c>
      <c r="D100" s="167">
        <f>IF('CASE DATA'!C100&lt;'BASIC INFO'!$B$3-7300,'CASE DATA'!I100+'CASE DATA'!J100+'CASE DATA'!L100+'CASE DATA'!M100+'CASE DATA'!N100+'CASE DATA'!P100+'CASE DATA'!Q100+'CASE DATA'!R100,0)</f>
        <v>0</v>
      </c>
      <c r="E100" s="168">
        <f>IF('CASE DATA'!C100&gt;'BASIC INFO'!$B$3-7300,SUM('CASE DATA'!I100:'CASE DATA'!R100),0)</f>
        <v>0</v>
      </c>
      <c r="F100" s="187"/>
    </row>
  </sheetData>
  <mergeCells count="3">
    <mergeCell ref="A1:B1"/>
    <mergeCell ref="A2:A3"/>
    <mergeCell ref="B2:E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2:H1240"/>
  <sheetViews>
    <sheetView view="pageBreakPreview" zoomScale="70" zoomScaleNormal="100" zoomScaleSheetLayoutView="70" workbookViewId="0">
      <selection activeCell="H10" sqref="H10"/>
    </sheetView>
  </sheetViews>
  <sheetFormatPr defaultRowHeight="15" x14ac:dyDescent="0.25"/>
  <cols>
    <col min="1" max="1" width="26.28515625" customWidth="1"/>
    <col min="2" max="2" width="14.7109375" customWidth="1"/>
    <col min="3" max="3" width="20" customWidth="1"/>
    <col min="4" max="4" width="13.28515625" customWidth="1"/>
    <col min="5" max="5" width="22.7109375" customWidth="1"/>
    <col min="6" max="6" width="9.42578125" customWidth="1"/>
    <col min="7" max="7" width="11.28515625" customWidth="1"/>
    <col min="8" max="8" width="20.7109375" customWidth="1"/>
  </cols>
  <sheetData>
    <row r="2" spans="1:8" ht="15.75" thickBot="1" x14ac:dyDescent="0.3">
      <c r="A2" s="184"/>
      <c r="B2" s="184"/>
      <c r="C2" s="184"/>
      <c r="D2" s="184"/>
      <c r="E2" s="184"/>
      <c r="F2" s="184"/>
      <c r="G2" s="184"/>
      <c r="H2" s="184"/>
    </row>
    <row r="3" spans="1:8" ht="15.75" thickBot="1" x14ac:dyDescent="0.3">
      <c r="A3" s="71" t="s">
        <v>11</v>
      </c>
      <c r="B3" s="72" t="s">
        <v>12</v>
      </c>
      <c r="C3" s="263"/>
      <c r="D3" s="73" t="s">
        <v>13</v>
      </c>
      <c r="E3" s="73" t="s">
        <v>61</v>
      </c>
      <c r="F3" s="73" t="s">
        <v>14</v>
      </c>
      <c r="G3" s="72" t="s">
        <v>15</v>
      </c>
      <c r="H3" s="74" t="s">
        <v>16</v>
      </c>
    </row>
    <row r="4" spans="1:8" ht="18" thickBot="1" x14ac:dyDescent="0.35">
      <c r="A4" s="24">
        <f>'CASE DATA'!A4</f>
        <v>0</v>
      </c>
      <c r="B4" s="25">
        <f>'CASE DATA'!B4</f>
        <v>0</v>
      </c>
      <c r="C4" s="264"/>
      <c r="D4" s="69">
        <f>'CASE DATA'!C4</f>
        <v>0</v>
      </c>
      <c r="E4" s="25">
        <f>'CASE DATA'!D4</f>
        <v>0</v>
      </c>
      <c r="F4" s="25">
        <f>'CASE DATA'!F5</f>
        <v>0</v>
      </c>
      <c r="G4" s="25">
        <f>'CASE DATA'!G4</f>
        <v>0</v>
      </c>
      <c r="H4" s="70">
        <f>'CASE DATA'!H4</f>
        <v>0</v>
      </c>
    </row>
    <row r="5" spans="1:8" x14ac:dyDescent="0.25">
      <c r="A5" s="53" t="s">
        <v>18</v>
      </c>
      <c r="B5" s="32">
        <f>'CASE DATA'!I4</f>
        <v>0</v>
      </c>
      <c r="C5" s="33" t="s">
        <v>21</v>
      </c>
      <c r="D5" s="36">
        <f>'CASE DATA'!L4</f>
        <v>0</v>
      </c>
      <c r="E5" s="38" t="s">
        <v>24</v>
      </c>
      <c r="F5" s="41">
        <f>'CASE DATA'!O4</f>
        <v>0</v>
      </c>
      <c r="G5" s="43" t="s">
        <v>74</v>
      </c>
      <c r="H5" s="54">
        <f>'CASE DATA'!R4</f>
        <v>0</v>
      </c>
    </row>
    <row r="6" spans="1:8" x14ac:dyDescent="0.25">
      <c r="A6" s="55" t="s">
        <v>75</v>
      </c>
      <c r="B6" s="32">
        <f>'CASE DATA'!J4</f>
        <v>0</v>
      </c>
      <c r="C6" s="34" t="s">
        <v>22</v>
      </c>
      <c r="D6" s="36">
        <f>'CASE DATA'!M4</f>
        <v>0</v>
      </c>
      <c r="E6" s="39" t="s">
        <v>25</v>
      </c>
      <c r="F6" s="41">
        <f>'CASE DATA'!P4</f>
        <v>0</v>
      </c>
      <c r="G6" s="44" t="s">
        <v>28</v>
      </c>
      <c r="H6" s="54">
        <f>'CASE DATA'!S4</f>
        <v>0</v>
      </c>
    </row>
    <row r="7" spans="1:8" x14ac:dyDescent="0.25">
      <c r="A7" s="56" t="s">
        <v>20</v>
      </c>
      <c r="B7" s="32">
        <f>'CASE DATA'!K4</f>
        <v>0</v>
      </c>
      <c r="C7" s="35" t="s">
        <v>23</v>
      </c>
      <c r="D7" s="37">
        <f>'CASE DATA'!N4</f>
        <v>0</v>
      </c>
      <c r="E7" s="40" t="s">
        <v>26</v>
      </c>
      <c r="F7" s="42">
        <f>'CASE DATA'!Q4</f>
        <v>0</v>
      </c>
      <c r="G7" s="28"/>
      <c r="H7" s="57"/>
    </row>
    <row r="8" spans="1:8" x14ac:dyDescent="0.25">
      <c r="A8" s="58" t="s">
        <v>10</v>
      </c>
      <c r="B8" s="284">
        <f>'CASE DATA'!T4</f>
        <v>0</v>
      </c>
      <c r="C8" s="284"/>
      <c r="D8" s="285"/>
      <c r="E8" s="284"/>
      <c r="F8" s="285"/>
      <c r="G8" s="284"/>
      <c r="H8" s="286"/>
    </row>
    <row r="9" spans="1:8" ht="18.75" x14ac:dyDescent="0.3">
      <c r="A9" s="287" t="s">
        <v>76</v>
      </c>
      <c r="B9" s="288"/>
      <c r="C9" s="288"/>
      <c r="D9" s="288"/>
      <c r="E9" s="288"/>
      <c r="F9" s="288"/>
      <c r="G9" s="288"/>
      <c r="H9" s="289"/>
    </row>
    <row r="10" spans="1:8" ht="35.25" customHeight="1" x14ac:dyDescent="0.25">
      <c r="A10" s="59" t="s">
        <v>39</v>
      </c>
      <c r="B10" s="45" t="s">
        <v>77</v>
      </c>
      <c r="C10" s="46" t="s">
        <v>43</v>
      </c>
      <c r="D10" s="46" t="s">
        <v>44</v>
      </c>
      <c r="E10" s="46" t="s">
        <v>45</v>
      </c>
      <c r="F10" s="47" t="s">
        <v>46</v>
      </c>
      <c r="G10" s="26" t="s">
        <v>78</v>
      </c>
      <c r="H10" s="60"/>
    </row>
    <row r="11" spans="1:8" x14ac:dyDescent="0.25">
      <c r="A11" s="61" t="str">
        <f>EXPUNGEMENT!D3</f>
        <v>NO</v>
      </c>
      <c r="B11" s="136" t="str">
        <f>EXPUNGEMENT!G3</f>
        <v>N/A</v>
      </c>
      <c r="C11" s="136" t="str">
        <f>EXPUNGEMENT!H3</f>
        <v>NO</v>
      </c>
      <c r="D11" s="136" t="str">
        <f>EXPUNGEMENT!I3</f>
        <v>N/A</v>
      </c>
      <c r="E11" s="136" t="str">
        <f>EXPUNGEMENT!J3</f>
        <v>N/A</v>
      </c>
      <c r="F11" s="136" t="str">
        <f>EXPUNGEMENT!K3</f>
        <v>N/A</v>
      </c>
      <c r="G11" s="29"/>
      <c r="H11" s="62"/>
    </row>
    <row r="12" spans="1:8" x14ac:dyDescent="0.25">
      <c r="A12" s="63" t="s">
        <v>51</v>
      </c>
      <c r="B12" s="48" t="s">
        <v>79</v>
      </c>
      <c r="C12" s="49" t="s">
        <v>44</v>
      </c>
      <c r="D12" s="49" t="s">
        <v>45</v>
      </c>
      <c r="E12" s="29"/>
      <c r="F12" s="29"/>
      <c r="G12" s="29"/>
      <c r="H12" s="62"/>
    </row>
    <row r="13" spans="1:8" x14ac:dyDescent="0.25">
      <c r="A13" s="64" t="str">
        <f>EXPUNGEMENT!R3</f>
        <v>NO</v>
      </c>
      <c r="B13" s="23" t="str">
        <f>EXPUNGEMENT!S3</f>
        <v>N/A</v>
      </c>
      <c r="C13" s="23" t="str">
        <f>EXPUNGEMENT!T3</f>
        <v>N/A</v>
      </c>
      <c r="D13" s="23" t="str">
        <f>EXPUNGEMENT!U3</f>
        <v>N/A</v>
      </c>
      <c r="E13" s="29"/>
      <c r="F13" s="29"/>
      <c r="G13" s="29"/>
      <c r="H13" s="62"/>
    </row>
    <row r="14" spans="1:8" ht="18.75" x14ac:dyDescent="0.3">
      <c r="A14" s="265" t="s">
        <v>80</v>
      </c>
      <c r="B14" s="266"/>
      <c r="C14" s="266"/>
      <c r="D14" s="266"/>
      <c r="E14" s="266"/>
      <c r="F14" s="268"/>
      <c r="G14" s="269">
        <v>1</v>
      </c>
      <c r="H14" s="270"/>
    </row>
    <row r="15" spans="1:8" ht="15" customHeight="1" x14ac:dyDescent="0.25">
      <c r="A15" s="65" t="s">
        <v>29</v>
      </c>
      <c r="B15" s="27">
        <f>BANKRUPTCY!C4</f>
        <v>0</v>
      </c>
      <c r="C15" s="50" t="s">
        <v>56</v>
      </c>
      <c r="D15" s="27">
        <f>BANKRUPTCY!D4</f>
        <v>0</v>
      </c>
      <c r="E15" s="50" t="s">
        <v>57</v>
      </c>
      <c r="F15" s="30">
        <f>BANKRUPTCY!E4</f>
        <v>0</v>
      </c>
      <c r="G15" s="271"/>
      <c r="H15" s="272"/>
    </row>
    <row r="16" spans="1:8" ht="18.75" x14ac:dyDescent="0.3">
      <c r="A16" s="265" t="s">
        <v>81</v>
      </c>
      <c r="B16" s="266"/>
      <c r="C16" s="266"/>
      <c r="D16" s="266"/>
      <c r="E16" s="266"/>
      <c r="F16" s="268"/>
      <c r="G16" s="271"/>
      <c r="H16" s="272"/>
    </row>
    <row r="17" spans="1:8" ht="15" customHeight="1" x14ac:dyDescent="0.25">
      <c r="A17" s="65" t="s">
        <v>29</v>
      </c>
      <c r="B17" s="27">
        <f>SOL!C4</f>
        <v>0</v>
      </c>
      <c r="C17" s="50" t="s">
        <v>56</v>
      </c>
      <c r="D17" s="27">
        <f>SOL!D4</f>
        <v>0</v>
      </c>
      <c r="E17" s="50" t="s">
        <v>57</v>
      </c>
      <c r="F17" s="30">
        <f>SOL!E4</f>
        <v>0</v>
      </c>
      <c r="G17" s="271"/>
      <c r="H17" s="272"/>
    </row>
    <row r="18" spans="1:8" ht="18.75" x14ac:dyDescent="0.3">
      <c r="A18" s="265" t="s">
        <v>82</v>
      </c>
      <c r="B18" s="266"/>
      <c r="C18" s="266"/>
      <c r="D18" s="266"/>
      <c r="E18" s="52"/>
      <c r="F18" s="51"/>
      <c r="G18" s="271"/>
      <c r="H18" s="272"/>
    </row>
    <row r="19" spans="1:8" ht="15" customHeight="1" x14ac:dyDescent="0.25">
      <c r="A19" s="65" t="s">
        <v>67</v>
      </c>
      <c r="B19" s="27">
        <f>EXEMPTIONS!C4</f>
        <v>0</v>
      </c>
      <c r="C19" s="50" t="s">
        <v>68</v>
      </c>
      <c r="D19" s="27">
        <f>EXEMPTIONS!D4</f>
        <v>0</v>
      </c>
      <c r="E19" s="31"/>
      <c r="F19" s="31"/>
      <c r="G19" s="271"/>
      <c r="H19" s="272"/>
    </row>
    <row r="20" spans="1:8" ht="18.75" x14ac:dyDescent="0.3">
      <c r="A20" s="265" t="s">
        <v>83</v>
      </c>
      <c r="B20" s="266"/>
      <c r="C20" s="266"/>
      <c r="D20" s="266"/>
      <c r="E20" s="52"/>
      <c r="F20" s="52"/>
      <c r="G20" s="273"/>
      <c r="H20" s="274"/>
    </row>
    <row r="21" spans="1:8" ht="15.75" thickBot="1" x14ac:dyDescent="0.3">
      <c r="A21" s="66" t="s">
        <v>62</v>
      </c>
      <c r="B21" s="67" t="str">
        <f>'LICENSE-REGIS'!I4</f>
        <v>N/A</v>
      </c>
      <c r="C21" s="68" t="s">
        <v>63</v>
      </c>
      <c r="D21" s="67">
        <f>'LICENSE-REGIS'!M4</f>
        <v>0</v>
      </c>
      <c r="E21" s="275"/>
      <c r="F21" s="276"/>
      <c r="G21" s="276"/>
      <c r="H21" s="277"/>
    </row>
    <row r="25" spans="1:8" ht="15.75" thickBot="1" x14ac:dyDescent="0.3">
      <c r="A25" s="184"/>
      <c r="B25" s="184"/>
      <c r="C25" s="184"/>
      <c r="D25" s="184"/>
      <c r="E25" s="184"/>
      <c r="F25" s="184"/>
      <c r="G25" s="184"/>
      <c r="H25" s="184"/>
    </row>
    <row r="26" spans="1:8" ht="15.75" thickBot="1" x14ac:dyDescent="0.3">
      <c r="A26" s="71" t="s">
        <v>11</v>
      </c>
      <c r="B26" s="72" t="s">
        <v>12</v>
      </c>
      <c r="C26" s="290" t="s">
        <v>13</v>
      </c>
      <c r="D26" s="291"/>
      <c r="E26" s="73" t="s">
        <v>61</v>
      </c>
      <c r="F26" s="73" t="s">
        <v>14</v>
      </c>
      <c r="G26" s="72" t="s">
        <v>15</v>
      </c>
      <c r="H26" s="74" t="s">
        <v>16</v>
      </c>
    </row>
    <row r="27" spans="1:8" ht="18" thickBot="1" x14ac:dyDescent="0.35">
      <c r="A27" s="24">
        <f>'CASE DATA'!A5</f>
        <v>0</v>
      </c>
      <c r="B27" s="25">
        <f>'CASE DATA'!B5</f>
        <v>0</v>
      </c>
      <c r="C27" s="292">
        <f>'CASE DATA'!C5</f>
        <v>0</v>
      </c>
      <c r="D27" s="292"/>
      <c r="E27" s="84">
        <f>'CASE DATA'!D5</f>
        <v>0</v>
      </c>
      <c r="F27" s="25">
        <f>'CASE DATA'!F5</f>
        <v>0</v>
      </c>
      <c r="G27" s="25">
        <f>'CASE DATA'!G5</f>
        <v>0</v>
      </c>
      <c r="H27" s="70">
        <f>'CASE DATA'!H5</f>
        <v>0</v>
      </c>
    </row>
    <row r="28" spans="1:8" x14ac:dyDescent="0.25">
      <c r="A28" s="53" t="s">
        <v>18</v>
      </c>
      <c r="B28" s="32">
        <f>'CASE DATA'!I5</f>
        <v>0</v>
      </c>
      <c r="C28" s="33" t="s">
        <v>21</v>
      </c>
      <c r="D28" s="36">
        <f>'CASE DATA'!L5</f>
        <v>0</v>
      </c>
      <c r="E28" s="38" t="s">
        <v>24</v>
      </c>
      <c r="F28" s="41">
        <f>'CASE DATA'!O5</f>
        <v>0</v>
      </c>
      <c r="G28" s="43" t="s">
        <v>74</v>
      </c>
      <c r="H28" s="54">
        <f>'CASE DATA'!R5</f>
        <v>0</v>
      </c>
    </row>
    <row r="29" spans="1:8" x14ac:dyDescent="0.25">
      <c r="A29" s="55" t="s">
        <v>75</v>
      </c>
      <c r="B29" s="32">
        <f>'CASE DATA'!J5</f>
        <v>0</v>
      </c>
      <c r="C29" s="34" t="s">
        <v>22</v>
      </c>
      <c r="D29" s="36">
        <f>'CASE DATA'!P5</f>
        <v>0</v>
      </c>
      <c r="E29" s="39" t="s">
        <v>25</v>
      </c>
      <c r="F29" s="41" t="e">
        <f>'CASE DATA'!#REF!</f>
        <v>#REF!</v>
      </c>
      <c r="G29" s="44" t="s">
        <v>28</v>
      </c>
      <c r="H29" s="54">
        <f>'CASE DATA'!S5</f>
        <v>0</v>
      </c>
    </row>
    <row r="30" spans="1:8" x14ac:dyDescent="0.25">
      <c r="A30" s="56" t="s">
        <v>20</v>
      </c>
      <c r="B30" s="32">
        <f>'CASE DATA'!K5</f>
        <v>0</v>
      </c>
      <c r="C30" s="35" t="s">
        <v>23</v>
      </c>
      <c r="D30" s="37">
        <f>'CASE DATA'!N5</f>
        <v>0</v>
      </c>
      <c r="E30" s="40" t="s">
        <v>26</v>
      </c>
      <c r="F30" s="42">
        <f>'CASE DATA'!Q5</f>
        <v>0</v>
      </c>
      <c r="G30" s="28"/>
      <c r="H30" s="57"/>
    </row>
    <row r="31" spans="1:8" x14ac:dyDescent="0.25">
      <c r="A31" s="58" t="s">
        <v>10</v>
      </c>
      <c r="B31" s="284">
        <f>'CASE DATA'!T5</f>
        <v>0</v>
      </c>
      <c r="C31" s="284"/>
      <c r="D31" s="285"/>
      <c r="E31" s="284"/>
      <c r="F31" s="285"/>
      <c r="G31" s="284"/>
      <c r="H31" s="286"/>
    </row>
    <row r="32" spans="1:8" ht="18.75" x14ac:dyDescent="0.3">
      <c r="A32" s="287" t="s">
        <v>76</v>
      </c>
      <c r="B32" s="288"/>
      <c r="C32" s="288"/>
      <c r="D32" s="288"/>
      <c r="E32" s="288"/>
      <c r="F32" s="288"/>
      <c r="G32" s="288"/>
      <c r="H32" s="289"/>
    </row>
    <row r="33" spans="1:8" ht="45" x14ac:dyDescent="0.25">
      <c r="A33" s="59" t="s">
        <v>39</v>
      </c>
      <c r="B33" s="45" t="s">
        <v>77</v>
      </c>
      <c r="C33" s="46" t="s">
        <v>43</v>
      </c>
      <c r="D33" s="46" t="s">
        <v>44</v>
      </c>
      <c r="E33" s="46" t="s">
        <v>45</v>
      </c>
      <c r="F33" s="47" t="s">
        <v>46</v>
      </c>
      <c r="G33" s="26" t="s">
        <v>78</v>
      </c>
      <c r="H33" s="60"/>
    </row>
    <row r="34" spans="1:8" x14ac:dyDescent="0.25">
      <c r="A34" s="61" t="str">
        <f>EXPUNGEMENT!D4</f>
        <v>NO</v>
      </c>
      <c r="B34" s="61" t="str">
        <f>EXPUNGEMENT!G4</f>
        <v>N/A</v>
      </c>
      <c r="C34" s="136" t="str">
        <f>EXPUNGEMENT!H4</f>
        <v>NO</v>
      </c>
      <c r="D34" s="136" t="str">
        <f>EXPUNGEMENT!I4</f>
        <v>N/A</v>
      </c>
      <c r="E34" s="136" t="str">
        <f>EXPUNGEMENT!J4</f>
        <v>N/A</v>
      </c>
      <c r="F34" s="136" t="str">
        <f>EXPUNGEMENT!K4</f>
        <v>N/A</v>
      </c>
      <c r="G34" s="29"/>
      <c r="H34" s="62"/>
    </row>
    <row r="35" spans="1:8" x14ac:dyDescent="0.25">
      <c r="A35" s="63" t="s">
        <v>51</v>
      </c>
      <c r="B35" s="48" t="s">
        <v>79</v>
      </c>
      <c r="C35" s="49" t="s">
        <v>44</v>
      </c>
      <c r="D35" s="49" t="s">
        <v>45</v>
      </c>
      <c r="E35" s="29"/>
      <c r="F35" s="29"/>
      <c r="G35" s="29"/>
      <c r="H35" s="62"/>
    </row>
    <row r="36" spans="1:8" x14ac:dyDescent="0.25">
      <c r="A36" s="64" t="str">
        <f>EXPUNGEMENT!R4</f>
        <v>NO</v>
      </c>
      <c r="B36" s="64" t="str">
        <f>EXPUNGEMENT!S4</f>
        <v>N/A</v>
      </c>
      <c r="C36" s="64" t="str">
        <f>EXPUNGEMENT!T4</f>
        <v>N/A</v>
      </c>
      <c r="D36" s="64" t="str">
        <f>EXPUNGEMENT!U4</f>
        <v>N/A</v>
      </c>
      <c r="E36" s="29"/>
      <c r="F36" s="29"/>
      <c r="G36" s="29"/>
      <c r="H36" s="62"/>
    </row>
    <row r="37" spans="1:8" ht="18.75" customHeight="1" x14ac:dyDescent="0.3">
      <c r="A37" s="265" t="s">
        <v>80</v>
      </c>
      <c r="B37" s="266"/>
      <c r="C37" s="266"/>
      <c r="D37" s="266"/>
      <c r="E37" s="266"/>
      <c r="F37" s="268"/>
      <c r="G37" s="269">
        <v>2</v>
      </c>
      <c r="H37" s="270"/>
    </row>
    <row r="38" spans="1:8" ht="15" customHeight="1" x14ac:dyDescent="0.25">
      <c r="A38" s="65" t="s">
        <v>29</v>
      </c>
      <c r="B38" s="27">
        <f>BANKRUPTCY!C5</f>
        <v>0</v>
      </c>
      <c r="C38" s="50" t="s">
        <v>56</v>
      </c>
      <c r="D38" s="27">
        <f>BANKRUPTCY!D5</f>
        <v>0</v>
      </c>
      <c r="E38" s="50" t="s">
        <v>57</v>
      </c>
      <c r="F38" s="30">
        <f>BANKRUPTCY!E5</f>
        <v>0</v>
      </c>
      <c r="G38" s="271"/>
      <c r="H38" s="272"/>
    </row>
    <row r="39" spans="1:8" ht="18.75" customHeight="1" x14ac:dyDescent="0.3">
      <c r="A39" s="265" t="s">
        <v>81</v>
      </c>
      <c r="B39" s="266"/>
      <c r="C39" s="266"/>
      <c r="D39" s="266"/>
      <c r="E39" s="266"/>
      <c r="F39" s="268"/>
      <c r="G39" s="271"/>
      <c r="H39" s="272"/>
    </row>
    <row r="40" spans="1:8" ht="15" customHeight="1" x14ac:dyDescent="0.25">
      <c r="A40" s="65" t="s">
        <v>29</v>
      </c>
      <c r="B40" s="27">
        <f>SOL!C5</f>
        <v>0</v>
      </c>
      <c r="C40" s="50" t="s">
        <v>56</v>
      </c>
      <c r="D40" s="27">
        <f>SOL!D5</f>
        <v>0</v>
      </c>
      <c r="E40" s="50" t="s">
        <v>57</v>
      </c>
      <c r="F40" s="30">
        <f>SOL!E5</f>
        <v>0</v>
      </c>
      <c r="G40" s="271"/>
      <c r="H40" s="272"/>
    </row>
    <row r="41" spans="1:8" ht="18.75" customHeight="1" x14ac:dyDescent="0.3">
      <c r="A41" s="265" t="s">
        <v>82</v>
      </c>
      <c r="B41" s="266"/>
      <c r="C41" s="266"/>
      <c r="D41" s="266"/>
      <c r="E41" s="52"/>
      <c r="F41" s="51"/>
      <c r="G41" s="271"/>
      <c r="H41" s="272"/>
    </row>
    <row r="42" spans="1:8" ht="15" customHeight="1" x14ac:dyDescent="0.25">
      <c r="A42" s="65" t="s">
        <v>67</v>
      </c>
      <c r="B42" s="27">
        <f>EXEMPTIONS!C5</f>
        <v>0</v>
      </c>
      <c r="C42" s="50" t="s">
        <v>68</v>
      </c>
      <c r="D42" s="27">
        <f>EXEMPTIONS!D5</f>
        <v>0</v>
      </c>
      <c r="E42" s="31"/>
      <c r="F42" s="31"/>
      <c r="G42" s="271"/>
      <c r="H42" s="272"/>
    </row>
    <row r="43" spans="1:8" ht="18.75" customHeight="1" x14ac:dyDescent="0.3">
      <c r="A43" s="265" t="s">
        <v>83</v>
      </c>
      <c r="B43" s="266"/>
      <c r="C43" s="266"/>
      <c r="D43" s="266"/>
      <c r="E43" s="52"/>
      <c r="F43" s="52"/>
      <c r="G43" s="273"/>
      <c r="H43" s="274"/>
    </row>
    <row r="44" spans="1:8" ht="15.75" thickBot="1" x14ac:dyDescent="0.3">
      <c r="A44" s="66" t="s">
        <v>62</v>
      </c>
      <c r="B44" s="67" t="str">
        <f>'LICENSE-REGIS'!I5</f>
        <v>N/A</v>
      </c>
      <c r="C44" s="68" t="s">
        <v>63</v>
      </c>
      <c r="D44" s="67">
        <f>'LICENSE-REGIS'!M5</f>
        <v>0</v>
      </c>
      <c r="E44" s="275"/>
      <c r="F44" s="276"/>
      <c r="G44" s="276"/>
      <c r="H44" s="277"/>
    </row>
    <row r="48" spans="1:8" ht="15.75" thickBot="1" x14ac:dyDescent="0.3">
      <c r="A48" s="184"/>
      <c r="B48" s="184"/>
      <c r="C48" s="184"/>
      <c r="D48" s="184"/>
      <c r="E48" s="184"/>
      <c r="F48" s="184"/>
      <c r="G48" s="184"/>
      <c r="H48" s="184"/>
    </row>
    <row r="49" spans="1:8" ht="15.75" thickBot="1" x14ac:dyDescent="0.3">
      <c r="A49" s="75" t="s">
        <v>11</v>
      </c>
      <c r="B49" s="72" t="s">
        <v>12</v>
      </c>
      <c r="C49" s="72" t="s">
        <v>73</v>
      </c>
      <c r="D49" s="72" t="s">
        <v>13</v>
      </c>
      <c r="E49" s="72" t="s">
        <v>61</v>
      </c>
      <c r="F49" s="72" t="s">
        <v>14</v>
      </c>
      <c r="G49" s="72" t="s">
        <v>15</v>
      </c>
      <c r="H49" s="74" t="s">
        <v>16</v>
      </c>
    </row>
    <row r="50" spans="1:8" ht="18" thickBot="1" x14ac:dyDescent="0.35">
      <c r="A50" s="24">
        <f>'CASE DATA'!A6</f>
        <v>0</v>
      </c>
      <c r="B50" s="25">
        <f>'CASE DATA'!B6</f>
        <v>0</v>
      </c>
      <c r="C50" s="69" t="e">
        <f>'CASE DATA'!#REF!</f>
        <v>#REF!</v>
      </c>
      <c r="D50" s="69">
        <f>'CASE DATA'!C6</f>
        <v>0</v>
      </c>
      <c r="E50" s="25">
        <f>'CASE DATA'!E6</f>
        <v>0</v>
      </c>
      <c r="F50" s="25">
        <f>'CASE DATA'!F6</f>
        <v>0</v>
      </c>
      <c r="G50" s="25">
        <f>'CASE DATA'!G6</f>
        <v>0</v>
      </c>
      <c r="H50" s="25">
        <f>'CASE DATA'!H6</f>
        <v>0</v>
      </c>
    </row>
    <row r="51" spans="1:8" x14ac:dyDescent="0.25">
      <c r="A51" s="53" t="s">
        <v>18</v>
      </c>
      <c r="B51" s="32">
        <f>'CASE DATA'!I6</f>
        <v>0</v>
      </c>
      <c r="C51" s="33" t="s">
        <v>21</v>
      </c>
      <c r="D51" s="36">
        <f>'CASE DATA'!L6</f>
        <v>0</v>
      </c>
      <c r="E51" s="38" t="s">
        <v>24</v>
      </c>
      <c r="F51" s="41">
        <f>'CASE DATA'!O6</f>
        <v>0</v>
      </c>
      <c r="G51" s="43" t="s">
        <v>74</v>
      </c>
      <c r="H51" s="54">
        <f>'CASE DATA'!R6</f>
        <v>0</v>
      </c>
    </row>
    <row r="52" spans="1:8" x14ac:dyDescent="0.25">
      <c r="A52" s="55" t="s">
        <v>75</v>
      </c>
      <c r="B52" s="32">
        <f>'CASE DATA'!J6</f>
        <v>0</v>
      </c>
      <c r="C52" s="34" t="s">
        <v>22</v>
      </c>
      <c r="D52" s="36">
        <f>'CASE DATA'!M6</f>
        <v>0</v>
      </c>
      <c r="E52" s="39" t="s">
        <v>25</v>
      </c>
      <c r="F52" s="41">
        <f>'CASE DATA'!P6</f>
        <v>0</v>
      </c>
      <c r="G52" s="44" t="s">
        <v>28</v>
      </c>
      <c r="H52" s="54">
        <f>'CASE DATA'!S6</f>
        <v>0</v>
      </c>
    </row>
    <row r="53" spans="1:8" x14ac:dyDescent="0.25">
      <c r="A53" s="56" t="s">
        <v>20</v>
      </c>
      <c r="B53" s="32">
        <f>'CASE DATA'!K6</f>
        <v>0</v>
      </c>
      <c r="C53" s="35" t="s">
        <v>23</v>
      </c>
      <c r="D53" s="37">
        <f>'CASE DATA'!N6</f>
        <v>0</v>
      </c>
      <c r="E53" s="40" t="s">
        <v>26</v>
      </c>
      <c r="F53" s="42">
        <f>'CASE DATA'!Q6</f>
        <v>0</v>
      </c>
      <c r="G53" s="28"/>
      <c r="H53" s="57"/>
    </row>
    <row r="54" spans="1:8" x14ac:dyDescent="0.25">
      <c r="A54" s="58" t="s">
        <v>10</v>
      </c>
      <c r="B54" s="293">
        <f>'CASE DATA'!T6</f>
        <v>0</v>
      </c>
      <c r="C54" s="294"/>
      <c r="D54" s="294"/>
      <c r="E54" s="294"/>
      <c r="F54" s="294"/>
      <c r="G54" s="294"/>
      <c r="H54" s="295"/>
    </row>
    <row r="55" spans="1:8" ht="18.75" x14ac:dyDescent="0.3">
      <c r="A55" s="265" t="s">
        <v>76</v>
      </c>
      <c r="B55" s="266"/>
      <c r="C55" s="266"/>
      <c r="D55" s="266"/>
      <c r="E55" s="266"/>
      <c r="F55" s="266"/>
      <c r="G55" s="266"/>
      <c r="H55" s="267"/>
    </row>
    <row r="56" spans="1:8" ht="45" x14ac:dyDescent="0.25">
      <c r="A56" s="59" t="s">
        <v>39</v>
      </c>
      <c r="B56" s="45" t="s">
        <v>77</v>
      </c>
      <c r="C56" s="46" t="s">
        <v>43</v>
      </c>
      <c r="D56" s="46" t="s">
        <v>44</v>
      </c>
      <c r="E56" s="46" t="s">
        <v>45</v>
      </c>
      <c r="F56" s="47" t="s">
        <v>46</v>
      </c>
      <c r="G56" s="26" t="s">
        <v>78</v>
      </c>
      <c r="H56" s="60"/>
    </row>
    <row r="57" spans="1:8" x14ac:dyDescent="0.25">
      <c r="A57" s="61" t="str">
        <f>EXPUNGEMENT!D5</f>
        <v>NO</v>
      </c>
      <c r="B57" s="61" t="str">
        <f>EXPUNGEMENT!G5</f>
        <v>N/A</v>
      </c>
      <c r="C57" s="136" t="str">
        <f>EXPUNGEMENT!H5</f>
        <v>NO</v>
      </c>
      <c r="D57" s="136" t="str">
        <f>EXPUNGEMENT!I5</f>
        <v>N/A</v>
      </c>
      <c r="E57" s="136" t="str">
        <f>EXPUNGEMENT!J5</f>
        <v>N/A</v>
      </c>
      <c r="F57" s="136" t="str">
        <f>EXPUNGEMENT!K5</f>
        <v>N/A</v>
      </c>
      <c r="G57" s="29"/>
      <c r="H57" s="62"/>
    </row>
    <row r="58" spans="1:8" x14ac:dyDescent="0.25">
      <c r="A58" s="63" t="s">
        <v>51</v>
      </c>
      <c r="B58" s="48" t="s">
        <v>79</v>
      </c>
      <c r="C58" s="49" t="s">
        <v>44</v>
      </c>
      <c r="D58" s="49" t="s">
        <v>45</v>
      </c>
      <c r="E58" s="29"/>
      <c r="F58" s="29"/>
      <c r="G58" s="29"/>
      <c r="H58" s="62"/>
    </row>
    <row r="59" spans="1:8" x14ac:dyDescent="0.25">
      <c r="A59" s="64" t="str">
        <f>EXPUNGEMENT!R5</f>
        <v>NO</v>
      </c>
      <c r="B59" s="64" t="str">
        <f>EXPUNGEMENT!S5</f>
        <v>N/A</v>
      </c>
      <c r="C59" s="64" t="str">
        <f>EXPUNGEMENT!T5</f>
        <v>N/A</v>
      </c>
      <c r="D59" s="64" t="str">
        <f>EXPUNGEMENT!U5</f>
        <v>N/A</v>
      </c>
      <c r="E59" s="29"/>
      <c r="F59" s="29"/>
      <c r="G59" s="29"/>
      <c r="H59" s="62"/>
    </row>
    <row r="60" spans="1:8" ht="18.75" customHeight="1" x14ac:dyDescent="0.3">
      <c r="A60" s="265" t="s">
        <v>80</v>
      </c>
      <c r="B60" s="266"/>
      <c r="C60" s="266"/>
      <c r="D60" s="266"/>
      <c r="E60" s="266"/>
      <c r="F60" s="268"/>
      <c r="G60" s="269">
        <v>3</v>
      </c>
      <c r="H60" s="270"/>
    </row>
    <row r="61" spans="1:8" ht="15" customHeight="1" x14ac:dyDescent="0.25">
      <c r="A61" s="65" t="s">
        <v>29</v>
      </c>
      <c r="B61" s="27">
        <f>BANKRUPTCY!C6</f>
        <v>0</v>
      </c>
      <c r="C61" s="50" t="s">
        <v>56</v>
      </c>
      <c r="D61" s="27">
        <f>BANKRUPTCY!D6</f>
        <v>0</v>
      </c>
      <c r="E61" s="50" t="s">
        <v>57</v>
      </c>
      <c r="F61" s="30">
        <f>BANKRUPTCY!E6</f>
        <v>0</v>
      </c>
      <c r="G61" s="271"/>
      <c r="H61" s="272"/>
    </row>
    <row r="62" spans="1:8" ht="18.75" customHeight="1" x14ac:dyDescent="0.3">
      <c r="A62" s="265" t="s">
        <v>81</v>
      </c>
      <c r="B62" s="266"/>
      <c r="C62" s="266"/>
      <c r="D62" s="266"/>
      <c r="E62" s="266"/>
      <c r="F62" s="268"/>
      <c r="G62" s="271"/>
      <c r="H62" s="272"/>
    </row>
    <row r="63" spans="1:8" ht="15" customHeight="1" x14ac:dyDescent="0.25">
      <c r="A63" s="65" t="s">
        <v>29</v>
      </c>
      <c r="B63" s="27">
        <f>SOL!C6</f>
        <v>0</v>
      </c>
      <c r="C63" s="50" t="s">
        <v>56</v>
      </c>
      <c r="D63" s="27">
        <f>SOL!D6</f>
        <v>0</v>
      </c>
      <c r="E63" s="50" t="s">
        <v>57</v>
      </c>
      <c r="F63" s="30">
        <f>SOL!E6</f>
        <v>0</v>
      </c>
      <c r="G63" s="271"/>
      <c r="H63" s="272"/>
    </row>
    <row r="64" spans="1:8" ht="18.75" customHeight="1" x14ac:dyDescent="0.3">
      <c r="A64" s="265" t="s">
        <v>82</v>
      </c>
      <c r="B64" s="266"/>
      <c r="C64" s="266"/>
      <c r="D64" s="266"/>
      <c r="E64" s="52"/>
      <c r="F64" s="51"/>
      <c r="G64" s="271"/>
      <c r="H64" s="272"/>
    </row>
    <row r="65" spans="1:8" ht="15" customHeight="1" x14ac:dyDescent="0.25">
      <c r="A65" s="65" t="s">
        <v>67</v>
      </c>
      <c r="B65" s="27">
        <f>EXEMPTIONS!C6</f>
        <v>0</v>
      </c>
      <c r="C65" s="50" t="s">
        <v>68</v>
      </c>
      <c r="D65" s="27">
        <f>EXEMPTIONS!D6</f>
        <v>0</v>
      </c>
      <c r="E65" s="31"/>
      <c r="F65" s="31"/>
      <c r="G65" s="271"/>
      <c r="H65" s="272"/>
    </row>
    <row r="66" spans="1:8" ht="18.75" customHeight="1" x14ac:dyDescent="0.3">
      <c r="A66" s="265" t="s">
        <v>83</v>
      </c>
      <c r="B66" s="266"/>
      <c r="C66" s="266"/>
      <c r="D66" s="266"/>
      <c r="E66" s="52"/>
      <c r="F66" s="52"/>
      <c r="G66" s="273"/>
      <c r="H66" s="274"/>
    </row>
    <row r="67" spans="1:8" x14ac:dyDescent="0.25">
      <c r="A67" s="85" t="s">
        <v>62</v>
      </c>
      <c r="B67" s="86" t="str">
        <f>'LICENSE-REGIS'!I6</f>
        <v>N/A</v>
      </c>
      <c r="C67" s="87" t="s">
        <v>63</v>
      </c>
      <c r="D67" s="86">
        <f>'LICENSE-REGIS'!M6</f>
        <v>0</v>
      </c>
      <c r="E67" s="281"/>
      <c r="F67" s="282"/>
      <c r="G67" s="282"/>
      <c r="H67" s="283"/>
    </row>
    <row r="68" spans="1:8" x14ac:dyDescent="0.25">
      <c r="A68" s="4"/>
      <c r="B68" s="90"/>
      <c r="C68" s="91"/>
      <c r="D68" s="90"/>
      <c r="E68" s="91"/>
      <c r="F68" s="91"/>
      <c r="G68" s="91"/>
      <c r="H68" s="91"/>
    </row>
    <row r="69" spans="1:8" x14ac:dyDescent="0.25">
      <c r="A69" s="4"/>
      <c r="B69" s="90"/>
      <c r="C69" s="91"/>
      <c r="D69" s="90"/>
      <c r="E69" s="91"/>
      <c r="F69" s="91"/>
      <c r="G69" s="91"/>
      <c r="H69" s="91"/>
    </row>
    <row r="70" spans="1:8" x14ac:dyDescent="0.25">
      <c r="A70" s="4"/>
      <c r="B70" s="90"/>
      <c r="C70" s="91"/>
      <c r="D70" s="90"/>
      <c r="E70" s="91"/>
      <c r="F70" s="91"/>
      <c r="G70" s="91"/>
      <c r="H70" s="91"/>
    </row>
    <row r="71" spans="1:8" x14ac:dyDescent="0.25">
      <c r="A71" s="4"/>
      <c r="B71" s="90"/>
      <c r="C71" s="91"/>
      <c r="D71" s="90"/>
      <c r="E71" s="91"/>
      <c r="F71" s="91"/>
      <c r="G71" s="91"/>
      <c r="H71" s="91"/>
    </row>
    <row r="72" spans="1:8" x14ac:dyDescent="0.25">
      <c r="A72" s="88" t="s">
        <v>11</v>
      </c>
      <c r="B72" s="194" t="s">
        <v>12</v>
      </c>
      <c r="C72" s="194" t="s">
        <v>73</v>
      </c>
      <c r="D72" s="194" t="s">
        <v>13</v>
      </c>
      <c r="E72" s="194" t="s">
        <v>61</v>
      </c>
      <c r="F72" s="194" t="s">
        <v>14</v>
      </c>
      <c r="G72" s="194" t="s">
        <v>15</v>
      </c>
      <c r="H72" s="89" t="s">
        <v>16</v>
      </c>
    </row>
    <row r="73" spans="1:8" ht="17.25" x14ac:dyDescent="0.3">
      <c r="A73" s="76">
        <f>'CASE DATA'!A7</f>
        <v>0</v>
      </c>
      <c r="B73" s="77">
        <f>'CASE DATA'!B7</f>
        <v>0</v>
      </c>
      <c r="C73" s="79" t="e">
        <f>'CASE DATA'!#REF!</f>
        <v>#REF!</v>
      </c>
      <c r="D73" s="79">
        <f>'CASE DATA'!C7</f>
        <v>0</v>
      </c>
      <c r="E73" s="79">
        <f>'CASE DATA'!E7</f>
        <v>0</v>
      </c>
      <c r="F73" s="79" t="e">
        <f>'CASE DATA'!#REF!</f>
        <v>#REF!</v>
      </c>
      <c r="G73" s="79">
        <f>'CASE DATA'!F7</f>
        <v>0</v>
      </c>
      <c r="H73" s="80">
        <f>'CASE DATA'!G7</f>
        <v>0</v>
      </c>
    </row>
    <row r="74" spans="1:8" x14ac:dyDescent="0.25">
      <c r="A74" s="53" t="s">
        <v>18</v>
      </c>
      <c r="B74" s="32">
        <f>'CASE DATA'!I7</f>
        <v>0</v>
      </c>
      <c r="C74" s="33" t="s">
        <v>21</v>
      </c>
      <c r="D74" s="36">
        <f>'CASE DATA'!L7</f>
        <v>0</v>
      </c>
      <c r="E74" s="38" t="s">
        <v>24</v>
      </c>
      <c r="F74" s="41">
        <f>'CASE DATA'!O7</f>
        <v>0</v>
      </c>
      <c r="G74" s="43" t="s">
        <v>74</v>
      </c>
      <c r="H74" s="54">
        <f>'CASE DATA'!R7</f>
        <v>0</v>
      </c>
    </row>
    <row r="75" spans="1:8" x14ac:dyDescent="0.25">
      <c r="A75" s="55" t="s">
        <v>75</v>
      </c>
      <c r="B75" s="32">
        <f>'CASE DATA'!J7</f>
        <v>0</v>
      </c>
      <c r="C75" s="34" t="s">
        <v>22</v>
      </c>
      <c r="D75" s="36">
        <f>'CASE DATA'!M7</f>
        <v>0</v>
      </c>
      <c r="E75" s="39" t="s">
        <v>25</v>
      </c>
      <c r="F75" s="41">
        <f>'CASE DATA'!P7</f>
        <v>0</v>
      </c>
      <c r="G75" s="44" t="s">
        <v>28</v>
      </c>
      <c r="H75" s="54">
        <f>'CASE DATA'!S7</f>
        <v>0</v>
      </c>
    </row>
    <row r="76" spans="1:8" x14ac:dyDescent="0.25">
      <c r="A76" s="56" t="s">
        <v>20</v>
      </c>
      <c r="B76" s="32">
        <f>'CASE DATA'!K7</f>
        <v>0</v>
      </c>
      <c r="C76" s="35" t="s">
        <v>23</v>
      </c>
      <c r="D76" s="37">
        <f>'CASE DATA'!N7</f>
        <v>0</v>
      </c>
      <c r="E76" s="40" t="s">
        <v>26</v>
      </c>
      <c r="F76" s="42">
        <f>'CASE DATA'!Q7</f>
        <v>0</v>
      </c>
      <c r="G76" s="28"/>
      <c r="H76" s="57"/>
    </row>
    <row r="77" spans="1:8" x14ac:dyDescent="0.25">
      <c r="A77" s="58" t="s">
        <v>10</v>
      </c>
      <c r="B77" s="278">
        <f>'CASE DATA'!T7</f>
        <v>0</v>
      </c>
      <c r="C77" s="279"/>
      <c r="D77" s="279"/>
      <c r="E77" s="279"/>
      <c r="F77" s="279"/>
      <c r="G77" s="279"/>
      <c r="H77" s="280"/>
    </row>
    <row r="78" spans="1:8" ht="18.75" x14ac:dyDescent="0.3">
      <c r="A78" s="265" t="s">
        <v>76</v>
      </c>
      <c r="B78" s="266"/>
      <c r="C78" s="266"/>
      <c r="D78" s="266"/>
      <c r="E78" s="266"/>
      <c r="F78" s="266"/>
      <c r="G78" s="266"/>
      <c r="H78" s="267"/>
    </row>
    <row r="79" spans="1:8" ht="45" x14ac:dyDescent="0.25">
      <c r="A79" s="59" t="s">
        <v>39</v>
      </c>
      <c r="B79" s="45" t="s">
        <v>77</v>
      </c>
      <c r="C79" s="46" t="s">
        <v>43</v>
      </c>
      <c r="D79" s="46" t="s">
        <v>44</v>
      </c>
      <c r="E79" s="46" t="s">
        <v>45</v>
      </c>
      <c r="F79" s="47" t="s">
        <v>46</v>
      </c>
      <c r="G79" s="26" t="s">
        <v>78</v>
      </c>
      <c r="H79" s="60"/>
    </row>
    <row r="80" spans="1:8" x14ac:dyDescent="0.25">
      <c r="A80" s="61" t="str">
        <f>EXPUNGEMENT!D6</f>
        <v>NO</v>
      </c>
      <c r="B80" s="61" t="str">
        <f>EXPUNGEMENT!G6</f>
        <v>N/A</v>
      </c>
      <c r="C80" s="136" t="str">
        <f>EXPUNGEMENT!H6</f>
        <v>NO</v>
      </c>
      <c r="D80" s="136" t="str">
        <f>EXPUNGEMENT!I6</f>
        <v>N/A</v>
      </c>
      <c r="E80" s="136" t="str">
        <f>EXPUNGEMENT!J6</f>
        <v>N/A</v>
      </c>
      <c r="F80" s="136" t="str">
        <f>EXPUNGEMENT!K6</f>
        <v>N/A</v>
      </c>
      <c r="G80" s="29"/>
      <c r="H80" s="62"/>
    </row>
    <row r="81" spans="1:8" x14ac:dyDescent="0.25">
      <c r="A81" s="63" t="s">
        <v>51</v>
      </c>
      <c r="B81" s="48" t="s">
        <v>79</v>
      </c>
      <c r="C81" s="49" t="s">
        <v>44</v>
      </c>
      <c r="D81" s="49" t="s">
        <v>45</v>
      </c>
      <c r="E81" s="29"/>
      <c r="F81" s="29"/>
      <c r="G81" s="29"/>
      <c r="H81" s="62"/>
    </row>
    <row r="82" spans="1:8" x14ac:dyDescent="0.25">
      <c r="A82" s="64" t="str">
        <f>EXPUNGEMENT!R6</f>
        <v>NO</v>
      </c>
      <c r="B82" s="64" t="str">
        <f>EXPUNGEMENT!S6</f>
        <v>N/A</v>
      </c>
      <c r="C82" s="64" t="str">
        <f>EXPUNGEMENT!T6</f>
        <v>N/A</v>
      </c>
      <c r="D82" s="64" t="str">
        <f>EXPUNGEMENT!U6</f>
        <v>N/A</v>
      </c>
      <c r="E82" s="29"/>
      <c r="F82" s="29"/>
      <c r="G82" s="29"/>
      <c r="H82" s="62"/>
    </row>
    <row r="83" spans="1:8" ht="18.75" customHeight="1" x14ac:dyDescent="0.3">
      <c r="A83" s="265" t="s">
        <v>80</v>
      </c>
      <c r="B83" s="266"/>
      <c r="C83" s="266"/>
      <c r="D83" s="266"/>
      <c r="E83" s="266"/>
      <c r="F83" s="268"/>
      <c r="G83" s="269">
        <v>4</v>
      </c>
      <c r="H83" s="270"/>
    </row>
    <row r="84" spans="1:8" ht="15" customHeight="1" x14ac:dyDescent="0.25">
      <c r="A84" s="65" t="s">
        <v>29</v>
      </c>
      <c r="B84" s="27">
        <f>BANKRUPTCY!C7</f>
        <v>0</v>
      </c>
      <c r="C84" s="50" t="s">
        <v>56</v>
      </c>
      <c r="D84" s="27">
        <f>BANKRUPTCY!D7</f>
        <v>0</v>
      </c>
      <c r="E84" s="50" t="s">
        <v>57</v>
      </c>
      <c r="F84" s="30">
        <f>BANKRUPTCY!E7</f>
        <v>0</v>
      </c>
      <c r="G84" s="271"/>
      <c r="H84" s="272"/>
    </row>
    <row r="85" spans="1:8" ht="18.75" customHeight="1" x14ac:dyDescent="0.3">
      <c r="A85" s="265" t="s">
        <v>81</v>
      </c>
      <c r="B85" s="266"/>
      <c r="C85" s="266"/>
      <c r="D85" s="266"/>
      <c r="E85" s="266"/>
      <c r="F85" s="268"/>
      <c r="G85" s="271"/>
      <c r="H85" s="272"/>
    </row>
    <row r="86" spans="1:8" ht="15" customHeight="1" x14ac:dyDescent="0.25">
      <c r="A86" s="65" t="s">
        <v>29</v>
      </c>
      <c r="B86" s="27">
        <f>SOL!C7</f>
        <v>0</v>
      </c>
      <c r="C86" s="50" t="s">
        <v>56</v>
      </c>
      <c r="D86" s="27">
        <f>SOL!D7</f>
        <v>0</v>
      </c>
      <c r="E86" s="50" t="s">
        <v>57</v>
      </c>
      <c r="F86" s="30">
        <f>SOL!E7</f>
        <v>0</v>
      </c>
      <c r="G86" s="271"/>
      <c r="H86" s="272"/>
    </row>
    <row r="87" spans="1:8" ht="18.75" customHeight="1" x14ac:dyDescent="0.3">
      <c r="A87" s="265" t="s">
        <v>82</v>
      </c>
      <c r="B87" s="266"/>
      <c r="C87" s="266"/>
      <c r="D87" s="266"/>
      <c r="E87" s="52"/>
      <c r="F87" s="51"/>
      <c r="G87" s="271"/>
      <c r="H87" s="272"/>
    </row>
    <row r="88" spans="1:8" ht="15" customHeight="1" x14ac:dyDescent="0.25">
      <c r="A88" s="65" t="s">
        <v>67</v>
      </c>
      <c r="B88" s="27">
        <f>EXEMPTIONS!C7</f>
        <v>0</v>
      </c>
      <c r="C88" s="50" t="s">
        <v>68</v>
      </c>
      <c r="D88" s="27">
        <f>EXEMPTIONS!D7</f>
        <v>0</v>
      </c>
      <c r="E88" s="31"/>
      <c r="F88" s="31"/>
      <c r="G88" s="271"/>
      <c r="H88" s="272"/>
    </row>
    <row r="89" spans="1:8" ht="18.75" customHeight="1" x14ac:dyDescent="0.3">
      <c r="A89" s="265" t="s">
        <v>83</v>
      </c>
      <c r="B89" s="266"/>
      <c r="C89" s="266"/>
      <c r="D89" s="266"/>
      <c r="E89" s="52"/>
      <c r="F89" s="52"/>
      <c r="G89" s="273"/>
      <c r="H89" s="274"/>
    </row>
    <row r="90" spans="1:8" ht="15.75" thickBot="1" x14ac:dyDescent="0.3">
      <c r="A90" s="66" t="s">
        <v>62</v>
      </c>
      <c r="B90" s="67" t="str">
        <f>'LICENSE-REGIS'!I7</f>
        <v>N/A</v>
      </c>
      <c r="C90" s="68" t="s">
        <v>63</v>
      </c>
      <c r="D90" s="67">
        <f>'LICENSE-REGIS'!M7</f>
        <v>0</v>
      </c>
      <c r="E90" s="196"/>
      <c r="F90" s="197"/>
      <c r="G90" s="197"/>
      <c r="H90" s="198"/>
    </row>
    <row r="94" spans="1:8" ht="15.75" thickBot="1" x14ac:dyDescent="0.3">
      <c r="A94" s="184"/>
      <c r="B94" s="184"/>
      <c r="C94" s="184"/>
      <c r="D94" s="184"/>
      <c r="E94" s="184"/>
      <c r="F94" s="184"/>
      <c r="G94" s="184"/>
      <c r="H94" s="184"/>
    </row>
    <row r="95" spans="1:8" x14ac:dyDescent="0.25">
      <c r="A95" s="75" t="s">
        <v>11</v>
      </c>
      <c r="B95" s="72" t="s">
        <v>12</v>
      </c>
      <c r="C95" s="72" t="s">
        <v>73</v>
      </c>
      <c r="D95" s="72" t="s">
        <v>13</v>
      </c>
      <c r="E95" s="72" t="s">
        <v>61</v>
      </c>
      <c r="F95" s="72" t="s">
        <v>14</v>
      </c>
      <c r="G95" s="72" t="s">
        <v>15</v>
      </c>
      <c r="H95" s="74" t="s">
        <v>16</v>
      </c>
    </row>
    <row r="96" spans="1:8" ht="17.25" x14ac:dyDescent="0.3">
      <c r="A96" s="76">
        <f>'CASE DATA'!A8</f>
        <v>0</v>
      </c>
      <c r="B96" s="77">
        <f>'CASE DATA'!B8</f>
        <v>0</v>
      </c>
      <c r="C96" s="79" t="e">
        <f>'CASE DATA'!#REF!</f>
        <v>#REF!</v>
      </c>
      <c r="D96" s="79">
        <f>'CASE DATA'!C8</f>
        <v>0</v>
      </c>
      <c r="E96" s="83">
        <f>'CASE DATA'!E8</f>
        <v>0</v>
      </c>
      <c r="F96" s="79">
        <f>'CASE DATA'!F8</f>
        <v>0</v>
      </c>
      <c r="G96" s="79">
        <f>'CASE DATA'!G8</f>
        <v>0</v>
      </c>
      <c r="H96" s="80">
        <f>'CASE DATA'!H8</f>
        <v>0</v>
      </c>
    </row>
    <row r="97" spans="1:8" x14ac:dyDescent="0.25">
      <c r="A97" s="53" t="s">
        <v>18</v>
      </c>
      <c r="B97" s="32">
        <f>'CASE DATA'!I8</f>
        <v>0</v>
      </c>
      <c r="C97" s="33" t="s">
        <v>21</v>
      </c>
      <c r="D97" s="36">
        <f>'CASE DATA'!L8</f>
        <v>0</v>
      </c>
      <c r="E97" s="38" t="s">
        <v>24</v>
      </c>
      <c r="F97" s="41">
        <f>'CASE DATA'!O8</f>
        <v>0</v>
      </c>
      <c r="G97" s="43" t="s">
        <v>74</v>
      </c>
      <c r="H97" s="54">
        <f>'CASE DATA'!R8</f>
        <v>0</v>
      </c>
    </row>
    <row r="98" spans="1:8" x14ac:dyDescent="0.25">
      <c r="A98" s="55" t="s">
        <v>75</v>
      </c>
      <c r="B98" s="32">
        <f>'CASE DATA'!J8</f>
        <v>0</v>
      </c>
      <c r="C98" s="34" t="s">
        <v>22</v>
      </c>
      <c r="D98" s="36">
        <f>'CASE DATA'!M8</f>
        <v>0</v>
      </c>
      <c r="E98" s="39" t="s">
        <v>25</v>
      </c>
      <c r="F98" s="41">
        <f>'CASE DATA'!P8</f>
        <v>0</v>
      </c>
      <c r="G98" s="44" t="s">
        <v>28</v>
      </c>
      <c r="H98" s="54">
        <f>'CASE DATA'!S8</f>
        <v>0</v>
      </c>
    </row>
    <row r="99" spans="1:8" x14ac:dyDescent="0.25">
      <c r="A99" s="56" t="s">
        <v>20</v>
      </c>
      <c r="B99" s="32">
        <f>'CASE DATA'!K8</f>
        <v>0</v>
      </c>
      <c r="C99" s="35" t="s">
        <v>23</v>
      </c>
      <c r="D99" s="37">
        <f>'CASE DATA'!N8</f>
        <v>0</v>
      </c>
      <c r="E99" s="40" t="s">
        <v>26</v>
      </c>
      <c r="F99" s="42">
        <f>'CASE DATA'!Q8</f>
        <v>0</v>
      </c>
      <c r="G99" s="28"/>
      <c r="H99" s="57"/>
    </row>
    <row r="100" spans="1:8" x14ac:dyDescent="0.25">
      <c r="A100" s="58" t="s">
        <v>10</v>
      </c>
      <c r="B100" s="278">
        <f>'CASE DATA'!T8</f>
        <v>0</v>
      </c>
      <c r="C100" s="279"/>
      <c r="D100" s="279"/>
      <c r="E100" s="279"/>
      <c r="F100" s="279"/>
      <c r="G100" s="279"/>
      <c r="H100" s="280"/>
    </row>
    <row r="101" spans="1:8" ht="18.75" x14ac:dyDescent="0.3">
      <c r="A101" s="265" t="s">
        <v>76</v>
      </c>
      <c r="B101" s="266"/>
      <c r="C101" s="266"/>
      <c r="D101" s="266"/>
      <c r="E101" s="266"/>
      <c r="F101" s="266"/>
      <c r="G101" s="266"/>
      <c r="H101" s="267"/>
    </row>
    <row r="102" spans="1:8" ht="45" x14ac:dyDescent="0.25">
      <c r="A102" s="59" t="s">
        <v>39</v>
      </c>
      <c r="B102" s="45" t="s">
        <v>77</v>
      </c>
      <c r="C102" s="46" t="s">
        <v>43</v>
      </c>
      <c r="D102" s="46" t="s">
        <v>44</v>
      </c>
      <c r="E102" s="46" t="s">
        <v>45</v>
      </c>
      <c r="F102" s="47" t="s">
        <v>46</v>
      </c>
      <c r="G102" s="26" t="s">
        <v>78</v>
      </c>
      <c r="H102" s="60"/>
    </row>
    <row r="103" spans="1:8" x14ac:dyDescent="0.25">
      <c r="A103" s="61" t="str">
        <f>EXPUNGEMENT!D7</f>
        <v>NO</v>
      </c>
      <c r="B103" s="61" t="str">
        <f>EXPUNGEMENT!G7</f>
        <v>N/A</v>
      </c>
      <c r="C103" s="136" t="str">
        <f>EXPUNGEMENT!H7</f>
        <v>NO</v>
      </c>
      <c r="D103" s="136" t="str">
        <f>EXPUNGEMENT!I7</f>
        <v>N/A</v>
      </c>
      <c r="E103" s="136" t="str">
        <f>EXPUNGEMENT!J7</f>
        <v>N/A</v>
      </c>
      <c r="F103" s="136" t="str">
        <f>EXPUNGEMENT!K7</f>
        <v>N/A</v>
      </c>
      <c r="G103" s="29"/>
      <c r="H103" s="62"/>
    </row>
    <row r="104" spans="1:8" x14ac:dyDescent="0.25">
      <c r="A104" s="63" t="s">
        <v>51</v>
      </c>
      <c r="B104" s="48" t="s">
        <v>79</v>
      </c>
      <c r="C104" s="49" t="s">
        <v>44</v>
      </c>
      <c r="D104" s="49" t="s">
        <v>45</v>
      </c>
      <c r="E104" s="29"/>
      <c r="F104" s="29"/>
      <c r="G104" s="29"/>
      <c r="H104" s="62"/>
    </row>
    <row r="105" spans="1:8" x14ac:dyDescent="0.25">
      <c r="A105" s="64" t="str">
        <f>EXPUNGEMENT!R7</f>
        <v>NO</v>
      </c>
      <c r="B105" s="64" t="str">
        <f>EXPUNGEMENT!S7</f>
        <v>N/A</v>
      </c>
      <c r="C105" s="64" t="str">
        <f>EXPUNGEMENT!T7</f>
        <v>N/A</v>
      </c>
      <c r="D105" s="64" t="str">
        <f>EXPUNGEMENT!U7</f>
        <v>N/A</v>
      </c>
      <c r="E105" s="29"/>
      <c r="F105" s="29"/>
      <c r="G105" s="29"/>
      <c r="H105" s="62"/>
    </row>
    <row r="106" spans="1:8" ht="18.75" customHeight="1" x14ac:dyDescent="0.3">
      <c r="A106" s="265" t="s">
        <v>80</v>
      </c>
      <c r="B106" s="266"/>
      <c r="C106" s="266"/>
      <c r="D106" s="266"/>
      <c r="E106" s="266"/>
      <c r="F106" s="268"/>
      <c r="G106" s="269">
        <v>5</v>
      </c>
      <c r="H106" s="270"/>
    </row>
    <row r="107" spans="1:8" ht="15" customHeight="1" x14ac:dyDescent="0.25">
      <c r="A107" s="65" t="s">
        <v>29</v>
      </c>
      <c r="B107" s="27">
        <f>BANKRUPTCY!C8</f>
        <v>0</v>
      </c>
      <c r="C107" s="50" t="s">
        <v>56</v>
      </c>
      <c r="D107" s="27">
        <f>BANKRUPTCY!D8</f>
        <v>0</v>
      </c>
      <c r="E107" s="50" t="s">
        <v>57</v>
      </c>
      <c r="F107" s="30">
        <f>BANKRUPTCY!E8</f>
        <v>0</v>
      </c>
      <c r="G107" s="271"/>
      <c r="H107" s="272"/>
    </row>
    <row r="108" spans="1:8" ht="18.75" customHeight="1" x14ac:dyDescent="0.3">
      <c r="A108" s="265" t="s">
        <v>81</v>
      </c>
      <c r="B108" s="266"/>
      <c r="C108" s="266"/>
      <c r="D108" s="266"/>
      <c r="E108" s="266"/>
      <c r="F108" s="268"/>
      <c r="G108" s="271"/>
      <c r="H108" s="272"/>
    </row>
    <row r="109" spans="1:8" ht="15" customHeight="1" x14ac:dyDescent="0.25">
      <c r="A109" s="65" t="s">
        <v>29</v>
      </c>
      <c r="B109" s="27">
        <f>SOL!C8</f>
        <v>0</v>
      </c>
      <c r="C109" s="50" t="s">
        <v>56</v>
      </c>
      <c r="D109" s="27">
        <f>SOL!D8</f>
        <v>0</v>
      </c>
      <c r="E109" s="50" t="s">
        <v>57</v>
      </c>
      <c r="F109" s="30">
        <f>SOL!E8</f>
        <v>0</v>
      </c>
      <c r="G109" s="271"/>
      <c r="H109" s="272"/>
    </row>
    <row r="110" spans="1:8" ht="18.75" customHeight="1" x14ac:dyDescent="0.3">
      <c r="A110" s="265" t="s">
        <v>82</v>
      </c>
      <c r="B110" s="266"/>
      <c r="C110" s="266"/>
      <c r="D110" s="266"/>
      <c r="E110" s="52"/>
      <c r="F110" s="51"/>
      <c r="G110" s="271"/>
      <c r="H110" s="272"/>
    </row>
    <row r="111" spans="1:8" ht="15" customHeight="1" x14ac:dyDescent="0.25">
      <c r="A111" s="65" t="s">
        <v>67</v>
      </c>
      <c r="B111" s="27">
        <f>EXEMPTIONS!C8</f>
        <v>0</v>
      </c>
      <c r="C111" s="50" t="s">
        <v>68</v>
      </c>
      <c r="D111" s="27">
        <f>EXEMPTIONS!D8</f>
        <v>0</v>
      </c>
      <c r="E111" s="31"/>
      <c r="F111" s="31"/>
      <c r="G111" s="271"/>
      <c r="H111" s="272"/>
    </row>
    <row r="112" spans="1:8" ht="18.75" customHeight="1" x14ac:dyDescent="0.3">
      <c r="A112" s="265" t="s">
        <v>83</v>
      </c>
      <c r="B112" s="266"/>
      <c r="C112" s="266"/>
      <c r="D112" s="266"/>
      <c r="E112" s="52"/>
      <c r="F112" s="52"/>
      <c r="G112" s="273"/>
      <c r="H112" s="274"/>
    </row>
    <row r="113" spans="1:8" ht="15.75" thickBot="1" x14ac:dyDescent="0.3">
      <c r="A113" s="66" t="s">
        <v>62</v>
      </c>
      <c r="B113" s="67" t="str">
        <f>'LICENSE-REGIS'!I8</f>
        <v>N/A</v>
      </c>
      <c r="C113" s="68" t="s">
        <v>63</v>
      </c>
      <c r="D113" s="67">
        <f>'LICENSE-REGIS'!M8</f>
        <v>0</v>
      </c>
      <c r="E113" s="196"/>
      <c r="F113" s="197"/>
      <c r="G113" s="197"/>
      <c r="H113" s="198"/>
    </row>
    <row r="117" spans="1:8" ht="15.75" thickBot="1" x14ac:dyDescent="0.3">
      <c r="A117" s="184"/>
      <c r="B117" s="184"/>
      <c r="C117" s="184"/>
      <c r="D117" s="184"/>
      <c r="E117" s="184"/>
      <c r="F117" s="184"/>
      <c r="G117" s="184"/>
      <c r="H117" s="184"/>
    </row>
    <row r="118" spans="1:8" x14ac:dyDescent="0.25">
      <c r="A118" s="75" t="s">
        <v>11</v>
      </c>
      <c r="B118" s="72" t="s">
        <v>12</v>
      </c>
      <c r="C118" s="72" t="s">
        <v>73</v>
      </c>
      <c r="D118" s="72" t="s">
        <v>13</v>
      </c>
      <c r="E118" s="72" t="s">
        <v>61</v>
      </c>
      <c r="F118" s="72" t="s">
        <v>14</v>
      </c>
      <c r="G118" s="72" t="s">
        <v>15</v>
      </c>
      <c r="H118" s="74" t="s">
        <v>16</v>
      </c>
    </row>
    <row r="119" spans="1:8" ht="17.25" x14ac:dyDescent="0.3">
      <c r="A119" s="76">
        <f>'CASE DATA'!A9</f>
        <v>0</v>
      </c>
      <c r="B119" s="77">
        <f>'CASE DATA'!B9</f>
        <v>0</v>
      </c>
      <c r="C119" s="79" t="e">
        <f>'CASE DATA'!#REF!</f>
        <v>#REF!</v>
      </c>
      <c r="D119" s="79">
        <f>'CASE DATA'!C9</f>
        <v>0</v>
      </c>
      <c r="E119" s="81">
        <f>'CASE DATA'!E9</f>
        <v>0</v>
      </c>
      <c r="F119" s="81">
        <f>'CASE DATA'!F9</f>
        <v>0</v>
      </c>
      <c r="G119" s="81">
        <f>'CASE DATA'!G9</f>
        <v>0</v>
      </c>
      <c r="H119" s="82">
        <f>'CASE DATA'!H9</f>
        <v>0</v>
      </c>
    </row>
    <row r="120" spans="1:8" x14ac:dyDescent="0.25">
      <c r="A120" s="53" t="s">
        <v>18</v>
      </c>
      <c r="B120" s="32">
        <f>'CASE DATA'!I9</f>
        <v>0</v>
      </c>
      <c r="C120" s="33" t="s">
        <v>21</v>
      </c>
      <c r="D120" s="36">
        <f>'CASE DATA'!L9</f>
        <v>0</v>
      </c>
      <c r="E120" s="38" t="s">
        <v>24</v>
      </c>
      <c r="F120" s="41">
        <f>'CASE DATA'!O9</f>
        <v>0</v>
      </c>
      <c r="G120" s="43" t="s">
        <v>74</v>
      </c>
      <c r="H120" s="54">
        <f>'CASE DATA'!R9</f>
        <v>0</v>
      </c>
    </row>
    <row r="121" spans="1:8" x14ac:dyDescent="0.25">
      <c r="A121" s="55" t="s">
        <v>75</v>
      </c>
      <c r="B121" s="32">
        <f>'CASE DATA'!J9</f>
        <v>0</v>
      </c>
      <c r="C121" s="34" t="s">
        <v>22</v>
      </c>
      <c r="D121" s="36">
        <f>'CASE DATA'!M9</f>
        <v>0</v>
      </c>
      <c r="E121" s="39" t="s">
        <v>25</v>
      </c>
      <c r="F121" s="41">
        <f>'CASE DATA'!P9</f>
        <v>0</v>
      </c>
      <c r="G121" s="44" t="s">
        <v>28</v>
      </c>
      <c r="H121" s="54">
        <f>'CASE DATA'!S9</f>
        <v>0</v>
      </c>
    </row>
    <row r="122" spans="1:8" x14ac:dyDescent="0.25">
      <c r="A122" s="56" t="s">
        <v>20</v>
      </c>
      <c r="B122" s="32">
        <f>'CASE DATA'!K9</f>
        <v>0</v>
      </c>
      <c r="C122" s="35" t="s">
        <v>23</v>
      </c>
      <c r="D122" s="37">
        <f>'CASE DATA'!N9</f>
        <v>0</v>
      </c>
      <c r="E122" s="40" t="s">
        <v>26</v>
      </c>
      <c r="F122" s="42">
        <f>'CASE DATA'!Q9</f>
        <v>0</v>
      </c>
      <c r="G122" s="28"/>
      <c r="H122" s="57"/>
    </row>
    <row r="123" spans="1:8" x14ac:dyDescent="0.25">
      <c r="A123" s="58" t="s">
        <v>10</v>
      </c>
      <c r="B123" s="278">
        <f>'CASE DATA'!T9</f>
        <v>0</v>
      </c>
      <c r="C123" s="279"/>
      <c r="D123" s="279"/>
      <c r="E123" s="279"/>
      <c r="F123" s="279"/>
      <c r="G123" s="279"/>
      <c r="H123" s="280"/>
    </row>
    <row r="124" spans="1:8" ht="18.75" x14ac:dyDescent="0.3">
      <c r="A124" s="265" t="s">
        <v>76</v>
      </c>
      <c r="B124" s="266"/>
      <c r="C124" s="266"/>
      <c r="D124" s="266"/>
      <c r="E124" s="266"/>
      <c r="F124" s="266"/>
      <c r="G124" s="266"/>
      <c r="H124" s="267"/>
    </row>
    <row r="125" spans="1:8" ht="45" x14ac:dyDescent="0.25">
      <c r="A125" s="59" t="s">
        <v>39</v>
      </c>
      <c r="B125" s="45" t="s">
        <v>77</v>
      </c>
      <c r="C125" s="46" t="s">
        <v>43</v>
      </c>
      <c r="D125" s="46" t="s">
        <v>44</v>
      </c>
      <c r="E125" s="46" t="s">
        <v>45</v>
      </c>
      <c r="F125" s="47" t="s">
        <v>46</v>
      </c>
      <c r="G125" s="26" t="s">
        <v>78</v>
      </c>
      <c r="H125" s="60"/>
    </row>
    <row r="126" spans="1:8" x14ac:dyDescent="0.25">
      <c r="A126" s="61" t="str">
        <f>EXPUNGEMENT!D8</f>
        <v>NO</v>
      </c>
      <c r="B126" s="61" t="str">
        <f>EXPUNGEMENT!G8</f>
        <v>N/A</v>
      </c>
      <c r="C126" s="136" t="str">
        <f>EXPUNGEMENT!H8</f>
        <v>NO</v>
      </c>
      <c r="D126" s="136" t="str">
        <f>EXPUNGEMENT!I8</f>
        <v>N/A</v>
      </c>
      <c r="E126" s="136" t="str">
        <f>EXPUNGEMENT!J8</f>
        <v>N/A</v>
      </c>
      <c r="F126" s="136" t="str">
        <f>EXPUNGEMENT!K8</f>
        <v>N/A</v>
      </c>
      <c r="G126" s="29"/>
      <c r="H126" s="62"/>
    </row>
    <row r="127" spans="1:8" x14ac:dyDescent="0.25">
      <c r="A127" s="63" t="s">
        <v>51</v>
      </c>
      <c r="B127" s="48" t="s">
        <v>79</v>
      </c>
      <c r="C127" s="49" t="s">
        <v>44</v>
      </c>
      <c r="D127" s="49" t="s">
        <v>45</v>
      </c>
      <c r="E127" s="29"/>
      <c r="F127" s="29"/>
      <c r="G127" s="29"/>
      <c r="H127" s="62"/>
    </row>
    <row r="128" spans="1:8" x14ac:dyDescent="0.25">
      <c r="A128" s="64" t="str">
        <f>EXPUNGEMENT!R8</f>
        <v>NO</v>
      </c>
      <c r="B128" s="64" t="str">
        <f>EXPUNGEMENT!S8</f>
        <v>N/A</v>
      </c>
      <c r="C128" s="64" t="str">
        <f>EXPUNGEMENT!T8</f>
        <v>N/A</v>
      </c>
      <c r="D128" s="64" t="str">
        <f>EXPUNGEMENT!U8</f>
        <v>N/A</v>
      </c>
      <c r="E128" s="29"/>
      <c r="F128" s="29"/>
      <c r="G128" s="29"/>
      <c r="H128" s="62"/>
    </row>
    <row r="129" spans="1:8" ht="18.75" customHeight="1" x14ac:dyDescent="0.3">
      <c r="A129" s="265" t="s">
        <v>80</v>
      </c>
      <c r="B129" s="266"/>
      <c r="C129" s="266"/>
      <c r="D129" s="266"/>
      <c r="E129" s="266"/>
      <c r="F129" s="268"/>
      <c r="G129" s="269">
        <v>6</v>
      </c>
      <c r="H129" s="270"/>
    </row>
    <row r="130" spans="1:8" ht="15" customHeight="1" x14ac:dyDescent="0.25">
      <c r="A130" s="65" t="s">
        <v>29</v>
      </c>
      <c r="B130" s="27">
        <f>BANKRUPTCY!C9</f>
        <v>0</v>
      </c>
      <c r="C130" s="50" t="s">
        <v>56</v>
      </c>
      <c r="D130" s="27">
        <f>BANKRUPTCY!D9</f>
        <v>0</v>
      </c>
      <c r="E130" s="50" t="s">
        <v>57</v>
      </c>
      <c r="F130" s="30">
        <f>BANKRUPTCY!E9</f>
        <v>0</v>
      </c>
      <c r="G130" s="271"/>
      <c r="H130" s="272"/>
    </row>
    <row r="131" spans="1:8" ht="18.75" customHeight="1" x14ac:dyDescent="0.3">
      <c r="A131" s="265" t="s">
        <v>81</v>
      </c>
      <c r="B131" s="266"/>
      <c r="C131" s="266"/>
      <c r="D131" s="266"/>
      <c r="E131" s="266"/>
      <c r="F131" s="268"/>
      <c r="G131" s="271"/>
      <c r="H131" s="272"/>
    </row>
    <row r="132" spans="1:8" ht="15" customHeight="1" x14ac:dyDescent="0.25">
      <c r="A132" s="65" t="s">
        <v>29</v>
      </c>
      <c r="B132" s="27">
        <f>SOL!C9</f>
        <v>0</v>
      </c>
      <c r="C132" s="50" t="s">
        <v>56</v>
      </c>
      <c r="D132" s="27">
        <f>SOL!D9</f>
        <v>0</v>
      </c>
      <c r="E132" s="50" t="s">
        <v>57</v>
      </c>
      <c r="F132" s="30">
        <f>SOL!E9</f>
        <v>0</v>
      </c>
      <c r="G132" s="271"/>
      <c r="H132" s="272"/>
    </row>
    <row r="133" spans="1:8" ht="18.75" customHeight="1" x14ac:dyDescent="0.3">
      <c r="A133" s="265" t="s">
        <v>82</v>
      </c>
      <c r="B133" s="266"/>
      <c r="C133" s="266"/>
      <c r="D133" s="266"/>
      <c r="E133" s="52"/>
      <c r="F133" s="51"/>
      <c r="G133" s="271"/>
      <c r="H133" s="272"/>
    </row>
    <row r="134" spans="1:8" ht="15" customHeight="1" x14ac:dyDescent="0.25">
      <c r="A134" s="65" t="s">
        <v>67</v>
      </c>
      <c r="B134" s="27">
        <f>EXEMPTIONS!C9</f>
        <v>0</v>
      </c>
      <c r="C134" s="50" t="s">
        <v>68</v>
      </c>
      <c r="D134" s="27">
        <f>EXEMPTIONS!D9</f>
        <v>0</v>
      </c>
      <c r="E134" s="31"/>
      <c r="F134" s="31"/>
      <c r="G134" s="271"/>
      <c r="H134" s="272"/>
    </row>
    <row r="135" spans="1:8" ht="18.75" customHeight="1" x14ac:dyDescent="0.3">
      <c r="A135" s="265" t="s">
        <v>83</v>
      </c>
      <c r="B135" s="266"/>
      <c r="C135" s="266"/>
      <c r="D135" s="266"/>
      <c r="E135" s="52"/>
      <c r="F135" s="52"/>
      <c r="G135" s="273"/>
      <c r="H135" s="274"/>
    </row>
    <row r="136" spans="1:8" ht="15.75" thickBot="1" x14ac:dyDescent="0.3">
      <c r="A136" s="66" t="s">
        <v>62</v>
      </c>
      <c r="B136" s="67" t="str">
        <f>'LICENSE-REGIS'!I9</f>
        <v>N/A</v>
      </c>
      <c r="C136" s="68" t="s">
        <v>63</v>
      </c>
      <c r="D136" s="67">
        <f>'LICENSE-REGIS'!M9</f>
        <v>0</v>
      </c>
      <c r="E136" s="275"/>
      <c r="F136" s="276"/>
      <c r="G136" s="276"/>
      <c r="H136" s="277"/>
    </row>
    <row r="137" spans="1:8" x14ac:dyDescent="0.25">
      <c r="A137" s="4"/>
      <c r="B137" s="90"/>
      <c r="C137" s="91"/>
      <c r="D137" s="90"/>
      <c r="E137" s="91"/>
      <c r="F137" s="91"/>
      <c r="G137" s="91"/>
      <c r="H137" s="91"/>
    </row>
    <row r="138" spans="1:8" x14ac:dyDescent="0.25">
      <c r="A138" s="4"/>
      <c r="B138" s="90"/>
      <c r="C138" s="91"/>
      <c r="D138" s="90"/>
      <c r="E138" s="91"/>
      <c r="F138" s="91"/>
      <c r="G138" s="91"/>
      <c r="H138" s="91"/>
    </row>
    <row r="139" spans="1:8" x14ac:dyDescent="0.25">
      <c r="A139" s="4"/>
      <c r="B139" s="90"/>
      <c r="C139" s="91"/>
      <c r="D139" s="90"/>
      <c r="E139" s="91"/>
      <c r="F139" s="91"/>
      <c r="G139" s="91"/>
      <c r="H139" s="91"/>
    </row>
    <row r="140" spans="1:8" ht="15.75" thickBot="1" x14ac:dyDescent="0.3">
      <c r="A140" s="99"/>
      <c r="B140" s="99"/>
      <c r="C140" s="99"/>
      <c r="D140" s="99"/>
      <c r="E140" s="99"/>
      <c r="F140" s="99"/>
      <c r="G140" s="99"/>
      <c r="H140" s="99"/>
    </row>
    <row r="141" spans="1:8" x14ac:dyDescent="0.25">
      <c r="A141" s="75" t="s">
        <v>11</v>
      </c>
      <c r="B141" s="72" t="s">
        <v>12</v>
      </c>
      <c r="C141" s="72" t="s">
        <v>73</v>
      </c>
      <c r="D141" s="72" t="s">
        <v>13</v>
      </c>
      <c r="E141" s="72" t="s">
        <v>61</v>
      </c>
      <c r="F141" s="72" t="s">
        <v>14</v>
      </c>
      <c r="G141" s="72" t="s">
        <v>15</v>
      </c>
      <c r="H141" s="74" t="s">
        <v>16</v>
      </c>
    </row>
    <row r="142" spans="1:8" ht="17.25" x14ac:dyDescent="0.3">
      <c r="A142" s="76">
        <f>'CASE DATA'!A10</f>
        <v>0</v>
      </c>
      <c r="B142" s="77">
        <f>'CASE DATA'!B10</f>
        <v>0</v>
      </c>
      <c r="C142" s="79" t="e">
        <f>'CASE DATA'!#REF!</f>
        <v>#REF!</v>
      </c>
      <c r="D142" s="79">
        <f>'CASE DATA'!C10</f>
        <v>0</v>
      </c>
      <c r="E142" s="77">
        <f>'CASE DATA'!E10</f>
        <v>0</v>
      </c>
      <c r="F142" s="77">
        <f>'CASE DATA'!F10</f>
        <v>0</v>
      </c>
      <c r="G142" s="77">
        <f>'CASE DATA'!G10</f>
        <v>0</v>
      </c>
      <c r="H142" s="78">
        <f>'CASE DATA'!H10</f>
        <v>0</v>
      </c>
    </row>
    <row r="143" spans="1:8" x14ac:dyDescent="0.25">
      <c r="A143" s="53" t="s">
        <v>18</v>
      </c>
      <c r="B143" s="32">
        <f>'CASE DATA'!I10</f>
        <v>0</v>
      </c>
      <c r="C143" s="33" t="s">
        <v>21</v>
      </c>
      <c r="D143" s="36">
        <f>'CASE DATA'!L10</f>
        <v>0</v>
      </c>
      <c r="E143" s="38" t="s">
        <v>24</v>
      </c>
      <c r="F143" s="41">
        <f>'CASE DATA'!O10</f>
        <v>0</v>
      </c>
      <c r="G143" s="43" t="s">
        <v>74</v>
      </c>
      <c r="H143" s="54">
        <f>'CASE DATA'!R10</f>
        <v>0</v>
      </c>
    </row>
    <row r="144" spans="1:8" x14ac:dyDescent="0.25">
      <c r="A144" s="55" t="s">
        <v>75</v>
      </c>
      <c r="B144" s="32">
        <f>'CASE DATA'!J10</f>
        <v>0</v>
      </c>
      <c r="C144" s="34" t="s">
        <v>22</v>
      </c>
      <c r="D144" s="36">
        <f>'CASE DATA'!M10</f>
        <v>0</v>
      </c>
      <c r="E144" s="39" t="s">
        <v>25</v>
      </c>
      <c r="F144" s="41">
        <f>'CASE DATA'!P10</f>
        <v>0</v>
      </c>
      <c r="G144" s="44" t="s">
        <v>28</v>
      </c>
      <c r="H144" s="54">
        <f>'CASE DATA'!S10</f>
        <v>0</v>
      </c>
    </row>
    <row r="145" spans="1:8" x14ac:dyDescent="0.25">
      <c r="A145" s="56" t="s">
        <v>20</v>
      </c>
      <c r="B145" s="32">
        <f>'CASE DATA'!K10</f>
        <v>0</v>
      </c>
      <c r="C145" s="35" t="s">
        <v>23</v>
      </c>
      <c r="D145" s="37">
        <f>'CASE DATA'!N10</f>
        <v>0</v>
      </c>
      <c r="E145" s="40" t="s">
        <v>26</v>
      </c>
      <c r="F145" s="42">
        <f>'CASE DATA'!Q10</f>
        <v>0</v>
      </c>
      <c r="G145" s="28"/>
      <c r="H145" s="57"/>
    </row>
    <row r="146" spans="1:8" x14ac:dyDescent="0.25">
      <c r="A146" s="58" t="s">
        <v>10</v>
      </c>
      <c r="B146" s="278">
        <f>'CASE DATA'!T10</f>
        <v>0</v>
      </c>
      <c r="C146" s="279"/>
      <c r="D146" s="279"/>
      <c r="E146" s="279"/>
      <c r="F146" s="279"/>
      <c r="G146" s="279"/>
      <c r="H146" s="280"/>
    </row>
    <row r="147" spans="1:8" ht="18.75" x14ac:dyDescent="0.3">
      <c r="A147" s="265" t="s">
        <v>76</v>
      </c>
      <c r="B147" s="266"/>
      <c r="C147" s="266"/>
      <c r="D147" s="266"/>
      <c r="E147" s="266"/>
      <c r="F147" s="266"/>
      <c r="G147" s="266"/>
      <c r="H147" s="267"/>
    </row>
    <row r="148" spans="1:8" ht="45" x14ac:dyDescent="0.25">
      <c r="A148" s="59" t="s">
        <v>39</v>
      </c>
      <c r="B148" s="45" t="s">
        <v>77</v>
      </c>
      <c r="C148" s="46" t="s">
        <v>43</v>
      </c>
      <c r="D148" s="46" t="s">
        <v>44</v>
      </c>
      <c r="E148" s="46" t="s">
        <v>45</v>
      </c>
      <c r="F148" s="47" t="s">
        <v>46</v>
      </c>
      <c r="G148" s="26" t="s">
        <v>78</v>
      </c>
      <c r="H148" s="60"/>
    </row>
    <row r="149" spans="1:8" x14ac:dyDescent="0.25">
      <c r="A149" s="61" t="str">
        <f>EXPUNGEMENT!D9</f>
        <v>NO</v>
      </c>
      <c r="B149" s="61" t="str">
        <f>EXPUNGEMENT!G9</f>
        <v>N/A</v>
      </c>
      <c r="C149" s="136" t="str">
        <f>EXPUNGEMENT!H9</f>
        <v>NO</v>
      </c>
      <c r="D149" s="136" t="str">
        <f>EXPUNGEMENT!I9</f>
        <v>N/A</v>
      </c>
      <c r="E149" s="136" t="str">
        <f>EXPUNGEMENT!J9</f>
        <v>N/A</v>
      </c>
      <c r="F149" s="136" t="str">
        <f>EXPUNGEMENT!K9</f>
        <v>N/A</v>
      </c>
      <c r="G149" s="29"/>
      <c r="H149" s="62"/>
    </row>
    <row r="150" spans="1:8" x14ac:dyDescent="0.25">
      <c r="A150" s="63" t="s">
        <v>51</v>
      </c>
      <c r="B150" s="48" t="s">
        <v>79</v>
      </c>
      <c r="C150" s="49" t="s">
        <v>44</v>
      </c>
      <c r="D150" s="49" t="s">
        <v>45</v>
      </c>
      <c r="E150" s="29"/>
      <c r="F150" s="29"/>
      <c r="G150" s="29"/>
      <c r="H150" s="62"/>
    </row>
    <row r="151" spans="1:8" x14ac:dyDescent="0.25">
      <c r="A151" s="64" t="str">
        <f>EXPUNGEMENT!R9</f>
        <v>NO</v>
      </c>
      <c r="B151" s="64" t="str">
        <f>EXPUNGEMENT!S9</f>
        <v>N/A</v>
      </c>
      <c r="C151" s="64" t="str">
        <f>EXPUNGEMENT!T9</f>
        <v>N/A</v>
      </c>
      <c r="D151" s="64" t="str">
        <f>EXPUNGEMENT!U9</f>
        <v>N/A</v>
      </c>
      <c r="E151" s="29"/>
      <c r="F151" s="29"/>
      <c r="G151" s="29"/>
      <c r="H151" s="62"/>
    </row>
    <row r="152" spans="1:8" ht="18.75" x14ac:dyDescent="0.3">
      <c r="A152" s="265" t="s">
        <v>80</v>
      </c>
      <c r="B152" s="266"/>
      <c r="C152" s="266"/>
      <c r="D152" s="266"/>
      <c r="E152" s="266"/>
      <c r="F152" s="268"/>
      <c r="G152" s="269">
        <v>7</v>
      </c>
      <c r="H152" s="270"/>
    </row>
    <row r="153" spans="1:8" ht="15" customHeight="1" x14ac:dyDescent="0.25">
      <c r="A153" s="65" t="s">
        <v>29</v>
      </c>
      <c r="B153" s="27">
        <f>BANKRUPTCY!C10</f>
        <v>0</v>
      </c>
      <c r="C153" s="50" t="s">
        <v>56</v>
      </c>
      <c r="D153" s="27">
        <f>BANKRUPTCY!D10</f>
        <v>0</v>
      </c>
      <c r="E153" s="50" t="s">
        <v>57</v>
      </c>
      <c r="F153" s="30">
        <f>BANKRUPTCY!E9</f>
        <v>0</v>
      </c>
      <c r="G153" s="271"/>
      <c r="H153" s="272"/>
    </row>
    <row r="154" spans="1:8" ht="18.75" x14ac:dyDescent="0.3">
      <c r="A154" s="265" t="s">
        <v>81</v>
      </c>
      <c r="B154" s="266"/>
      <c r="C154" s="266"/>
      <c r="D154" s="266"/>
      <c r="E154" s="266"/>
      <c r="F154" s="268"/>
      <c r="G154" s="271"/>
      <c r="H154" s="272"/>
    </row>
    <row r="155" spans="1:8" ht="15" customHeight="1" x14ac:dyDescent="0.25">
      <c r="A155" s="65" t="s">
        <v>29</v>
      </c>
      <c r="B155" s="27">
        <f>SOL!C10</f>
        <v>0</v>
      </c>
      <c r="C155" s="50" t="s">
        <v>56</v>
      </c>
      <c r="D155" s="27">
        <f>SOL!D10</f>
        <v>0</v>
      </c>
      <c r="E155" s="50" t="s">
        <v>57</v>
      </c>
      <c r="F155" s="30">
        <f>SOL!E9</f>
        <v>0</v>
      </c>
      <c r="G155" s="271"/>
      <c r="H155" s="272"/>
    </row>
    <row r="156" spans="1:8" ht="18.75" x14ac:dyDescent="0.3">
      <c r="A156" s="265" t="s">
        <v>82</v>
      </c>
      <c r="B156" s="266"/>
      <c r="C156" s="266"/>
      <c r="D156" s="266"/>
      <c r="E156" s="52"/>
      <c r="F156" s="51"/>
      <c r="G156" s="271"/>
      <c r="H156" s="272"/>
    </row>
    <row r="157" spans="1:8" ht="15" customHeight="1" x14ac:dyDescent="0.25">
      <c r="A157" s="65" t="s">
        <v>67</v>
      </c>
      <c r="B157" s="27">
        <f>EXEMPTIONS!C10</f>
        <v>0</v>
      </c>
      <c r="C157" s="50" t="s">
        <v>68</v>
      </c>
      <c r="D157" s="27">
        <f>EXEMPTIONS!D10</f>
        <v>0</v>
      </c>
      <c r="E157" s="31"/>
      <c r="F157" s="31"/>
      <c r="G157" s="271"/>
      <c r="H157" s="272"/>
    </row>
    <row r="158" spans="1:8" ht="18.75" x14ac:dyDescent="0.3">
      <c r="A158" s="265" t="s">
        <v>83</v>
      </c>
      <c r="B158" s="266"/>
      <c r="C158" s="266"/>
      <c r="D158" s="266"/>
      <c r="E158" s="52"/>
      <c r="F158" s="52"/>
      <c r="G158" s="273"/>
      <c r="H158" s="274"/>
    </row>
    <row r="159" spans="1:8" ht="15.75" thickBot="1" x14ac:dyDescent="0.3">
      <c r="A159" s="66" t="s">
        <v>62</v>
      </c>
      <c r="B159" s="67" t="str">
        <f>'LICENSE-REGIS'!I10</f>
        <v>N/A</v>
      </c>
      <c r="C159" s="68" t="s">
        <v>63</v>
      </c>
      <c r="D159" s="67">
        <f>'LICENSE-REGIS'!M10</f>
        <v>0</v>
      </c>
      <c r="E159" s="275"/>
      <c r="F159" s="276"/>
      <c r="G159" s="276"/>
      <c r="H159" s="277"/>
    </row>
    <row r="163" spans="1:8" ht="15.75" thickBot="1" x14ac:dyDescent="0.3">
      <c r="A163" s="184"/>
      <c r="B163" s="184"/>
      <c r="C163" s="184"/>
      <c r="D163" s="184"/>
      <c r="E163" s="184"/>
      <c r="F163" s="184"/>
      <c r="G163" s="184"/>
      <c r="H163" s="184"/>
    </row>
    <row r="164" spans="1:8" x14ac:dyDescent="0.25">
      <c r="A164" s="75" t="s">
        <v>11</v>
      </c>
      <c r="B164" s="72" t="s">
        <v>12</v>
      </c>
      <c r="C164" s="72" t="s">
        <v>73</v>
      </c>
      <c r="D164" s="72" t="s">
        <v>13</v>
      </c>
      <c r="E164" s="72" t="s">
        <v>61</v>
      </c>
      <c r="F164" s="72" t="s">
        <v>14</v>
      </c>
      <c r="G164" s="72" t="s">
        <v>15</v>
      </c>
      <c r="H164" s="74" t="s">
        <v>16</v>
      </c>
    </row>
    <row r="165" spans="1:8" ht="17.25" x14ac:dyDescent="0.3">
      <c r="A165" s="76">
        <f>'CASE DATA'!A11</f>
        <v>0</v>
      </c>
      <c r="B165" s="77">
        <f>'CASE DATA'!B11</f>
        <v>0</v>
      </c>
      <c r="C165" s="79" t="e">
        <f>'CASE DATA'!#REF!</f>
        <v>#REF!</v>
      </c>
      <c r="D165" s="79">
        <f>'CASE DATA'!C11</f>
        <v>0</v>
      </c>
      <c r="E165" s="77">
        <f>'CASE DATA'!E11</f>
        <v>0</v>
      </c>
      <c r="F165" s="77">
        <f>'CASE DATA'!F11</f>
        <v>0</v>
      </c>
      <c r="G165" s="77">
        <f>'CASE DATA'!G11</f>
        <v>0</v>
      </c>
      <c r="H165" s="78">
        <f>'CASE DATA'!H11</f>
        <v>0</v>
      </c>
    </row>
    <row r="166" spans="1:8" x14ac:dyDescent="0.25">
      <c r="A166" s="53" t="s">
        <v>18</v>
      </c>
      <c r="B166" s="32">
        <f>'CASE DATA'!I11</f>
        <v>0</v>
      </c>
      <c r="C166" s="33" t="s">
        <v>21</v>
      </c>
      <c r="D166" s="36">
        <f>'CASE DATA'!L11</f>
        <v>0</v>
      </c>
      <c r="E166" s="38" t="s">
        <v>24</v>
      </c>
      <c r="F166" s="41">
        <f>'CASE DATA'!O11</f>
        <v>0</v>
      </c>
      <c r="G166" s="43" t="s">
        <v>74</v>
      </c>
      <c r="H166" s="54">
        <f>'CASE DATA'!R11</f>
        <v>0</v>
      </c>
    </row>
    <row r="167" spans="1:8" x14ac:dyDescent="0.25">
      <c r="A167" s="55" t="s">
        <v>75</v>
      </c>
      <c r="B167" s="32">
        <f>'CASE DATA'!J11</f>
        <v>0</v>
      </c>
      <c r="C167" s="34" t="s">
        <v>22</v>
      </c>
      <c r="D167" s="36">
        <f>'CASE DATA'!M11</f>
        <v>0</v>
      </c>
      <c r="E167" s="39" t="s">
        <v>25</v>
      </c>
      <c r="F167" s="41">
        <f>'CASE DATA'!P11</f>
        <v>0</v>
      </c>
      <c r="G167" s="44" t="s">
        <v>28</v>
      </c>
      <c r="H167" s="54">
        <f>'CASE DATA'!S11</f>
        <v>0</v>
      </c>
    </row>
    <row r="168" spans="1:8" x14ac:dyDescent="0.25">
      <c r="A168" s="56" t="s">
        <v>20</v>
      </c>
      <c r="B168" s="32">
        <f>'CASE DATA'!K11</f>
        <v>0</v>
      </c>
      <c r="C168" s="35" t="s">
        <v>23</v>
      </c>
      <c r="D168" s="37">
        <f>'CASE DATA'!N11</f>
        <v>0</v>
      </c>
      <c r="E168" s="40" t="s">
        <v>26</v>
      </c>
      <c r="F168" s="42">
        <f>'CASE DATA'!Q11</f>
        <v>0</v>
      </c>
      <c r="G168" s="28"/>
      <c r="H168" s="57"/>
    </row>
    <row r="169" spans="1:8" x14ac:dyDescent="0.25">
      <c r="A169" s="58" t="s">
        <v>10</v>
      </c>
      <c r="B169" s="278">
        <f>'CASE DATA'!T11</f>
        <v>0</v>
      </c>
      <c r="C169" s="279"/>
      <c r="D169" s="279"/>
      <c r="E169" s="279"/>
      <c r="F169" s="279"/>
      <c r="G169" s="279"/>
      <c r="H169" s="280"/>
    </row>
    <row r="170" spans="1:8" ht="18.75" x14ac:dyDescent="0.3">
      <c r="A170" s="265" t="s">
        <v>76</v>
      </c>
      <c r="B170" s="266"/>
      <c r="C170" s="266"/>
      <c r="D170" s="266"/>
      <c r="E170" s="266"/>
      <c r="F170" s="266"/>
      <c r="G170" s="266"/>
      <c r="H170" s="267"/>
    </row>
    <row r="171" spans="1:8" ht="45" x14ac:dyDescent="0.25">
      <c r="A171" s="59" t="s">
        <v>39</v>
      </c>
      <c r="B171" s="45" t="s">
        <v>77</v>
      </c>
      <c r="C171" s="46" t="s">
        <v>43</v>
      </c>
      <c r="D171" s="46" t="s">
        <v>44</v>
      </c>
      <c r="E171" s="46" t="s">
        <v>45</v>
      </c>
      <c r="F171" s="47" t="s">
        <v>46</v>
      </c>
      <c r="G171" s="26" t="s">
        <v>78</v>
      </c>
      <c r="H171" s="60"/>
    </row>
    <row r="172" spans="1:8" x14ac:dyDescent="0.25">
      <c r="A172" s="61" t="str">
        <f>EXPUNGEMENT!D10</f>
        <v>NO</v>
      </c>
      <c r="B172" s="61" t="str">
        <f>EXPUNGEMENT!G10</f>
        <v>N/A</v>
      </c>
      <c r="C172" s="136" t="str">
        <f>EXPUNGEMENT!H10</f>
        <v>NO</v>
      </c>
      <c r="D172" s="136" t="str">
        <f>EXPUNGEMENT!I10</f>
        <v>N/A</v>
      </c>
      <c r="E172" s="136" t="str">
        <f>EXPUNGEMENT!J10</f>
        <v>N/A</v>
      </c>
      <c r="F172" s="136" t="str">
        <f>EXPUNGEMENT!K10</f>
        <v>N/A</v>
      </c>
      <c r="G172" s="29"/>
      <c r="H172" s="62"/>
    </row>
    <row r="173" spans="1:8" x14ac:dyDescent="0.25">
      <c r="A173" s="63" t="s">
        <v>51</v>
      </c>
      <c r="B173" s="48" t="s">
        <v>79</v>
      </c>
      <c r="C173" s="49" t="s">
        <v>44</v>
      </c>
      <c r="D173" s="49" t="s">
        <v>45</v>
      </c>
      <c r="E173" s="29"/>
      <c r="F173" s="29"/>
      <c r="G173" s="29"/>
      <c r="H173" s="62"/>
    </row>
    <row r="174" spans="1:8" x14ac:dyDescent="0.25">
      <c r="A174" s="64" t="str">
        <f>EXPUNGEMENT!R10</f>
        <v>NO</v>
      </c>
      <c r="B174" s="64" t="str">
        <f>EXPUNGEMENT!S10</f>
        <v>N/A</v>
      </c>
      <c r="C174" s="64" t="str">
        <f>EXPUNGEMENT!T10</f>
        <v>N/A</v>
      </c>
      <c r="D174" s="64" t="str">
        <f>EXPUNGEMENT!U10</f>
        <v>N/A</v>
      </c>
      <c r="E174" s="29"/>
      <c r="F174" s="29"/>
      <c r="G174" s="29"/>
      <c r="H174" s="62"/>
    </row>
    <row r="175" spans="1:8" ht="18.75" customHeight="1" x14ac:dyDescent="0.3">
      <c r="A175" s="265" t="s">
        <v>80</v>
      </c>
      <c r="B175" s="266"/>
      <c r="C175" s="266"/>
      <c r="D175" s="266"/>
      <c r="E175" s="266"/>
      <c r="F175" s="268"/>
      <c r="G175" s="269">
        <v>8</v>
      </c>
      <c r="H175" s="270"/>
    </row>
    <row r="176" spans="1:8" ht="15" customHeight="1" x14ac:dyDescent="0.25">
      <c r="A176" s="65" t="s">
        <v>29</v>
      </c>
      <c r="B176" s="27">
        <f>BANKRUPTCY!C11</f>
        <v>0</v>
      </c>
      <c r="C176" s="50" t="s">
        <v>56</v>
      </c>
      <c r="D176" s="27">
        <f>BANKRUPTCY!D11</f>
        <v>0</v>
      </c>
      <c r="E176" s="50" t="s">
        <v>57</v>
      </c>
      <c r="F176" s="30">
        <f>BANKRUPTCY!E11</f>
        <v>0</v>
      </c>
      <c r="G176" s="271"/>
      <c r="H176" s="272"/>
    </row>
    <row r="177" spans="1:8" ht="18.75" customHeight="1" x14ac:dyDescent="0.3">
      <c r="A177" s="265" t="s">
        <v>81</v>
      </c>
      <c r="B177" s="266"/>
      <c r="C177" s="266"/>
      <c r="D177" s="266"/>
      <c r="E177" s="266"/>
      <c r="F177" s="268"/>
      <c r="G177" s="271"/>
      <c r="H177" s="272"/>
    </row>
    <row r="178" spans="1:8" ht="15" customHeight="1" x14ac:dyDescent="0.25">
      <c r="A178" s="65" t="s">
        <v>29</v>
      </c>
      <c r="B178" s="27">
        <f>SOL!C11</f>
        <v>0</v>
      </c>
      <c r="C178" s="50" t="s">
        <v>56</v>
      </c>
      <c r="D178" s="27">
        <f>SOL!D11</f>
        <v>0</v>
      </c>
      <c r="E178" s="50" t="s">
        <v>57</v>
      </c>
      <c r="F178" s="30">
        <f>SOL!E11</f>
        <v>0</v>
      </c>
      <c r="G178" s="271"/>
      <c r="H178" s="272"/>
    </row>
    <row r="179" spans="1:8" ht="18.75" customHeight="1" x14ac:dyDescent="0.3">
      <c r="A179" s="265" t="s">
        <v>82</v>
      </c>
      <c r="B179" s="266"/>
      <c r="C179" s="266"/>
      <c r="D179" s="266"/>
      <c r="E179" s="52"/>
      <c r="F179" s="51"/>
      <c r="G179" s="271"/>
      <c r="H179" s="272"/>
    </row>
    <row r="180" spans="1:8" ht="15" customHeight="1" x14ac:dyDescent="0.25">
      <c r="A180" s="65" t="s">
        <v>67</v>
      </c>
      <c r="B180" s="27">
        <f>EXEMPTIONS!C11</f>
        <v>0</v>
      </c>
      <c r="C180" s="50" t="s">
        <v>68</v>
      </c>
      <c r="D180" s="27">
        <f>EXEMPTIONS!D11</f>
        <v>0</v>
      </c>
      <c r="E180" s="31"/>
      <c r="F180" s="31"/>
      <c r="G180" s="271"/>
      <c r="H180" s="272"/>
    </row>
    <row r="181" spans="1:8" ht="18.75" customHeight="1" x14ac:dyDescent="0.3">
      <c r="A181" s="265" t="s">
        <v>83</v>
      </c>
      <c r="B181" s="266"/>
      <c r="C181" s="266"/>
      <c r="D181" s="266"/>
      <c r="E181" s="52"/>
      <c r="F181" s="52"/>
      <c r="G181" s="273"/>
      <c r="H181" s="274"/>
    </row>
    <row r="182" spans="1:8" ht="15.75" thickBot="1" x14ac:dyDescent="0.3">
      <c r="A182" s="66" t="s">
        <v>62</v>
      </c>
      <c r="B182" s="67" t="str">
        <f>'LICENSE-REGIS'!I11</f>
        <v>N/A</v>
      </c>
      <c r="C182" s="68" t="s">
        <v>63</v>
      </c>
      <c r="D182" s="67">
        <f>'LICENSE-REGIS'!M11</f>
        <v>0</v>
      </c>
      <c r="E182" s="275"/>
      <c r="F182" s="276"/>
      <c r="G182" s="276"/>
      <c r="H182" s="277"/>
    </row>
    <row r="186" spans="1:8" ht="15.75" thickBot="1" x14ac:dyDescent="0.3">
      <c r="A186" s="184"/>
      <c r="B186" s="184"/>
      <c r="C186" s="184"/>
      <c r="D186" s="184"/>
      <c r="E186" s="184"/>
      <c r="F186" s="184"/>
      <c r="G186" s="184"/>
      <c r="H186" s="184"/>
    </row>
    <row r="187" spans="1:8" x14ac:dyDescent="0.25">
      <c r="A187" s="75" t="s">
        <v>11</v>
      </c>
      <c r="B187" s="72" t="s">
        <v>12</v>
      </c>
      <c r="C187" s="72" t="s">
        <v>73</v>
      </c>
      <c r="D187" s="72" t="s">
        <v>13</v>
      </c>
      <c r="E187" s="72" t="s">
        <v>61</v>
      </c>
      <c r="F187" s="72" t="s">
        <v>14</v>
      </c>
      <c r="G187" s="72" t="s">
        <v>15</v>
      </c>
      <c r="H187" s="74" t="s">
        <v>16</v>
      </c>
    </row>
    <row r="188" spans="1:8" ht="17.25" x14ac:dyDescent="0.3">
      <c r="A188" s="76">
        <f>'CASE DATA'!A12</f>
        <v>0</v>
      </c>
      <c r="B188" s="77">
        <f>'CASE DATA'!B12</f>
        <v>0</v>
      </c>
      <c r="C188" s="79" t="e">
        <f>'CASE DATA'!#REF!</f>
        <v>#REF!</v>
      </c>
      <c r="D188" s="79">
        <f>'CASE DATA'!C12</f>
        <v>0</v>
      </c>
      <c r="E188" s="77">
        <f>'CASE DATA'!E12</f>
        <v>0</v>
      </c>
      <c r="F188" s="77">
        <f>'CASE DATA'!F12</f>
        <v>0</v>
      </c>
      <c r="G188" s="77">
        <f>'CASE DATA'!G12</f>
        <v>0</v>
      </c>
      <c r="H188" s="78">
        <f>'CASE DATA'!H12</f>
        <v>0</v>
      </c>
    </row>
    <row r="189" spans="1:8" x14ac:dyDescent="0.25">
      <c r="A189" s="53" t="s">
        <v>18</v>
      </c>
      <c r="B189" s="32">
        <f>'CASE DATA'!I12</f>
        <v>0</v>
      </c>
      <c r="C189" s="33" t="s">
        <v>21</v>
      </c>
      <c r="D189" s="36">
        <f>'CASE DATA'!L12</f>
        <v>0</v>
      </c>
      <c r="E189" s="38" t="s">
        <v>24</v>
      </c>
      <c r="F189" s="41">
        <f>'CASE DATA'!O12</f>
        <v>0</v>
      </c>
      <c r="G189" s="43" t="s">
        <v>74</v>
      </c>
      <c r="H189" s="54">
        <f>'CASE DATA'!R12</f>
        <v>0</v>
      </c>
    </row>
    <row r="190" spans="1:8" x14ac:dyDescent="0.25">
      <c r="A190" s="55" t="s">
        <v>75</v>
      </c>
      <c r="B190" s="32">
        <f>'CASE DATA'!J12</f>
        <v>0</v>
      </c>
      <c r="C190" s="34" t="s">
        <v>22</v>
      </c>
      <c r="D190" s="36">
        <f>'CASE DATA'!M12</f>
        <v>0</v>
      </c>
      <c r="E190" s="39" t="s">
        <v>25</v>
      </c>
      <c r="F190" s="41">
        <f>'CASE DATA'!P12</f>
        <v>0</v>
      </c>
      <c r="G190" s="44" t="s">
        <v>28</v>
      </c>
      <c r="H190" s="54">
        <f>'CASE DATA'!S12</f>
        <v>0</v>
      </c>
    </row>
    <row r="191" spans="1:8" x14ac:dyDescent="0.25">
      <c r="A191" s="56" t="s">
        <v>20</v>
      </c>
      <c r="B191" s="32">
        <f>'CASE DATA'!K12</f>
        <v>0</v>
      </c>
      <c r="C191" s="35" t="s">
        <v>23</v>
      </c>
      <c r="D191" s="37">
        <f>'CASE DATA'!N12</f>
        <v>0</v>
      </c>
      <c r="E191" s="40" t="s">
        <v>26</v>
      </c>
      <c r="F191" s="42">
        <f>'CASE DATA'!Q12</f>
        <v>0</v>
      </c>
      <c r="G191" s="28"/>
      <c r="H191" s="57"/>
    </row>
    <row r="192" spans="1:8" x14ac:dyDescent="0.25">
      <c r="A192" s="58" t="s">
        <v>10</v>
      </c>
      <c r="B192" s="278">
        <f>'CASE DATA'!T12</f>
        <v>0</v>
      </c>
      <c r="C192" s="279"/>
      <c r="D192" s="279"/>
      <c r="E192" s="279"/>
      <c r="F192" s="279"/>
      <c r="G192" s="279"/>
      <c r="H192" s="280"/>
    </row>
    <row r="193" spans="1:8" ht="18.75" x14ac:dyDescent="0.3">
      <c r="A193" s="265" t="s">
        <v>76</v>
      </c>
      <c r="B193" s="266"/>
      <c r="C193" s="266"/>
      <c r="D193" s="266"/>
      <c r="E193" s="266"/>
      <c r="F193" s="266"/>
      <c r="G193" s="266"/>
      <c r="H193" s="267"/>
    </row>
    <row r="194" spans="1:8" ht="45" x14ac:dyDescent="0.25">
      <c r="A194" s="59" t="s">
        <v>39</v>
      </c>
      <c r="B194" s="45" t="s">
        <v>77</v>
      </c>
      <c r="C194" s="46" t="s">
        <v>43</v>
      </c>
      <c r="D194" s="46" t="s">
        <v>44</v>
      </c>
      <c r="E194" s="46" t="s">
        <v>45</v>
      </c>
      <c r="F194" s="47" t="s">
        <v>46</v>
      </c>
      <c r="G194" s="26" t="s">
        <v>78</v>
      </c>
      <c r="H194" s="60"/>
    </row>
    <row r="195" spans="1:8" x14ac:dyDescent="0.25">
      <c r="A195" s="61" t="str">
        <f>EXPUNGEMENT!D11</f>
        <v>NO</v>
      </c>
      <c r="B195" s="61" t="str">
        <f>EXPUNGEMENT!G11</f>
        <v>N/A</v>
      </c>
      <c r="C195" s="136" t="str">
        <f>EXPUNGEMENT!H11</f>
        <v>NO</v>
      </c>
      <c r="D195" s="136" t="str">
        <f>EXPUNGEMENT!I11</f>
        <v>N/A</v>
      </c>
      <c r="E195" s="136" t="str">
        <f>EXPUNGEMENT!J11</f>
        <v>N/A</v>
      </c>
      <c r="F195" s="136" t="str">
        <f>EXPUNGEMENT!K11</f>
        <v>N/A</v>
      </c>
      <c r="G195" s="29"/>
      <c r="H195" s="62"/>
    </row>
    <row r="196" spans="1:8" x14ac:dyDescent="0.25">
      <c r="A196" s="63" t="s">
        <v>51</v>
      </c>
      <c r="B196" s="48" t="s">
        <v>79</v>
      </c>
      <c r="C196" s="49" t="s">
        <v>44</v>
      </c>
      <c r="D196" s="49" t="s">
        <v>45</v>
      </c>
      <c r="E196" s="29"/>
      <c r="F196" s="29"/>
      <c r="G196" s="29"/>
      <c r="H196" s="62"/>
    </row>
    <row r="197" spans="1:8" x14ac:dyDescent="0.25">
      <c r="A197" s="64" t="str">
        <f>EXPUNGEMENT!R11</f>
        <v>NO</v>
      </c>
      <c r="B197" s="64" t="str">
        <f>EXPUNGEMENT!S11</f>
        <v>N/A</v>
      </c>
      <c r="C197" s="64" t="str">
        <f>EXPUNGEMENT!T11</f>
        <v>N/A</v>
      </c>
      <c r="D197" s="64" t="str">
        <f>EXPUNGEMENT!U11</f>
        <v>N/A</v>
      </c>
      <c r="E197" s="29"/>
      <c r="F197" s="29"/>
      <c r="G197" s="29"/>
      <c r="H197" s="62"/>
    </row>
    <row r="198" spans="1:8" ht="18.75" x14ac:dyDescent="0.3">
      <c r="A198" s="265" t="s">
        <v>80</v>
      </c>
      <c r="B198" s="266"/>
      <c r="C198" s="266"/>
      <c r="D198" s="266"/>
      <c r="E198" s="266"/>
      <c r="F198" s="268"/>
      <c r="G198" s="269">
        <v>9</v>
      </c>
      <c r="H198" s="270"/>
    </row>
    <row r="199" spans="1:8" x14ac:dyDescent="0.25">
      <c r="A199" s="65" t="s">
        <v>29</v>
      </c>
      <c r="B199" s="27">
        <f>BANKRUPTCY!C11</f>
        <v>0</v>
      </c>
      <c r="C199" s="50" t="s">
        <v>56</v>
      </c>
      <c r="D199" s="27">
        <f>BANKRUPTCY!D12</f>
        <v>0</v>
      </c>
      <c r="E199" s="50" t="s">
        <v>57</v>
      </c>
      <c r="F199" s="30">
        <f>BANKRUPTCY!E12</f>
        <v>0</v>
      </c>
      <c r="G199" s="271"/>
      <c r="H199" s="272"/>
    </row>
    <row r="200" spans="1:8" ht="18.75" x14ac:dyDescent="0.3">
      <c r="A200" s="265" t="s">
        <v>81</v>
      </c>
      <c r="B200" s="266"/>
      <c r="C200" s="266"/>
      <c r="D200" s="266"/>
      <c r="E200" s="266"/>
      <c r="F200" s="268"/>
      <c r="G200" s="271"/>
      <c r="H200" s="272"/>
    </row>
    <row r="201" spans="1:8" x14ac:dyDescent="0.25">
      <c r="A201" s="65" t="s">
        <v>29</v>
      </c>
      <c r="B201" s="27">
        <f>SOL!C12</f>
        <v>0</v>
      </c>
      <c r="C201" s="50" t="s">
        <v>56</v>
      </c>
      <c r="D201" s="27">
        <f>SOL!D12</f>
        <v>0</v>
      </c>
      <c r="E201" s="50" t="s">
        <v>57</v>
      </c>
      <c r="F201" s="30">
        <f>SOL!E12</f>
        <v>0</v>
      </c>
      <c r="G201" s="271"/>
      <c r="H201" s="272"/>
    </row>
    <row r="202" spans="1:8" ht="18.75" x14ac:dyDescent="0.3">
      <c r="A202" s="265" t="s">
        <v>82</v>
      </c>
      <c r="B202" s="266"/>
      <c r="C202" s="266"/>
      <c r="D202" s="266"/>
      <c r="E202" s="52"/>
      <c r="F202" s="51"/>
      <c r="G202" s="271"/>
      <c r="H202" s="272"/>
    </row>
    <row r="203" spans="1:8" x14ac:dyDescent="0.25">
      <c r="A203" s="65" t="s">
        <v>67</v>
      </c>
      <c r="B203" s="27">
        <f>EXEMPTIONS!C12</f>
        <v>0</v>
      </c>
      <c r="C203" s="50" t="s">
        <v>68</v>
      </c>
      <c r="D203" s="27">
        <f>EXEMPTIONS!D12</f>
        <v>0</v>
      </c>
      <c r="E203" s="31"/>
      <c r="F203" s="31"/>
      <c r="G203" s="271"/>
      <c r="H203" s="272"/>
    </row>
    <row r="204" spans="1:8" ht="18.75" x14ac:dyDescent="0.3">
      <c r="A204" s="265" t="s">
        <v>83</v>
      </c>
      <c r="B204" s="266"/>
      <c r="C204" s="266"/>
      <c r="D204" s="266"/>
      <c r="E204" s="52"/>
      <c r="F204" s="52"/>
      <c r="G204" s="273"/>
      <c r="H204" s="274"/>
    </row>
    <row r="205" spans="1:8" ht="15.75" thickBot="1" x14ac:dyDescent="0.3">
      <c r="A205" s="66" t="s">
        <v>62</v>
      </c>
      <c r="B205" s="67" t="str">
        <f>'LICENSE-REGIS'!I12</f>
        <v>N/A</v>
      </c>
      <c r="C205" s="68" t="s">
        <v>63</v>
      </c>
      <c r="D205" s="67">
        <f>'LICENSE-REGIS'!M12</f>
        <v>0</v>
      </c>
      <c r="E205" s="275"/>
      <c r="F205" s="276"/>
      <c r="G205" s="276"/>
      <c r="H205" s="277"/>
    </row>
    <row r="209" spans="1:8" ht="15.75" thickBot="1" x14ac:dyDescent="0.3">
      <c r="A209" s="184"/>
      <c r="B209" s="184"/>
      <c r="C209" s="184"/>
      <c r="D209" s="184"/>
      <c r="E209" s="184"/>
      <c r="F209" s="184"/>
      <c r="G209" s="184"/>
      <c r="H209" s="184"/>
    </row>
    <row r="210" spans="1:8" ht="18" customHeight="1" x14ac:dyDescent="0.25">
      <c r="A210" s="75" t="s">
        <v>11</v>
      </c>
      <c r="B210" s="72" t="s">
        <v>12</v>
      </c>
      <c r="C210" s="72" t="s">
        <v>73</v>
      </c>
      <c r="D210" s="72" t="s">
        <v>13</v>
      </c>
      <c r="E210" s="72" t="s">
        <v>61</v>
      </c>
      <c r="F210" s="72" t="s">
        <v>14</v>
      </c>
      <c r="G210" s="72" t="s">
        <v>15</v>
      </c>
      <c r="H210" s="74" t="s">
        <v>16</v>
      </c>
    </row>
    <row r="211" spans="1:8" ht="17.25" x14ac:dyDescent="0.3">
      <c r="A211" s="76">
        <f>'CASE DATA'!A13</f>
        <v>0</v>
      </c>
      <c r="B211" s="77">
        <f>'CASE DATA'!B13</f>
        <v>0</v>
      </c>
      <c r="C211" s="79" t="e">
        <f>'CASE DATA'!#REF!</f>
        <v>#REF!</v>
      </c>
      <c r="D211" s="79">
        <f>'CASE DATA'!C13</f>
        <v>0</v>
      </c>
      <c r="E211" s="77">
        <f>'CASE DATA'!E13</f>
        <v>0</v>
      </c>
      <c r="F211" s="77">
        <f>'CASE DATA'!F13</f>
        <v>0</v>
      </c>
      <c r="G211" s="77">
        <f>'CASE DATA'!G13</f>
        <v>0</v>
      </c>
      <c r="H211" s="78">
        <f>'CASE DATA'!H13</f>
        <v>0</v>
      </c>
    </row>
    <row r="212" spans="1:8" x14ac:dyDescent="0.25">
      <c r="A212" s="53" t="s">
        <v>18</v>
      </c>
      <c r="B212" s="32">
        <f>'CASE DATA'!I13</f>
        <v>0</v>
      </c>
      <c r="C212" s="33" t="s">
        <v>21</v>
      </c>
      <c r="D212" s="36">
        <f>'CASE DATA'!L13</f>
        <v>0</v>
      </c>
      <c r="E212" s="38" t="s">
        <v>24</v>
      </c>
      <c r="F212" s="41">
        <f>'CASE DATA'!O13</f>
        <v>0</v>
      </c>
      <c r="G212" s="43" t="s">
        <v>74</v>
      </c>
      <c r="H212" s="54">
        <f>'CASE DATA'!R13</f>
        <v>0</v>
      </c>
    </row>
    <row r="213" spans="1:8" x14ac:dyDescent="0.25">
      <c r="A213" s="55" t="s">
        <v>75</v>
      </c>
      <c r="B213" s="32">
        <f>'CASE DATA'!J13</f>
        <v>0</v>
      </c>
      <c r="C213" s="34" t="s">
        <v>22</v>
      </c>
      <c r="D213" s="36">
        <f>'CASE DATA'!M13</f>
        <v>0</v>
      </c>
      <c r="E213" s="39" t="s">
        <v>25</v>
      </c>
      <c r="F213" s="41">
        <f>'CASE DATA'!P13</f>
        <v>0</v>
      </c>
      <c r="G213" s="44" t="s">
        <v>28</v>
      </c>
      <c r="H213" s="54">
        <f>'CASE DATA'!S13</f>
        <v>0</v>
      </c>
    </row>
    <row r="214" spans="1:8" x14ac:dyDescent="0.25">
      <c r="A214" s="56" t="s">
        <v>20</v>
      </c>
      <c r="B214" s="32">
        <f>'CASE DATA'!K13</f>
        <v>0</v>
      </c>
      <c r="C214" s="35" t="s">
        <v>23</v>
      </c>
      <c r="D214" s="37">
        <f>'CASE DATA'!N13</f>
        <v>0</v>
      </c>
      <c r="E214" s="40" t="s">
        <v>26</v>
      </c>
      <c r="F214" s="42">
        <f>'CASE DATA'!Q13</f>
        <v>0</v>
      </c>
      <c r="G214" s="28"/>
      <c r="H214" s="57"/>
    </row>
    <row r="215" spans="1:8" x14ac:dyDescent="0.25">
      <c r="A215" s="58" t="s">
        <v>10</v>
      </c>
      <c r="B215" s="278">
        <f>'CASE DATA'!T13</f>
        <v>0</v>
      </c>
      <c r="C215" s="279"/>
      <c r="D215" s="279"/>
      <c r="E215" s="279"/>
      <c r="F215" s="279"/>
      <c r="G215" s="279"/>
      <c r="H215" s="280"/>
    </row>
    <row r="216" spans="1:8" ht="18.75" x14ac:dyDescent="0.3">
      <c r="A216" s="265" t="s">
        <v>76</v>
      </c>
      <c r="B216" s="266"/>
      <c r="C216" s="266"/>
      <c r="D216" s="266"/>
      <c r="E216" s="266"/>
      <c r="F216" s="266"/>
      <c r="G216" s="266"/>
      <c r="H216" s="267"/>
    </row>
    <row r="217" spans="1:8" ht="45" x14ac:dyDescent="0.25">
      <c r="A217" s="59" t="s">
        <v>39</v>
      </c>
      <c r="B217" s="45" t="s">
        <v>77</v>
      </c>
      <c r="C217" s="46" t="s">
        <v>43</v>
      </c>
      <c r="D217" s="46" t="s">
        <v>44</v>
      </c>
      <c r="E217" s="46" t="s">
        <v>45</v>
      </c>
      <c r="F217" s="47" t="s">
        <v>46</v>
      </c>
      <c r="G217" s="26" t="s">
        <v>78</v>
      </c>
      <c r="H217" s="60"/>
    </row>
    <row r="218" spans="1:8" x14ac:dyDescent="0.25">
      <c r="A218" s="61" t="str">
        <f>EXPUNGEMENT!D12</f>
        <v>NO</v>
      </c>
      <c r="B218" s="61" t="str">
        <f>EXPUNGEMENT!G12</f>
        <v>N/A</v>
      </c>
      <c r="C218" s="136" t="str">
        <f>EXPUNGEMENT!H12</f>
        <v>NO</v>
      </c>
      <c r="D218" s="136" t="str">
        <f>EXPUNGEMENT!I12</f>
        <v>N/A</v>
      </c>
      <c r="E218" s="136" t="str">
        <f>EXPUNGEMENT!J12</f>
        <v>N/A</v>
      </c>
      <c r="F218" s="136" t="str">
        <f>EXPUNGEMENT!K12</f>
        <v>N/A</v>
      </c>
      <c r="G218" s="29"/>
      <c r="H218" s="62"/>
    </row>
    <row r="219" spans="1:8" x14ac:dyDescent="0.25">
      <c r="A219" s="63" t="s">
        <v>51</v>
      </c>
      <c r="B219" s="48" t="s">
        <v>79</v>
      </c>
      <c r="C219" s="49" t="s">
        <v>44</v>
      </c>
      <c r="D219" s="49" t="s">
        <v>45</v>
      </c>
      <c r="E219" s="29"/>
      <c r="F219" s="29"/>
      <c r="G219" s="29"/>
      <c r="H219" s="62"/>
    </row>
    <row r="220" spans="1:8" x14ac:dyDescent="0.25">
      <c r="A220" s="64" t="str">
        <f>EXPUNGEMENT!R12</f>
        <v>NO</v>
      </c>
      <c r="B220" s="64" t="str">
        <f>EXPUNGEMENT!S12</f>
        <v>N/A</v>
      </c>
      <c r="C220" s="64" t="str">
        <f>EXPUNGEMENT!T12</f>
        <v>N/A</v>
      </c>
      <c r="D220" s="64" t="str">
        <f>EXPUNGEMENT!U12</f>
        <v>N/A</v>
      </c>
      <c r="E220" s="29"/>
      <c r="F220" s="29"/>
      <c r="G220" s="29"/>
      <c r="H220" s="62"/>
    </row>
    <row r="221" spans="1:8" ht="18.75" customHeight="1" x14ac:dyDescent="0.3">
      <c r="A221" s="265" t="s">
        <v>80</v>
      </c>
      <c r="B221" s="266"/>
      <c r="C221" s="266"/>
      <c r="D221" s="266"/>
      <c r="E221" s="266"/>
      <c r="F221" s="268"/>
      <c r="G221" s="269">
        <v>10</v>
      </c>
      <c r="H221" s="270"/>
    </row>
    <row r="222" spans="1:8" ht="15" customHeight="1" x14ac:dyDescent="0.25">
      <c r="A222" s="65" t="s">
        <v>29</v>
      </c>
      <c r="B222" s="27">
        <f>BANKRUPTCY!C13</f>
        <v>0</v>
      </c>
      <c r="C222" s="50" t="s">
        <v>56</v>
      </c>
      <c r="D222" s="27">
        <f>BANKRUPTCY!D13</f>
        <v>0</v>
      </c>
      <c r="E222" s="50" t="s">
        <v>57</v>
      </c>
      <c r="F222" s="30">
        <f>BANKRUPTCY!E13</f>
        <v>0</v>
      </c>
      <c r="G222" s="271"/>
      <c r="H222" s="272"/>
    </row>
    <row r="223" spans="1:8" ht="18.75" customHeight="1" x14ac:dyDescent="0.3">
      <c r="A223" s="265" t="s">
        <v>81</v>
      </c>
      <c r="B223" s="266"/>
      <c r="C223" s="266"/>
      <c r="D223" s="266"/>
      <c r="E223" s="266"/>
      <c r="F223" s="268"/>
      <c r="G223" s="271"/>
      <c r="H223" s="272"/>
    </row>
    <row r="224" spans="1:8" ht="15" customHeight="1" x14ac:dyDescent="0.25">
      <c r="A224" s="65" t="s">
        <v>29</v>
      </c>
      <c r="B224" s="27">
        <f>SOL!C13</f>
        <v>0</v>
      </c>
      <c r="C224" s="50" t="s">
        <v>56</v>
      </c>
      <c r="D224" s="27">
        <f>SOL!D13</f>
        <v>0</v>
      </c>
      <c r="E224" s="50" t="s">
        <v>57</v>
      </c>
      <c r="F224" s="30">
        <f>SOL!E13</f>
        <v>0</v>
      </c>
      <c r="G224" s="271"/>
      <c r="H224" s="272"/>
    </row>
    <row r="225" spans="1:8" ht="18.75" customHeight="1" x14ac:dyDescent="0.3">
      <c r="A225" s="265" t="s">
        <v>82</v>
      </c>
      <c r="B225" s="266"/>
      <c r="C225" s="266"/>
      <c r="D225" s="266"/>
      <c r="E225" s="52"/>
      <c r="F225" s="51"/>
      <c r="G225" s="271"/>
      <c r="H225" s="272"/>
    </row>
    <row r="226" spans="1:8" ht="15" customHeight="1" x14ac:dyDescent="0.25">
      <c r="A226" s="65" t="s">
        <v>67</v>
      </c>
      <c r="B226" s="27">
        <f>EXEMPTIONS!C13</f>
        <v>0</v>
      </c>
      <c r="C226" s="50" t="s">
        <v>68</v>
      </c>
      <c r="D226" s="27">
        <f>EXEMPTIONS!D13</f>
        <v>0</v>
      </c>
      <c r="E226" s="31"/>
      <c r="F226" s="31"/>
      <c r="G226" s="271"/>
      <c r="H226" s="272"/>
    </row>
    <row r="227" spans="1:8" ht="18.75" customHeight="1" x14ac:dyDescent="0.3">
      <c r="A227" s="265" t="s">
        <v>83</v>
      </c>
      <c r="B227" s="266"/>
      <c r="C227" s="266"/>
      <c r="D227" s="266"/>
      <c r="E227" s="52"/>
      <c r="F227" s="52"/>
      <c r="G227" s="273"/>
      <c r="H227" s="274"/>
    </row>
    <row r="228" spans="1:8" ht="15.75" thickBot="1" x14ac:dyDescent="0.3">
      <c r="A228" s="66" t="s">
        <v>62</v>
      </c>
      <c r="B228" s="67" t="str">
        <f>'LICENSE-REGIS'!I13</f>
        <v>N/A</v>
      </c>
      <c r="C228" s="68" t="s">
        <v>63</v>
      </c>
      <c r="D228" s="67">
        <f>'LICENSE-REGIS'!M13</f>
        <v>0</v>
      </c>
      <c r="E228" s="275"/>
      <c r="F228" s="276"/>
      <c r="G228" s="276"/>
      <c r="H228" s="277"/>
    </row>
    <row r="232" spans="1:8" ht="15.75" thickBot="1" x14ac:dyDescent="0.3">
      <c r="A232" s="184"/>
      <c r="B232" s="184"/>
      <c r="C232" s="184"/>
      <c r="D232" s="184"/>
      <c r="E232" s="184"/>
      <c r="F232" s="184"/>
      <c r="G232" s="184"/>
      <c r="H232" s="184"/>
    </row>
    <row r="233" spans="1:8" x14ac:dyDescent="0.25">
      <c r="A233" s="75" t="s">
        <v>11</v>
      </c>
      <c r="B233" s="72" t="s">
        <v>12</v>
      </c>
      <c r="C233" s="72" t="s">
        <v>73</v>
      </c>
      <c r="D233" s="72" t="s">
        <v>13</v>
      </c>
      <c r="E233" s="72" t="s">
        <v>61</v>
      </c>
      <c r="F233" s="72" t="s">
        <v>14</v>
      </c>
      <c r="G233" s="72" t="s">
        <v>15</v>
      </c>
      <c r="H233" s="74" t="s">
        <v>16</v>
      </c>
    </row>
    <row r="234" spans="1:8" ht="17.25" x14ac:dyDescent="0.3">
      <c r="A234" s="76">
        <f>'CASE DATA'!A14</f>
        <v>0</v>
      </c>
      <c r="B234" s="77">
        <f>'CASE DATA'!B14</f>
        <v>0</v>
      </c>
      <c r="C234" s="79" t="e">
        <f>'CASE DATA'!#REF!</f>
        <v>#REF!</v>
      </c>
      <c r="D234" s="79">
        <f>'CASE DATA'!C14</f>
        <v>0</v>
      </c>
      <c r="E234" s="77">
        <f>'CASE DATA'!E14</f>
        <v>0</v>
      </c>
      <c r="F234" s="77">
        <f>'CASE DATA'!F14</f>
        <v>0</v>
      </c>
      <c r="G234" s="77">
        <f>'CASE DATA'!G14</f>
        <v>0</v>
      </c>
      <c r="H234" s="78">
        <f>'CASE DATA'!H14</f>
        <v>0</v>
      </c>
    </row>
    <row r="235" spans="1:8" x14ac:dyDescent="0.25">
      <c r="A235" s="53" t="s">
        <v>18</v>
      </c>
      <c r="B235" s="32">
        <f>'CASE DATA'!I14</f>
        <v>0</v>
      </c>
      <c r="C235" s="33" t="s">
        <v>21</v>
      </c>
      <c r="D235" s="36">
        <f>'CASE DATA'!L14</f>
        <v>0</v>
      </c>
      <c r="E235" s="38" t="s">
        <v>24</v>
      </c>
      <c r="F235" s="41">
        <f>'CASE DATA'!O14</f>
        <v>0</v>
      </c>
      <c r="G235" s="43" t="s">
        <v>74</v>
      </c>
      <c r="H235" s="54">
        <f>'CASE DATA'!R14</f>
        <v>0</v>
      </c>
    </row>
    <row r="236" spans="1:8" x14ac:dyDescent="0.25">
      <c r="A236" s="55" t="s">
        <v>75</v>
      </c>
      <c r="B236" s="32">
        <f>'CASE DATA'!J14</f>
        <v>0</v>
      </c>
      <c r="C236" s="34" t="s">
        <v>22</v>
      </c>
      <c r="D236" s="36">
        <f>'CASE DATA'!M14</f>
        <v>0</v>
      </c>
      <c r="E236" s="39" t="s">
        <v>25</v>
      </c>
      <c r="F236" s="41">
        <f>'CASE DATA'!P14</f>
        <v>0</v>
      </c>
      <c r="G236" s="44" t="s">
        <v>28</v>
      </c>
      <c r="H236" s="54">
        <f>'CASE DATA'!S14</f>
        <v>0</v>
      </c>
    </row>
    <row r="237" spans="1:8" x14ac:dyDescent="0.25">
      <c r="A237" s="56" t="s">
        <v>20</v>
      </c>
      <c r="B237" s="32">
        <f>'CASE DATA'!K14</f>
        <v>0</v>
      </c>
      <c r="C237" s="35" t="s">
        <v>23</v>
      </c>
      <c r="D237" s="37">
        <f>'CASE DATA'!N14</f>
        <v>0</v>
      </c>
      <c r="E237" s="40" t="s">
        <v>26</v>
      </c>
      <c r="F237" s="42">
        <f>'CASE DATA'!Q14</f>
        <v>0</v>
      </c>
      <c r="G237" s="28"/>
      <c r="H237" s="57"/>
    </row>
    <row r="238" spans="1:8" x14ac:dyDescent="0.25">
      <c r="A238" s="58" t="s">
        <v>10</v>
      </c>
      <c r="B238" s="278">
        <f>'CASE DATA'!T14</f>
        <v>0</v>
      </c>
      <c r="C238" s="279"/>
      <c r="D238" s="279"/>
      <c r="E238" s="279"/>
      <c r="F238" s="279"/>
      <c r="G238" s="279"/>
      <c r="H238" s="280"/>
    </row>
    <row r="239" spans="1:8" ht="18.75" x14ac:dyDescent="0.3">
      <c r="A239" s="265" t="s">
        <v>76</v>
      </c>
      <c r="B239" s="266"/>
      <c r="C239" s="266"/>
      <c r="D239" s="266"/>
      <c r="E239" s="266"/>
      <c r="F239" s="266"/>
      <c r="G239" s="266"/>
      <c r="H239" s="267"/>
    </row>
    <row r="240" spans="1:8" ht="45" x14ac:dyDescent="0.25">
      <c r="A240" s="59" t="s">
        <v>39</v>
      </c>
      <c r="B240" s="45" t="s">
        <v>77</v>
      </c>
      <c r="C240" s="46" t="s">
        <v>43</v>
      </c>
      <c r="D240" s="46" t="s">
        <v>44</v>
      </c>
      <c r="E240" s="46" t="s">
        <v>45</v>
      </c>
      <c r="F240" s="47" t="s">
        <v>46</v>
      </c>
      <c r="G240" s="26" t="s">
        <v>78</v>
      </c>
      <c r="H240" s="60"/>
    </row>
    <row r="241" spans="1:8" x14ac:dyDescent="0.25">
      <c r="A241" s="61" t="str">
        <f>EXPUNGEMENT!D13</f>
        <v>NO</v>
      </c>
      <c r="B241" s="61" t="str">
        <f>EXPUNGEMENT!G13</f>
        <v>N/A</v>
      </c>
      <c r="C241" s="136" t="str">
        <f>EXPUNGEMENT!H13</f>
        <v>NO</v>
      </c>
      <c r="D241" s="136" t="str">
        <f>EXPUNGEMENT!I13</f>
        <v>N/A</v>
      </c>
      <c r="E241" s="136" t="str">
        <f>EXPUNGEMENT!J13</f>
        <v>N/A</v>
      </c>
      <c r="F241" s="136" t="str">
        <f>EXPUNGEMENT!K13</f>
        <v>N/A</v>
      </c>
      <c r="G241" s="29"/>
      <c r="H241" s="62"/>
    </row>
    <row r="242" spans="1:8" x14ac:dyDescent="0.25">
      <c r="A242" s="63" t="s">
        <v>51</v>
      </c>
      <c r="B242" s="48" t="s">
        <v>79</v>
      </c>
      <c r="C242" s="49" t="s">
        <v>44</v>
      </c>
      <c r="D242" s="49" t="s">
        <v>45</v>
      </c>
      <c r="E242" s="29"/>
      <c r="F242" s="29"/>
      <c r="G242" s="29"/>
      <c r="H242" s="62"/>
    </row>
    <row r="243" spans="1:8" x14ac:dyDescent="0.25">
      <c r="A243" s="64" t="str">
        <f>EXPUNGEMENT!R13</f>
        <v>NO</v>
      </c>
      <c r="B243" s="64" t="str">
        <f>EXPUNGEMENT!S13</f>
        <v>N/A</v>
      </c>
      <c r="C243" s="64" t="str">
        <f>EXPUNGEMENT!T13</f>
        <v>N/A</v>
      </c>
      <c r="D243" s="64" t="str">
        <f>EXPUNGEMENT!U13</f>
        <v>N/A</v>
      </c>
      <c r="E243" s="29"/>
      <c r="F243" s="29"/>
      <c r="G243" s="29"/>
      <c r="H243" s="62"/>
    </row>
    <row r="244" spans="1:8" ht="18.75" customHeight="1" x14ac:dyDescent="0.3">
      <c r="A244" s="265" t="s">
        <v>80</v>
      </c>
      <c r="B244" s="266"/>
      <c r="C244" s="266"/>
      <c r="D244" s="266"/>
      <c r="E244" s="266"/>
      <c r="F244" s="268"/>
      <c r="G244" s="269">
        <v>11</v>
      </c>
      <c r="H244" s="270"/>
    </row>
    <row r="245" spans="1:8" ht="15" customHeight="1" x14ac:dyDescent="0.25">
      <c r="A245" s="65" t="s">
        <v>29</v>
      </c>
      <c r="B245" s="27">
        <f>BANKRUPTCY!C14</f>
        <v>0</v>
      </c>
      <c r="C245" s="50" t="s">
        <v>56</v>
      </c>
      <c r="D245" s="27">
        <f>BANKRUPTCY!D14</f>
        <v>0</v>
      </c>
      <c r="E245" s="50" t="s">
        <v>57</v>
      </c>
      <c r="F245" s="30">
        <f>BANKRUPTCY!E14</f>
        <v>0</v>
      </c>
      <c r="G245" s="271"/>
      <c r="H245" s="272"/>
    </row>
    <row r="246" spans="1:8" ht="18.75" customHeight="1" x14ac:dyDescent="0.3">
      <c r="A246" s="265" t="s">
        <v>81</v>
      </c>
      <c r="B246" s="266"/>
      <c r="C246" s="266"/>
      <c r="D246" s="266"/>
      <c r="E246" s="266"/>
      <c r="F246" s="268"/>
      <c r="G246" s="271"/>
      <c r="H246" s="272"/>
    </row>
    <row r="247" spans="1:8" ht="15" customHeight="1" x14ac:dyDescent="0.25">
      <c r="A247" s="65" t="s">
        <v>29</v>
      </c>
      <c r="B247" s="27">
        <f>SOL!C14</f>
        <v>0</v>
      </c>
      <c r="C247" s="50" t="s">
        <v>56</v>
      </c>
      <c r="D247" s="27">
        <f>SOL!D14</f>
        <v>0</v>
      </c>
      <c r="E247" s="50" t="s">
        <v>57</v>
      </c>
      <c r="F247" s="30">
        <f>SOL!E14</f>
        <v>0</v>
      </c>
      <c r="G247" s="271"/>
      <c r="H247" s="272"/>
    </row>
    <row r="248" spans="1:8" ht="18.75" customHeight="1" x14ac:dyDescent="0.3">
      <c r="A248" s="265" t="s">
        <v>82</v>
      </c>
      <c r="B248" s="266"/>
      <c r="C248" s="266"/>
      <c r="D248" s="266"/>
      <c r="E248" s="52"/>
      <c r="F248" s="51"/>
      <c r="G248" s="271"/>
      <c r="H248" s="272"/>
    </row>
    <row r="249" spans="1:8" ht="15" customHeight="1" x14ac:dyDescent="0.25">
      <c r="A249" s="65" t="s">
        <v>67</v>
      </c>
      <c r="B249" s="27">
        <f>EXEMPTIONS!C14</f>
        <v>0</v>
      </c>
      <c r="C249" s="50" t="s">
        <v>68</v>
      </c>
      <c r="D249" s="27">
        <f>EXEMPTIONS!D14</f>
        <v>0</v>
      </c>
      <c r="E249" s="31"/>
      <c r="F249" s="31"/>
      <c r="G249" s="271"/>
      <c r="H249" s="272"/>
    </row>
    <row r="250" spans="1:8" ht="18.75" customHeight="1" x14ac:dyDescent="0.3">
      <c r="A250" s="265" t="s">
        <v>83</v>
      </c>
      <c r="B250" s="266"/>
      <c r="C250" s="266"/>
      <c r="D250" s="266"/>
      <c r="E250" s="52"/>
      <c r="F250" s="52"/>
      <c r="G250" s="273"/>
      <c r="H250" s="274"/>
    </row>
    <row r="251" spans="1:8" ht="15.75" thickBot="1" x14ac:dyDescent="0.3">
      <c r="A251" s="66" t="s">
        <v>62</v>
      </c>
      <c r="B251" s="67" t="str">
        <f>'LICENSE-REGIS'!I14</f>
        <v>N/A</v>
      </c>
      <c r="C251" s="68" t="s">
        <v>63</v>
      </c>
      <c r="D251" s="67">
        <f>'LICENSE-REGIS'!M14</f>
        <v>0</v>
      </c>
      <c r="E251" s="275"/>
      <c r="F251" s="276"/>
      <c r="G251" s="276"/>
      <c r="H251" s="277"/>
    </row>
    <row r="255" spans="1:8" ht="15.75" thickBot="1" x14ac:dyDescent="0.3">
      <c r="A255" s="184"/>
      <c r="B255" s="184"/>
      <c r="C255" s="184"/>
      <c r="D255" s="184"/>
      <c r="E255" s="184"/>
      <c r="F255" s="184"/>
      <c r="G255" s="184"/>
      <c r="H255" s="184"/>
    </row>
    <row r="256" spans="1:8" x14ac:dyDescent="0.25">
      <c r="A256" s="75" t="s">
        <v>11</v>
      </c>
      <c r="B256" s="72" t="s">
        <v>12</v>
      </c>
      <c r="C256" s="72" t="s">
        <v>73</v>
      </c>
      <c r="D256" s="72" t="s">
        <v>13</v>
      </c>
      <c r="E256" s="72" t="s">
        <v>61</v>
      </c>
      <c r="F256" s="72" t="s">
        <v>14</v>
      </c>
      <c r="G256" s="72" t="s">
        <v>15</v>
      </c>
      <c r="H256" s="74" t="s">
        <v>16</v>
      </c>
    </row>
    <row r="257" spans="1:8" ht="17.25" x14ac:dyDescent="0.3">
      <c r="A257" s="76">
        <f>'CASE DATA'!A15</f>
        <v>0</v>
      </c>
      <c r="B257" s="77">
        <f>'CASE DATA'!B15</f>
        <v>0</v>
      </c>
      <c r="C257" s="79" t="e">
        <f>'CASE DATA'!#REF!</f>
        <v>#REF!</v>
      </c>
      <c r="D257" s="79">
        <f>'CASE DATA'!C15</f>
        <v>0</v>
      </c>
      <c r="E257" s="77">
        <f>'CASE DATA'!E15</f>
        <v>0</v>
      </c>
      <c r="F257" s="77">
        <f>'CASE DATA'!F15</f>
        <v>0</v>
      </c>
      <c r="G257" s="77">
        <f>'CASE DATA'!G15</f>
        <v>0</v>
      </c>
      <c r="H257" s="78">
        <f>'CASE DATA'!H15</f>
        <v>0</v>
      </c>
    </row>
    <row r="258" spans="1:8" x14ac:dyDescent="0.25">
      <c r="A258" s="53" t="s">
        <v>18</v>
      </c>
      <c r="B258" s="32">
        <f>'CASE DATA'!I15</f>
        <v>0</v>
      </c>
      <c r="C258" s="33" t="s">
        <v>21</v>
      </c>
      <c r="D258" s="36">
        <f>'CASE DATA'!L15</f>
        <v>0</v>
      </c>
      <c r="E258" s="38" t="s">
        <v>24</v>
      </c>
      <c r="F258" s="41">
        <f>'CASE DATA'!O15</f>
        <v>0</v>
      </c>
      <c r="G258" s="43" t="s">
        <v>74</v>
      </c>
      <c r="H258" s="54">
        <f>'CASE DATA'!R15</f>
        <v>0</v>
      </c>
    </row>
    <row r="259" spans="1:8" x14ac:dyDescent="0.25">
      <c r="A259" s="55" t="s">
        <v>75</v>
      </c>
      <c r="B259" s="32">
        <f>'CASE DATA'!J15</f>
        <v>0</v>
      </c>
      <c r="C259" s="34" t="s">
        <v>22</v>
      </c>
      <c r="D259" s="36">
        <f>'CASE DATA'!M15</f>
        <v>0</v>
      </c>
      <c r="E259" s="39" t="s">
        <v>25</v>
      </c>
      <c r="F259" s="41">
        <f>'CASE DATA'!P15</f>
        <v>0</v>
      </c>
      <c r="G259" s="44" t="s">
        <v>28</v>
      </c>
      <c r="H259" s="54">
        <f>'CASE DATA'!S15</f>
        <v>0</v>
      </c>
    </row>
    <row r="260" spans="1:8" x14ac:dyDescent="0.25">
      <c r="A260" s="56" t="s">
        <v>20</v>
      </c>
      <c r="B260" s="32">
        <f>'CASE DATA'!K15</f>
        <v>0</v>
      </c>
      <c r="C260" s="35" t="s">
        <v>23</v>
      </c>
      <c r="D260" s="37">
        <f>'CASE DATA'!N15</f>
        <v>0</v>
      </c>
      <c r="E260" s="40" t="s">
        <v>26</v>
      </c>
      <c r="F260" s="42">
        <f>'CASE DATA'!Q15</f>
        <v>0</v>
      </c>
      <c r="G260" s="28"/>
      <c r="H260" s="57"/>
    </row>
    <row r="261" spans="1:8" x14ac:dyDescent="0.25">
      <c r="A261" s="58" t="s">
        <v>10</v>
      </c>
      <c r="B261" s="278">
        <f>'CASE DATA'!T15</f>
        <v>0</v>
      </c>
      <c r="C261" s="279"/>
      <c r="D261" s="279"/>
      <c r="E261" s="279"/>
      <c r="F261" s="279"/>
      <c r="G261" s="279"/>
      <c r="H261" s="280"/>
    </row>
    <row r="262" spans="1:8" ht="18.75" x14ac:dyDescent="0.3">
      <c r="A262" s="265" t="s">
        <v>76</v>
      </c>
      <c r="B262" s="266"/>
      <c r="C262" s="266"/>
      <c r="D262" s="266"/>
      <c r="E262" s="266"/>
      <c r="F262" s="266"/>
      <c r="G262" s="266"/>
      <c r="H262" s="267"/>
    </row>
    <row r="263" spans="1:8" ht="45" x14ac:dyDescent="0.25">
      <c r="A263" s="59" t="s">
        <v>39</v>
      </c>
      <c r="B263" s="45" t="s">
        <v>77</v>
      </c>
      <c r="C263" s="46" t="s">
        <v>43</v>
      </c>
      <c r="D263" s="46" t="s">
        <v>44</v>
      </c>
      <c r="E263" s="46" t="s">
        <v>45</v>
      </c>
      <c r="F263" s="47" t="s">
        <v>46</v>
      </c>
      <c r="G263" s="26" t="s">
        <v>78</v>
      </c>
      <c r="H263" s="60"/>
    </row>
    <row r="264" spans="1:8" x14ac:dyDescent="0.25">
      <c r="A264" s="61" t="str">
        <f>EXPUNGEMENT!D14</f>
        <v>NO</v>
      </c>
      <c r="B264" s="61" t="str">
        <f>EXPUNGEMENT!G14</f>
        <v>N/A</v>
      </c>
      <c r="C264" s="136" t="str">
        <f>EXPUNGEMENT!H14</f>
        <v>NO</v>
      </c>
      <c r="D264" s="136" t="str">
        <f>EXPUNGEMENT!I14</f>
        <v>N/A</v>
      </c>
      <c r="E264" s="136" t="str">
        <f>EXPUNGEMENT!J14</f>
        <v>N/A</v>
      </c>
      <c r="F264" s="136" t="str">
        <f>EXPUNGEMENT!K14</f>
        <v>N/A</v>
      </c>
      <c r="G264" s="29"/>
      <c r="H264" s="62"/>
    </row>
    <row r="265" spans="1:8" x14ac:dyDescent="0.25">
      <c r="A265" s="63" t="s">
        <v>51</v>
      </c>
      <c r="B265" s="48" t="s">
        <v>79</v>
      </c>
      <c r="C265" s="49" t="s">
        <v>44</v>
      </c>
      <c r="D265" s="49" t="s">
        <v>45</v>
      </c>
      <c r="E265" s="29"/>
      <c r="F265" s="29"/>
      <c r="G265" s="29"/>
      <c r="H265" s="62"/>
    </row>
    <row r="266" spans="1:8" x14ac:dyDescent="0.25">
      <c r="A266" s="64" t="str">
        <f>EXPUNGEMENT!R14</f>
        <v>NO</v>
      </c>
      <c r="B266" s="64" t="str">
        <f>EXPUNGEMENT!S14</f>
        <v>N/A</v>
      </c>
      <c r="C266" s="64" t="str">
        <f>EXPUNGEMENT!T14</f>
        <v>N/A</v>
      </c>
      <c r="D266" s="64" t="str">
        <f>EXPUNGEMENT!U14</f>
        <v>N/A</v>
      </c>
      <c r="E266" s="29"/>
      <c r="F266" s="29"/>
      <c r="G266" s="29"/>
      <c r="H266" s="62"/>
    </row>
    <row r="267" spans="1:8" ht="18.75" customHeight="1" x14ac:dyDescent="0.3">
      <c r="A267" s="265" t="s">
        <v>80</v>
      </c>
      <c r="B267" s="266"/>
      <c r="C267" s="266"/>
      <c r="D267" s="266"/>
      <c r="E267" s="266"/>
      <c r="F267" s="268"/>
      <c r="G267" s="269">
        <v>12</v>
      </c>
      <c r="H267" s="270"/>
    </row>
    <row r="268" spans="1:8" ht="15" customHeight="1" x14ac:dyDescent="0.25">
      <c r="A268" s="65" t="s">
        <v>29</v>
      </c>
      <c r="B268" s="27">
        <f>BANKRUPTCY!C15</f>
        <v>0</v>
      </c>
      <c r="C268" s="50" t="s">
        <v>56</v>
      </c>
      <c r="D268" s="27">
        <f>BANKRUPTCY!D15</f>
        <v>0</v>
      </c>
      <c r="E268" s="50" t="s">
        <v>57</v>
      </c>
      <c r="F268" s="30">
        <f>BANKRUPTCY!E15</f>
        <v>0</v>
      </c>
      <c r="G268" s="271"/>
      <c r="H268" s="272"/>
    </row>
    <row r="269" spans="1:8" ht="18.75" customHeight="1" x14ac:dyDescent="0.3">
      <c r="A269" s="265" t="s">
        <v>81</v>
      </c>
      <c r="B269" s="266"/>
      <c r="C269" s="266"/>
      <c r="D269" s="266"/>
      <c r="E269" s="266"/>
      <c r="F269" s="268"/>
      <c r="G269" s="271"/>
      <c r="H269" s="272"/>
    </row>
    <row r="270" spans="1:8" ht="15" customHeight="1" x14ac:dyDescent="0.25">
      <c r="A270" s="65" t="s">
        <v>29</v>
      </c>
      <c r="B270" s="27">
        <f>SOL!C15</f>
        <v>0</v>
      </c>
      <c r="C270" s="50" t="s">
        <v>56</v>
      </c>
      <c r="D270" s="27">
        <f>SOL!D15</f>
        <v>0</v>
      </c>
      <c r="E270" s="50" t="s">
        <v>57</v>
      </c>
      <c r="F270" s="30">
        <f>SOL!E15</f>
        <v>0</v>
      </c>
      <c r="G270" s="271"/>
      <c r="H270" s="272"/>
    </row>
    <row r="271" spans="1:8" ht="18.75" customHeight="1" x14ac:dyDescent="0.3">
      <c r="A271" s="265" t="s">
        <v>82</v>
      </c>
      <c r="B271" s="266"/>
      <c r="C271" s="266"/>
      <c r="D271" s="266"/>
      <c r="E271" s="52"/>
      <c r="F271" s="51"/>
      <c r="G271" s="271"/>
      <c r="H271" s="272"/>
    </row>
    <row r="272" spans="1:8" ht="15" customHeight="1" x14ac:dyDescent="0.25">
      <c r="A272" s="65" t="s">
        <v>67</v>
      </c>
      <c r="B272" s="27">
        <f>EXEMPTIONS!C15</f>
        <v>0</v>
      </c>
      <c r="C272" s="50" t="s">
        <v>68</v>
      </c>
      <c r="D272" s="27">
        <f>EXEMPTIONS!D15</f>
        <v>0</v>
      </c>
      <c r="E272" s="31"/>
      <c r="F272" s="31"/>
      <c r="G272" s="271"/>
      <c r="H272" s="272"/>
    </row>
    <row r="273" spans="1:8" ht="18.75" customHeight="1" x14ac:dyDescent="0.3">
      <c r="A273" s="265" t="s">
        <v>83</v>
      </c>
      <c r="B273" s="266"/>
      <c r="C273" s="266"/>
      <c r="D273" s="266"/>
      <c r="E273" s="52"/>
      <c r="F273" s="52"/>
      <c r="G273" s="273"/>
      <c r="H273" s="274"/>
    </row>
    <row r="274" spans="1:8" ht="15.75" thickBot="1" x14ac:dyDescent="0.3">
      <c r="A274" s="66" t="s">
        <v>62</v>
      </c>
      <c r="B274" s="67" t="str">
        <f>'LICENSE-REGIS'!I15</f>
        <v>N/A</v>
      </c>
      <c r="C274" s="68" t="s">
        <v>63</v>
      </c>
      <c r="D274" s="67">
        <f>'LICENSE-REGIS'!M15</f>
        <v>0</v>
      </c>
      <c r="E274" s="275"/>
      <c r="F274" s="276"/>
      <c r="G274" s="276"/>
      <c r="H274" s="277"/>
    </row>
    <row r="278" spans="1:8" ht="15.75" thickBot="1" x14ac:dyDescent="0.3">
      <c r="A278" s="184"/>
      <c r="B278" s="184"/>
      <c r="C278" s="184"/>
      <c r="D278" s="184"/>
      <c r="E278" s="184"/>
      <c r="F278" s="184"/>
      <c r="G278" s="184"/>
      <c r="H278" s="184"/>
    </row>
    <row r="279" spans="1:8" x14ac:dyDescent="0.25">
      <c r="A279" s="75" t="s">
        <v>11</v>
      </c>
      <c r="B279" s="72" t="s">
        <v>12</v>
      </c>
      <c r="C279" s="72" t="s">
        <v>73</v>
      </c>
      <c r="D279" s="72" t="s">
        <v>13</v>
      </c>
      <c r="E279" s="72" t="s">
        <v>61</v>
      </c>
      <c r="F279" s="72" t="s">
        <v>14</v>
      </c>
      <c r="G279" s="72" t="s">
        <v>15</v>
      </c>
      <c r="H279" s="74" t="s">
        <v>16</v>
      </c>
    </row>
    <row r="280" spans="1:8" ht="17.25" x14ac:dyDescent="0.3">
      <c r="A280" s="76">
        <f>'CASE DATA'!A16</f>
        <v>0</v>
      </c>
      <c r="B280" s="77">
        <f>'CASE DATA'!B16</f>
        <v>0</v>
      </c>
      <c r="C280" s="79" t="e">
        <f>'CASE DATA'!#REF!</f>
        <v>#REF!</v>
      </c>
      <c r="D280" s="79">
        <f>'CASE DATA'!C16</f>
        <v>0</v>
      </c>
      <c r="E280" s="77">
        <f>'CASE DATA'!E16</f>
        <v>0</v>
      </c>
      <c r="F280" s="77">
        <f>'CASE DATA'!F16</f>
        <v>0</v>
      </c>
      <c r="G280" s="77">
        <f>'CASE DATA'!G16</f>
        <v>0</v>
      </c>
      <c r="H280" s="78">
        <f>'CASE DATA'!H16</f>
        <v>0</v>
      </c>
    </row>
    <row r="281" spans="1:8" x14ac:dyDescent="0.25">
      <c r="A281" s="53" t="s">
        <v>18</v>
      </c>
      <c r="B281" s="32">
        <f>'CASE DATA'!I16</f>
        <v>0</v>
      </c>
      <c r="C281" s="33" t="s">
        <v>21</v>
      </c>
      <c r="D281" s="36">
        <f>'CASE DATA'!L16</f>
        <v>0</v>
      </c>
      <c r="E281" s="38" t="s">
        <v>24</v>
      </c>
      <c r="F281" s="41">
        <f>'CASE DATA'!O16</f>
        <v>0</v>
      </c>
      <c r="G281" s="43" t="s">
        <v>74</v>
      </c>
      <c r="H281" s="54">
        <f>'CASE DATA'!R16</f>
        <v>0</v>
      </c>
    </row>
    <row r="282" spans="1:8" x14ac:dyDescent="0.25">
      <c r="A282" s="55" t="s">
        <v>75</v>
      </c>
      <c r="B282" s="32">
        <f>'CASE DATA'!J16</f>
        <v>0</v>
      </c>
      <c r="C282" s="34" t="s">
        <v>22</v>
      </c>
      <c r="D282" s="36">
        <f>'CASE DATA'!M16</f>
        <v>0</v>
      </c>
      <c r="E282" s="39" t="s">
        <v>25</v>
      </c>
      <c r="F282" s="41">
        <f>'CASE DATA'!P16</f>
        <v>0</v>
      </c>
      <c r="G282" s="44" t="s">
        <v>28</v>
      </c>
      <c r="H282" s="54">
        <f>'CASE DATA'!S16</f>
        <v>0</v>
      </c>
    </row>
    <row r="283" spans="1:8" x14ac:dyDescent="0.25">
      <c r="A283" s="56" t="s">
        <v>20</v>
      </c>
      <c r="B283" s="32">
        <f>'CASE DATA'!K16</f>
        <v>0</v>
      </c>
      <c r="C283" s="35" t="s">
        <v>23</v>
      </c>
      <c r="D283" s="37">
        <f>'CASE DATA'!N16</f>
        <v>0</v>
      </c>
      <c r="E283" s="40" t="s">
        <v>26</v>
      </c>
      <c r="F283" s="42">
        <f>'CASE DATA'!Q16</f>
        <v>0</v>
      </c>
      <c r="G283" s="28"/>
      <c r="H283" s="57"/>
    </row>
    <row r="284" spans="1:8" x14ac:dyDescent="0.25">
      <c r="A284" s="58" t="s">
        <v>10</v>
      </c>
      <c r="B284" s="278">
        <f>'CASE DATA'!T16</f>
        <v>0</v>
      </c>
      <c r="C284" s="279"/>
      <c r="D284" s="279"/>
      <c r="E284" s="279"/>
      <c r="F284" s="279"/>
      <c r="G284" s="279"/>
      <c r="H284" s="280"/>
    </row>
    <row r="285" spans="1:8" ht="18.75" x14ac:dyDescent="0.3">
      <c r="A285" s="265" t="s">
        <v>76</v>
      </c>
      <c r="B285" s="266"/>
      <c r="C285" s="266"/>
      <c r="D285" s="266"/>
      <c r="E285" s="266"/>
      <c r="F285" s="266"/>
      <c r="G285" s="266"/>
      <c r="H285" s="267"/>
    </row>
    <row r="286" spans="1:8" ht="45" x14ac:dyDescent="0.25">
      <c r="A286" s="59" t="s">
        <v>39</v>
      </c>
      <c r="B286" s="45" t="s">
        <v>77</v>
      </c>
      <c r="C286" s="46" t="s">
        <v>43</v>
      </c>
      <c r="D286" s="46" t="s">
        <v>44</v>
      </c>
      <c r="E286" s="46" t="s">
        <v>45</v>
      </c>
      <c r="F286" s="47" t="s">
        <v>46</v>
      </c>
      <c r="G286" s="26" t="s">
        <v>78</v>
      </c>
      <c r="H286" s="60"/>
    </row>
    <row r="287" spans="1:8" x14ac:dyDescent="0.25">
      <c r="A287" s="61" t="str">
        <f>EXPUNGEMENT!D15</f>
        <v>NO</v>
      </c>
      <c r="B287" s="61" t="str">
        <f>EXPUNGEMENT!G15</f>
        <v>N/A</v>
      </c>
      <c r="C287" s="136" t="str">
        <f>EXPUNGEMENT!H15</f>
        <v>NO</v>
      </c>
      <c r="D287" s="136" t="str">
        <f>EXPUNGEMENT!I15</f>
        <v>N/A</v>
      </c>
      <c r="E287" s="136" t="str">
        <f>EXPUNGEMENT!J15</f>
        <v>N/A</v>
      </c>
      <c r="F287" s="136" t="str">
        <f>EXPUNGEMENT!K15</f>
        <v>N/A</v>
      </c>
      <c r="G287" s="29"/>
      <c r="H287" s="62"/>
    </row>
    <row r="288" spans="1:8" x14ac:dyDescent="0.25">
      <c r="A288" s="63" t="s">
        <v>51</v>
      </c>
      <c r="B288" s="48" t="s">
        <v>79</v>
      </c>
      <c r="C288" s="49" t="s">
        <v>44</v>
      </c>
      <c r="D288" s="49" t="s">
        <v>45</v>
      </c>
      <c r="E288" s="29"/>
      <c r="F288" s="29"/>
      <c r="G288" s="29"/>
      <c r="H288" s="62"/>
    </row>
    <row r="289" spans="1:8" x14ac:dyDescent="0.25">
      <c r="A289" s="64" t="str">
        <f>EXPUNGEMENT!R15</f>
        <v>NO</v>
      </c>
      <c r="B289" s="64" t="str">
        <f>EXPUNGEMENT!S15</f>
        <v>N/A</v>
      </c>
      <c r="C289" s="64" t="str">
        <f>EXPUNGEMENT!T15</f>
        <v>N/A</v>
      </c>
      <c r="D289" s="64" t="str">
        <f>EXPUNGEMENT!U15</f>
        <v>N/A</v>
      </c>
      <c r="E289" s="29"/>
      <c r="F289" s="29"/>
      <c r="G289" s="29"/>
      <c r="H289" s="62"/>
    </row>
    <row r="290" spans="1:8" ht="18.75" x14ac:dyDescent="0.3">
      <c r="A290" s="265" t="s">
        <v>80</v>
      </c>
      <c r="B290" s="266"/>
      <c r="C290" s="266"/>
      <c r="D290" s="266"/>
      <c r="E290" s="266"/>
      <c r="F290" s="268"/>
      <c r="G290" s="269">
        <v>13</v>
      </c>
      <c r="H290" s="270"/>
    </row>
    <row r="291" spans="1:8" x14ac:dyDescent="0.25">
      <c r="A291" s="65" t="s">
        <v>29</v>
      </c>
      <c r="B291" s="27">
        <f>BANKRUPTCY!C16</f>
        <v>0</v>
      </c>
      <c r="C291" s="50" t="s">
        <v>56</v>
      </c>
      <c r="D291" s="27">
        <f>BANKRUPTCY!D16</f>
        <v>0</v>
      </c>
      <c r="E291" s="50" t="s">
        <v>57</v>
      </c>
      <c r="F291" s="30">
        <f>BANKRUPTCY!E16</f>
        <v>0</v>
      </c>
      <c r="G291" s="271"/>
      <c r="H291" s="272"/>
    </row>
    <row r="292" spans="1:8" ht="18.75" x14ac:dyDescent="0.3">
      <c r="A292" s="265" t="s">
        <v>81</v>
      </c>
      <c r="B292" s="266"/>
      <c r="C292" s="266"/>
      <c r="D292" s="266"/>
      <c r="E292" s="266"/>
      <c r="F292" s="268"/>
      <c r="G292" s="271"/>
      <c r="H292" s="272"/>
    </row>
    <row r="293" spans="1:8" x14ac:dyDescent="0.25">
      <c r="A293" s="65" t="s">
        <v>29</v>
      </c>
      <c r="B293" s="27">
        <f>SOL!C16</f>
        <v>0</v>
      </c>
      <c r="C293" s="50" t="s">
        <v>56</v>
      </c>
      <c r="D293" s="27">
        <f>SOL!D16</f>
        <v>0</v>
      </c>
      <c r="E293" s="50" t="s">
        <v>57</v>
      </c>
      <c r="F293" s="30">
        <f>SOL!E16</f>
        <v>0</v>
      </c>
      <c r="G293" s="271"/>
      <c r="H293" s="272"/>
    </row>
    <row r="294" spans="1:8" ht="18.75" x14ac:dyDescent="0.3">
      <c r="A294" s="265" t="s">
        <v>82</v>
      </c>
      <c r="B294" s="266"/>
      <c r="C294" s="266"/>
      <c r="D294" s="266"/>
      <c r="E294" s="52"/>
      <c r="F294" s="51"/>
      <c r="G294" s="271"/>
      <c r="H294" s="272"/>
    </row>
    <row r="295" spans="1:8" x14ac:dyDescent="0.25">
      <c r="A295" s="65" t="s">
        <v>67</v>
      </c>
      <c r="B295" s="27">
        <f>EXEMPTIONS!C16</f>
        <v>0</v>
      </c>
      <c r="C295" s="50" t="s">
        <v>68</v>
      </c>
      <c r="D295" s="27">
        <f>EXEMPTIONS!D16</f>
        <v>0</v>
      </c>
      <c r="E295" s="31"/>
      <c r="F295" s="31"/>
      <c r="G295" s="271"/>
      <c r="H295" s="272"/>
    </row>
    <row r="296" spans="1:8" ht="18.75" x14ac:dyDescent="0.3">
      <c r="A296" s="265" t="s">
        <v>83</v>
      </c>
      <c r="B296" s="266"/>
      <c r="C296" s="266"/>
      <c r="D296" s="266"/>
      <c r="E296" s="52"/>
      <c r="F296" s="52"/>
      <c r="G296" s="273"/>
      <c r="H296" s="274"/>
    </row>
    <row r="297" spans="1:8" ht="15.75" thickBot="1" x14ac:dyDescent="0.3">
      <c r="A297" s="66" t="s">
        <v>62</v>
      </c>
      <c r="B297" s="67" t="str">
        <f>'LICENSE-REGIS'!I16</f>
        <v>N/A</v>
      </c>
      <c r="C297" s="68" t="s">
        <v>63</v>
      </c>
      <c r="D297" s="67">
        <f>'LICENSE-REGIS'!M16</f>
        <v>0</v>
      </c>
      <c r="E297" s="275"/>
      <c r="F297" s="276"/>
      <c r="G297" s="276"/>
      <c r="H297" s="277"/>
    </row>
    <row r="301" spans="1:8" ht="15.75" thickBot="1" x14ac:dyDescent="0.3">
      <c r="A301" s="184"/>
      <c r="B301" s="184"/>
      <c r="C301" s="184"/>
      <c r="D301" s="184"/>
      <c r="E301" s="184"/>
      <c r="F301" s="184"/>
      <c r="G301" s="184"/>
      <c r="H301" s="184"/>
    </row>
    <row r="302" spans="1:8" x14ac:dyDescent="0.25">
      <c r="A302" s="75" t="s">
        <v>11</v>
      </c>
      <c r="B302" s="72" t="s">
        <v>12</v>
      </c>
      <c r="C302" s="72" t="s">
        <v>73</v>
      </c>
      <c r="D302" s="72" t="s">
        <v>13</v>
      </c>
      <c r="E302" s="72" t="s">
        <v>61</v>
      </c>
      <c r="F302" s="72" t="s">
        <v>14</v>
      </c>
      <c r="G302" s="72" t="s">
        <v>15</v>
      </c>
      <c r="H302" s="74" t="s">
        <v>16</v>
      </c>
    </row>
    <row r="303" spans="1:8" ht="17.25" x14ac:dyDescent="0.3">
      <c r="A303" s="76">
        <f>'CASE DATA'!A17</f>
        <v>0</v>
      </c>
      <c r="B303" s="77">
        <f>'CASE DATA'!B17</f>
        <v>0</v>
      </c>
      <c r="C303" s="79" t="e">
        <f>'CASE DATA'!#REF!</f>
        <v>#REF!</v>
      </c>
      <c r="D303" s="79">
        <f>'CASE DATA'!C17</f>
        <v>0</v>
      </c>
      <c r="E303" s="77">
        <f>'CASE DATA'!E17</f>
        <v>0</v>
      </c>
      <c r="F303" s="77">
        <f>'CASE DATA'!F17</f>
        <v>0</v>
      </c>
      <c r="G303" s="77">
        <f>'CASE DATA'!G17</f>
        <v>0</v>
      </c>
      <c r="H303" s="78">
        <f>'CASE DATA'!H17</f>
        <v>0</v>
      </c>
    </row>
    <row r="304" spans="1:8" x14ac:dyDescent="0.25">
      <c r="A304" s="53" t="s">
        <v>18</v>
      </c>
      <c r="B304" s="32">
        <f>'CASE DATA'!I17</f>
        <v>0</v>
      </c>
      <c r="C304" s="33" t="s">
        <v>21</v>
      </c>
      <c r="D304" s="36">
        <f>'CASE DATA'!L17</f>
        <v>0</v>
      </c>
      <c r="E304" s="38" t="s">
        <v>24</v>
      </c>
      <c r="F304" s="41">
        <f>'CASE DATA'!O17</f>
        <v>0</v>
      </c>
      <c r="G304" s="43" t="s">
        <v>74</v>
      </c>
      <c r="H304" s="54">
        <f>'CASE DATA'!R17</f>
        <v>0</v>
      </c>
    </row>
    <row r="305" spans="1:8" x14ac:dyDescent="0.25">
      <c r="A305" s="55" t="s">
        <v>75</v>
      </c>
      <c r="B305" s="32">
        <f>'CASE DATA'!J17</f>
        <v>0</v>
      </c>
      <c r="C305" s="34" t="s">
        <v>22</v>
      </c>
      <c r="D305" s="36">
        <f>'CASE DATA'!M17</f>
        <v>0</v>
      </c>
      <c r="E305" s="39" t="s">
        <v>25</v>
      </c>
      <c r="F305" s="41">
        <f>'CASE DATA'!P17</f>
        <v>0</v>
      </c>
      <c r="G305" s="44" t="s">
        <v>28</v>
      </c>
      <c r="H305" s="54">
        <f>'CASE DATA'!S17</f>
        <v>0</v>
      </c>
    </row>
    <row r="306" spans="1:8" x14ac:dyDescent="0.25">
      <c r="A306" s="56" t="s">
        <v>20</v>
      </c>
      <c r="B306" s="32">
        <f>'CASE DATA'!K17</f>
        <v>0</v>
      </c>
      <c r="C306" s="35" t="s">
        <v>23</v>
      </c>
      <c r="D306" s="37">
        <f>'CASE DATA'!N17</f>
        <v>0</v>
      </c>
      <c r="E306" s="40" t="s">
        <v>26</v>
      </c>
      <c r="F306" s="42">
        <f>'CASE DATA'!Q17</f>
        <v>0</v>
      </c>
      <c r="G306" s="28"/>
      <c r="H306" s="57"/>
    </row>
    <row r="307" spans="1:8" x14ac:dyDescent="0.25">
      <c r="A307" s="58" t="s">
        <v>10</v>
      </c>
      <c r="B307" s="278">
        <f>'CASE DATA'!T17</f>
        <v>0</v>
      </c>
      <c r="C307" s="279"/>
      <c r="D307" s="279"/>
      <c r="E307" s="279"/>
      <c r="F307" s="279"/>
      <c r="G307" s="279"/>
      <c r="H307" s="280"/>
    </row>
    <row r="308" spans="1:8" ht="18.75" x14ac:dyDescent="0.3">
      <c r="A308" s="265" t="s">
        <v>76</v>
      </c>
      <c r="B308" s="266"/>
      <c r="C308" s="266"/>
      <c r="D308" s="266"/>
      <c r="E308" s="266"/>
      <c r="F308" s="266"/>
      <c r="G308" s="266"/>
      <c r="H308" s="267"/>
    </row>
    <row r="309" spans="1:8" ht="45" x14ac:dyDescent="0.25">
      <c r="A309" s="59" t="s">
        <v>39</v>
      </c>
      <c r="B309" s="45" t="s">
        <v>77</v>
      </c>
      <c r="C309" s="46" t="s">
        <v>43</v>
      </c>
      <c r="D309" s="46" t="s">
        <v>44</v>
      </c>
      <c r="E309" s="46" t="s">
        <v>45</v>
      </c>
      <c r="F309" s="47" t="s">
        <v>46</v>
      </c>
      <c r="G309" s="26" t="s">
        <v>78</v>
      </c>
      <c r="H309" s="60"/>
    </row>
    <row r="310" spans="1:8" x14ac:dyDescent="0.25">
      <c r="A310" s="61" t="str">
        <f>EXPUNGEMENT!D16</f>
        <v>NO</v>
      </c>
      <c r="B310" s="61" t="str">
        <f>EXPUNGEMENT!G16</f>
        <v>N/A</v>
      </c>
      <c r="C310" s="136" t="str">
        <f>EXPUNGEMENT!H16</f>
        <v>NO</v>
      </c>
      <c r="D310" s="136" t="str">
        <f>EXPUNGEMENT!I16</f>
        <v>N/A</v>
      </c>
      <c r="E310" s="136" t="str">
        <f>EXPUNGEMENT!J16</f>
        <v>N/A</v>
      </c>
      <c r="F310" s="136" t="str">
        <f>EXPUNGEMENT!K16</f>
        <v>N/A</v>
      </c>
      <c r="G310" s="29"/>
      <c r="H310" s="62"/>
    </row>
    <row r="311" spans="1:8" x14ac:dyDescent="0.25">
      <c r="A311" s="63" t="s">
        <v>51</v>
      </c>
      <c r="B311" s="48" t="s">
        <v>79</v>
      </c>
      <c r="C311" s="49" t="s">
        <v>44</v>
      </c>
      <c r="D311" s="49" t="s">
        <v>45</v>
      </c>
      <c r="E311" s="29"/>
      <c r="F311" s="29"/>
      <c r="G311" s="29"/>
      <c r="H311" s="62"/>
    </row>
    <row r="312" spans="1:8" x14ac:dyDescent="0.25">
      <c r="A312" s="64" t="str">
        <f>EXPUNGEMENT!R16</f>
        <v>NO</v>
      </c>
      <c r="B312" s="64" t="str">
        <f>EXPUNGEMENT!S16</f>
        <v>N/A</v>
      </c>
      <c r="C312" s="64" t="str">
        <f>EXPUNGEMENT!T16</f>
        <v>N/A</v>
      </c>
      <c r="D312" s="64" t="str">
        <f>EXPUNGEMENT!U16</f>
        <v>N/A</v>
      </c>
      <c r="E312" s="29"/>
      <c r="F312" s="29"/>
      <c r="G312" s="29"/>
      <c r="H312" s="62"/>
    </row>
    <row r="313" spans="1:8" ht="18.75" customHeight="1" x14ac:dyDescent="0.3">
      <c r="A313" s="265" t="s">
        <v>80</v>
      </c>
      <c r="B313" s="266"/>
      <c r="C313" s="266"/>
      <c r="D313" s="266"/>
      <c r="E313" s="266"/>
      <c r="F313" s="268"/>
      <c r="G313" s="269">
        <v>14</v>
      </c>
      <c r="H313" s="270"/>
    </row>
    <row r="314" spans="1:8" ht="15" customHeight="1" x14ac:dyDescent="0.25">
      <c r="A314" s="65" t="s">
        <v>29</v>
      </c>
      <c r="B314" s="27">
        <f>BANKRUPTCY!C17</f>
        <v>0</v>
      </c>
      <c r="C314" s="50" t="s">
        <v>56</v>
      </c>
      <c r="D314" s="27">
        <f>BANKRUPTCY!D17</f>
        <v>0</v>
      </c>
      <c r="E314" s="50" t="s">
        <v>57</v>
      </c>
      <c r="F314" s="30">
        <f>BANKRUPTCY!E17</f>
        <v>0</v>
      </c>
      <c r="G314" s="271"/>
      <c r="H314" s="272"/>
    </row>
    <row r="315" spans="1:8" ht="18.75" customHeight="1" x14ac:dyDescent="0.3">
      <c r="A315" s="265" t="s">
        <v>81</v>
      </c>
      <c r="B315" s="266"/>
      <c r="C315" s="266"/>
      <c r="D315" s="266"/>
      <c r="E315" s="266"/>
      <c r="F315" s="268"/>
      <c r="G315" s="271"/>
      <c r="H315" s="272"/>
    </row>
    <row r="316" spans="1:8" ht="15" customHeight="1" x14ac:dyDescent="0.25">
      <c r="A316" s="65" t="s">
        <v>29</v>
      </c>
      <c r="B316" s="27">
        <f>SOL!C17</f>
        <v>0</v>
      </c>
      <c r="C316" s="50" t="s">
        <v>56</v>
      </c>
      <c r="D316" s="27">
        <f>SOL!D17</f>
        <v>0</v>
      </c>
      <c r="E316" s="50" t="s">
        <v>57</v>
      </c>
      <c r="F316" s="30">
        <f>SOL!E17</f>
        <v>0</v>
      </c>
      <c r="G316" s="271"/>
      <c r="H316" s="272"/>
    </row>
    <row r="317" spans="1:8" ht="18.75" customHeight="1" x14ac:dyDescent="0.3">
      <c r="A317" s="265" t="s">
        <v>82</v>
      </c>
      <c r="B317" s="266"/>
      <c r="C317" s="266"/>
      <c r="D317" s="266"/>
      <c r="E317" s="52"/>
      <c r="F317" s="51"/>
      <c r="G317" s="271"/>
      <c r="H317" s="272"/>
    </row>
    <row r="318" spans="1:8" ht="15" customHeight="1" x14ac:dyDescent="0.25">
      <c r="A318" s="65" t="s">
        <v>67</v>
      </c>
      <c r="B318" s="27">
        <f>EXEMPTIONS!C17</f>
        <v>0</v>
      </c>
      <c r="C318" s="50" t="s">
        <v>68</v>
      </c>
      <c r="D318" s="27">
        <f>EXEMPTIONS!D17</f>
        <v>0</v>
      </c>
      <c r="E318" s="31"/>
      <c r="F318" s="31"/>
      <c r="G318" s="271"/>
      <c r="H318" s="272"/>
    </row>
    <row r="319" spans="1:8" ht="18.75" customHeight="1" x14ac:dyDescent="0.3">
      <c r="A319" s="265" t="s">
        <v>83</v>
      </c>
      <c r="B319" s="266"/>
      <c r="C319" s="266"/>
      <c r="D319" s="266"/>
      <c r="E319" s="52"/>
      <c r="F319" s="52"/>
      <c r="G319" s="273"/>
      <c r="H319" s="274"/>
    </row>
    <row r="320" spans="1:8" ht="15.75" thickBot="1" x14ac:dyDescent="0.3">
      <c r="A320" s="66" t="s">
        <v>62</v>
      </c>
      <c r="B320" s="67" t="str">
        <f>'LICENSE-REGIS'!I17</f>
        <v>N/A</v>
      </c>
      <c r="C320" s="68" t="s">
        <v>63</v>
      </c>
      <c r="D320" s="67">
        <f>'LICENSE-REGIS'!M17</f>
        <v>0</v>
      </c>
      <c r="E320" s="275"/>
      <c r="F320" s="276"/>
      <c r="G320" s="276"/>
      <c r="H320" s="277"/>
    </row>
    <row r="324" spans="1:8" ht="15.75" thickBot="1" x14ac:dyDescent="0.3">
      <c r="A324" s="184"/>
      <c r="B324" s="184"/>
      <c r="C324" s="184"/>
      <c r="D324" s="184"/>
      <c r="E324" s="184"/>
      <c r="F324" s="184"/>
      <c r="G324" s="184"/>
      <c r="H324" s="184"/>
    </row>
    <row r="325" spans="1:8" x14ac:dyDescent="0.25">
      <c r="A325" s="75" t="s">
        <v>11</v>
      </c>
      <c r="B325" s="72" t="s">
        <v>12</v>
      </c>
      <c r="C325" s="72" t="s">
        <v>73</v>
      </c>
      <c r="D325" s="72" t="s">
        <v>13</v>
      </c>
      <c r="E325" s="72" t="s">
        <v>61</v>
      </c>
      <c r="F325" s="72" t="s">
        <v>14</v>
      </c>
      <c r="G325" s="72" t="s">
        <v>15</v>
      </c>
      <c r="H325" s="74" t="s">
        <v>16</v>
      </c>
    </row>
    <row r="326" spans="1:8" ht="17.25" x14ac:dyDescent="0.3">
      <c r="A326" s="76">
        <f>'CASE DATA'!A18</f>
        <v>0</v>
      </c>
      <c r="B326" s="77">
        <f>'CASE DATA'!B18</f>
        <v>0</v>
      </c>
      <c r="C326" s="79" t="e">
        <f>'CASE DATA'!#REF!</f>
        <v>#REF!</v>
      </c>
      <c r="D326" s="79">
        <f>'CASE DATA'!C18</f>
        <v>0</v>
      </c>
      <c r="E326" s="77">
        <f>'CASE DATA'!E18</f>
        <v>0</v>
      </c>
      <c r="F326" s="77">
        <f>'CASE DATA'!F18</f>
        <v>0</v>
      </c>
      <c r="G326" s="77">
        <f>'CASE DATA'!G18</f>
        <v>0</v>
      </c>
      <c r="H326" s="78">
        <f>'CASE DATA'!H18</f>
        <v>0</v>
      </c>
    </row>
    <row r="327" spans="1:8" x14ac:dyDescent="0.25">
      <c r="A327" s="53" t="s">
        <v>18</v>
      </c>
      <c r="B327" s="32">
        <f>'CASE DATA'!I18</f>
        <v>0</v>
      </c>
      <c r="C327" s="33" t="s">
        <v>21</v>
      </c>
      <c r="D327" s="36">
        <f>'CASE DATA'!L18</f>
        <v>0</v>
      </c>
      <c r="E327" s="38" t="s">
        <v>24</v>
      </c>
      <c r="F327" s="41">
        <f>'CASE DATA'!O18</f>
        <v>0</v>
      </c>
      <c r="G327" s="43" t="s">
        <v>74</v>
      </c>
      <c r="H327" s="54">
        <f>'CASE DATA'!R18</f>
        <v>0</v>
      </c>
    </row>
    <row r="328" spans="1:8" x14ac:dyDescent="0.25">
      <c r="A328" s="55" t="s">
        <v>75</v>
      </c>
      <c r="B328" s="32">
        <f>'CASE DATA'!J18</f>
        <v>0</v>
      </c>
      <c r="C328" s="34" t="s">
        <v>22</v>
      </c>
      <c r="D328" s="36">
        <f>'CASE DATA'!M18</f>
        <v>0</v>
      </c>
      <c r="E328" s="39" t="s">
        <v>25</v>
      </c>
      <c r="F328" s="41">
        <f>'CASE DATA'!P18</f>
        <v>0</v>
      </c>
      <c r="G328" s="44" t="s">
        <v>28</v>
      </c>
      <c r="H328" s="54">
        <f>'CASE DATA'!S18</f>
        <v>0</v>
      </c>
    </row>
    <row r="329" spans="1:8" x14ac:dyDescent="0.25">
      <c r="A329" s="56" t="s">
        <v>20</v>
      </c>
      <c r="B329" s="32">
        <f>'CASE DATA'!K18</f>
        <v>0</v>
      </c>
      <c r="C329" s="35" t="s">
        <v>23</v>
      </c>
      <c r="D329" s="37">
        <f>'CASE DATA'!N18</f>
        <v>0</v>
      </c>
      <c r="E329" s="40" t="s">
        <v>26</v>
      </c>
      <c r="F329" s="42">
        <f>'CASE DATA'!Q18</f>
        <v>0</v>
      </c>
      <c r="G329" s="28"/>
      <c r="H329" s="57"/>
    </row>
    <row r="330" spans="1:8" x14ac:dyDescent="0.25">
      <c r="A330" s="58" t="s">
        <v>10</v>
      </c>
      <c r="B330" s="278">
        <f>'CASE DATA'!T18</f>
        <v>0</v>
      </c>
      <c r="C330" s="279"/>
      <c r="D330" s="279"/>
      <c r="E330" s="279"/>
      <c r="F330" s="279"/>
      <c r="G330" s="279"/>
      <c r="H330" s="280"/>
    </row>
    <row r="331" spans="1:8" ht="18.75" x14ac:dyDescent="0.3">
      <c r="A331" s="265" t="s">
        <v>76</v>
      </c>
      <c r="B331" s="266"/>
      <c r="C331" s="266"/>
      <c r="D331" s="266"/>
      <c r="E331" s="266"/>
      <c r="F331" s="266"/>
      <c r="G331" s="266"/>
      <c r="H331" s="267"/>
    </row>
    <row r="332" spans="1:8" ht="45" x14ac:dyDescent="0.25">
      <c r="A332" s="59" t="s">
        <v>39</v>
      </c>
      <c r="B332" s="45" t="s">
        <v>77</v>
      </c>
      <c r="C332" s="46" t="s">
        <v>43</v>
      </c>
      <c r="D332" s="46" t="s">
        <v>44</v>
      </c>
      <c r="E332" s="46" t="s">
        <v>45</v>
      </c>
      <c r="F332" s="47" t="s">
        <v>46</v>
      </c>
      <c r="G332" s="26" t="s">
        <v>78</v>
      </c>
      <c r="H332" s="60"/>
    </row>
    <row r="333" spans="1:8" x14ac:dyDescent="0.25">
      <c r="A333" s="61" t="str">
        <f>EXPUNGEMENT!D17</f>
        <v>NO</v>
      </c>
      <c r="B333" s="61" t="str">
        <f>EXPUNGEMENT!G17</f>
        <v>N/A</v>
      </c>
      <c r="C333" s="136" t="str">
        <f>EXPUNGEMENT!H17</f>
        <v>NO</v>
      </c>
      <c r="D333" s="136" t="str">
        <f>EXPUNGEMENT!I17</f>
        <v>N/A</v>
      </c>
      <c r="E333" s="136" t="str">
        <f>EXPUNGEMENT!J17</f>
        <v>N/A</v>
      </c>
      <c r="F333" s="136" t="str">
        <f>EXPUNGEMENT!K17</f>
        <v>N/A</v>
      </c>
      <c r="G333" s="29"/>
      <c r="H333" s="62"/>
    </row>
    <row r="334" spans="1:8" x14ac:dyDescent="0.25">
      <c r="A334" s="63" t="s">
        <v>51</v>
      </c>
      <c r="B334" s="48" t="s">
        <v>79</v>
      </c>
      <c r="C334" s="49" t="s">
        <v>44</v>
      </c>
      <c r="D334" s="49" t="s">
        <v>45</v>
      </c>
      <c r="E334" s="29"/>
      <c r="F334" s="29"/>
      <c r="G334" s="29"/>
      <c r="H334" s="62"/>
    </row>
    <row r="335" spans="1:8" x14ac:dyDescent="0.25">
      <c r="A335" s="64" t="str">
        <f>EXPUNGEMENT!R17</f>
        <v>NO</v>
      </c>
      <c r="B335" s="64" t="str">
        <f>EXPUNGEMENT!S17</f>
        <v>N/A</v>
      </c>
      <c r="C335" s="64" t="str">
        <f>EXPUNGEMENT!T17</f>
        <v>N/A</v>
      </c>
      <c r="D335" s="64" t="str">
        <f>EXPUNGEMENT!U17</f>
        <v>N/A</v>
      </c>
      <c r="E335" s="29"/>
      <c r="F335" s="29"/>
      <c r="G335" s="29"/>
      <c r="H335" s="62"/>
    </row>
    <row r="336" spans="1:8" ht="18.75" x14ac:dyDescent="0.3">
      <c r="A336" s="265" t="s">
        <v>80</v>
      </c>
      <c r="B336" s="266"/>
      <c r="C336" s="266"/>
      <c r="D336" s="266"/>
      <c r="E336" s="266"/>
      <c r="F336" s="268"/>
      <c r="G336" s="269">
        <v>15</v>
      </c>
      <c r="H336" s="270"/>
    </row>
    <row r="337" spans="1:8" x14ac:dyDescent="0.25">
      <c r="A337" s="65" t="s">
        <v>29</v>
      </c>
      <c r="B337" s="27">
        <f>BANKRUPTCY!C18</f>
        <v>0</v>
      </c>
      <c r="C337" s="50" t="s">
        <v>56</v>
      </c>
      <c r="D337" s="27">
        <f>BANKRUPTCY!D18</f>
        <v>0</v>
      </c>
      <c r="E337" s="50" t="s">
        <v>57</v>
      </c>
      <c r="F337" s="30">
        <f>BANKRUPTCY!E18</f>
        <v>0</v>
      </c>
      <c r="G337" s="271"/>
      <c r="H337" s="272"/>
    </row>
    <row r="338" spans="1:8" ht="18.75" x14ac:dyDescent="0.3">
      <c r="A338" s="265" t="s">
        <v>81</v>
      </c>
      <c r="B338" s="266"/>
      <c r="C338" s="266"/>
      <c r="D338" s="266"/>
      <c r="E338" s="266"/>
      <c r="F338" s="268"/>
      <c r="G338" s="271"/>
      <c r="H338" s="272"/>
    </row>
    <row r="339" spans="1:8" x14ac:dyDescent="0.25">
      <c r="A339" s="65" t="s">
        <v>29</v>
      </c>
      <c r="B339" s="27">
        <f>SOL!C18</f>
        <v>0</v>
      </c>
      <c r="C339" s="50" t="s">
        <v>56</v>
      </c>
      <c r="D339" s="27">
        <f>SOL!D18</f>
        <v>0</v>
      </c>
      <c r="E339" s="50" t="s">
        <v>57</v>
      </c>
      <c r="F339" s="30">
        <f>SOL!E18</f>
        <v>0</v>
      </c>
      <c r="G339" s="271"/>
      <c r="H339" s="272"/>
    </row>
    <row r="340" spans="1:8" ht="18.75" x14ac:dyDescent="0.3">
      <c r="A340" s="265" t="s">
        <v>82</v>
      </c>
      <c r="B340" s="266"/>
      <c r="C340" s="266"/>
      <c r="D340" s="266"/>
      <c r="E340" s="52"/>
      <c r="F340" s="51"/>
      <c r="G340" s="271"/>
      <c r="H340" s="272"/>
    </row>
    <row r="341" spans="1:8" x14ac:dyDescent="0.25">
      <c r="A341" s="65" t="s">
        <v>67</v>
      </c>
      <c r="B341" s="27">
        <f>EXEMPTIONS!C18</f>
        <v>0</v>
      </c>
      <c r="C341" s="50" t="s">
        <v>68</v>
      </c>
      <c r="D341" s="27">
        <f>EXEMPTIONS!D18</f>
        <v>0</v>
      </c>
      <c r="E341" s="31"/>
      <c r="F341" s="31"/>
      <c r="G341" s="271"/>
      <c r="H341" s="272"/>
    </row>
    <row r="342" spans="1:8" ht="18.75" x14ac:dyDescent="0.3">
      <c r="A342" s="265" t="s">
        <v>83</v>
      </c>
      <c r="B342" s="266"/>
      <c r="C342" s="266"/>
      <c r="D342" s="266"/>
      <c r="E342" s="52"/>
      <c r="F342" s="52"/>
      <c r="G342" s="273"/>
      <c r="H342" s="274"/>
    </row>
    <row r="343" spans="1:8" ht="15.75" thickBot="1" x14ac:dyDescent="0.3">
      <c r="A343" s="66" t="s">
        <v>62</v>
      </c>
      <c r="B343" s="67" t="str">
        <f>'LICENSE-REGIS'!I18</f>
        <v>N/A</v>
      </c>
      <c r="C343" s="68" t="s">
        <v>63</v>
      </c>
      <c r="D343" s="67">
        <f>'LICENSE-REGIS'!M18</f>
        <v>0</v>
      </c>
      <c r="E343" s="275"/>
      <c r="F343" s="276"/>
      <c r="G343" s="276"/>
      <c r="H343" s="277"/>
    </row>
    <row r="347" spans="1:8" ht="15.75" thickBot="1" x14ac:dyDescent="0.3">
      <c r="A347" s="184"/>
      <c r="B347" s="184"/>
      <c r="C347" s="184"/>
      <c r="D347" s="184"/>
      <c r="E347" s="184"/>
      <c r="F347" s="184"/>
      <c r="G347" s="184"/>
      <c r="H347" s="184"/>
    </row>
    <row r="348" spans="1:8" x14ac:dyDescent="0.25">
      <c r="A348" s="75" t="s">
        <v>11</v>
      </c>
      <c r="B348" s="72" t="s">
        <v>12</v>
      </c>
      <c r="C348" s="72" t="s">
        <v>73</v>
      </c>
      <c r="D348" s="72" t="s">
        <v>13</v>
      </c>
      <c r="E348" s="72" t="s">
        <v>61</v>
      </c>
      <c r="F348" s="72" t="s">
        <v>14</v>
      </c>
      <c r="G348" s="72" t="s">
        <v>15</v>
      </c>
      <c r="H348" s="74" t="s">
        <v>16</v>
      </c>
    </row>
    <row r="349" spans="1:8" ht="17.25" x14ac:dyDescent="0.3">
      <c r="A349" s="76">
        <f>'CASE DATA'!A19</f>
        <v>0</v>
      </c>
      <c r="B349" s="77">
        <f>'CASE DATA'!B19</f>
        <v>0</v>
      </c>
      <c r="C349" s="79" t="e">
        <f>'CASE DATA'!#REF!</f>
        <v>#REF!</v>
      </c>
      <c r="D349" s="79">
        <f>'CASE DATA'!C19</f>
        <v>0</v>
      </c>
      <c r="E349" s="77">
        <f>'CASE DATA'!E19</f>
        <v>0</v>
      </c>
      <c r="F349" s="77">
        <f>'CASE DATA'!F19</f>
        <v>0</v>
      </c>
      <c r="G349" s="77">
        <f>'CASE DATA'!G19</f>
        <v>0</v>
      </c>
      <c r="H349" s="78">
        <f>'CASE DATA'!H19</f>
        <v>0</v>
      </c>
    </row>
    <row r="350" spans="1:8" x14ac:dyDescent="0.25">
      <c r="A350" s="53" t="s">
        <v>18</v>
      </c>
      <c r="B350" s="32">
        <f>'CASE DATA'!I19</f>
        <v>0</v>
      </c>
      <c r="C350" s="33" t="s">
        <v>21</v>
      </c>
      <c r="D350" s="36">
        <f>'CASE DATA'!L19</f>
        <v>0</v>
      </c>
      <c r="E350" s="38" t="s">
        <v>24</v>
      </c>
      <c r="F350" s="41">
        <f>'CASE DATA'!O19</f>
        <v>0</v>
      </c>
      <c r="G350" s="43" t="s">
        <v>74</v>
      </c>
      <c r="H350" s="54">
        <f>'CASE DATA'!R19</f>
        <v>0</v>
      </c>
    </row>
    <row r="351" spans="1:8" x14ac:dyDescent="0.25">
      <c r="A351" s="55" t="s">
        <v>75</v>
      </c>
      <c r="B351" s="32">
        <f>'CASE DATA'!J19</f>
        <v>0</v>
      </c>
      <c r="C351" s="34" t="s">
        <v>22</v>
      </c>
      <c r="D351" s="36">
        <f>'CASE DATA'!M19</f>
        <v>0</v>
      </c>
      <c r="E351" s="39" t="s">
        <v>25</v>
      </c>
      <c r="F351" s="41">
        <f>'CASE DATA'!P19</f>
        <v>0</v>
      </c>
      <c r="G351" s="44" t="s">
        <v>28</v>
      </c>
      <c r="H351" s="54">
        <f>'CASE DATA'!S19</f>
        <v>0</v>
      </c>
    </row>
    <row r="352" spans="1:8" x14ac:dyDescent="0.25">
      <c r="A352" s="56" t="s">
        <v>20</v>
      </c>
      <c r="B352" s="32">
        <f>'CASE DATA'!K19</f>
        <v>0</v>
      </c>
      <c r="C352" s="35" t="s">
        <v>23</v>
      </c>
      <c r="D352" s="37">
        <f>'CASE DATA'!N19</f>
        <v>0</v>
      </c>
      <c r="E352" s="40" t="s">
        <v>26</v>
      </c>
      <c r="F352" s="42">
        <f>'CASE DATA'!Q19</f>
        <v>0</v>
      </c>
      <c r="G352" s="28"/>
      <c r="H352" s="57"/>
    </row>
    <row r="353" spans="1:8" x14ac:dyDescent="0.25">
      <c r="A353" s="58" t="s">
        <v>10</v>
      </c>
      <c r="B353" s="278">
        <f>'CASE DATA'!T19</f>
        <v>0</v>
      </c>
      <c r="C353" s="279"/>
      <c r="D353" s="279"/>
      <c r="E353" s="279"/>
      <c r="F353" s="279"/>
      <c r="G353" s="279"/>
      <c r="H353" s="280"/>
    </row>
    <row r="354" spans="1:8" ht="18.75" x14ac:dyDescent="0.3">
      <c r="A354" s="265" t="s">
        <v>76</v>
      </c>
      <c r="B354" s="266"/>
      <c r="C354" s="266"/>
      <c r="D354" s="266"/>
      <c r="E354" s="266"/>
      <c r="F354" s="266"/>
      <c r="G354" s="266"/>
      <c r="H354" s="267"/>
    </row>
    <row r="355" spans="1:8" ht="45" x14ac:dyDescent="0.25">
      <c r="A355" s="59" t="s">
        <v>39</v>
      </c>
      <c r="B355" s="45" t="s">
        <v>77</v>
      </c>
      <c r="C355" s="46" t="s">
        <v>43</v>
      </c>
      <c r="D355" s="46" t="s">
        <v>44</v>
      </c>
      <c r="E355" s="46" t="s">
        <v>45</v>
      </c>
      <c r="F355" s="47" t="s">
        <v>46</v>
      </c>
      <c r="G355" s="26" t="s">
        <v>78</v>
      </c>
      <c r="H355" s="60"/>
    </row>
    <row r="356" spans="1:8" x14ac:dyDescent="0.25">
      <c r="A356" s="61" t="str">
        <f>EXPUNGEMENT!D18</f>
        <v>NO</v>
      </c>
      <c r="B356" s="61" t="str">
        <f>EXPUNGEMENT!G18</f>
        <v>N/A</v>
      </c>
      <c r="C356" s="136" t="str">
        <f>EXPUNGEMENT!H18</f>
        <v>NO</v>
      </c>
      <c r="D356" s="136" t="str">
        <f>EXPUNGEMENT!I18</f>
        <v>N/A</v>
      </c>
      <c r="E356" s="136" t="str">
        <f>EXPUNGEMENT!J18</f>
        <v>N/A</v>
      </c>
      <c r="F356" s="136" t="str">
        <f>EXPUNGEMENT!K18</f>
        <v>N/A</v>
      </c>
      <c r="G356" s="29"/>
      <c r="H356" s="62"/>
    </row>
    <row r="357" spans="1:8" x14ac:dyDescent="0.25">
      <c r="A357" s="63" t="s">
        <v>51</v>
      </c>
      <c r="B357" s="48" t="s">
        <v>79</v>
      </c>
      <c r="C357" s="49" t="s">
        <v>44</v>
      </c>
      <c r="D357" s="49" t="s">
        <v>45</v>
      </c>
      <c r="E357" s="29"/>
      <c r="F357" s="29"/>
      <c r="G357" s="29"/>
      <c r="H357" s="62"/>
    </row>
    <row r="358" spans="1:8" x14ac:dyDescent="0.25">
      <c r="A358" s="64" t="str">
        <f>EXPUNGEMENT!R18</f>
        <v>NO</v>
      </c>
      <c r="B358" s="64" t="str">
        <f>EXPUNGEMENT!S18</f>
        <v>N/A</v>
      </c>
      <c r="C358" s="64" t="str">
        <f>EXPUNGEMENT!T18</f>
        <v>N/A</v>
      </c>
      <c r="D358" s="64" t="str">
        <f>EXPUNGEMENT!U18</f>
        <v>N/A</v>
      </c>
      <c r="E358" s="29"/>
      <c r="F358" s="29"/>
      <c r="G358" s="29"/>
      <c r="H358" s="62"/>
    </row>
    <row r="359" spans="1:8" ht="18.75" customHeight="1" x14ac:dyDescent="0.3">
      <c r="A359" s="265" t="s">
        <v>80</v>
      </c>
      <c r="B359" s="266"/>
      <c r="C359" s="266"/>
      <c r="D359" s="266"/>
      <c r="E359" s="266"/>
      <c r="F359" s="268"/>
      <c r="G359" s="269">
        <v>16</v>
      </c>
      <c r="H359" s="270"/>
    </row>
    <row r="360" spans="1:8" ht="15" customHeight="1" x14ac:dyDescent="0.25">
      <c r="A360" s="65" t="s">
        <v>29</v>
      </c>
      <c r="B360" s="27">
        <f>BANKRUPTCY!C19</f>
        <v>0</v>
      </c>
      <c r="C360" s="50" t="s">
        <v>56</v>
      </c>
      <c r="D360" s="27">
        <f>BANKRUPTCY!D19</f>
        <v>0</v>
      </c>
      <c r="E360" s="50" t="s">
        <v>57</v>
      </c>
      <c r="F360" s="30">
        <f>BANKRUPTCY!E19</f>
        <v>0</v>
      </c>
      <c r="G360" s="271"/>
      <c r="H360" s="272"/>
    </row>
    <row r="361" spans="1:8" ht="18.75" customHeight="1" x14ac:dyDescent="0.3">
      <c r="A361" s="265" t="s">
        <v>81</v>
      </c>
      <c r="B361" s="266"/>
      <c r="C361" s="266"/>
      <c r="D361" s="266"/>
      <c r="E361" s="266"/>
      <c r="F361" s="268"/>
      <c r="G361" s="271"/>
      <c r="H361" s="272"/>
    </row>
    <row r="362" spans="1:8" ht="15" customHeight="1" x14ac:dyDescent="0.25">
      <c r="A362" s="65" t="s">
        <v>29</v>
      </c>
      <c r="B362" s="27">
        <f>SOL!C19</f>
        <v>0</v>
      </c>
      <c r="C362" s="50" t="s">
        <v>56</v>
      </c>
      <c r="D362" s="27">
        <f>SOL!D19</f>
        <v>0</v>
      </c>
      <c r="E362" s="50" t="s">
        <v>57</v>
      </c>
      <c r="F362" s="30">
        <f>SOL!E19</f>
        <v>0</v>
      </c>
      <c r="G362" s="271"/>
      <c r="H362" s="272"/>
    </row>
    <row r="363" spans="1:8" ht="18.75" customHeight="1" x14ac:dyDescent="0.3">
      <c r="A363" s="265" t="s">
        <v>82</v>
      </c>
      <c r="B363" s="266"/>
      <c r="C363" s="266"/>
      <c r="D363" s="266"/>
      <c r="E363" s="52"/>
      <c r="F363" s="51"/>
      <c r="G363" s="271"/>
      <c r="H363" s="272"/>
    </row>
    <row r="364" spans="1:8" ht="15" customHeight="1" x14ac:dyDescent="0.25">
      <c r="A364" s="65" t="s">
        <v>67</v>
      </c>
      <c r="B364" s="27">
        <f>EXEMPTIONS!C19</f>
        <v>0</v>
      </c>
      <c r="C364" s="50" t="s">
        <v>68</v>
      </c>
      <c r="D364" s="27">
        <f>EXEMPTIONS!D19</f>
        <v>0</v>
      </c>
      <c r="E364" s="31"/>
      <c r="F364" s="31"/>
      <c r="G364" s="271"/>
      <c r="H364" s="272"/>
    </row>
    <row r="365" spans="1:8" ht="18.75" customHeight="1" x14ac:dyDescent="0.3">
      <c r="A365" s="265" t="s">
        <v>83</v>
      </c>
      <c r="B365" s="266"/>
      <c r="C365" s="266"/>
      <c r="D365" s="266"/>
      <c r="E365" s="52"/>
      <c r="F365" s="52"/>
      <c r="G365" s="273"/>
      <c r="H365" s="274"/>
    </row>
    <row r="366" spans="1:8" ht="15.75" thickBot="1" x14ac:dyDescent="0.3">
      <c r="A366" s="66" t="s">
        <v>62</v>
      </c>
      <c r="B366" s="67" t="str">
        <f>'LICENSE-REGIS'!I19</f>
        <v>N/A</v>
      </c>
      <c r="C366" s="68" t="s">
        <v>63</v>
      </c>
      <c r="D366" s="67">
        <f>'LICENSE-REGIS'!M19</f>
        <v>0</v>
      </c>
      <c r="E366" s="275"/>
      <c r="F366" s="276"/>
      <c r="G366" s="276"/>
      <c r="H366" s="277"/>
    </row>
    <row r="370" spans="1:8" ht="15.75" thickBot="1" x14ac:dyDescent="0.3">
      <c r="A370" s="184"/>
      <c r="B370" s="184"/>
      <c r="C370" s="184"/>
      <c r="D370" s="184"/>
      <c r="E370" s="184"/>
      <c r="F370" s="184"/>
      <c r="G370" s="184"/>
      <c r="H370" s="184"/>
    </row>
    <row r="371" spans="1:8" x14ac:dyDescent="0.25">
      <c r="A371" s="75" t="s">
        <v>11</v>
      </c>
      <c r="B371" s="72" t="s">
        <v>12</v>
      </c>
      <c r="C371" s="72" t="s">
        <v>73</v>
      </c>
      <c r="D371" s="72" t="s">
        <v>13</v>
      </c>
      <c r="E371" s="72" t="s">
        <v>61</v>
      </c>
      <c r="F371" s="72" t="s">
        <v>14</v>
      </c>
      <c r="G371" s="72" t="s">
        <v>15</v>
      </c>
      <c r="H371" s="74" t="s">
        <v>16</v>
      </c>
    </row>
    <row r="372" spans="1:8" ht="17.25" x14ac:dyDescent="0.3">
      <c r="A372" s="76">
        <f>'CASE DATA'!A20</f>
        <v>0</v>
      </c>
      <c r="B372" s="77">
        <f>'CASE DATA'!B20</f>
        <v>0</v>
      </c>
      <c r="C372" s="79" t="e">
        <f>'CASE DATA'!#REF!</f>
        <v>#REF!</v>
      </c>
      <c r="D372" s="79">
        <f>'CASE DATA'!C20</f>
        <v>0</v>
      </c>
      <c r="E372" s="77">
        <f>'CASE DATA'!E20</f>
        <v>0</v>
      </c>
      <c r="F372" s="77">
        <f>'CASE DATA'!F20</f>
        <v>0</v>
      </c>
      <c r="G372" s="77">
        <f>'CASE DATA'!G20</f>
        <v>0</v>
      </c>
      <c r="H372" s="78">
        <f>'CASE DATA'!H20</f>
        <v>0</v>
      </c>
    </row>
    <row r="373" spans="1:8" x14ac:dyDescent="0.25">
      <c r="A373" s="53" t="s">
        <v>18</v>
      </c>
      <c r="B373" s="32">
        <f>'CASE DATA'!I20</f>
        <v>0</v>
      </c>
      <c r="C373" s="33" t="s">
        <v>21</v>
      </c>
      <c r="D373" s="36">
        <f>'CASE DATA'!L20</f>
        <v>0</v>
      </c>
      <c r="E373" s="38" t="s">
        <v>24</v>
      </c>
      <c r="F373" s="41">
        <f>'CASE DATA'!O20</f>
        <v>0</v>
      </c>
      <c r="G373" s="43" t="s">
        <v>74</v>
      </c>
      <c r="H373" s="54">
        <f>'CASE DATA'!R20</f>
        <v>0</v>
      </c>
    </row>
    <row r="374" spans="1:8" x14ac:dyDescent="0.25">
      <c r="A374" s="55" t="s">
        <v>75</v>
      </c>
      <c r="B374" s="32">
        <f>'CASE DATA'!J20</f>
        <v>0</v>
      </c>
      <c r="C374" s="34" t="s">
        <v>22</v>
      </c>
      <c r="D374" s="36">
        <f>'CASE DATA'!M20</f>
        <v>0</v>
      </c>
      <c r="E374" s="39" t="s">
        <v>25</v>
      </c>
      <c r="F374" s="41">
        <f>'CASE DATA'!P20</f>
        <v>0</v>
      </c>
      <c r="G374" s="44" t="s">
        <v>28</v>
      </c>
      <c r="H374" s="54">
        <f>'CASE DATA'!S20</f>
        <v>0</v>
      </c>
    </row>
    <row r="375" spans="1:8" x14ac:dyDescent="0.25">
      <c r="A375" s="56" t="s">
        <v>20</v>
      </c>
      <c r="B375" s="32">
        <f>'CASE DATA'!K20</f>
        <v>0</v>
      </c>
      <c r="C375" s="35" t="s">
        <v>23</v>
      </c>
      <c r="D375" s="37">
        <f>'CASE DATA'!N20</f>
        <v>0</v>
      </c>
      <c r="E375" s="40" t="s">
        <v>26</v>
      </c>
      <c r="F375" s="42">
        <f>'CASE DATA'!Q20</f>
        <v>0</v>
      </c>
      <c r="G375" s="28"/>
      <c r="H375" s="57"/>
    </row>
    <row r="376" spans="1:8" x14ac:dyDescent="0.25">
      <c r="A376" s="58" t="s">
        <v>10</v>
      </c>
      <c r="B376" s="278">
        <f>'CASE DATA'!T20</f>
        <v>0</v>
      </c>
      <c r="C376" s="279"/>
      <c r="D376" s="279"/>
      <c r="E376" s="279"/>
      <c r="F376" s="279"/>
      <c r="G376" s="279"/>
      <c r="H376" s="280"/>
    </row>
    <row r="377" spans="1:8" ht="18.75" x14ac:dyDescent="0.3">
      <c r="A377" s="265" t="s">
        <v>76</v>
      </c>
      <c r="B377" s="266"/>
      <c r="C377" s="266"/>
      <c r="D377" s="266"/>
      <c r="E377" s="266"/>
      <c r="F377" s="266"/>
      <c r="G377" s="266"/>
      <c r="H377" s="267"/>
    </row>
    <row r="378" spans="1:8" ht="45" x14ac:dyDescent="0.25">
      <c r="A378" s="59" t="s">
        <v>39</v>
      </c>
      <c r="B378" s="45" t="s">
        <v>77</v>
      </c>
      <c r="C378" s="46" t="s">
        <v>43</v>
      </c>
      <c r="D378" s="46" t="s">
        <v>44</v>
      </c>
      <c r="E378" s="46" t="s">
        <v>45</v>
      </c>
      <c r="F378" s="47" t="s">
        <v>46</v>
      </c>
      <c r="G378" s="26" t="s">
        <v>78</v>
      </c>
      <c r="H378" s="60"/>
    </row>
    <row r="379" spans="1:8" x14ac:dyDescent="0.25">
      <c r="A379" s="61" t="str">
        <f>EXPUNGEMENT!D19</f>
        <v>NO</v>
      </c>
      <c r="B379" s="61" t="str">
        <f>EXPUNGEMENT!G19</f>
        <v>N/A</v>
      </c>
      <c r="C379" s="136" t="str">
        <f>EXPUNGEMENT!H19</f>
        <v>NO</v>
      </c>
      <c r="D379" s="136" t="str">
        <f>EXPUNGEMENT!I19</f>
        <v>N/A</v>
      </c>
      <c r="E379" s="136" t="str">
        <f>EXPUNGEMENT!J19</f>
        <v>N/A</v>
      </c>
      <c r="F379" s="136" t="str">
        <f>EXPUNGEMENT!K19</f>
        <v>N/A</v>
      </c>
      <c r="G379" s="29"/>
      <c r="H379" s="62"/>
    </row>
    <row r="380" spans="1:8" x14ac:dyDescent="0.25">
      <c r="A380" s="63" t="s">
        <v>51</v>
      </c>
      <c r="B380" s="48" t="s">
        <v>79</v>
      </c>
      <c r="C380" s="49" t="s">
        <v>44</v>
      </c>
      <c r="D380" s="49" t="s">
        <v>45</v>
      </c>
      <c r="E380" s="29"/>
      <c r="F380" s="29"/>
      <c r="G380" s="29"/>
      <c r="H380" s="62"/>
    </row>
    <row r="381" spans="1:8" x14ac:dyDescent="0.25">
      <c r="A381" s="64" t="str">
        <f>EXPUNGEMENT!R19</f>
        <v>NO</v>
      </c>
      <c r="B381" s="64" t="str">
        <f>EXPUNGEMENT!S19</f>
        <v>N/A</v>
      </c>
      <c r="C381" s="64" t="str">
        <f>EXPUNGEMENT!T19</f>
        <v>N/A</v>
      </c>
      <c r="D381" s="64" t="str">
        <f>EXPUNGEMENT!U19</f>
        <v>N/A</v>
      </c>
      <c r="E381" s="29"/>
      <c r="F381" s="29"/>
      <c r="G381" s="29"/>
      <c r="H381" s="62"/>
    </row>
    <row r="382" spans="1:8" ht="18.75" customHeight="1" x14ac:dyDescent="0.3">
      <c r="A382" s="265" t="s">
        <v>80</v>
      </c>
      <c r="B382" s="266"/>
      <c r="C382" s="266"/>
      <c r="D382" s="266"/>
      <c r="E382" s="266"/>
      <c r="F382" s="268"/>
      <c r="G382" s="269">
        <v>17</v>
      </c>
      <c r="H382" s="270"/>
    </row>
    <row r="383" spans="1:8" ht="15" customHeight="1" x14ac:dyDescent="0.25">
      <c r="A383" s="65" t="s">
        <v>29</v>
      </c>
      <c r="B383" s="27">
        <f>BANKRUPTCY!C20</f>
        <v>0</v>
      </c>
      <c r="C383" s="50" t="s">
        <v>56</v>
      </c>
      <c r="D383" s="27">
        <f>BANKRUPTCY!D20</f>
        <v>0</v>
      </c>
      <c r="E383" s="50" t="s">
        <v>57</v>
      </c>
      <c r="F383" s="30">
        <f>BANKRUPTCY!E20</f>
        <v>0</v>
      </c>
      <c r="G383" s="271"/>
      <c r="H383" s="272"/>
    </row>
    <row r="384" spans="1:8" ht="18.75" customHeight="1" x14ac:dyDescent="0.3">
      <c r="A384" s="265" t="s">
        <v>81</v>
      </c>
      <c r="B384" s="266"/>
      <c r="C384" s="266"/>
      <c r="D384" s="266"/>
      <c r="E384" s="266"/>
      <c r="F384" s="268"/>
      <c r="G384" s="271"/>
      <c r="H384" s="272"/>
    </row>
    <row r="385" spans="1:8" ht="15" customHeight="1" x14ac:dyDescent="0.25">
      <c r="A385" s="65" t="s">
        <v>29</v>
      </c>
      <c r="B385" s="27">
        <f>SOL!C20</f>
        <v>0</v>
      </c>
      <c r="C385" s="50" t="s">
        <v>56</v>
      </c>
      <c r="D385" s="27">
        <f>SOL!D20</f>
        <v>0</v>
      </c>
      <c r="E385" s="50" t="s">
        <v>57</v>
      </c>
      <c r="F385" s="30">
        <f>SOL!E20</f>
        <v>0</v>
      </c>
      <c r="G385" s="271"/>
      <c r="H385" s="272"/>
    </row>
    <row r="386" spans="1:8" ht="18.75" customHeight="1" x14ac:dyDescent="0.3">
      <c r="A386" s="265" t="s">
        <v>82</v>
      </c>
      <c r="B386" s="266"/>
      <c r="C386" s="266"/>
      <c r="D386" s="266"/>
      <c r="E386" s="52"/>
      <c r="F386" s="51"/>
      <c r="G386" s="271"/>
      <c r="H386" s="272"/>
    </row>
    <row r="387" spans="1:8" ht="15" customHeight="1" x14ac:dyDescent="0.25">
      <c r="A387" s="65" t="s">
        <v>67</v>
      </c>
      <c r="B387" s="27">
        <f>EXEMPTIONS!C20</f>
        <v>0</v>
      </c>
      <c r="C387" s="50" t="s">
        <v>68</v>
      </c>
      <c r="D387" s="27">
        <f>EXEMPTIONS!D20</f>
        <v>0</v>
      </c>
      <c r="E387" s="31"/>
      <c r="F387" s="31"/>
      <c r="G387" s="271"/>
      <c r="H387" s="272"/>
    </row>
    <row r="388" spans="1:8" ht="18.75" customHeight="1" x14ac:dyDescent="0.3">
      <c r="A388" s="265" t="s">
        <v>83</v>
      </c>
      <c r="B388" s="266"/>
      <c r="C388" s="266"/>
      <c r="D388" s="266"/>
      <c r="E388" s="52"/>
      <c r="F388" s="52"/>
      <c r="G388" s="273"/>
      <c r="H388" s="274"/>
    </row>
    <row r="389" spans="1:8" ht="15.75" thickBot="1" x14ac:dyDescent="0.3">
      <c r="A389" s="66" t="s">
        <v>62</v>
      </c>
      <c r="B389" s="67" t="str">
        <f>'LICENSE-REGIS'!I20</f>
        <v>N/A</v>
      </c>
      <c r="C389" s="68" t="s">
        <v>63</v>
      </c>
      <c r="D389" s="67">
        <f>'LICENSE-REGIS'!M20</f>
        <v>0</v>
      </c>
      <c r="E389" s="275"/>
      <c r="F389" s="276"/>
      <c r="G389" s="276"/>
      <c r="H389" s="277"/>
    </row>
    <row r="393" spans="1:8" ht="15.75" thickBot="1" x14ac:dyDescent="0.3">
      <c r="A393" s="184"/>
      <c r="B393" s="184"/>
      <c r="C393" s="184"/>
      <c r="D393" s="184"/>
      <c r="E393" s="184"/>
      <c r="F393" s="184"/>
      <c r="G393" s="184"/>
      <c r="H393" s="184"/>
    </row>
    <row r="394" spans="1:8" x14ac:dyDescent="0.25">
      <c r="A394" s="75" t="s">
        <v>11</v>
      </c>
      <c r="B394" s="72" t="s">
        <v>12</v>
      </c>
      <c r="C394" s="72" t="s">
        <v>73</v>
      </c>
      <c r="D394" s="72" t="s">
        <v>13</v>
      </c>
      <c r="E394" s="72" t="s">
        <v>61</v>
      </c>
      <c r="F394" s="72" t="s">
        <v>14</v>
      </c>
      <c r="G394" s="72" t="s">
        <v>15</v>
      </c>
      <c r="H394" s="74" t="s">
        <v>16</v>
      </c>
    </row>
    <row r="395" spans="1:8" ht="17.25" x14ac:dyDescent="0.3">
      <c r="A395" s="76">
        <f>'CASE DATA'!A21</f>
        <v>0</v>
      </c>
      <c r="B395" s="77">
        <f>'CASE DATA'!B21</f>
        <v>0</v>
      </c>
      <c r="C395" s="79" t="e">
        <f>'CASE DATA'!#REF!</f>
        <v>#REF!</v>
      </c>
      <c r="D395" s="79">
        <f>'CASE DATA'!C21</f>
        <v>0</v>
      </c>
      <c r="E395" s="77">
        <f>'CASE DATA'!E21</f>
        <v>0</v>
      </c>
      <c r="F395" s="77">
        <f>'CASE DATA'!F21</f>
        <v>0</v>
      </c>
      <c r="G395" s="77">
        <f>'CASE DATA'!G21</f>
        <v>0</v>
      </c>
      <c r="H395" s="78">
        <f>'CASE DATA'!H21</f>
        <v>0</v>
      </c>
    </row>
    <row r="396" spans="1:8" x14ac:dyDescent="0.25">
      <c r="A396" s="53" t="s">
        <v>18</v>
      </c>
      <c r="B396" s="32">
        <f>'CASE DATA'!I21</f>
        <v>0</v>
      </c>
      <c r="C396" s="33" t="s">
        <v>21</v>
      </c>
      <c r="D396" s="36">
        <f>'CASE DATA'!L21</f>
        <v>0</v>
      </c>
      <c r="E396" s="38" t="s">
        <v>24</v>
      </c>
      <c r="F396" s="41">
        <f>'CASE DATA'!O21</f>
        <v>0</v>
      </c>
      <c r="G396" s="43" t="s">
        <v>74</v>
      </c>
      <c r="H396" s="54">
        <f>'CASE DATA'!R21</f>
        <v>0</v>
      </c>
    </row>
    <row r="397" spans="1:8" x14ac:dyDescent="0.25">
      <c r="A397" s="55" t="s">
        <v>75</v>
      </c>
      <c r="B397" s="32">
        <f>'CASE DATA'!J21</f>
        <v>0</v>
      </c>
      <c r="C397" s="34" t="s">
        <v>22</v>
      </c>
      <c r="D397" s="36">
        <f>'CASE DATA'!M21</f>
        <v>0</v>
      </c>
      <c r="E397" s="39" t="s">
        <v>25</v>
      </c>
      <c r="F397" s="41">
        <f>'CASE DATA'!P21</f>
        <v>0</v>
      </c>
      <c r="G397" s="44" t="s">
        <v>28</v>
      </c>
      <c r="H397" s="54">
        <f>'CASE DATA'!S21</f>
        <v>0</v>
      </c>
    </row>
    <row r="398" spans="1:8" x14ac:dyDescent="0.25">
      <c r="A398" s="56" t="s">
        <v>20</v>
      </c>
      <c r="B398" s="32">
        <f>'CASE DATA'!K21</f>
        <v>0</v>
      </c>
      <c r="C398" s="35" t="s">
        <v>23</v>
      </c>
      <c r="D398" s="37">
        <f>'CASE DATA'!N21</f>
        <v>0</v>
      </c>
      <c r="E398" s="40" t="s">
        <v>26</v>
      </c>
      <c r="F398" s="42">
        <f>'CASE DATA'!Q21</f>
        <v>0</v>
      </c>
      <c r="G398" s="28"/>
      <c r="H398" s="57"/>
    </row>
    <row r="399" spans="1:8" x14ac:dyDescent="0.25">
      <c r="A399" s="58" t="s">
        <v>10</v>
      </c>
      <c r="B399" s="278">
        <f>'CASE DATA'!T21</f>
        <v>0</v>
      </c>
      <c r="C399" s="279"/>
      <c r="D399" s="279"/>
      <c r="E399" s="279"/>
      <c r="F399" s="279"/>
      <c r="G399" s="279"/>
      <c r="H399" s="280"/>
    </row>
    <row r="400" spans="1:8" ht="18.75" x14ac:dyDescent="0.3">
      <c r="A400" s="265" t="s">
        <v>76</v>
      </c>
      <c r="B400" s="266"/>
      <c r="C400" s="266"/>
      <c r="D400" s="266"/>
      <c r="E400" s="266"/>
      <c r="F400" s="266"/>
      <c r="G400" s="266"/>
      <c r="H400" s="267"/>
    </row>
    <row r="401" spans="1:8" ht="45" x14ac:dyDescent="0.25">
      <c r="A401" s="59" t="s">
        <v>39</v>
      </c>
      <c r="B401" s="45" t="s">
        <v>77</v>
      </c>
      <c r="C401" s="46" t="s">
        <v>43</v>
      </c>
      <c r="D401" s="46" t="s">
        <v>44</v>
      </c>
      <c r="E401" s="46" t="s">
        <v>45</v>
      </c>
      <c r="F401" s="47" t="s">
        <v>46</v>
      </c>
      <c r="G401" s="26" t="s">
        <v>78</v>
      </c>
      <c r="H401" s="60"/>
    </row>
    <row r="402" spans="1:8" x14ac:dyDescent="0.25">
      <c r="A402" s="61" t="str">
        <f>EXPUNGEMENT!D20</f>
        <v>NO</v>
      </c>
      <c r="B402" s="61" t="str">
        <f>EXPUNGEMENT!G20</f>
        <v>N/A</v>
      </c>
      <c r="C402" s="136" t="str">
        <f>EXPUNGEMENT!H20</f>
        <v>NO</v>
      </c>
      <c r="D402" s="136" t="str">
        <f>EXPUNGEMENT!I20</f>
        <v>N/A</v>
      </c>
      <c r="E402" s="136" t="str">
        <f>EXPUNGEMENT!J20</f>
        <v>N/A</v>
      </c>
      <c r="F402" s="136" t="str">
        <f>EXPUNGEMENT!K20</f>
        <v>N/A</v>
      </c>
      <c r="G402" s="29"/>
      <c r="H402" s="62"/>
    </row>
    <row r="403" spans="1:8" x14ac:dyDescent="0.25">
      <c r="A403" s="63" t="s">
        <v>51</v>
      </c>
      <c r="B403" s="48" t="s">
        <v>79</v>
      </c>
      <c r="C403" s="49" t="s">
        <v>44</v>
      </c>
      <c r="D403" s="49" t="s">
        <v>45</v>
      </c>
      <c r="E403" s="29"/>
      <c r="F403" s="29"/>
      <c r="G403" s="29"/>
      <c r="H403" s="62"/>
    </row>
    <row r="404" spans="1:8" x14ac:dyDescent="0.25">
      <c r="A404" s="64" t="str">
        <f>EXPUNGEMENT!R20</f>
        <v>NO</v>
      </c>
      <c r="B404" s="64" t="str">
        <f>EXPUNGEMENT!S20</f>
        <v>N/A</v>
      </c>
      <c r="C404" s="64" t="str">
        <f>EXPUNGEMENT!T20</f>
        <v>N/A</v>
      </c>
      <c r="D404" s="64" t="str">
        <f>EXPUNGEMENT!U20</f>
        <v>N/A</v>
      </c>
      <c r="E404" s="29"/>
      <c r="F404" s="29"/>
      <c r="G404" s="29"/>
      <c r="H404" s="62"/>
    </row>
    <row r="405" spans="1:8" ht="18.75" customHeight="1" x14ac:dyDescent="0.3">
      <c r="A405" s="265" t="s">
        <v>80</v>
      </c>
      <c r="B405" s="266"/>
      <c r="C405" s="266"/>
      <c r="D405" s="266"/>
      <c r="E405" s="266"/>
      <c r="F405" s="268"/>
      <c r="G405" s="269">
        <v>18</v>
      </c>
      <c r="H405" s="270"/>
    </row>
    <row r="406" spans="1:8" ht="15" customHeight="1" x14ac:dyDescent="0.25">
      <c r="A406" s="65" t="s">
        <v>29</v>
      </c>
      <c r="B406" s="27">
        <f>BANKRUPTCY!C21</f>
        <v>0</v>
      </c>
      <c r="C406" s="50" t="s">
        <v>56</v>
      </c>
      <c r="D406" s="27">
        <f>BANKRUPTCY!D21</f>
        <v>0</v>
      </c>
      <c r="E406" s="50" t="s">
        <v>57</v>
      </c>
      <c r="F406" s="30">
        <f>BANKRUPTCY!E21</f>
        <v>0</v>
      </c>
      <c r="G406" s="271"/>
      <c r="H406" s="272"/>
    </row>
    <row r="407" spans="1:8" ht="18.75" customHeight="1" x14ac:dyDescent="0.3">
      <c r="A407" s="265" t="s">
        <v>81</v>
      </c>
      <c r="B407" s="266"/>
      <c r="C407" s="266"/>
      <c r="D407" s="266"/>
      <c r="E407" s="266"/>
      <c r="F407" s="268"/>
      <c r="G407" s="271"/>
      <c r="H407" s="272"/>
    </row>
    <row r="408" spans="1:8" ht="15" customHeight="1" x14ac:dyDescent="0.25">
      <c r="A408" s="65" t="s">
        <v>29</v>
      </c>
      <c r="B408" s="27">
        <f>SOL!C21</f>
        <v>0</v>
      </c>
      <c r="C408" s="50" t="s">
        <v>56</v>
      </c>
      <c r="D408" s="27">
        <f>SOL!D21</f>
        <v>0</v>
      </c>
      <c r="E408" s="50" t="s">
        <v>57</v>
      </c>
      <c r="F408" s="30">
        <f>SOL!E21</f>
        <v>0</v>
      </c>
      <c r="G408" s="271"/>
      <c r="H408" s="272"/>
    </row>
    <row r="409" spans="1:8" ht="18.75" customHeight="1" x14ac:dyDescent="0.3">
      <c r="A409" s="265" t="s">
        <v>82</v>
      </c>
      <c r="B409" s="266"/>
      <c r="C409" s="266"/>
      <c r="D409" s="266"/>
      <c r="E409" s="52"/>
      <c r="F409" s="51"/>
      <c r="G409" s="271"/>
      <c r="H409" s="272"/>
    </row>
    <row r="410" spans="1:8" ht="15" customHeight="1" x14ac:dyDescent="0.25">
      <c r="A410" s="65" t="s">
        <v>67</v>
      </c>
      <c r="B410" s="27">
        <f>EXEMPTIONS!C21</f>
        <v>0</v>
      </c>
      <c r="C410" s="50" t="s">
        <v>68</v>
      </c>
      <c r="D410" s="27">
        <f>EXEMPTIONS!D21</f>
        <v>0</v>
      </c>
      <c r="E410" s="31"/>
      <c r="F410" s="31"/>
      <c r="G410" s="271"/>
      <c r="H410" s="272"/>
    </row>
    <row r="411" spans="1:8" ht="18.75" customHeight="1" x14ac:dyDescent="0.3">
      <c r="A411" s="265" t="s">
        <v>83</v>
      </c>
      <c r="B411" s="266"/>
      <c r="C411" s="266"/>
      <c r="D411" s="266"/>
      <c r="E411" s="52"/>
      <c r="F411" s="52"/>
      <c r="G411" s="273"/>
      <c r="H411" s="274"/>
    </row>
    <row r="412" spans="1:8" ht="15.75" thickBot="1" x14ac:dyDescent="0.3">
      <c r="A412" s="66" t="s">
        <v>62</v>
      </c>
      <c r="B412" s="67" t="str">
        <f>'LICENSE-REGIS'!I21</f>
        <v>N/A</v>
      </c>
      <c r="C412" s="68" t="s">
        <v>63</v>
      </c>
      <c r="D412" s="67">
        <f>'LICENSE-REGIS'!M21</f>
        <v>0</v>
      </c>
      <c r="E412" s="275"/>
      <c r="F412" s="276"/>
      <c r="G412" s="276"/>
      <c r="H412" s="277"/>
    </row>
    <row r="416" spans="1:8" ht="15.75" thickBot="1" x14ac:dyDescent="0.3">
      <c r="A416" s="184"/>
      <c r="B416" s="184"/>
      <c r="C416" s="184"/>
      <c r="D416" s="184"/>
      <c r="E416" s="184"/>
      <c r="F416" s="184"/>
      <c r="G416" s="184"/>
      <c r="H416" s="184"/>
    </row>
    <row r="417" spans="1:8" x14ac:dyDescent="0.25">
      <c r="A417" s="75" t="s">
        <v>11</v>
      </c>
      <c r="B417" s="72" t="s">
        <v>12</v>
      </c>
      <c r="C417" s="72" t="s">
        <v>73</v>
      </c>
      <c r="D417" s="72" t="s">
        <v>13</v>
      </c>
      <c r="E417" s="72" t="s">
        <v>61</v>
      </c>
      <c r="F417" s="72" t="s">
        <v>14</v>
      </c>
      <c r="G417" s="72" t="s">
        <v>15</v>
      </c>
      <c r="H417" s="74" t="s">
        <v>16</v>
      </c>
    </row>
    <row r="418" spans="1:8" ht="17.25" x14ac:dyDescent="0.3">
      <c r="A418" s="76">
        <f>'CASE DATA'!A22</f>
        <v>0</v>
      </c>
      <c r="B418" s="77">
        <f>'CASE DATA'!B22</f>
        <v>0</v>
      </c>
      <c r="C418" s="79" t="e">
        <f>'CASE DATA'!#REF!</f>
        <v>#REF!</v>
      </c>
      <c r="D418" s="79">
        <f>'CASE DATA'!C22</f>
        <v>0</v>
      </c>
      <c r="E418" s="77">
        <f>'CASE DATA'!E22</f>
        <v>0</v>
      </c>
      <c r="F418" s="77">
        <f>'CASE DATA'!F22</f>
        <v>0</v>
      </c>
      <c r="G418" s="77">
        <f>'CASE DATA'!G22</f>
        <v>0</v>
      </c>
      <c r="H418" s="78">
        <f>'CASE DATA'!H22</f>
        <v>0</v>
      </c>
    </row>
    <row r="419" spans="1:8" x14ac:dyDescent="0.25">
      <c r="A419" s="53" t="s">
        <v>18</v>
      </c>
      <c r="B419" s="32">
        <f>'CASE DATA'!I22</f>
        <v>0</v>
      </c>
      <c r="C419" s="33" t="s">
        <v>21</v>
      </c>
      <c r="D419" s="36">
        <f>'CASE DATA'!L22</f>
        <v>0</v>
      </c>
      <c r="E419" s="38" t="s">
        <v>24</v>
      </c>
      <c r="F419" s="41">
        <f>'CASE DATA'!O22</f>
        <v>0</v>
      </c>
      <c r="G419" s="43" t="s">
        <v>74</v>
      </c>
      <c r="H419" s="54">
        <f>'CASE DATA'!R22</f>
        <v>0</v>
      </c>
    </row>
    <row r="420" spans="1:8" x14ac:dyDescent="0.25">
      <c r="A420" s="55" t="s">
        <v>75</v>
      </c>
      <c r="B420" s="32">
        <f>'CASE DATA'!J22</f>
        <v>0</v>
      </c>
      <c r="C420" s="34" t="s">
        <v>22</v>
      </c>
      <c r="D420" s="36">
        <f>'CASE DATA'!M22</f>
        <v>0</v>
      </c>
      <c r="E420" s="39" t="s">
        <v>25</v>
      </c>
      <c r="F420" s="41">
        <f>'CASE DATA'!P22</f>
        <v>0</v>
      </c>
      <c r="G420" s="44" t="s">
        <v>28</v>
      </c>
      <c r="H420" s="54">
        <f>'CASE DATA'!S22</f>
        <v>0</v>
      </c>
    </row>
    <row r="421" spans="1:8" x14ac:dyDescent="0.25">
      <c r="A421" s="56" t="s">
        <v>20</v>
      </c>
      <c r="B421" s="32">
        <f>'CASE DATA'!K22</f>
        <v>0</v>
      </c>
      <c r="C421" s="35" t="s">
        <v>23</v>
      </c>
      <c r="D421" s="37">
        <f>'CASE DATA'!N22</f>
        <v>0</v>
      </c>
      <c r="E421" s="40" t="s">
        <v>26</v>
      </c>
      <c r="F421" s="42">
        <f>'CASE DATA'!Q22</f>
        <v>0</v>
      </c>
      <c r="G421" s="28"/>
      <c r="H421" s="57"/>
    </row>
    <row r="422" spans="1:8" x14ac:dyDescent="0.25">
      <c r="A422" s="58" t="s">
        <v>10</v>
      </c>
      <c r="B422" s="278">
        <f>'CASE DATA'!T22</f>
        <v>0</v>
      </c>
      <c r="C422" s="279"/>
      <c r="D422" s="279"/>
      <c r="E422" s="279"/>
      <c r="F422" s="279"/>
      <c r="G422" s="279"/>
      <c r="H422" s="280"/>
    </row>
    <row r="423" spans="1:8" ht="18.75" x14ac:dyDescent="0.3">
      <c r="A423" s="265" t="s">
        <v>76</v>
      </c>
      <c r="B423" s="266"/>
      <c r="C423" s="266"/>
      <c r="D423" s="266"/>
      <c r="E423" s="266"/>
      <c r="F423" s="266"/>
      <c r="G423" s="266"/>
      <c r="H423" s="267"/>
    </row>
    <row r="424" spans="1:8" ht="45" x14ac:dyDescent="0.25">
      <c r="A424" s="59" t="s">
        <v>39</v>
      </c>
      <c r="B424" s="45" t="s">
        <v>77</v>
      </c>
      <c r="C424" s="46" t="s">
        <v>43</v>
      </c>
      <c r="D424" s="46" t="s">
        <v>44</v>
      </c>
      <c r="E424" s="46" t="s">
        <v>45</v>
      </c>
      <c r="F424" s="47" t="s">
        <v>46</v>
      </c>
      <c r="G424" s="26" t="s">
        <v>78</v>
      </c>
      <c r="H424" s="60"/>
    </row>
    <row r="425" spans="1:8" x14ac:dyDescent="0.25">
      <c r="A425" s="61" t="str">
        <f>EXPUNGEMENT!D21</f>
        <v>NO</v>
      </c>
      <c r="B425" s="61" t="str">
        <f>EXPUNGEMENT!G21</f>
        <v>N/A</v>
      </c>
      <c r="C425" s="136" t="str">
        <f>EXPUNGEMENT!H21</f>
        <v>NO</v>
      </c>
      <c r="D425" s="136" t="str">
        <f>EXPUNGEMENT!I21</f>
        <v>N/A</v>
      </c>
      <c r="E425" s="136" t="str">
        <f>EXPUNGEMENT!J21</f>
        <v>N/A</v>
      </c>
      <c r="F425" s="136" t="str">
        <f>EXPUNGEMENT!K21</f>
        <v>N/A</v>
      </c>
      <c r="G425" s="29"/>
      <c r="H425" s="62"/>
    </row>
    <row r="426" spans="1:8" x14ac:dyDescent="0.25">
      <c r="A426" s="63" t="s">
        <v>51</v>
      </c>
      <c r="B426" s="48" t="s">
        <v>79</v>
      </c>
      <c r="C426" s="49" t="s">
        <v>44</v>
      </c>
      <c r="D426" s="49" t="s">
        <v>45</v>
      </c>
      <c r="E426" s="29"/>
      <c r="F426" s="29"/>
      <c r="G426" s="29"/>
      <c r="H426" s="62"/>
    </row>
    <row r="427" spans="1:8" x14ac:dyDescent="0.25">
      <c r="A427" s="64" t="str">
        <f>EXPUNGEMENT!R21</f>
        <v>NO</v>
      </c>
      <c r="B427" s="64" t="str">
        <f>EXPUNGEMENT!S21</f>
        <v>N/A</v>
      </c>
      <c r="C427" s="64" t="str">
        <f>EXPUNGEMENT!T21</f>
        <v>N/A</v>
      </c>
      <c r="D427" s="64" t="str">
        <f>EXPUNGEMENT!U21</f>
        <v>N/A</v>
      </c>
      <c r="E427" s="29"/>
      <c r="F427" s="29"/>
      <c r="G427" s="29"/>
      <c r="H427" s="62"/>
    </row>
    <row r="428" spans="1:8" ht="18.75" customHeight="1" x14ac:dyDescent="0.3">
      <c r="A428" s="265" t="s">
        <v>80</v>
      </c>
      <c r="B428" s="266"/>
      <c r="C428" s="266"/>
      <c r="D428" s="266"/>
      <c r="E428" s="266"/>
      <c r="F428" s="268"/>
      <c r="G428" s="269">
        <v>19</v>
      </c>
      <c r="H428" s="270"/>
    </row>
    <row r="429" spans="1:8" ht="15" customHeight="1" x14ac:dyDescent="0.25">
      <c r="A429" s="65" t="s">
        <v>29</v>
      </c>
      <c r="B429" s="27">
        <f>BANKRUPTCY!C22</f>
        <v>0</v>
      </c>
      <c r="C429" s="50" t="s">
        <v>56</v>
      </c>
      <c r="D429" s="27">
        <f>BANKRUPTCY!D22</f>
        <v>0</v>
      </c>
      <c r="E429" s="50" t="s">
        <v>57</v>
      </c>
      <c r="F429" s="30">
        <f>BANKRUPTCY!E22</f>
        <v>0</v>
      </c>
      <c r="G429" s="271"/>
      <c r="H429" s="272"/>
    </row>
    <row r="430" spans="1:8" ht="18.75" customHeight="1" x14ac:dyDescent="0.3">
      <c r="A430" s="265" t="s">
        <v>81</v>
      </c>
      <c r="B430" s="266"/>
      <c r="C430" s="266"/>
      <c r="D430" s="266"/>
      <c r="E430" s="266"/>
      <c r="F430" s="268"/>
      <c r="G430" s="271"/>
      <c r="H430" s="272"/>
    </row>
    <row r="431" spans="1:8" ht="15" customHeight="1" x14ac:dyDescent="0.25">
      <c r="A431" s="65" t="s">
        <v>29</v>
      </c>
      <c r="B431" s="27">
        <f>SOL!C22</f>
        <v>0</v>
      </c>
      <c r="C431" s="50" t="s">
        <v>56</v>
      </c>
      <c r="D431" s="27">
        <f>SOL!D22</f>
        <v>0</v>
      </c>
      <c r="E431" s="50" t="s">
        <v>57</v>
      </c>
      <c r="F431" s="30">
        <f>SOL!E22</f>
        <v>0</v>
      </c>
      <c r="G431" s="271"/>
      <c r="H431" s="272"/>
    </row>
    <row r="432" spans="1:8" ht="18.75" customHeight="1" x14ac:dyDescent="0.3">
      <c r="A432" s="265" t="s">
        <v>82</v>
      </c>
      <c r="B432" s="266"/>
      <c r="C432" s="266"/>
      <c r="D432" s="266"/>
      <c r="E432" s="52"/>
      <c r="F432" s="51"/>
      <c r="G432" s="271"/>
      <c r="H432" s="272"/>
    </row>
    <row r="433" spans="1:8" ht="15" customHeight="1" x14ac:dyDescent="0.25">
      <c r="A433" s="65" t="s">
        <v>67</v>
      </c>
      <c r="B433" s="27">
        <f>EXEMPTIONS!C22</f>
        <v>0</v>
      </c>
      <c r="C433" s="50" t="s">
        <v>68</v>
      </c>
      <c r="D433" s="27">
        <f>EXEMPTIONS!D22</f>
        <v>0</v>
      </c>
      <c r="E433" s="31"/>
      <c r="F433" s="31"/>
      <c r="G433" s="271"/>
      <c r="H433" s="272"/>
    </row>
    <row r="434" spans="1:8" ht="18.75" customHeight="1" x14ac:dyDescent="0.3">
      <c r="A434" s="265" t="s">
        <v>83</v>
      </c>
      <c r="B434" s="266"/>
      <c r="C434" s="266"/>
      <c r="D434" s="266"/>
      <c r="E434" s="52"/>
      <c r="F434" s="52"/>
      <c r="G434" s="273"/>
      <c r="H434" s="274"/>
    </row>
    <row r="435" spans="1:8" ht="15.75" thickBot="1" x14ac:dyDescent="0.3">
      <c r="A435" s="66" t="s">
        <v>62</v>
      </c>
      <c r="B435" s="67" t="str">
        <f>'LICENSE-REGIS'!I22</f>
        <v>N/A</v>
      </c>
      <c r="C435" s="68" t="s">
        <v>63</v>
      </c>
      <c r="D435" s="67">
        <f>'LICENSE-REGIS'!M22</f>
        <v>0</v>
      </c>
      <c r="E435" s="275"/>
      <c r="F435" s="276"/>
      <c r="G435" s="276"/>
      <c r="H435" s="277"/>
    </row>
    <row r="439" spans="1:8" ht="15.75" thickBot="1" x14ac:dyDescent="0.3">
      <c r="A439" s="184"/>
      <c r="B439" s="184"/>
      <c r="C439" s="184"/>
      <c r="D439" s="184"/>
      <c r="E439" s="184"/>
      <c r="F439" s="184"/>
      <c r="G439" s="184"/>
      <c r="H439" s="184"/>
    </row>
    <row r="440" spans="1:8" x14ac:dyDescent="0.25">
      <c r="A440" s="75" t="s">
        <v>11</v>
      </c>
      <c r="B440" s="72" t="s">
        <v>12</v>
      </c>
      <c r="C440" s="72" t="s">
        <v>73</v>
      </c>
      <c r="D440" s="72" t="s">
        <v>13</v>
      </c>
      <c r="E440" s="72" t="s">
        <v>61</v>
      </c>
      <c r="F440" s="72" t="s">
        <v>14</v>
      </c>
      <c r="G440" s="72" t="s">
        <v>15</v>
      </c>
      <c r="H440" s="74" t="s">
        <v>16</v>
      </c>
    </row>
    <row r="441" spans="1:8" ht="17.25" x14ac:dyDescent="0.3">
      <c r="A441" s="76">
        <f>'CASE DATA'!A23</f>
        <v>0</v>
      </c>
      <c r="B441" s="77">
        <f>'CASE DATA'!B23</f>
        <v>0</v>
      </c>
      <c r="C441" s="79" t="e">
        <f>'CASE DATA'!#REF!</f>
        <v>#REF!</v>
      </c>
      <c r="D441" s="79">
        <f>'CASE DATA'!C23</f>
        <v>0</v>
      </c>
      <c r="E441" s="77">
        <f>'CASE DATA'!E23</f>
        <v>0</v>
      </c>
      <c r="F441" s="77">
        <f>'CASE DATA'!F23</f>
        <v>0</v>
      </c>
      <c r="G441" s="77">
        <f>'CASE DATA'!G23</f>
        <v>0</v>
      </c>
      <c r="H441" s="78">
        <f>'CASE DATA'!H23</f>
        <v>0</v>
      </c>
    </row>
    <row r="442" spans="1:8" x14ac:dyDescent="0.25">
      <c r="A442" s="53" t="s">
        <v>18</v>
      </c>
      <c r="B442" s="32">
        <f>'CASE DATA'!I23</f>
        <v>0</v>
      </c>
      <c r="C442" s="33" t="s">
        <v>21</v>
      </c>
      <c r="D442" s="36">
        <f>'CASE DATA'!L23</f>
        <v>0</v>
      </c>
      <c r="E442" s="38" t="s">
        <v>24</v>
      </c>
      <c r="F442" s="41">
        <f>'CASE DATA'!O23</f>
        <v>0</v>
      </c>
      <c r="G442" s="43" t="s">
        <v>74</v>
      </c>
      <c r="H442" s="54">
        <f>'CASE DATA'!R23</f>
        <v>0</v>
      </c>
    </row>
    <row r="443" spans="1:8" x14ac:dyDescent="0.25">
      <c r="A443" s="55" t="s">
        <v>75</v>
      </c>
      <c r="B443" s="32">
        <f>'CASE DATA'!J23</f>
        <v>0</v>
      </c>
      <c r="C443" s="34" t="s">
        <v>22</v>
      </c>
      <c r="D443" s="36">
        <f>'CASE DATA'!M23</f>
        <v>0</v>
      </c>
      <c r="E443" s="39" t="s">
        <v>25</v>
      </c>
      <c r="F443" s="41">
        <f>'CASE DATA'!P23</f>
        <v>0</v>
      </c>
      <c r="G443" s="44" t="s">
        <v>28</v>
      </c>
      <c r="H443" s="54">
        <f>'CASE DATA'!S23</f>
        <v>0</v>
      </c>
    </row>
    <row r="444" spans="1:8" x14ac:dyDescent="0.25">
      <c r="A444" s="56" t="s">
        <v>20</v>
      </c>
      <c r="B444" s="32">
        <f>'CASE DATA'!K23</f>
        <v>0</v>
      </c>
      <c r="C444" s="35" t="s">
        <v>23</v>
      </c>
      <c r="D444" s="37">
        <f>'CASE DATA'!N23</f>
        <v>0</v>
      </c>
      <c r="E444" s="40" t="s">
        <v>26</v>
      </c>
      <c r="F444" s="42">
        <f>'CASE DATA'!Q23</f>
        <v>0</v>
      </c>
      <c r="G444" s="28"/>
      <c r="H444" s="57"/>
    </row>
    <row r="445" spans="1:8" x14ac:dyDescent="0.25">
      <c r="A445" s="58" t="s">
        <v>10</v>
      </c>
      <c r="B445" s="278">
        <f>'CASE DATA'!T23</f>
        <v>0</v>
      </c>
      <c r="C445" s="279"/>
      <c r="D445" s="279"/>
      <c r="E445" s="279"/>
      <c r="F445" s="279"/>
      <c r="G445" s="279"/>
      <c r="H445" s="280"/>
    </row>
    <row r="446" spans="1:8" ht="18.75" x14ac:dyDescent="0.3">
      <c r="A446" s="265" t="s">
        <v>76</v>
      </c>
      <c r="B446" s="266"/>
      <c r="C446" s="266"/>
      <c r="D446" s="266"/>
      <c r="E446" s="266"/>
      <c r="F446" s="266"/>
      <c r="G446" s="266"/>
      <c r="H446" s="267"/>
    </row>
    <row r="447" spans="1:8" ht="45" x14ac:dyDescent="0.25">
      <c r="A447" s="59" t="s">
        <v>39</v>
      </c>
      <c r="B447" s="45" t="s">
        <v>77</v>
      </c>
      <c r="C447" s="46" t="s">
        <v>43</v>
      </c>
      <c r="D447" s="46" t="s">
        <v>44</v>
      </c>
      <c r="E447" s="46" t="s">
        <v>45</v>
      </c>
      <c r="F447" s="47" t="s">
        <v>46</v>
      </c>
      <c r="G447" s="26" t="s">
        <v>78</v>
      </c>
      <c r="H447" s="60"/>
    </row>
    <row r="448" spans="1:8" x14ac:dyDescent="0.25">
      <c r="A448" s="61" t="str">
        <f>EXPUNGEMENT!D22</f>
        <v>NO</v>
      </c>
      <c r="B448" s="61" t="str">
        <f>EXPUNGEMENT!G22</f>
        <v>N/A</v>
      </c>
      <c r="C448" s="136" t="str">
        <f>EXPUNGEMENT!H22</f>
        <v>NO</v>
      </c>
      <c r="D448" s="136" t="str">
        <f>EXPUNGEMENT!I22</f>
        <v>N/A</v>
      </c>
      <c r="E448" s="136" t="str">
        <f>EXPUNGEMENT!J22</f>
        <v>N/A</v>
      </c>
      <c r="F448" s="136" t="str">
        <f>EXPUNGEMENT!K22</f>
        <v>N/A</v>
      </c>
      <c r="G448" s="29"/>
      <c r="H448" s="62"/>
    </row>
    <row r="449" spans="1:8" x14ac:dyDescent="0.25">
      <c r="A449" s="63" t="s">
        <v>51</v>
      </c>
      <c r="B449" s="48" t="s">
        <v>79</v>
      </c>
      <c r="C449" s="49" t="s">
        <v>44</v>
      </c>
      <c r="D449" s="49" t="s">
        <v>45</v>
      </c>
      <c r="E449" s="29"/>
      <c r="F449" s="29"/>
      <c r="G449" s="29"/>
      <c r="H449" s="62"/>
    </row>
    <row r="450" spans="1:8" x14ac:dyDescent="0.25">
      <c r="A450" s="64" t="str">
        <f>EXPUNGEMENT!R22</f>
        <v>NO</v>
      </c>
      <c r="B450" s="64" t="str">
        <f>EXPUNGEMENT!S22</f>
        <v>N/A</v>
      </c>
      <c r="C450" s="64" t="str">
        <f>EXPUNGEMENT!T22</f>
        <v>N/A</v>
      </c>
      <c r="D450" s="64" t="str">
        <f>EXPUNGEMENT!U22</f>
        <v>N/A</v>
      </c>
      <c r="E450" s="29"/>
      <c r="F450" s="29"/>
      <c r="G450" s="29"/>
      <c r="H450" s="62"/>
    </row>
    <row r="451" spans="1:8" ht="18.75" customHeight="1" x14ac:dyDescent="0.3">
      <c r="A451" s="265" t="s">
        <v>80</v>
      </c>
      <c r="B451" s="266"/>
      <c r="C451" s="266"/>
      <c r="D451" s="266"/>
      <c r="E451" s="266"/>
      <c r="F451" s="268"/>
      <c r="G451" s="269">
        <v>20</v>
      </c>
      <c r="H451" s="270"/>
    </row>
    <row r="452" spans="1:8" ht="15" customHeight="1" x14ac:dyDescent="0.25">
      <c r="A452" s="65" t="s">
        <v>29</v>
      </c>
      <c r="B452" s="27">
        <f>BANKRUPTCY!C23</f>
        <v>0</v>
      </c>
      <c r="C452" s="50" t="s">
        <v>56</v>
      </c>
      <c r="D452" s="27">
        <f>BANKRUPTCY!D23</f>
        <v>0</v>
      </c>
      <c r="E452" s="50" t="s">
        <v>57</v>
      </c>
      <c r="F452" s="30">
        <f>BANKRUPTCY!E23</f>
        <v>0</v>
      </c>
      <c r="G452" s="271"/>
      <c r="H452" s="272"/>
    </row>
    <row r="453" spans="1:8" ht="18.75" customHeight="1" x14ac:dyDescent="0.3">
      <c r="A453" s="265" t="s">
        <v>81</v>
      </c>
      <c r="B453" s="266"/>
      <c r="C453" s="266"/>
      <c r="D453" s="266"/>
      <c r="E453" s="266"/>
      <c r="F453" s="268"/>
      <c r="G453" s="271"/>
      <c r="H453" s="272"/>
    </row>
    <row r="454" spans="1:8" ht="15" customHeight="1" x14ac:dyDescent="0.25">
      <c r="A454" s="65" t="s">
        <v>29</v>
      </c>
      <c r="B454" s="27">
        <f>SOL!C23</f>
        <v>0</v>
      </c>
      <c r="C454" s="50" t="s">
        <v>56</v>
      </c>
      <c r="D454" s="27">
        <f>SOL!D23</f>
        <v>0</v>
      </c>
      <c r="E454" s="50" t="s">
        <v>57</v>
      </c>
      <c r="F454" s="30">
        <f>SOL!E23</f>
        <v>0</v>
      </c>
      <c r="G454" s="271"/>
      <c r="H454" s="272"/>
    </row>
    <row r="455" spans="1:8" ht="18.75" customHeight="1" x14ac:dyDescent="0.3">
      <c r="A455" s="265" t="s">
        <v>82</v>
      </c>
      <c r="B455" s="266"/>
      <c r="C455" s="266"/>
      <c r="D455" s="266"/>
      <c r="E455" s="52"/>
      <c r="F455" s="51"/>
      <c r="G455" s="271"/>
      <c r="H455" s="272"/>
    </row>
    <row r="456" spans="1:8" ht="15" customHeight="1" x14ac:dyDescent="0.25">
      <c r="A456" s="65" t="s">
        <v>67</v>
      </c>
      <c r="B456" s="27">
        <f>EXEMPTIONS!C23</f>
        <v>0</v>
      </c>
      <c r="C456" s="50" t="s">
        <v>68</v>
      </c>
      <c r="D456" s="27">
        <f>EXEMPTIONS!D23</f>
        <v>0</v>
      </c>
      <c r="E456" s="31"/>
      <c r="F456" s="31"/>
      <c r="G456" s="271"/>
      <c r="H456" s="272"/>
    </row>
    <row r="457" spans="1:8" ht="18.75" customHeight="1" x14ac:dyDescent="0.3">
      <c r="A457" s="265" t="s">
        <v>83</v>
      </c>
      <c r="B457" s="266"/>
      <c r="C457" s="266"/>
      <c r="D457" s="266"/>
      <c r="E457" s="52"/>
      <c r="F457" s="52"/>
      <c r="G457" s="273"/>
      <c r="H457" s="274"/>
    </row>
    <row r="458" spans="1:8" ht="15.75" thickBot="1" x14ac:dyDescent="0.3">
      <c r="A458" s="66" t="s">
        <v>62</v>
      </c>
      <c r="B458" s="67" t="str">
        <f>'LICENSE-REGIS'!I23</f>
        <v>N/A</v>
      </c>
      <c r="C458" s="68" t="s">
        <v>63</v>
      </c>
      <c r="D458" s="67">
        <f>'LICENSE-REGIS'!M23</f>
        <v>0</v>
      </c>
      <c r="E458" s="275"/>
      <c r="F458" s="276"/>
      <c r="G458" s="276"/>
      <c r="H458" s="277"/>
    </row>
    <row r="462" spans="1:8" ht="15.75" thickBot="1" x14ac:dyDescent="0.3">
      <c r="A462" s="184"/>
      <c r="B462" s="184"/>
      <c r="C462" s="184"/>
      <c r="D462" s="184"/>
      <c r="E462" s="184"/>
      <c r="F462" s="184"/>
      <c r="G462" s="184"/>
      <c r="H462" s="184"/>
    </row>
    <row r="463" spans="1:8" x14ac:dyDescent="0.25">
      <c r="A463" s="75" t="s">
        <v>11</v>
      </c>
      <c r="B463" s="72" t="s">
        <v>12</v>
      </c>
      <c r="C463" s="72" t="s">
        <v>73</v>
      </c>
      <c r="D463" s="72" t="s">
        <v>13</v>
      </c>
      <c r="E463" s="72" t="s">
        <v>61</v>
      </c>
      <c r="F463" s="72" t="s">
        <v>14</v>
      </c>
      <c r="G463" s="72" t="s">
        <v>15</v>
      </c>
      <c r="H463" s="74" t="s">
        <v>16</v>
      </c>
    </row>
    <row r="464" spans="1:8" ht="17.25" x14ac:dyDescent="0.3">
      <c r="A464" s="76">
        <f>'CASE DATA'!A24</f>
        <v>0</v>
      </c>
      <c r="B464" s="77">
        <f>'CASE DATA'!B24</f>
        <v>0</v>
      </c>
      <c r="C464" s="79" t="e">
        <f>'CASE DATA'!#REF!</f>
        <v>#REF!</v>
      </c>
      <c r="D464" s="79">
        <f>'CASE DATA'!C24</f>
        <v>0</v>
      </c>
      <c r="E464" s="77">
        <f>'CASE DATA'!E24</f>
        <v>0</v>
      </c>
      <c r="F464" s="77">
        <f>'CASE DATA'!F24</f>
        <v>0</v>
      </c>
      <c r="G464" s="77">
        <f>'CASE DATA'!G24</f>
        <v>0</v>
      </c>
      <c r="H464" s="78">
        <f>'CASE DATA'!H24</f>
        <v>0</v>
      </c>
    </row>
    <row r="465" spans="1:8" x14ac:dyDescent="0.25">
      <c r="A465" s="53" t="s">
        <v>18</v>
      </c>
      <c r="B465" s="32">
        <f>'CASE DATA'!I24</f>
        <v>0</v>
      </c>
      <c r="C465" s="33" t="s">
        <v>21</v>
      </c>
      <c r="D465" s="36">
        <f>'CASE DATA'!L24</f>
        <v>0</v>
      </c>
      <c r="E465" s="38" t="s">
        <v>24</v>
      </c>
      <c r="F465" s="41">
        <f>'CASE DATA'!O24</f>
        <v>0</v>
      </c>
      <c r="G465" s="43" t="s">
        <v>74</v>
      </c>
      <c r="H465" s="54">
        <f>'CASE DATA'!R24</f>
        <v>0</v>
      </c>
    </row>
    <row r="466" spans="1:8" x14ac:dyDescent="0.25">
      <c r="A466" s="55" t="s">
        <v>75</v>
      </c>
      <c r="B466" s="32">
        <f>'CASE DATA'!J24</f>
        <v>0</v>
      </c>
      <c r="C466" s="34" t="s">
        <v>22</v>
      </c>
      <c r="D466" s="36">
        <f>'CASE DATA'!M24</f>
        <v>0</v>
      </c>
      <c r="E466" s="39" t="s">
        <v>25</v>
      </c>
      <c r="F466" s="41">
        <f>'CASE DATA'!P24</f>
        <v>0</v>
      </c>
      <c r="G466" s="44" t="s">
        <v>28</v>
      </c>
      <c r="H466" s="54">
        <f>'CASE DATA'!S24</f>
        <v>0</v>
      </c>
    </row>
    <row r="467" spans="1:8" x14ac:dyDescent="0.25">
      <c r="A467" s="56" t="s">
        <v>20</v>
      </c>
      <c r="B467" s="32">
        <f>'CASE DATA'!K24</f>
        <v>0</v>
      </c>
      <c r="C467" s="35" t="s">
        <v>23</v>
      </c>
      <c r="D467" s="37">
        <f>'CASE DATA'!N24</f>
        <v>0</v>
      </c>
      <c r="E467" s="40" t="s">
        <v>26</v>
      </c>
      <c r="F467" s="42">
        <f>'CASE DATA'!Q24</f>
        <v>0</v>
      </c>
      <c r="G467" s="28"/>
      <c r="H467" s="57"/>
    </row>
    <row r="468" spans="1:8" x14ac:dyDescent="0.25">
      <c r="A468" s="58" t="s">
        <v>10</v>
      </c>
      <c r="B468" s="278">
        <f>'CASE DATA'!T24</f>
        <v>0</v>
      </c>
      <c r="C468" s="279"/>
      <c r="D468" s="279"/>
      <c r="E468" s="279"/>
      <c r="F468" s="279"/>
      <c r="G468" s="279"/>
      <c r="H468" s="280"/>
    </row>
    <row r="469" spans="1:8" ht="18.75" x14ac:dyDescent="0.3">
      <c r="A469" s="265" t="s">
        <v>76</v>
      </c>
      <c r="B469" s="266"/>
      <c r="C469" s="266"/>
      <c r="D469" s="266"/>
      <c r="E469" s="266"/>
      <c r="F469" s="266"/>
      <c r="G469" s="266"/>
      <c r="H469" s="267"/>
    </row>
    <row r="470" spans="1:8" ht="45" x14ac:dyDescent="0.25">
      <c r="A470" s="59" t="s">
        <v>39</v>
      </c>
      <c r="B470" s="45" t="s">
        <v>77</v>
      </c>
      <c r="C470" s="46" t="s">
        <v>43</v>
      </c>
      <c r="D470" s="46" t="s">
        <v>44</v>
      </c>
      <c r="E470" s="46" t="s">
        <v>45</v>
      </c>
      <c r="F470" s="47" t="s">
        <v>46</v>
      </c>
      <c r="G470" s="26" t="s">
        <v>78</v>
      </c>
      <c r="H470" s="60"/>
    </row>
    <row r="471" spans="1:8" x14ac:dyDescent="0.25">
      <c r="A471" s="61" t="str">
        <f>EXPUNGEMENT!D23</f>
        <v>NO</v>
      </c>
      <c r="B471" s="61" t="str">
        <f>EXPUNGEMENT!G23</f>
        <v>N/A</v>
      </c>
      <c r="C471" s="136" t="str">
        <f>EXPUNGEMENT!H23</f>
        <v>NO</v>
      </c>
      <c r="D471" s="136" t="str">
        <f>EXPUNGEMENT!I23</f>
        <v>N/A</v>
      </c>
      <c r="E471" s="136" t="str">
        <f>EXPUNGEMENT!J23</f>
        <v>N/A</v>
      </c>
      <c r="F471" s="136" t="str">
        <f>EXPUNGEMENT!K23</f>
        <v>N/A</v>
      </c>
      <c r="G471" s="29"/>
      <c r="H471" s="62"/>
    </row>
    <row r="472" spans="1:8" x14ac:dyDescent="0.25">
      <c r="A472" s="63" t="s">
        <v>51</v>
      </c>
      <c r="B472" s="48" t="s">
        <v>79</v>
      </c>
      <c r="C472" s="49" t="s">
        <v>44</v>
      </c>
      <c r="D472" s="49" t="s">
        <v>45</v>
      </c>
      <c r="E472" s="29"/>
      <c r="F472" s="29"/>
      <c r="G472" s="29"/>
      <c r="H472" s="62"/>
    </row>
    <row r="473" spans="1:8" x14ac:dyDescent="0.25">
      <c r="A473" s="64" t="str">
        <f>EXPUNGEMENT!R23</f>
        <v>NO</v>
      </c>
      <c r="B473" s="64" t="str">
        <f>EXPUNGEMENT!S23</f>
        <v>N/A</v>
      </c>
      <c r="C473" s="64" t="str">
        <f>EXPUNGEMENT!T23</f>
        <v>N/A</v>
      </c>
      <c r="D473" s="64" t="str">
        <f>EXPUNGEMENT!U23</f>
        <v>N/A</v>
      </c>
      <c r="E473" s="29"/>
      <c r="F473" s="29"/>
      <c r="G473" s="29"/>
      <c r="H473" s="62"/>
    </row>
    <row r="474" spans="1:8" ht="18.75" x14ac:dyDescent="0.3">
      <c r="A474" s="265" t="s">
        <v>80</v>
      </c>
      <c r="B474" s="266"/>
      <c r="C474" s="266"/>
      <c r="D474" s="266"/>
      <c r="E474" s="266"/>
      <c r="F474" s="268"/>
      <c r="G474" s="269">
        <v>21</v>
      </c>
      <c r="H474" s="270"/>
    </row>
    <row r="475" spans="1:8" x14ac:dyDescent="0.25">
      <c r="A475" s="65" t="s">
        <v>29</v>
      </c>
      <c r="B475" s="27">
        <f>BANKRUPTCY!C24</f>
        <v>0</v>
      </c>
      <c r="C475" s="50" t="s">
        <v>56</v>
      </c>
      <c r="D475" s="27">
        <f>BANKRUPTCY!D24</f>
        <v>0</v>
      </c>
      <c r="E475" s="50" t="s">
        <v>57</v>
      </c>
      <c r="F475" s="30">
        <f>BANKRUPTCY!E24</f>
        <v>0</v>
      </c>
      <c r="G475" s="271"/>
      <c r="H475" s="272"/>
    </row>
    <row r="476" spans="1:8" ht="18.75" x14ac:dyDescent="0.3">
      <c r="A476" s="265" t="s">
        <v>81</v>
      </c>
      <c r="B476" s="266"/>
      <c r="C476" s="266"/>
      <c r="D476" s="266"/>
      <c r="E476" s="266"/>
      <c r="F476" s="268"/>
      <c r="G476" s="271"/>
      <c r="H476" s="272"/>
    </row>
    <row r="477" spans="1:8" x14ac:dyDescent="0.25">
      <c r="A477" s="65" t="s">
        <v>29</v>
      </c>
      <c r="B477" s="27">
        <f>SOL!C24</f>
        <v>0</v>
      </c>
      <c r="C477" s="50" t="s">
        <v>56</v>
      </c>
      <c r="D477" s="27">
        <f>SOL!D24</f>
        <v>0</v>
      </c>
      <c r="E477" s="50" t="s">
        <v>57</v>
      </c>
      <c r="F477" s="30">
        <f>SOL!E24</f>
        <v>0</v>
      </c>
      <c r="G477" s="271"/>
      <c r="H477" s="272"/>
    </row>
    <row r="478" spans="1:8" ht="18.75" x14ac:dyDescent="0.3">
      <c r="A478" s="265" t="s">
        <v>82</v>
      </c>
      <c r="B478" s="266"/>
      <c r="C478" s="266"/>
      <c r="D478" s="266"/>
      <c r="E478" s="52"/>
      <c r="F478" s="51"/>
      <c r="G478" s="271"/>
      <c r="H478" s="272"/>
    </row>
    <row r="479" spans="1:8" x14ac:dyDescent="0.25">
      <c r="A479" s="65" t="s">
        <v>67</v>
      </c>
      <c r="B479" s="27">
        <f>EXEMPTIONS!C24</f>
        <v>0</v>
      </c>
      <c r="C479" s="50" t="s">
        <v>68</v>
      </c>
      <c r="D479" s="27">
        <f>EXEMPTIONS!D24</f>
        <v>0</v>
      </c>
      <c r="E479" s="31"/>
      <c r="F479" s="31"/>
      <c r="G479" s="271"/>
      <c r="H479" s="272"/>
    </row>
    <row r="480" spans="1:8" ht="18.75" x14ac:dyDescent="0.3">
      <c r="A480" s="265" t="s">
        <v>83</v>
      </c>
      <c r="B480" s="266"/>
      <c r="C480" s="266"/>
      <c r="D480" s="266"/>
      <c r="E480" s="52"/>
      <c r="F480" s="52"/>
      <c r="G480" s="273"/>
      <c r="H480" s="274"/>
    </row>
    <row r="481" spans="1:8" ht="15.75" thickBot="1" x14ac:dyDescent="0.3">
      <c r="A481" s="66" t="s">
        <v>62</v>
      </c>
      <c r="B481" s="67" t="str">
        <f>'LICENSE-REGIS'!I24</f>
        <v>N/A</v>
      </c>
      <c r="C481" s="68" t="s">
        <v>63</v>
      </c>
      <c r="D481" s="67">
        <f>'LICENSE-REGIS'!M24</f>
        <v>0</v>
      </c>
      <c r="E481" s="275"/>
      <c r="F481" s="276"/>
      <c r="G481" s="276"/>
      <c r="H481" s="277"/>
    </row>
    <row r="485" spans="1:8" ht="15.75" thickBot="1" x14ac:dyDescent="0.3">
      <c r="A485" s="184"/>
      <c r="B485" s="184"/>
      <c r="C485" s="184"/>
      <c r="D485" s="184"/>
      <c r="E485" s="184"/>
      <c r="F485" s="184"/>
      <c r="G485" s="184"/>
      <c r="H485" s="184"/>
    </row>
    <row r="486" spans="1:8" x14ac:dyDescent="0.25">
      <c r="A486" s="75" t="s">
        <v>11</v>
      </c>
      <c r="B486" s="72" t="s">
        <v>12</v>
      </c>
      <c r="C486" s="72" t="s">
        <v>73</v>
      </c>
      <c r="D486" s="72" t="s">
        <v>13</v>
      </c>
      <c r="E486" s="72" t="s">
        <v>61</v>
      </c>
      <c r="F486" s="72" t="s">
        <v>14</v>
      </c>
      <c r="G486" s="72" t="s">
        <v>15</v>
      </c>
      <c r="H486" s="74" t="s">
        <v>16</v>
      </c>
    </row>
    <row r="487" spans="1:8" ht="17.25" x14ac:dyDescent="0.3">
      <c r="A487" s="76">
        <f>'CASE DATA'!A25</f>
        <v>0</v>
      </c>
      <c r="B487" s="77">
        <f>'CASE DATA'!B25</f>
        <v>0</v>
      </c>
      <c r="C487" s="79" t="e">
        <f>'CASE DATA'!#REF!</f>
        <v>#REF!</v>
      </c>
      <c r="D487" s="79">
        <f>'CASE DATA'!C25</f>
        <v>0</v>
      </c>
      <c r="E487" s="77">
        <f>'CASE DATA'!E25</f>
        <v>0</v>
      </c>
      <c r="F487" s="77">
        <f>'CASE DATA'!F25</f>
        <v>0</v>
      </c>
      <c r="G487" s="77">
        <f>'CASE DATA'!G25</f>
        <v>0</v>
      </c>
      <c r="H487" s="78">
        <f>'CASE DATA'!H25</f>
        <v>0</v>
      </c>
    </row>
    <row r="488" spans="1:8" x14ac:dyDescent="0.25">
      <c r="A488" s="53" t="s">
        <v>18</v>
      </c>
      <c r="B488" s="32">
        <f>'CASE DATA'!I25</f>
        <v>0</v>
      </c>
      <c r="C488" s="33" t="s">
        <v>21</v>
      </c>
      <c r="D488" s="36">
        <f>'CASE DATA'!L25</f>
        <v>0</v>
      </c>
      <c r="E488" s="38" t="s">
        <v>24</v>
      </c>
      <c r="F488" s="41">
        <f>'CASE DATA'!O25</f>
        <v>0</v>
      </c>
      <c r="G488" s="43" t="s">
        <v>74</v>
      </c>
      <c r="H488" s="54">
        <f>'CASE DATA'!R25</f>
        <v>0</v>
      </c>
    </row>
    <row r="489" spans="1:8" x14ac:dyDescent="0.25">
      <c r="A489" s="55" t="s">
        <v>75</v>
      </c>
      <c r="B489" s="32">
        <f>'CASE DATA'!J25</f>
        <v>0</v>
      </c>
      <c r="C489" s="34" t="s">
        <v>22</v>
      </c>
      <c r="D489" s="36">
        <f>'CASE DATA'!M25</f>
        <v>0</v>
      </c>
      <c r="E489" s="39" t="s">
        <v>25</v>
      </c>
      <c r="F489" s="41">
        <f>'CASE DATA'!P25</f>
        <v>0</v>
      </c>
      <c r="G489" s="44" t="s">
        <v>28</v>
      </c>
      <c r="H489" s="54">
        <f>'CASE DATA'!S25</f>
        <v>0</v>
      </c>
    </row>
    <row r="490" spans="1:8" x14ac:dyDescent="0.25">
      <c r="A490" s="56" t="s">
        <v>20</v>
      </c>
      <c r="B490" s="32">
        <f>'CASE DATA'!K25</f>
        <v>0</v>
      </c>
      <c r="C490" s="35" t="s">
        <v>23</v>
      </c>
      <c r="D490" s="37">
        <f>'CASE DATA'!N25</f>
        <v>0</v>
      </c>
      <c r="E490" s="40" t="s">
        <v>26</v>
      </c>
      <c r="F490" s="42">
        <f>'CASE DATA'!Q25</f>
        <v>0</v>
      </c>
      <c r="G490" s="28"/>
      <c r="H490" s="57"/>
    </row>
    <row r="491" spans="1:8" x14ac:dyDescent="0.25">
      <c r="A491" s="58" t="s">
        <v>10</v>
      </c>
      <c r="B491" s="278">
        <f>'CASE DATA'!T25</f>
        <v>0</v>
      </c>
      <c r="C491" s="279"/>
      <c r="D491" s="279"/>
      <c r="E491" s="279"/>
      <c r="F491" s="279"/>
      <c r="G491" s="279"/>
      <c r="H491" s="280"/>
    </row>
    <row r="492" spans="1:8" ht="18.75" x14ac:dyDescent="0.3">
      <c r="A492" s="265" t="s">
        <v>76</v>
      </c>
      <c r="B492" s="266"/>
      <c r="C492" s="266"/>
      <c r="D492" s="266"/>
      <c r="E492" s="266"/>
      <c r="F492" s="266"/>
      <c r="G492" s="266"/>
      <c r="H492" s="267"/>
    </row>
    <row r="493" spans="1:8" ht="45" x14ac:dyDescent="0.25">
      <c r="A493" s="59" t="s">
        <v>39</v>
      </c>
      <c r="B493" s="45" t="s">
        <v>77</v>
      </c>
      <c r="C493" s="46" t="s">
        <v>43</v>
      </c>
      <c r="D493" s="46" t="s">
        <v>44</v>
      </c>
      <c r="E493" s="46" t="s">
        <v>45</v>
      </c>
      <c r="F493" s="47" t="s">
        <v>46</v>
      </c>
      <c r="G493" s="26" t="s">
        <v>78</v>
      </c>
      <c r="H493" s="60"/>
    </row>
    <row r="494" spans="1:8" x14ac:dyDescent="0.25">
      <c r="A494" s="61" t="str">
        <f>EXPUNGEMENT!D24</f>
        <v>NO</v>
      </c>
      <c r="B494" s="61" t="str">
        <f>EXPUNGEMENT!G24</f>
        <v>N/A</v>
      </c>
      <c r="C494" s="136" t="str">
        <f>EXPUNGEMENT!H24</f>
        <v>NO</v>
      </c>
      <c r="D494" s="136" t="str">
        <f>EXPUNGEMENT!I24</f>
        <v>N/A</v>
      </c>
      <c r="E494" s="136" t="str">
        <f>EXPUNGEMENT!J24</f>
        <v>N/A</v>
      </c>
      <c r="F494" s="136" t="str">
        <f>EXPUNGEMENT!K24</f>
        <v>N/A</v>
      </c>
      <c r="G494" s="29"/>
      <c r="H494" s="62"/>
    </row>
    <row r="495" spans="1:8" x14ac:dyDescent="0.25">
      <c r="A495" s="63" t="s">
        <v>51</v>
      </c>
      <c r="B495" s="48" t="s">
        <v>79</v>
      </c>
      <c r="C495" s="49" t="s">
        <v>44</v>
      </c>
      <c r="D495" s="49" t="s">
        <v>45</v>
      </c>
      <c r="E495" s="29"/>
      <c r="F495" s="29"/>
      <c r="G495" s="29"/>
      <c r="H495" s="62"/>
    </row>
    <row r="496" spans="1:8" x14ac:dyDescent="0.25">
      <c r="A496" s="64" t="str">
        <f>EXPUNGEMENT!R24</f>
        <v>NO</v>
      </c>
      <c r="B496" s="64" t="str">
        <f>EXPUNGEMENT!S24</f>
        <v>N/A</v>
      </c>
      <c r="C496" s="64" t="str">
        <f>EXPUNGEMENT!T24</f>
        <v>N/A</v>
      </c>
      <c r="D496" s="64" t="str">
        <f>EXPUNGEMENT!U24</f>
        <v>N/A</v>
      </c>
      <c r="E496" s="29"/>
      <c r="F496" s="29"/>
      <c r="G496" s="29"/>
      <c r="H496" s="62"/>
    </row>
    <row r="497" spans="1:8" ht="18.75" x14ac:dyDescent="0.3">
      <c r="A497" s="265" t="s">
        <v>80</v>
      </c>
      <c r="B497" s="266"/>
      <c r="C497" s="266"/>
      <c r="D497" s="266"/>
      <c r="E497" s="266"/>
      <c r="F497" s="268"/>
      <c r="G497" s="269">
        <v>22</v>
      </c>
      <c r="H497" s="270"/>
    </row>
    <row r="498" spans="1:8" x14ac:dyDescent="0.25">
      <c r="A498" s="65" t="s">
        <v>29</v>
      </c>
      <c r="B498" s="27">
        <f>BANKRUPTCY!C25</f>
        <v>0</v>
      </c>
      <c r="C498" s="50" t="s">
        <v>56</v>
      </c>
      <c r="D498" s="27">
        <f>BANKRUPTCY!D25</f>
        <v>0</v>
      </c>
      <c r="E498" s="50" t="s">
        <v>57</v>
      </c>
      <c r="F498" s="30">
        <f>BANKRUPTCY!E25</f>
        <v>0</v>
      </c>
      <c r="G498" s="271"/>
      <c r="H498" s="272"/>
    </row>
    <row r="499" spans="1:8" ht="18.75" x14ac:dyDescent="0.3">
      <c r="A499" s="265" t="s">
        <v>81</v>
      </c>
      <c r="B499" s="266"/>
      <c r="C499" s="266"/>
      <c r="D499" s="266"/>
      <c r="E499" s="266"/>
      <c r="F499" s="268"/>
      <c r="G499" s="271"/>
      <c r="H499" s="272"/>
    </row>
    <row r="500" spans="1:8" x14ac:dyDescent="0.25">
      <c r="A500" s="65" t="s">
        <v>29</v>
      </c>
      <c r="B500" s="27">
        <f>SOL!C25</f>
        <v>0</v>
      </c>
      <c r="C500" s="50" t="s">
        <v>56</v>
      </c>
      <c r="D500" s="27">
        <f>SOL!D25</f>
        <v>0</v>
      </c>
      <c r="E500" s="50" t="s">
        <v>57</v>
      </c>
      <c r="F500" s="30">
        <f>SOL!E25</f>
        <v>0</v>
      </c>
      <c r="G500" s="271"/>
      <c r="H500" s="272"/>
    </row>
    <row r="501" spans="1:8" ht="18.75" x14ac:dyDescent="0.3">
      <c r="A501" s="265" t="s">
        <v>82</v>
      </c>
      <c r="B501" s="266"/>
      <c r="C501" s="266"/>
      <c r="D501" s="266"/>
      <c r="E501" s="52"/>
      <c r="F501" s="51"/>
      <c r="G501" s="271"/>
      <c r="H501" s="272"/>
    </row>
    <row r="502" spans="1:8" x14ac:dyDescent="0.25">
      <c r="A502" s="65" t="s">
        <v>67</v>
      </c>
      <c r="B502" s="27">
        <f>EXEMPTIONS!C25</f>
        <v>0</v>
      </c>
      <c r="C502" s="50" t="s">
        <v>68</v>
      </c>
      <c r="D502" s="27">
        <f>EXEMPTIONS!D25</f>
        <v>0</v>
      </c>
      <c r="E502" s="31"/>
      <c r="F502" s="31"/>
      <c r="G502" s="271"/>
      <c r="H502" s="272"/>
    </row>
    <row r="503" spans="1:8" ht="18.75" x14ac:dyDescent="0.3">
      <c r="A503" s="265" t="s">
        <v>83</v>
      </c>
      <c r="B503" s="266"/>
      <c r="C503" s="266"/>
      <c r="D503" s="266"/>
      <c r="E503" s="52"/>
      <c r="F503" s="52"/>
      <c r="G503" s="273"/>
      <c r="H503" s="274"/>
    </row>
    <row r="504" spans="1:8" ht="15.75" thickBot="1" x14ac:dyDescent="0.3">
      <c r="A504" s="66" t="s">
        <v>62</v>
      </c>
      <c r="B504" s="67" t="str">
        <f>'LICENSE-REGIS'!I25</f>
        <v>N/A</v>
      </c>
      <c r="C504" s="68" t="s">
        <v>63</v>
      </c>
      <c r="D504" s="67">
        <f>'LICENSE-REGIS'!M25</f>
        <v>0</v>
      </c>
      <c r="E504" s="275"/>
      <c r="F504" s="276"/>
      <c r="G504" s="276"/>
      <c r="H504" s="277"/>
    </row>
    <row r="508" spans="1:8" ht="15.75" thickBot="1" x14ac:dyDescent="0.3">
      <c r="A508" s="184"/>
      <c r="B508" s="184"/>
      <c r="C508" s="184"/>
      <c r="D508" s="184"/>
      <c r="E508" s="184"/>
      <c r="F508" s="184"/>
      <c r="G508" s="184"/>
      <c r="H508" s="184"/>
    </row>
    <row r="509" spans="1:8" x14ac:dyDescent="0.25">
      <c r="A509" s="75" t="s">
        <v>11</v>
      </c>
      <c r="B509" s="72" t="s">
        <v>12</v>
      </c>
      <c r="C509" s="72" t="s">
        <v>73</v>
      </c>
      <c r="D509" s="72" t="s">
        <v>13</v>
      </c>
      <c r="E509" s="72" t="s">
        <v>61</v>
      </c>
      <c r="F509" s="72" t="s">
        <v>14</v>
      </c>
      <c r="G509" s="72" t="s">
        <v>15</v>
      </c>
      <c r="H509" s="74" t="s">
        <v>16</v>
      </c>
    </row>
    <row r="510" spans="1:8" ht="17.25" x14ac:dyDescent="0.3">
      <c r="A510" s="76">
        <f>'CASE DATA'!A26</f>
        <v>0</v>
      </c>
      <c r="B510" s="77">
        <f>'CASE DATA'!B26</f>
        <v>0</v>
      </c>
      <c r="C510" s="79" t="e">
        <f>'CASE DATA'!#REF!</f>
        <v>#REF!</v>
      </c>
      <c r="D510" s="79">
        <f>'CASE DATA'!C26</f>
        <v>0</v>
      </c>
      <c r="E510" s="77">
        <f>'CASE DATA'!E26</f>
        <v>0</v>
      </c>
      <c r="F510" s="77">
        <f>'CASE DATA'!F26</f>
        <v>0</v>
      </c>
      <c r="G510" s="77">
        <f>'CASE DATA'!G26</f>
        <v>0</v>
      </c>
      <c r="H510" s="78">
        <f>'CASE DATA'!H26</f>
        <v>0</v>
      </c>
    </row>
    <row r="511" spans="1:8" x14ac:dyDescent="0.25">
      <c r="A511" s="53" t="s">
        <v>18</v>
      </c>
      <c r="B511" s="32">
        <f>'CASE DATA'!I26</f>
        <v>0</v>
      </c>
      <c r="C511" s="33" t="s">
        <v>21</v>
      </c>
      <c r="D511" s="36">
        <f>'CASE DATA'!L26</f>
        <v>0</v>
      </c>
      <c r="E511" s="38" t="s">
        <v>24</v>
      </c>
      <c r="F511" s="41">
        <f>'CASE DATA'!O26</f>
        <v>0</v>
      </c>
      <c r="G511" s="43" t="s">
        <v>74</v>
      </c>
      <c r="H511" s="54">
        <f>'CASE DATA'!R26</f>
        <v>0</v>
      </c>
    </row>
    <row r="512" spans="1:8" x14ac:dyDescent="0.25">
      <c r="A512" s="55" t="s">
        <v>75</v>
      </c>
      <c r="B512" s="32">
        <f>'CASE DATA'!J26</f>
        <v>0</v>
      </c>
      <c r="C512" s="34" t="s">
        <v>22</v>
      </c>
      <c r="D512" s="36">
        <f>'CASE DATA'!M26</f>
        <v>0</v>
      </c>
      <c r="E512" s="39" t="s">
        <v>25</v>
      </c>
      <c r="F512" s="41">
        <f>'CASE DATA'!P26</f>
        <v>0</v>
      </c>
      <c r="G512" s="44" t="s">
        <v>28</v>
      </c>
      <c r="H512" s="54">
        <f>'CASE DATA'!S26</f>
        <v>0</v>
      </c>
    </row>
    <row r="513" spans="1:8" x14ac:dyDescent="0.25">
      <c r="A513" s="56" t="s">
        <v>20</v>
      </c>
      <c r="B513" s="32">
        <f>'CASE DATA'!K26</f>
        <v>0</v>
      </c>
      <c r="C513" s="35" t="s">
        <v>23</v>
      </c>
      <c r="D513" s="37">
        <f>'CASE DATA'!N26</f>
        <v>0</v>
      </c>
      <c r="E513" s="40" t="s">
        <v>26</v>
      </c>
      <c r="F513" s="42">
        <f>'CASE DATA'!Q26</f>
        <v>0</v>
      </c>
      <c r="G513" s="28"/>
      <c r="H513" s="57"/>
    </row>
    <row r="514" spans="1:8" x14ac:dyDescent="0.25">
      <c r="A514" s="58" t="s">
        <v>10</v>
      </c>
      <c r="B514" s="278">
        <f>'CASE DATA'!T26</f>
        <v>0</v>
      </c>
      <c r="C514" s="279"/>
      <c r="D514" s="279"/>
      <c r="E514" s="279"/>
      <c r="F514" s="279"/>
      <c r="G514" s="279"/>
      <c r="H514" s="280"/>
    </row>
    <row r="515" spans="1:8" ht="18.75" x14ac:dyDescent="0.3">
      <c r="A515" s="265" t="s">
        <v>76</v>
      </c>
      <c r="B515" s="266"/>
      <c r="C515" s="266"/>
      <c r="D515" s="266"/>
      <c r="E515" s="266"/>
      <c r="F515" s="266"/>
      <c r="G515" s="266"/>
      <c r="H515" s="267"/>
    </row>
    <row r="516" spans="1:8" ht="45" x14ac:dyDescent="0.25">
      <c r="A516" s="59" t="s">
        <v>39</v>
      </c>
      <c r="B516" s="45" t="s">
        <v>77</v>
      </c>
      <c r="C516" s="46" t="s">
        <v>43</v>
      </c>
      <c r="D516" s="46" t="s">
        <v>44</v>
      </c>
      <c r="E516" s="46" t="s">
        <v>45</v>
      </c>
      <c r="F516" s="47" t="s">
        <v>46</v>
      </c>
      <c r="G516" s="26" t="s">
        <v>78</v>
      </c>
      <c r="H516" s="60"/>
    </row>
    <row r="517" spans="1:8" x14ac:dyDescent="0.25">
      <c r="A517" s="61" t="str">
        <f>EXPUNGEMENT!D25</f>
        <v>NO</v>
      </c>
      <c r="B517" s="61" t="str">
        <f>EXPUNGEMENT!G25</f>
        <v>N/A</v>
      </c>
      <c r="C517" s="136" t="str">
        <f>EXPUNGEMENT!H25</f>
        <v>NO</v>
      </c>
      <c r="D517" s="136" t="str">
        <f>EXPUNGEMENT!I25</f>
        <v>N/A</v>
      </c>
      <c r="E517" s="136" t="str">
        <f>EXPUNGEMENT!J25</f>
        <v>N/A</v>
      </c>
      <c r="F517" s="136" t="str">
        <f>EXPUNGEMENT!K25</f>
        <v>N/A</v>
      </c>
      <c r="G517" s="29"/>
      <c r="H517" s="62"/>
    </row>
    <row r="518" spans="1:8" x14ac:dyDescent="0.25">
      <c r="A518" s="63" t="s">
        <v>51</v>
      </c>
      <c r="B518" s="48" t="s">
        <v>79</v>
      </c>
      <c r="C518" s="49" t="s">
        <v>44</v>
      </c>
      <c r="D518" s="49" t="s">
        <v>45</v>
      </c>
      <c r="E518" s="29"/>
      <c r="F518" s="29"/>
      <c r="G518" s="29"/>
      <c r="H518" s="62"/>
    </row>
    <row r="519" spans="1:8" x14ac:dyDescent="0.25">
      <c r="A519" s="64" t="str">
        <f>EXPUNGEMENT!R25</f>
        <v>NO</v>
      </c>
      <c r="B519" s="64" t="str">
        <f>EXPUNGEMENT!S25</f>
        <v>N/A</v>
      </c>
      <c r="C519" s="64" t="str">
        <f>EXPUNGEMENT!T25</f>
        <v>N/A</v>
      </c>
      <c r="D519" s="64" t="str">
        <f>EXPUNGEMENT!U25</f>
        <v>N/A</v>
      </c>
      <c r="E519" s="29"/>
      <c r="F519" s="29"/>
      <c r="G519" s="29"/>
      <c r="H519" s="62"/>
    </row>
    <row r="520" spans="1:8" ht="18.75" customHeight="1" x14ac:dyDescent="0.3">
      <c r="A520" s="265" t="s">
        <v>80</v>
      </c>
      <c r="B520" s="266"/>
      <c r="C520" s="266"/>
      <c r="D520" s="266"/>
      <c r="E520" s="266"/>
      <c r="F520" s="268"/>
      <c r="G520" s="269">
        <v>23</v>
      </c>
      <c r="H520" s="270"/>
    </row>
    <row r="521" spans="1:8" ht="15" customHeight="1" x14ac:dyDescent="0.25">
      <c r="A521" s="65" t="s">
        <v>29</v>
      </c>
      <c r="B521" s="27">
        <f>BANKRUPTCY!C26</f>
        <v>0</v>
      </c>
      <c r="C521" s="50" t="s">
        <v>56</v>
      </c>
      <c r="D521" s="27">
        <f>BANKRUPTCY!D26</f>
        <v>0</v>
      </c>
      <c r="E521" s="50" t="s">
        <v>57</v>
      </c>
      <c r="F521" s="30">
        <f>BANKRUPTCY!E26</f>
        <v>0</v>
      </c>
      <c r="G521" s="271"/>
      <c r="H521" s="272"/>
    </row>
    <row r="522" spans="1:8" ht="18.75" customHeight="1" x14ac:dyDescent="0.3">
      <c r="A522" s="265" t="s">
        <v>81</v>
      </c>
      <c r="B522" s="266"/>
      <c r="C522" s="266"/>
      <c r="D522" s="266"/>
      <c r="E522" s="266"/>
      <c r="F522" s="268"/>
      <c r="G522" s="271"/>
      <c r="H522" s="272"/>
    </row>
    <row r="523" spans="1:8" ht="15" customHeight="1" x14ac:dyDescent="0.25">
      <c r="A523" s="65" t="s">
        <v>29</v>
      </c>
      <c r="B523" s="27">
        <f>SOL!C26</f>
        <v>0</v>
      </c>
      <c r="C523" s="50" t="s">
        <v>56</v>
      </c>
      <c r="D523" s="27">
        <f>SOL!D26</f>
        <v>0</v>
      </c>
      <c r="E523" s="50" t="s">
        <v>57</v>
      </c>
      <c r="F523" s="30">
        <f>SOL!E26</f>
        <v>0</v>
      </c>
      <c r="G523" s="271"/>
      <c r="H523" s="272"/>
    </row>
    <row r="524" spans="1:8" ht="18.75" customHeight="1" x14ac:dyDescent="0.3">
      <c r="A524" s="265" t="s">
        <v>82</v>
      </c>
      <c r="B524" s="266"/>
      <c r="C524" s="266"/>
      <c r="D524" s="266"/>
      <c r="E524" s="52"/>
      <c r="F524" s="51"/>
      <c r="G524" s="271"/>
      <c r="H524" s="272"/>
    </row>
    <row r="525" spans="1:8" ht="15" customHeight="1" x14ac:dyDescent="0.25">
      <c r="A525" s="65" t="s">
        <v>67</v>
      </c>
      <c r="B525" s="27">
        <f>EXEMPTIONS!C26</f>
        <v>0</v>
      </c>
      <c r="C525" s="50" t="s">
        <v>68</v>
      </c>
      <c r="D525" s="27">
        <f>EXEMPTIONS!D26</f>
        <v>0</v>
      </c>
      <c r="E525" s="31"/>
      <c r="F525" s="31"/>
      <c r="G525" s="271"/>
      <c r="H525" s="272"/>
    </row>
    <row r="526" spans="1:8" ht="18.75" customHeight="1" x14ac:dyDescent="0.3">
      <c r="A526" s="265" t="s">
        <v>83</v>
      </c>
      <c r="B526" s="266"/>
      <c r="C526" s="266"/>
      <c r="D526" s="266"/>
      <c r="E526" s="52"/>
      <c r="F526" s="52"/>
      <c r="G526" s="273"/>
      <c r="H526" s="274"/>
    </row>
    <row r="527" spans="1:8" ht="15.75" thickBot="1" x14ac:dyDescent="0.3">
      <c r="A527" s="66" t="s">
        <v>62</v>
      </c>
      <c r="B527" s="67" t="str">
        <f>'LICENSE-REGIS'!I26</f>
        <v>N/A</v>
      </c>
      <c r="C527" s="68" t="s">
        <v>63</v>
      </c>
      <c r="D527" s="67">
        <f>'LICENSE-REGIS'!M26</f>
        <v>0</v>
      </c>
      <c r="E527" s="275"/>
      <c r="F527" s="276"/>
      <c r="G527" s="276"/>
      <c r="H527" s="277"/>
    </row>
    <row r="531" spans="1:8" ht="15.75" thickBot="1" x14ac:dyDescent="0.3">
      <c r="A531" s="184"/>
      <c r="B531" s="184"/>
      <c r="C531" s="184"/>
      <c r="D531" s="184"/>
      <c r="E531" s="184"/>
      <c r="F531" s="184"/>
      <c r="G531" s="184"/>
      <c r="H531" s="184"/>
    </row>
    <row r="532" spans="1:8" x14ac:dyDescent="0.25">
      <c r="A532" s="75" t="s">
        <v>11</v>
      </c>
      <c r="B532" s="72" t="s">
        <v>12</v>
      </c>
      <c r="C532" s="72" t="s">
        <v>73</v>
      </c>
      <c r="D532" s="72" t="s">
        <v>13</v>
      </c>
      <c r="E532" s="72" t="s">
        <v>61</v>
      </c>
      <c r="F532" s="72" t="s">
        <v>14</v>
      </c>
      <c r="G532" s="72" t="s">
        <v>15</v>
      </c>
      <c r="H532" s="74" t="s">
        <v>16</v>
      </c>
    </row>
    <row r="533" spans="1:8" ht="17.25" x14ac:dyDescent="0.3">
      <c r="A533" s="76">
        <f>'CASE DATA'!A27</f>
        <v>0</v>
      </c>
      <c r="B533" s="77">
        <f>'CASE DATA'!B27</f>
        <v>0</v>
      </c>
      <c r="C533" s="79" t="e">
        <f>'CASE DATA'!#REF!</f>
        <v>#REF!</v>
      </c>
      <c r="D533" s="79">
        <f>'CASE DATA'!C27</f>
        <v>0</v>
      </c>
      <c r="E533" s="77">
        <f>'CASE DATA'!E27</f>
        <v>0</v>
      </c>
      <c r="F533" s="77">
        <f>'CASE DATA'!F27</f>
        <v>0</v>
      </c>
      <c r="G533" s="77">
        <f>'CASE DATA'!G27</f>
        <v>0</v>
      </c>
      <c r="H533" s="78">
        <f>'CASE DATA'!H27</f>
        <v>0</v>
      </c>
    </row>
    <row r="534" spans="1:8" x14ac:dyDescent="0.25">
      <c r="A534" s="53" t="s">
        <v>18</v>
      </c>
      <c r="B534" s="32">
        <f>'CASE DATA'!I27</f>
        <v>0</v>
      </c>
      <c r="C534" s="33" t="s">
        <v>21</v>
      </c>
      <c r="D534" s="36">
        <f>'CASE DATA'!L27</f>
        <v>0</v>
      </c>
      <c r="E534" s="38" t="s">
        <v>24</v>
      </c>
      <c r="F534" s="41">
        <f>'CASE DATA'!O27</f>
        <v>0</v>
      </c>
      <c r="G534" s="43" t="s">
        <v>74</v>
      </c>
      <c r="H534" s="54">
        <f>'CASE DATA'!R27</f>
        <v>0</v>
      </c>
    </row>
    <row r="535" spans="1:8" x14ac:dyDescent="0.25">
      <c r="A535" s="55" t="s">
        <v>75</v>
      </c>
      <c r="B535" s="32">
        <f>'CASE DATA'!J27</f>
        <v>0</v>
      </c>
      <c r="C535" s="34" t="s">
        <v>22</v>
      </c>
      <c r="D535" s="36">
        <f>'CASE DATA'!M27</f>
        <v>0</v>
      </c>
      <c r="E535" s="39" t="s">
        <v>25</v>
      </c>
      <c r="F535" s="41">
        <f>'CASE DATA'!P27</f>
        <v>0</v>
      </c>
      <c r="G535" s="44" t="s">
        <v>28</v>
      </c>
      <c r="H535" s="54">
        <f>'CASE DATA'!S27</f>
        <v>0</v>
      </c>
    </row>
    <row r="536" spans="1:8" x14ac:dyDescent="0.25">
      <c r="A536" s="56" t="s">
        <v>20</v>
      </c>
      <c r="B536" s="32">
        <f>'CASE DATA'!K27</f>
        <v>0</v>
      </c>
      <c r="C536" s="35" t="s">
        <v>23</v>
      </c>
      <c r="D536" s="37">
        <f>'CASE DATA'!N27</f>
        <v>0</v>
      </c>
      <c r="E536" s="40" t="s">
        <v>26</v>
      </c>
      <c r="F536" s="42">
        <f>'CASE DATA'!Q27</f>
        <v>0</v>
      </c>
      <c r="G536" s="28"/>
      <c r="H536" s="57"/>
    </row>
    <row r="537" spans="1:8" x14ac:dyDescent="0.25">
      <c r="A537" s="58" t="s">
        <v>10</v>
      </c>
      <c r="B537" s="278">
        <f>'CASE DATA'!T27</f>
        <v>0</v>
      </c>
      <c r="C537" s="279"/>
      <c r="D537" s="279"/>
      <c r="E537" s="279"/>
      <c r="F537" s="279"/>
      <c r="G537" s="279"/>
      <c r="H537" s="280"/>
    </row>
    <row r="538" spans="1:8" ht="18.75" x14ac:dyDescent="0.3">
      <c r="A538" s="265" t="s">
        <v>76</v>
      </c>
      <c r="B538" s="266"/>
      <c r="C538" s="266"/>
      <c r="D538" s="266"/>
      <c r="E538" s="266"/>
      <c r="F538" s="266"/>
      <c r="G538" s="266"/>
      <c r="H538" s="267"/>
    </row>
    <row r="539" spans="1:8" ht="45" x14ac:dyDescent="0.25">
      <c r="A539" s="59" t="s">
        <v>39</v>
      </c>
      <c r="B539" s="45" t="s">
        <v>77</v>
      </c>
      <c r="C539" s="46" t="s">
        <v>43</v>
      </c>
      <c r="D539" s="46" t="s">
        <v>44</v>
      </c>
      <c r="E539" s="46" t="s">
        <v>45</v>
      </c>
      <c r="F539" s="47" t="s">
        <v>46</v>
      </c>
      <c r="G539" s="26" t="s">
        <v>78</v>
      </c>
      <c r="H539" s="60"/>
    </row>
    <row r="540" spans="1:8" x14ac:dyDescent="0.25">
      <c r="A540" s="61" t="str">
        <f>EXPUNGEMENT!D26</f>
        <v>NO</v>
      </c>
      <c r="B540" s="61" t="str">
        <f>EXPUNGEMENT!G26</f>
        <v>N/A</v>
      </c>
      <c r="C540" s="136" t="str">
        <f>EXPUNGEMENT!H26</f>
        <v>NO</v>
      </c>
      <c r="D540" s="136" t="str">
        <f>EXPUNGEMENT!I26</f>
        <v>N/A</v>
      </c>
      <c r="E540" s="136" t="str">
        <f>EXPUNGEMENT!J26</f>
        <v>N/A</v>
      </c>
      <c r="F540" s="136" t="str">
        <f>EXPUNGEMENT!K26</f>
        <v>N/A</v>
      </c>
      <c r="G540" s="29"/>
      <c r="H540" s="62"/>
    </row>
    <row r="541" spans="1:8" x14ac:dyDescent="0.25">
      <c r="A541" s="63" t="s">
        <v>51</v>
      </c>
      <c r="B541" s="48" t="s">
        <v>79</v>
      </c>
      <c r="C541" s="49" t="s">
        <v>44</v>
      </c>
      <c r="D541" s="49" t="s">
        <v>45</v>
      </c>
      <c r="E541" s="29"/>
      <c r="F541" s="29"/>
      <c r="G541" s="29"/>
      <c r="H541" s="62"/>
    </row>
    <row r="542" spans="1:8" x14ac:dyDescent="0.25">
      <c r="A542" s="64" t="str">
        <f>EXPUNGEMENT!R26</f>
        <v>NO</v>
      </c>
      <c r="B542" s="64" t="str">
        <f>EXPUNGEMENT!S26</f>
        <v>N/A</v>
      </c>
      <c r="C542" s="64" t="str">
        <f>EXPUNGEMENT!T26</f>
        <v>N/A</v>
      </c>
      <c r="D542" s="64" t="str">
        <f>EXPUNGEMENT!U26</f>
        <v>N/A</v>
      </c>
      <c r="E542" s="29"/>
      <c r="F542" s="29"/>
      <c r="G542" s="29"/>
      <c r="H542" s="62"/>
    </row>
    <row r="543" spans="1:8" ht="18.75" x14ac:dyDescent="0.3">
      <c r="A543" s="265" t="s">
        <v>80</v>
      </c>
      <c r="B543" s="266"/>
      <c r="C543" s="266"/>
      <c r="D543" s="266"/>
      <c r="E543" s="266"/>
      <c r="F543" s="268"/>
      <c r="G543" s="269">
        <v>24</v>
      </c>
      <c r="H543" s="270"/>
    </row>
    <row r="544" spans="1:8" x14ac:dyDescent="0.25">
      <c r="A544" s="65" t="s">
        <v>29</v>
      </c>
      <c r="B544" s="27">
        <f>BANKRUPTCY!C27</f>
        <v>0</v>
      </c>
      <c r="C544" s="50" t="s">
        <v>56</v>
      </c>
      <c r="D544" s="27">
        <f>BANKRUPTCY!D27</f>
        <v>0</v>
      </c>
      <c r="E544" s="50" t="s">
        <v>57</v>
      </c>
      <c r="F544" s="30">
        <f>BANKRUPTCY!E27</f>
        <v>0</v>
      </c>
      <c r="G544" s="271"/>
      <c r="H544" s="272"/>
    </row>
    <row r="545" spans="1:8" ht="18.75" x14ac:dyDescent="0.3">
      <c r="A545" s="265" t="s">
        <v>81</v>
      </c>
      <c r="B545" s="266"/>
      <c r="C545" s="266"/>
      <c r="D545" s="266"/>
      <c r="E545" s="266"/>
      <c r="F545" s="268"/>
      <c r="G545" s="271"/>
      <c r="H545" s="272"/>
    </row>
    <row r="546" spans="1:8" x14ac:dyDescent="0.25">
      <c r="A546" s="65" t="s">
        <v>29</v>
      </c>
      <c r="B546" s="27">
        <f>SOL!C27</f>
        <v>0</v>
      </c>
      <c r="C546" s="50" t="s">
        <v>56</v>
      </c>
      <c r="D546" s="27">
        <f>SOL!D27</f>
        <v>0</v>
      </c>
      <c r="E546" s="50" t="s">
        <v>57</v>
      </c>
      <c r="F546" s="30">
        <f>SOL!E27</f>
        <v>0</v>
      </c>
      <c r="G546" s="271"/>
      <c r="H546" s="272"/>
    </row>
    <row r="547" spans="1:8" ht="18.75" x14ac:dyDescent="0.3">
      <c r="A547" s="265" t="s">
        <v>82</v>
      </c>
      <c r="B547" s="266"/>
      <c r="C547" s="266"/>
      <c r="D547" s="266"/>
      <c r="E547" s="52"/>
      <c r="F547" s="51"/>
      <c r="G547" s="271"/>
      <c r="H547" s="272"/>
    </row>
    <row r="548" spans="1:8" x14ac:dyDescent="0.25">
      <c r="A548" s="65" t="s">
        <v>67</v>
      </c>
      <c r="B548" s="27">
        <f>EXEMPTIONS!C27</f>
        <v>0</v>
      </c>
      <c r="C548" s="50" t="s">
        <v>68</v>
      </c>
      <c r="D548" s="27">
        <f>EXEMPTIONS!D27</f>
        <v>0</v>
      </c>
      <c r="E548" s="31"/>
      <c r="F548" s="31"/>
      <c r="G548" s="271"/>
      <c r="H548" s="272"/>
    </row>
    <row r="549" spans="1:8" ht="18.75" x14ac:dyDescent="0.3">
      <c r="A549" s="265" t="s">
        <v>83</v>
      </c>
      <c r="B549" s="266"/>
      <c r="C549" s="266"/>
      <c r="D549" s="266"/>
      <c r="E549" s="52"/>
      <c r="F549" s="52"/>
      <c r="G549" s="273"/>
      <c r="H549" s="274"/>
    </row>
    <row r="550" spans="1:8" ht="15.75" thickBot="1" x14ac:dyDescent="0.3">
      <c r="A550" s="66" t="s">
        <v>62</v>
      </c>
      <c r="B550" s="67" t="str">
        <f>'LICENSE-REGIS'!I27</f>
        <v>N/A</v>
      </c>
      <c r="C550" s="68" t="s">
        <v>63</v>
      </c>
      <c r="D550" s="67">
        <f>'LICENSE-REGIS'!M27</f>
        <v>0</v>
      </c>
      <c r="E550" s="275"/>
      <c r="F550" s="276"/>
      <c r="G550" s="276"/>
      <c r="H550" s="277"/>
    </row>
    <row r="554" spans="1:8" ht="15.75" thickBot="1" x14ac:dyDescent="0.3">
      <c r="A554" s="184"/>
      <c r="B554" s="184"/>
      <c r="C554" s="184"/>
      <c r="D554" s="184"/>
      <c r="E554" s="184"/>
      <c r="F554" s="184"/>
      <c r="G554" s="184"/>
      <c r="H554" s="184"/>
    </row>
    <row r="555" spans="1:8" x14ac:dyDescent="0.25">
      <c r="A555" s="75" t="s">
        <v>11</v>
      </c>
      <c r="B555" s="72" t="s">
        <v>12</v>
      </c>
      <c r="C555" s="72" t="s">
        <v>73</v>
      </c>
      <c r="D555" s="72" t="s">
        <v>13</v>
      </c>
      <c r="E555" s="72" t="s">
        <v>61</v>
      </c>
      <c r="F555" s="72" t="s">
        <v>14</v>
      </c>
      <c r="G555" s="72" t="s">
        <v>15</v>
      </c>
      <c r="H555" s="74" t="s">
        <v>16</v>
      </c>
    </row>
    <row r="556" spans="1:8" ht="17.25" x14ac:dyDescent="0.3">
      <c r="A556" s="76">
        <f>'CASE DATA'!A28</f>
        <v>0</v>
      </c>
      <c r="B556" s="77">
        <f>'CASE DATA'!B28</f>
        <v>0</v>
      </c>
      <c r="C556" s="79" t="e">
        <f>'CASE DATA'!#REF!</f>
        <v>#REF!</v>
      </c>
      <c r="D556" s="79">
        <f>'CASE DATA'!C28</f>
        <v>0</v>
      </c>
      <c r="E556" s="77">
        <f>'CASE DATA'!E28</f>
        <v>0</v>
      </c>
      <c r="F556" s="77">
        <f>'CASE DATA'!F28</f>
        <v>0</v>
      </c>
      <c r="G556" s="77">
        <f>'CASE DATA'!G28</f>
        <v>0</v>
      </c>
      <c r="H556" s="78">
        <f>'CASE DATA'!H28</f>
        <v>0</v>
      </c>
    </row>
    <row r="557" spans="1:8" x14ac:dyDescent="0.25">
      <c r="A557" s="53" t="s">
        <v>18</v>
      </c>
      <c r="B557" s="32">
        <f>'CASE DATA'!I28</f>
        <v>0</v>
      </c>
      <c r="C557" s="33" t="s">
        <v>21</v>
      </c>
      <c r="D557" s="36">
        <f>'CASE DATA'!L28</f>
        <v>0</v>
      </c>
      <c r="E557" s="38" t="s">
        <v>24</v>
      </c>
      <c r="F557" s="41">
        <f>'CASE DATA'!O28</f>
        <v>0</v>
      </c>
      <c r="G557" s="43" t="s">
        <v>74</v>
      </c>
      <c r="H557" s="54">
        <f>'CASE DATA'!R28</f>
        <v>0</v>
      </c>
    </row>
    <row r="558" spans="1:8" x14ac:dyDescent="0.25">
      <c r="A558" s="55" t="s">
        <v>75</v>
      </c>
      <c r="B558" s="32">
        <f>'CASE DATA'!J28</f>
        <v>0</v>
      </c>
      <c r="C558" s="34" t="s">
        <v>22</v>
      </c>
      <c r="D558" s="36">
        <f>'CASE DATA'!M28</f>
        <v>0</v>
      </c>
      <c r="E558" s="39" t="s">
        <v>25</v>
      </c>
      <c r="F558" s="41">
        <f>'CASE DATA'!P28</f>
        <v>0</v>
      </c>
      <c r="G558" s="44" t="s">
        <v>28</v>
      </c>
      <c r="H558" s="54">
        <f>'CASE DATA'!S28</f>
        <v>0</v>
      </c>
    </row>
    <row r="559" spans="1:8" x14ac:dyDescent="0.25">
      <c r="A559" s="56" t="s">
        <v>20</v>
      </c>
      <c r="B559" s="32">
        <f>'CASE DATA'!K28</f>
        <v>0</v>
      </c>
      <c r="C559" s="35" t="s">
        <v>23</v>
      </c>
      <c r="D559" s="37">
        <f>'CASE DATA'!N28</f>
        <v>0</v>
      </c>
      <c r="E559" s="40" t="s">
        <v>26</v>
      </c>
      <c r="F559" s="42">
        <f>'CASE DATA'!Q28</f>
        <v>0</v>
      </c>
      <c r="G559" s="28"/>
      <c r="H559" s="57"/>
    </row>
    <row r="560" spans="1:8" x14ac:dyDescent="0.25">
      <c r="A560" s="58" t="s">
        <v>10</v>
      </c>
      <c r="B560" s="278">
        <f>'CASE DATA'!T28</f>
        <v>0</v>
      </c>
      <c r="C560" s="279"/>
      <c r="D560" s="279"/>
      <c r="E560" s="279"/>
      <c r="F560" s="279"/>
      <c r="G560" s="279"/>
      <c r="H560" s="280"/>
    </row>
    <row r="561" spans="1:8" ht="18.75" x14ac:dyDescent="0.3">
      <c r="A561" s="265" t="s">
        <v>76</v>
      </c>
      <c r="B561" s="266"/>
      <c r="C561" s="266"/>
      <c r="D561" s="266"/>
      <c r="E561" s="266"/>
      <c r="F561" s="266"/>
      <c r="G561" s="266"/>
      <c r="H561" s="267"/>
    </row>
    <row r="562" spans="1:8" ht="45" x14ac:dyDescent="0.25">
      <c r="A562" s="59" t="s">
        <v>39</v>
      </c>
      <c r="B562" s="45" t="s">
        <v>77</v>
      </c>
      <c r="C562" s="46" t="s">
        <v>43</v>
      </c>
      <c r="D562" s="46" t="s">
        <v>44</v>
      </c>
      <c r="E562" s="46" t="s">
        <v>45</v>
      </c>
      <c r="F562" s="47" t="s">
        <v>46</v>
      </c>
      <c r="G562" s="26" t="s">
        <v>78</v>
      </c>
      <c r="H562" s="60"/>
    </row>
    <row r="563" spans="1:8" x14ac:dyDescent="0.25">
      <c r="A563" s="61" t="str">
        <f>EXPUNGEMENT!D27</f>
        <v>NO</v>
      </c>
      <c r="B563" s="61" t="str">
        <f>EXPUNGEMENT!G27</f>
        <v>N/A</v>
      </c>
      <c r="C563" s="136" t="str">
        <f>EXPUNGEMENT!H27</f>
        <v>NO</v>
      </c>
      <c r="D563" s="136" t="str">
        <f>EXPUNGEMENT!I27</f>
        <v>N/A</v>
      </c>
      <c r="E563" s="136" t="str">
        <f>EXPUNGEMENT!J27</f>
        <v>N/A</v>
      </c>
      <c r="F563" s="136" t="str">
        <f>EXPUNGEMENT!K27</f>
        <v>N/A</v>
      </c>
      <c r="G563" s="29"/>
      <c r="H563" s="62"/>
    </row>
    <row r="564" spans="1:8" x14ac:dyDescent="0.25">
      <c r="A564" s="63" t="s">
        <v>51</v>
      </c>
      <c r="B564" s="48" t="s">
        <v>79</v>
      </c>
      <c r="C564" s="49" t="s">
        <v>44</v>
      </c>
      <c r="D564" s="49" t="s">
        <v>45</v>
      </c>
      <c r="E564" s="29"/>
      <c r="F564" s="29"/>
      <c r="G564" s="29"/>
      <c r="H564" s="62"/>
    </row>
    <row r="565" spans="1:8" x14ac:dyDescent="0.25">
      <c r="A565" s="64" t="str">
        <f>EXPUNGEMENT!R27</f>
        <v>NO</v>
      </c>
      <c r="B565" s="64" t="str">
        <f>EXPUNGEMENT!S27</f>
        <v>N/A</v>
      </c>
      <c r="C565" s="64" t="str">
        <f>EXPUNGEMENT!T27</f>
        <v>N/A</v>
      </c>
      <c r="D565" s="64" t="str">
        <f>EXPUNGEMENT!U27</f>
        <v>N/A</v>
      </c>
      <c r="E565" s="29"/>
      <c r="F565" s="29"/>
      <c r="G565" s="29"/>
      <c r="H565" s="62"/>
    </row>
    <row r="566" spans="1:8" ht="18.75" x14ac:dyDescent="0.3">
      <c r="A566" s="265" t="s">
        <v>80</v>
      </c>
      <c r="B566" s="266"/>
      <c r="C566" s="266"/>
      <c r="D566" s="266"/>
      <c r="E566" s="266"/>
      <c r="F566" s="268"/>
      <c r="G566" s="269">
        <v>25</v>
      </c>
      <c r="H566" s="270"/>
    </row>
    <row r="567" spans="1:8" x14ac:dyDescent="0.25">
      <c r="A567" s="65" t="s">
        <v>29</v>
      </c>
      <c r="B567" s="27">
        <f>BANKRUPTCY!C28</f>
        <v>0</v>
      </c>
      <c r="C567" s="50" t="s">
        <v>56</v>
      </c>
      <c r="D567" s="27">
        <f>BANKRUPTCY!D28</f>
        <v>0</v>
      </c>
      <c r="E567" s="50" t="s">
        <v>57</v>
      </c>
      <c r="F567" s="30">
        <f>BANKRUPTCY!E28</f>
        <v>0</v>
      </c>
      <c r="G567" s="271"/>
      <c r="H567" s="272"/>
    </row>
    <row r="568" spans="1:8" ht="18.75" x14ac:dyDescent="0.3">
      <c r="A568" s="265" t="s">
        <v>81</v>
      </c>
      <c r="B568" s="266"/>
      <c r="C568" s="266"/>
      <c r="D568" s="266"/>
      <c r="E568" s="266"/>
      <c r="F568" s="268"/>
      <c r="G568" s="271"/>
      <c r="H568" s="272"/>
    </row>
    <row r="569" spans="1:8" x14ac:dyDescent="0.25">
      <c r="A569" s="65" t="s">
        <v>29</v>
      </c>
      <c r="B569" s="27">
        <f>SOL!C28</f>
        <v>0</v>
      </c>
      <c r="C569" s="50" t="s">
        <v>56</v>
      </c>
      <c r="D569" s="27">
        <f>SOL!D28</f>
        <v>0</v>
      </c>
      <c r="E569" s="50" t="s">
        <v>57</v>
      </c>
      <c r="F569" s="30">
        <f>SOL!E28</f>
        <v>0</v>
      </c>
      <c r="G569" s="271"/>
      <c r="H569" s="272"/>
    </row>
    <row r="570" spans="1:8" ht="18.75" x14ac:dyDescent="0.3">
      <c r="A570" s="265" t="s">
        <v>82</v>
      </c>
      <c r="B570" s="266"/>
      <c r="C570" s="266"/>
      <c r="D570" s="266"/>
      <c r="E570" s="52"/>
      <c r="F570" s="51"/>
      <c r="G570" s="271"/>
      <c r="H570" s="272"/>
    </row>
    <row r="571" spans="1:8" x14ac:dyDescent="0.25">
      <c r="A571" s="65" t="s">
        <v>67</v>
      </c>
      <c r="B571" s="27">
        <f>EXEMPTIONS!C28</f>
        <v>0</v>
      </c>
      <c r="C571" s="50" t="s">
        <v>68</v>
      </c>
      <c r="D571" s="27">
        <f>EXEMPTIONS!D28</f>
        <v>0</v>
      </c>
      <c r="E571" s="31"/>
      <c r="F571" s="31"/>
      <c r="G571" s="271"/>
      <c r="H571" s="272"/>
    </row>
    <row r="572" spans="1:8" ht="18.75" x14ac:dyDescent="0.3">
      <c r="A572" s="265" t="s">
        <v>83</v>
      </c>
      <c r="B572" s="266"/>
      <c r="C572" s="266"/>
      <c r="D572" s="266"/>
      <c r="E572" s="52"/>
      <c r="F572" s="52"/>
      <c r="G572" s="273"/>
      <c r="H572" s="274"/>
    </row>
    <row r="573" spans="1:8" ht="15.75" thickBot="1" x14ac:dyDescent="0.3">
      <c r="A573" s="66" t="s">
        <v>62</v>
      </c>
      <c r="B573" s="67" t="str">
        <f>'LICENSE-REGIS'!I28</f>
        <v>N/A</v>
      </c>
      <c r="C573" s="68" t="s">
        <v>63</v>
      </c>
      <c r="D573" s="67">
        <f>'LICENSE-REGIS'!M28</f>
        <v>0</v>
      </c>
      <c r="E573" s="275"/>
      <c r="F573" s="276"/>
      <c r="G573" s="276"/>
      <c r="H573" s="277"/>
    </row>
    <row r="577" spans="1:8" ht="15.75" thickBot="1" x14ac:dyDescent="0.3">
      <c r="A577" s="184"/>
      <c r="B577" s="184"/>
      <c r="C577" s="184"/>
      <c r="D577" s="184"/>
      <c r="E577" s="184"/>
      <c r="F577" s="184"/>
      <c r="G577" s="184"/>
      <c r="H577" s="184"/>
    </row>
    <row r="578" spans="1:8" x14ac:dyDescent="0.25">
      <c r="A578" s="75" t="s">
        <v>11</v>
      </c>
      <c r="B578" s="72" t="s">
        <v>12</v>
      </c>
      <c r="C578" s="72" t="s">
        <v>73</v>
      </c>
      <c r="D578" s="72" t="s">
        <v>13</v>
      </c>
      <c r="E578" s="72" t="s">
        <v>61</v>
      </c>
      <c r="F578" s="72" t="s">
        <v>14</v>
      </c>
      <c r="G578" s="72" t="s">
        <v>15</v>
      </c>
      <c r="H578" s="74" t="s">
        <v>16</v>
      </c>
    </row>
    <row r="579" spans="1:8" ht="17.25" x14ac:dyDescent="0.3">
      <c r="A579" s="76">
        <f>'CASE DATA'!A29</f>
        <v>0</v>
      </c>
      <c r="B579" s="77">
        <f>'CASE DATA'!B29</f>
        <v>0</v>
      </c>
      <c r="C579" s="79" t="e">
        <f>'CASE DATA'!#REF!</f>
        <v>#REF!</v>
      </c>
      <c r="D579" s="79">
        <f>'CASE DATA'!C29</f>
        <v>0</v>
      </c>
      <c r="E579" s="77">
        <f>'CASE DATA'!E29</f>
        <v>0</v>
      </c>
      <c r="F579" s="77">
        <f>'CASE DATA'!F29</f>
        <v>0</v>
      </c>
      <c r="G579" s="77">
        <f>'CASE DATA'!G29</f>
        <v>0</v>
      </c>
      <c r="H579" s="78">
        <f>'CASE DATA'!H29</f>
        <v>0</v>
      </c>
    </row>
    <row r="580" spans="1:8" x14ac:dyDescent="0.25">
      <c r="A580" s="53" t="s">
        <v>18</v>
      </c>
      <c r="B580" s="32">
        <f>'CASE DATA'!I29</f>
        <v>0</v>
      </c>
      <c r="C580" s="33" t="s">
        <v>21</v>
      </c>
      <c r="D580" s="36">
        <f>'CASE DATA'!L29</f>
        <v>0</v>
      </c>
      <c r="E580" s="38" t="s">
        <v>24</v>
      </c>
      <c r="F580" s="41">
        <f>'CASE DATA'!O29</f>
        <v>0</v>
      </c>
      <c r="G580" s="43" t="s">
        <v>74</v>
      </c>
      <c r="H580" s="54">
        <f>'CASE DATA'!R29</f>
        <v>0</v>
      </c>
    </row>
    <row r="581" spans="1:8" x14ac:dyDescent="0.25">
      <c r="A581" s="55" t="s">
        <v>75</v>
      </c>
      <c r="B581" s="32">
        <f>'CASE DATA'!J29</f>
        <v>0</v>
      </c>
      <c r="C581" s="34" t="s">
        <v>22</v>
      </c>
      <c r="D581" s="36">
        <f>'CASE DATA'!M29</f>
        <v>0</v>
      </c>
      <c r="E581" s="39" t="s">
        <v>25</v>
      </c>
      <c r="F581" s="41">
        <f>'CASE DATA'!P29</f>
        <v>0</v>
      </c>
      <c r="G581" s="44" t="s">
        <v>28</v>
      </c>
      <c r="H581" s="54">
        <f>'CASE DATA'!S29</f>
        <v>0</v>
      </c>
    </row>
    <row r="582" spans="1:8" x14ac:dyDescent="0.25">
      <c r="A582" s="56" t="s">
        <v>20</v>
      </c>
      <c r="B582" s="32">
        <f>'CASE DATA'!K29</f>
        <v>0</v>
      </c>
      <c r="C582" s="35" t="s">
        <v>23</v>
      </c>
      <c r="D582" s="37">
        <f>'CASE DATA'!N29</f>
        <v>0</v>
      </c>
      <c r="E582" s="40" t="s">
        <v>26</v>
      </c>
      <c r="F582" s="42">
        <f>'CASE DATA'!Q29</f>
        <v>0</v>
      </c>
      <c r="G582" s="28"/>
      <c r="H582" s="57"/>
    </row>
    <row r="583" spans="1:8" x14ac:dyDescent="0.25">
      <c r="A583" s="58" t="s">
        <v>10</v>
      </c>
      <c r="B583" s="278">
        <f>'CASE DATA'!T29</f>
        <v>0</v>
      </c>
      <c r="C583" s="279"/>
      <c r="D583" s="279"/>
      <c r="E583" s="279"/>
      <c r="F583" s="279"/>
      <c r="G583" s="279"/>
      <c r="H583" s="280"/>
    </row>
    <row r="584" spans="1:8" ht="18.75" x14ac:dyDescent="0.3">
      <c r="A584" s="265" t="s">
        <v>76</v>
      </c>
      <c r="B584" s="266"/>
      <c r="C584" s="266"/>
      <c r="D584" s="266"/>
      <c r="E584" s="266"/>
      <c r="F584" s="266"/>
      <c r="G584" s="266"/>
      <c r="H584" s="267"/>
    </row>
    <row r="585" spans="1:8" ht="45" x14ac:dyDescent="0.25">
      <c r="A585" s="59" t="s">
        <v>39</v>
      </c>
      <c r="B585" s="45" t="s">
        <v>77</v>
      </c>
      <c r="C585" s="46" t="s">
        <v>43</v>
      </c>
      <c r="D585" s="46" t="s">
        <v>44</v>
      </c>
      <c r="E585" s="46" t="s">
        <v>45</v>
      </c>
      <c r="F585" s="47" t="s">
        <v>46</v>
      </c>
      <c r="G585" s="26" t="s">
        <v>78</v>
      </c>
      <c r="H585" s="60"/>
    </row>
    <row r="586" spans="1:8" x14ac:dyDescent="0.25">
      <c r="A586" s="61" t="str">
        <f>EXPUNGEMENT!D28</f>
        <v>NO</v>
      </c>
      <c r="B586" s="61" t="str">
        <f>EXPUNGEMENT!G28</f>
        <v>N/A</v>
      </c>
      <c r="C586" s="136" t="str">
        <f>EXPUNGEMENT!H28</f>
        <v>NO</v>
      </c>
      <c r="D586" s="136" t="str">
        <f>EXPUNGEMENT!I28</f>
        <v>N/A</v>
      </c>
      <c r="E586" s="136" t="str">
        <f>EXPUNGEMENT!J28</f>
        <v>N/A</v>
      </c>
      <c r="F586" s="136" t="str">
        <f>EXPUNGEMENT!K28</f>
        <v>N/A</v>
      </c>
      <c r="G586" s="29"/>
      <c r="H586" s="62"/>
    </row>
    <row r="587" spans="1:8" x14ac:dyDescent="0.25">
      <c r="A587" s="63" t="s">
        <v>51</v>
      </c>
      <c r="B587" s="48" t="s">
        <v>79</v>
      </c>
      <c r="C587" s="49" t="s">
        <v>44</v>
      </c>
      <c r="D587" s="49" t="s">
        <v>45</v>
      </c>
      <c r="E587" s="29"/>
      <c r="F587" s="29"/>
      <c r="G587" s="29"/>
      <c r="H587" s="62"/>
    </row>
    <row r="588" spans="1:8" x14ac:dyDescent="0.25">
      <c r="A588" s="64" t="str">
        <f>EXPUNGEMENT!R28</f>
        <v>NO</v>
      </c>
      <c r="B588" s="64" t="str">
        <f>EXPUNGEMENT!S28</f>
        <v>N/A</v>
      </c>
      <c r="C588" s="64" t="str">
        <f>EXPUNGEMENT!T28</f>
        <v>N/A</v>
      </c>
      <c r="D588" s="64" t="str">
        <f>EXPUNGEMENT!U85</f>
        <v>N/A</v>
      </c>
      <c r="E588" s="29"/>
      <c r="F588" s="29"/>
      <c r="G588" s="29"/>
      <c r="H588" s="62"/>
    </row>
    <row r="589" spans="1:8" ht="18.75" customHeight="1" x14ac:dyDescent="0.3">
      <c r="A589" s="265" t="s">
        <v>80</v>
      </c>
      <c r="B589" s="266"/>
      <c r="C589" s="266"/>
      <c r="D589" s="266"/>
      <c r="E589" s="266"/>
      <c r="F589" s="268"/>
      <c r="G589" s="269">
        <v>26</v>
      </c>
      <c r="H589" s="270"/>
    </row>
    <row r="590" spans="1:8" ht="15" customHeight="1" x14ac:dyDescent="0.25">
      <c r="A590" s="65" t="s">
        <v>29</v>
      </c>
      <c r="B590" s="27">
        <f>BANKRUPTCY!C29</f>
        <v>0</v>
      </c>
      <c r="C590" s="50" t="s">
        <v>56</v>
      </c>
      <c r="D590" s="27">
        <f>BANKRUPTCY!D29</f>
        <v>0</v>
      </c>
      <c r="E590" s="50" t="s">
        <v>57</v>
      </c>
      <c r="F590" s="30">
        <f>BANKRUPTCY!E29</f>
        <v>0</v>
      </c>
      <c r="G590" s="271"/>
      <c r="H590" s="272"/>
    </row>
    <row r="591" spans="1:8" ht="18.75" customHeight="1" x14ac:dyDescent="0.3">
      <c r="A591" s="265" t="s">
        <v>81</v>
      </c>
      <c r="B591" s="266"/>
      <c r="C591" s="266"/>
      <c r="D591" s="266"/>
      <c r="E591" s="266"/>
      <c r="F591" s="268"/>
      <c r="G591" s="271"/>
      <c r="H591" s="272"/>
    </row>
    <row r="592" spans="1:8" ht="15" customHeight="1" x14ac:dyDescent="0.25">
      <c r="A592" s="65" t="s">
        <v>29</v>
      </c>
      <c r="B592" s="27">
        <f>SOL!C29</f>
        <v>0</v>
      </c>
      <c r="C592" s="50" t="s">
        <v>56</v>
      </c>
      <c r="D592" s="27">
        <f>SOL!D29</f>
        <v>0</v>
      </c>
      <c r="E592" s="50" t="s">
        <v>57</v>
      </c>
      <c r="F592" s="30">
        <f>SOL!E29</f>
        <v>0</v>
      </c>
      <c r="G592" s="271"/>
      <c r="H592" s="272"/>
    </row>
    <row r="593" spans="1:8" ht="18.75" customHeight="1" x14ac:dyDescent="0.3">
      <c r="A593" s="265" t="s">
        <v>82</v>
      </c>
      <c r="B593" s="266"/>
      <c r="C593" s="266"/>
      <c r="D593" s="266"/>
      <c r="E593" s="52"/>
      <c r="F593" s="51"/>
      <c r="G593" s="271"/>
      <c r="H593" s="272"/>
    </row>
    <row r="594" spans="1:8" ht="15" customHeight="1" x14ac:dyDescent="0.25">
      <c r="A594" s="65" t="s">
        <v>67</v>
      </c>
      <c r="B594" s="27">
        <f>EXEMPTIONS!C29</f>
        <v>0</v>
      </c>
      <c r="C594" s="50" t="s">
        <v>68</v>
      </c>
      <c r="D594" s="27">
        <f>EXEMPTIONS!D29</f>
        <v>0</v>
      </c>
      <c r="E594" s="31"/>
      <c r="F594" s="31"/>
      <c r="G594" s="271"/>
      <c r="H594" s="272"/>
    </row>
    <row r="595" spans="1:8" ht="18.75" customHeight="1" x14ac:dyDescent="0.3">
      <c r="A595" s="265" t="s">
        <v>83</v>
      </c>
      <c r="B595" s="266"/>
      <c r="C595" s="266"/>
      <c r="D595" s="266"/>
      <c r="E595" s="52"/>
      <c r="F595" s="52"/>
      <c r="G595" s="273"/>
      <c r="H595" s="274"/>
    </row>
    <row r="596" spans="1:8" ht="15.75" thickBot="1" x14ac:dyDescent="0.3">
      <c r="A596" s="66" t="s">
        <v>62</v>
      </c>
      <c r="B596" s="67" t="str">
        <f>'LICENSE-REGIS'!I29</f>
        <v>N/A</v>
      </c>
      <c r="C596" s="68" t="s">
        <v>63</v>
      </c>
      <c r="D596" s="67">
        <f>'LICENSE-REGIS'!M29</f>
        <v>0</v>
      </c>
      <c r="E596" s="275"/>
      <c r="F596" s="276"/>
      <c r="G596" s="276"/>
      <c r="H596" s="277"/>
    </row>
    <row r="600" spans="1:8" ht="15.75" thickBot="1" x14ac:dyDescent="0.3">
      <c r="A600" s="184"/>
      <c r="B600" s="184"/>
      <c r="C600" s="184"/>
      <c r="D600" s="184"/>
      <c r="E600" s="184"/>
      <c r="F600" s="184"/>
      <c r="G600" s="184"/>
      <c r="H600" s="184"/>
    </row>
    <row r="601" spans="1:8" x14ac:dyDescent="0.25">
      <c r="A601" s="75" t="s">
        <v>11</v>
      </c>
      <c r="B601" s="72" t="s">
        <v>12</v>
      </c>
      <c r="C601" s="72" t="s">
        <v>73</v>
      </c>
      <c r="D601" s="72" t="s">
        <v>13</v>
      </c>
      <c r="E601" s="72" t="s">
        <v>61</v>
      </c>
      <c r="F601" s="72" t="s">
        <v>14</v>
      </c>
      <c r="G601" s="72" t="s">
        <v>15</v>
      </c>
      <c r="H601" s="74" t="s">
        <v>16</v>
      </c>
    </row>
    <row r="602" spans="1:8" ht="17.25" x14ac:dyDescent="0.3">
      <c r="A602" s="76">
        <f>'CASE DATA'!A30</f>
        <v>0</v>
      </c>
      <c r="B602" s="77">
        <f>'CASE DATA'!B30</f>
        <v>0</v>
      </c>
      <c r="C602" s="79" t="e">
        <f>'CASE DATA'!#REF!</f>
        <v>#REF!</v>
      </c>
      <c r="D602" s="79">
        <f>'CASE DATA'!C30</f>
        <v>0</v>
      </c>
      <c r="E602" s="77">
        <f>'CASE DATA'!E30</f>
        <v>0</v>
      </c>
      <c r="F602" s="77">
        <f>'CASE DATA'!F30</f>
        <v>0</v>
      </c>
      <c r="G602" s="77">
        <f>'CASE DATA'!G30</f>
        <v>0</v>
      </c>
      <c r="H602" s="78">
        <f>'CASE DATA'!H30</f>
        <v>0</v>
      </c>
    </row>
    <row r="603" spans="1:8" x14ac:dyDescent="0.25">
      <c r="A603" s="53" t="s">
        <v>18</v>
      </c>
      <c r="B603" s="32">
        <f>'CASE DATA'!I30</f>
        <v>0</v>
      </c>
      <c r="C603" s="33" t="s">
        <v>21</v>
      </c>
      <c r="D603" s="36">
        <f>'CASE DATA'!L30</f>
        <v>0</v>
      </c>
      <c r="E603" s="38" t="s">
        <v>24</v>
      </c>
      <c r="F603" s="41">
        <f>'CASE DATA'!O30</f>
        <v>0</v>
      </c>
      <c r="G603" s="43" t="s">
        <v>74</v>
      </c>
      <c r="H603" s="54">
        <f>'CASE DATA'!R30</f>
        <v>0</v>
      </c>
    </row>
    <row r="604" spans="1:8" x14ac:dyDescent="0.25">
      <c r="A604" s="55" t="s">
        <v>75</v>
      </c>
      <c r="B604" s="32">
        <f>'CASE DATA'!J30</f>
        <v>0</v>
      </c>
      <c r="C604" s="34" t="s">
        <v>22</v>
      </c>
      <c r="D604" s="36">
        <f>'CASE DATA'!M30</f>
        <v>0</v>
      </c>
      <c r="E604" s="39" t="s">
        <v>25</v>
      </c>
      <c r="F604" s="41">
        <f>'CASE DATA'!P30</f>
        <v>0</v>
      </c>
      <c r="G604" s="44" t="s">
        <v>28</v>
      </c>
      <c r="H604" s="54">
        <f>'CASE DATA'!S30</f>
        <v>0</v>
      </c>
    </row>
    <row r="605" spans="1:8" x14ac:dyDescent="0.25">
      <c r="A605" s="56" t="s">
        <v>20</v>
      </c>
      <c r="B605" s="32">
        <f>'CASE DATA'!K30</f>
        <v>0</v>
      </c>
      <c r="C605" s="35" t="s">
        <v>23</v>
      </c>
      <c r="D605" s="37">
        <f>'CASE DATA'!N30</f>
        <v>0</v>
      </c>
      <c r="E605" s="40" t="s">
        <v>26</v>
      </c>
      <c r="F605" s="42">
        <f>'CASE DATA'!Q30</f>
        <v>0</v>
      </c>
      <c r="G605" s="28"/>
      <c r="H605" s="57"/>
    </row>
    <row r="606" spans="1:8" x14ac:dyDescent="0.25">
      <c r="A606" s="58" t="s">
        <v>10</v>
      </c>
      <c r="B606" s="278">
        <f>'CASE DATA'!T30</f>
        <v>0</v>
      </c>
      <c r="C606" s="279"/>
      <c r="D606" s="279"/>
      <c r="E606" s="279"/>
      <c r="F606" s="279"/>
      <c r="G606" s="279"/>
      <c r="H606" s="280"/>
    </row>
    <row r="607" spans="1:8" ht="18.75" x14ac:dyDescent="0.3">
      <c r="A607" s="265" t="s">
        <v>76</v>
      </c>
      <c r="B607" s="266"/>
      <c r="C607" s="266"/>
      <c r="D607" s="266"/>
      <c r="E607" s="266"/>
      <c r="F607" s="266"/>
      <c r="G607" s="266"/>
      <c r="H607" s="267"/>
    </row>
    <row r="608" spans="1:8" ht="45" x14ac:dyDescent="0.25">
      <c r="A608" s="59" t="s">
        <v>39</v>
      </c>
      <c r="B608" s="45" t="s">
        <v>77</v>
      </c>
      <c r="C608" s="46" t="s">
        <v>43</v>
      </c>
      <c r="D608" s="46" t="s">
        <v>44</v>
      </c>
      <c r="E608" s="46" t="s">
        <v>45</v>
      </c>
      <c r="F608" s="47" t="s">
        <v>46</v>
      </c>
      <c r="G608" s="26" t="s">
        <v>78</v>
      </c>
      <c r="H608" s="60"/>
    </row>
    <row r="609" spans="1:8" x14ac:dyDescent="0.25">
      <c r="A609" s="61" t="str">
        <f>EXPUNGEMENT!D29</f>
        <v>NO</v>
      </c>
      <c r="B609" s="61" t="str">
        <f>EXPUNGEMENT!G29</f>
        <v>N/A</v>
      </c>
      <c r="C609" s="136" t="str">
        <f>EXPUNGEMENT!H29</f>
        <v>NO</v>
      </c>
      <c r="D609" s="136" t="str">
        <f>EXPUNGEMENT!I29</f>
        <v>N/A</v>
      </c>
      <c r="E609" s="136" t="str">
        <f>EXPUNGEMENT!J29</f>
        <v>N/A</v>
      </c>
      <c r="F609" s="136" t="str">
        <f>EXPUNGEMENT!K29</f>
        <v>N/A</v>
      </c>
      <c r="G609" s="29"/>
      <c r="H609" s="62"/>
    </row>
    <row r="610" spans="1:8" x14ac:dyDescent="0.25">
      <c r="A610" s="63" t="s">
        <v>51</v>
      </c>
      <c r="B610" s="48" t="s">
        <v>79</v>
      </c>
      <c r="C610" s="49" t="s">
        <v>44</v>
      </c>
      <c r="D610" s="49" t="s">
        <v>45</v>
      </c>
      <c r="E610" s="29"/>
      <c r="F610" s="29"/>
      <c r="G610" s="29"/>
      <c r="H610" s="62"/>
    </row>
    <row r="611" spans="1:8" x14ac:dyDescent="0.25">
      <c r="A611" s="64" t="str">
        <f>EXPUNGEMENT!R29</f>
        <v>NO</v>
      </c>
      <c r="B611" s="64" t="str">
        <f>EXPUNGEMENT!S29</f>
        <v>N/A</v>
      </c>
      <c r="C611" s="64" t="str">
        <f>EXPUNGEMENT!T29</f>
        <v>N/A</v>
      </c>
      <c r="D611" s="64" t="str">
        <f>EXPUNGEMENT!U29</f>
        <v>N/A</v>
      </c>
      <c r="E611" s="29"/>
      <c r="F611" s="29"/>
      <c r="G611" s="29"/>
      <c r="H611" s="62"/>
    </row>
    <row r="612" spans="1:8" ht="18.75" x14ac:dyDescent="0.3">
      <c r="A612" s="265" t="s">
        <v>80</v>
      </c>
      <c r="B612" s="266"/>
      <c r="C612" s="266"/>
      <c r="D612" s="266"/>
      <c r="E612" s="266"/>
      <c r="F612" s="268"/>
      <c r="G612" s="269">
        <v>27</v>
      </c>
      <c r="H612" s="270"/>
    </row>
    <row r="613" spans="1:8" x14ac:dyDescent="0.25">
      <c r="A613" s="65" t="s">
        <v>29</v>
      </c>
      <c r="B613" s="27">
        <f>BANKRUPTCY!C30</f>
        <v>0</v>
      </c>
      <c r="C613" s="50" t="s">
        <v>56</v>
      </c>
      <c r="D613" s="27">
        <f>BANKRUPTCY!D30</f>
        <v>0</v>
      </c>
      <c r="E613" s="50" t="s">
        <v>57</v>
      </c>
      <c r="F613" s="30">
        <f>BANKRUPTCY!E30</f>
        <v>0</v>
      </c>
      <c r="G613" s="271"/>
      <c r="H613" s="272"/>
    </row>
    <row r="614" spans="1:8" ht="18.75" x14ac:dyDescent="0.3">
      <c r="A614" s="265" t="s">
        <v>81</v>
      </c>
      <c r="B614" s="266"/>
      <c r="C614" s="266"/>
      <c r="D614" s="266"/>
      <c r="E614" s="266"/>
      <c r="F614" s="268"/>
      <c r="G614" s="271"/>
      <c r="H614" s="272"/>
    </row>
    <row r="615" spans="1:8" x14ac:dyDescent="0.25">
      <c r="A615" s="65" t="s">
        <v>29</v>
      </c>
      <c r="B615" s="27">
        <f>SOL!C30</f>
        <v>0</v>
      </c>
      <c r="C615" s="50" t="s">
        <v>56</v>
      </c>
      <c r="D615" s="27">
        <f>SOL!D30</f>
        <v>0</v>
      </c>
      <c r="E615" s="50" t="s">
        <v>57</v>
      </c>
      <c r="F615" s="30">
        <f>SOL!E30</f>
        <v>0</v>
      </c>
      <c r="G615" s="271"/>
      <c r="H615" s="272"/>
    </row>
    <row r="616" spans="1:8" ht="18.75" x14ac:dyDescent="0.3">
      <c r="A616" s="265" t="s">
        <v>82</v>
      </c>
      <c r="B616" s="266"/>
      <c r="C616" s="266"/>
      <c r="D616" s="266"/>
      <c r="E616" s="52"/>
      <c r="F616" s="51"/>
      <c r="G616" s="271"/>
      <c r="H616" s="272"/>
    </row>
    <row r="617" spans="1:8" x14ac:dyDescent="0.25">
      <c r="A617" s="65" t="s">
        <v>67</v>
      </c>
      <c r="B617" s="27">
        <f>EXEMPTIONS!C30</f>
        <v>0</v>
      </c>
      <c r="C617" s="50" t="s">
        <v>68</v>
      </c>
      <c r="D617" s="27">
        <f>EXEMPTIONS!D30</f>
        <v>0</v>
      </c>
      <c r="E617" s="31"/>
      <c r="F617" s="31"/>
      <c r="G617" s="271"/>
      <c r="H617" s="272"/>
    </row>
    <row r="618" spans="1:8" ht="18.75" x14ac:dyDescent="0.3">
      <c r="A618" s="265" t="s">
        <v>83</v>
      </c>
      <c r="B618" s="266"/>
      <c r="C618" s="266"/>
      <c r="D618" s="266"/>
      <c r="E618" s="52"/>
      <c r="F618" s="52"/>
      <c r="G618" s="273"/>
      <c r="H618" s="274"/>
    </row>
    <row r="619" spans="1:8" ht="15.75" thickBot="1" x14ac:dyDescent="0.3">
      <c r="A619" s="66" t="s">
        <v>62</v>
      </c>
      <c r="B619" s="67" t="str">
        <f>'LICENSE-REGIS'!I30</f>
        <v>N/A</v>
      </c>
      <c r="C619" s="68" t="s">
        <v>63</v>
      </c>
      <c r="D619" s="67">
        <f>'LICENSE-REGIS'!M30</f>
        <v>0</v>
      </c>
      <c r="E619" s="275"/>
      <c r="F619" s="276"/>
      <c r="G619" s="276"/>
      <c r="H619" s="277"/>
    </row>
    <row r="623" spans="1:8" ht="15.75" thickBot="1" x14ac:dyDescent="0.3">
      <c r="A623" s="184"/>
      <c r="B623" s="184"/>
      <c r="C623" s="184"/>
      <c r="D623" s="184"/>
      <c r="E623" s="184"/>
      <c r="F623" s="184"/>
      <c r="G623" s="184"/>
      <c r="H623" s="184"/>
    </row>
    <row r="624" spans="1:8" x14ac:dyDescent="0.25">
      <c r="A624" s="75" t="s">
        <v>11</v>
      </c>
      <c r="B624" s="72" t="s">
        <v>12</v>
      </c>
      <c r="C624" s="72" t="s">
        <v>73</v>
      </c>
      <c r="D624" s="72" t="s">
        <v>13</v>
      </c>
      <c r="E624" s="72" t="s">
        <v>61</v>
      </c>
      <c r="F624" s="72" t="s">
        <v>14</v>
      </c>
      <c r="G624" s="72" t="s">
        <v>15</v>
      </c>
      <c r="H624" s="74" t="s">
        <v>16</v>
      </c>
    </row>
    <row r="625" spans="1:8" ht="17.25" x14ac:dyDescent="0.3">
      <c r="A625" s="76">
        <f>'CASE DATA'!A31</f>
        <v>0</v>
      </c>
      <c r="B625" s="77">
        <f>'CASE DATA'!B31</f>
        <v>0</v>
      </c>
      <c r="C625" s="79" t="e">
        <f>'CASE DATA'!#REF!</f>
        <v>#REF!</v>
      </c>
      <c r="D625" s="79">
        <f>'CASE DATA'!C31</f>
        <v>0</v>
      </c>
      <c r="E625" s="77">
        <f>'CASE DATA'!E31</f>
        <v>0</v>
      </c>
      <c r="F625" s="77">
        <f>'CASE DATA'!F31</f>
        <v>0</v>
      </c>
      <c r="G625" s="77">
        <f>'CASE DATA'!G31</f>
        <v>0</v>
      </c>
      <c r="H625" s="78">
        <f>'CASE DATA'!H31</f>
        <v>0</v>
      </c>
    </row>
    <row r="626" spans="1:8" x14ac:dyDescent="0.25">
      <c r="A626" s="53" t="s">
        <v>18</v>
      </c>
      <c r="B626" s="32">
        <f>'CASE DATA'!I31</f>
        <v>0</v>
      </c>
      <c r="C626" s="33" t="s">
        <v>21</v>
      </c>
      <c r="D626" s="36">
        <f>'CASE DATA'!L31</f>
        <v>0</v>
      </c>
      <c r="E626" s="38" t="s">
        <v>24</v>
      </c>
      <c r="F626" s="41">
        <f>'CASE DATA'!O31</f>
        <v>0</v>
      </c>
      <c r="G626" s="43" t="s">
        <v>74</v>
      </c>
      <c r="H626" s="54">
        <f>'CASE DATA'!R31</f>
        <v>0</v>
      </c>
    </row>
    <row r="627" spans="1:8" x14ac:dyDescent="0.25">
      <c r="A627" s="55" t="s">
        <v>75</v>
      </c>
      <c r="B627" s="32">
        <f>'CASE DATA'!J31</f>
        <v>0</v>
      </c>
      <c r="C627" s="34" t="s">
        <v>22</v>
      </c>
      <c r="D627" s="36">
        <f>'CASE DATA'!M31</f>
        <v>0</v>
      </c>
      <c r="E627" s="39" t="s">
        <v>25</v>
      </c>
      <c r="F627" s="41">
        <f>'CASE DATA'!P31</f>
        <v>0</v>
      </c>
      <c r="G627" s="44" t="s">
        <v>28</v>
      </c>
      <c r="H627" s="54">
        <f>'CASE DATA'!S31</f>
        <v>0</v>
      </c>
    </row>
    <row r="628" spans="1:8" x14ac:dyDescent="0.25">
      <c r="A628" s="56" t="s">
        <v>20</v>
      </c>
      <c r="B628" s="32">
        <f>'CASE DATA'!K31</f>
        <v>0</v>
      </c>
      <c r="C628" s="35" t="s">
        <v>23</v>
      </c>
      <c r="D628" s="37">
        <f>'CASE DATA'!N31</f>
        <v>0</v>
      </c>
      <c r="E628" s="40" t="s">
        <v>26</v>
      </c>
      <c r="F628" s="42">
        <f>'CASE DATA'!Q31</f>
        <v>0</v>
      </c>
      <c r="G628" s="28"/>
      <c r="H628" s="57"/>
    </row>
    <row r="629" spans="1:8" x14ac:dyDescent="0.25">
      <c r="A629" s="58" t="s">
        <v>10</v>
      </c>
      <c r="B629" s="278">
        <f>'CASE DATA'!T31</f>
        <v>0</v>
      </c>
      <c r="C629" s="279"/>
      <c r="D629" s="279"/>
      <c r="E629" s="279"/>
      <c r="F629" s="279"/>
      <c r="G629" s="279"/>
      <c r="H629" s="280"/>
    </row>
    <row r="630" spans="1:8" ht="18.75" x14ac:dyDescent="0.3">
      <c r="A630" s="265" t="s">
        <v>76</v>
      </c>
      <c r="B630" s="266"/>
      <c r="C630" s="266"/>
      <c r="D630" s="266"/>
      <c r="E630" s="266"/>
      <c r="F630" s="266"/>
      <c r="G630" s="266"/>
      <c r="H630" s="267"/>
    </row>
    <row r="631" spans="1:8" ht="45" x14ac:dyDescent="0.25">
      <c r="A631" s="59" t="s">
        <v>39</v>
      </c>
      <c r="B631" s="45" t="s">
        <v>77</v>
      </c>
      <c r="C631" s="46" t="s">
        <v>43</v>
      </c>
      <c r="D631" s="46" t="s">
        <v>44</v>
      </c>
      <c r="E631" s="46" t="s">
        <v>45</v>
      </c>
      <c r="F631" s="47" t="s">
        <v>46</v>
      </c>
      <c r="G631" s="26" t="s">
        <v>78</v>
      </c>
      <c r="H631" s="60"/>
    </row>
    <row r="632" spans="1:8" x14ac:dyDescent="0.25">
      <c r="A632" s="61" t="str">
        <f>EXPUNGEMENT!D30</f>
        <v>NO</v>
      </c>
      <c r="B632" s="61" t="str">
        <f>EXPUNGEMENT!G30</f>
        <v>N/A</v>
      </c>
      <c r="C632" s="136" t="str">
        <f>EXPUNGEMENT!H30</f>
        <v>NO</v>
      </c>
      <c r="D632" s="136" t="str">
        <f>EXPUNGEMENT!I30</f>
        <v>N/A</v>
      </c>
      <c r="E632" s="136" t="str">
        <f>EXPUNGEMENT!J30</f>
        <v>N/A</v>
      </c>
      <c r="F632" s="136" t="str">
        <f>EXPUNGEMENT!K30</f>
        <v>N/A</v>
      </c>
      <c r="G632" s="29"/>
      <c r="H632" s="62"/>
    </row>
    <row r="633" spans="1:8" x14ac:dyDescent="0.25">
      <c r="A633" s="63" t="s">
        <v>51</v>
      </c>
      <c r="B633" s="48" t="s">
        <v>79</v>
      </c>
      <c r="C633" s="49" t="s">
        <v>44</v>
      </c>
      <c r="D633" s="49" t="s">
        <v>45</v>
      </c>
      <c r="E633" s="29"/>
      <c r="F633" s="29"/>
      <c r="G633" s="29"/>
      <c r="H633" s="62"/>
    </row>
    <row r="634" spans="1:8" x14ac:dyDescent="0.25">
      <c r="A634" s="64" t="str">
        <f>EXPUNGEMENT!R30</f>
        <v>NO</v>
      </c>
      <c r="B634" s="64" t="str">
        <f>EXPUNGEMENT!S30</f>
        <v>N/A</v>
      </c>
      <c r="C634" s="64" t="str">
        <f>EXPUNGEMENT!T30</f>
        <v>N/A</v>
      </c>
      <c r="D634" s="64" t="str">
        <f>EXPUNGEMENT!U30</f>
        <v>N/A</v>
      </c>
      <c r="E634" s="29"/>
      <c r="F634" s="29"/>
      <c r="G634" s="29"/>
      <c r="H634" s="62"/>
    </row>
    <row r="635" spans="1:8" ht="18.75" x14ac:dyDescent="0.3">
      <c r="A635" s="265" t="s">
        <v>80</v>
      </c>
      <c r="B635" s="266"/>
      <c r="C635" s="266"/>
      <c r="D635" s="266"/>
      <c r="E635" s="266"/>
      <c r="F635" s="268"/>
      <c r="G635" s="269">
        <v>28</v>
      </c>
      <c r="H635" s="270"/>
    </row>
    <row r="636" spans="1:8" x14ac:dyDescent="0.25">
      <c r="A636" s="65" t="s">
        <v>29</v>
      </c>
      <c r="B636" s="27">
        <f>BANKRUPTCY!C31</f>
        <v>0</v>
      </c>
      <c r="C636" s="50" t="s">
        <v>56</v>
      </c>
      <c r="D636" s="27">
        <f>BANKRUPTCY!D31</f>
        <v>0</v>
      </c>
      <c r="E636" s="50" t="s">
        <v>57</v>
      </c>
      <c r="F636" s="30">
        <f>BANKRUPTCY!E31</f>
        <v>0</v>
      </c>
      <c r="G636" s="271"/>
      <c r="H636" s="272"/>
    </row>
    <row r="637" spans="1:8" ht="18.75" x14ac:dyDescent="0.3">
      <c r="A637" s="265" t="s">
        <v>81</v>
      </c>
      <c r="B637" s="266"/>
      <c r="C637" s="266"/>
      <c r="D637" s="266"/>
      <c r="E637" s="266"/>
      <c r="F637" s="268"/>
      <c r="G637" s="271"/>
      <c r="H637" s="272"/>
    </row>
    <row r="638" spans="1:8" x14ac:dyDescent="0.25">
      <c r="A638" s="65" t="s">
        <v>29</v>
      </c>
      <c r="B638" s="27">
        <f>SOL!C31</f>
        <v>0</v>
      </c>
      <c r="C638" s="50" t="s">
        <v>56</v>
      </c>
      <c r="D638" s="27">
        <f>SOL!D31</f>
        <v>0</v>
      </c>
      <c r="E638" s="50" t="s">
        <v>57</v>
      </c>
      <c r="F638" s="30">
        <f>SOL!E31</f>
        <v>0</v>
      </c>
      <c r="G638" s="271"/>
      <c r="H638" s="272"/>
    </row>
    <row r="639" spans="1:8" ht="18.75" x14ac:dyDescent="0.3">
      <c r="A639" s="265" t="s">
        <v>82</v>
      </c>
      <c r="B639" s="266"/>
      <c r="C639" s="266"/>
      <c r="D639" s="266"/>
      <c r="E639" s="52"/>
      <c r="F639" s="51"/>
      <c r="G639" s="271"/>
      <c r="H639" s="272"/>
    </row>
    <row r="640" spans="1:8" x14ac:dyDescent="0.25">
      <c r="A640" s="65" t="s">
        <v>67</v>
      </c>
      <c r="B640" s="27">
        <f>EXEMPTIONS!C31</f>
        <v>0</v>
      </c>
      <c r="C640" s="50" t="s">
        <v>68</v>
      </c>
      <c r="D640" s="27">
        <f>EXEMPTIONS!D31</f>
        <v>0</v>
      </c>
      <c r="E640" s="31"/>
      <c r="F640" s="31"/>
      <c r="G640" s="271"/>
      <c r="H640" s="272"/>
    </row>
    <row r="641" spans="1:8" ht="18.75" x14ac:dyDescent="0.3">
      <c r="A641" s="265" t="s">
        <v>83</v>
      </c>
      <c r="B641" s="266"/>
      <c r="C641" s="266"/>
      <c r="D641" s="266"/>
      <c r="E641" s="52"/>
      <c r="F641" s="52"/>
      <c r="G641" s="273"/>
      <c r="H641" s="274"/>
    </row>
    <row r="642" spans="1:8" ht="15.75" thickBot="1" x14ac:dyDescent="0.3">
      <c r="A642" s="66" t="s">
        <v>62</v>
      </c>
      <c r="B642" s="67" t="str">
        <f>'LICENSE-REGIS'!I31</f>
        <v>N/A</v>
      </c>
      <c r="C642" s="68" t="s">
        <v>63</v>
      </c>
      <c r="D642" s="67">
        <f>'LICENSE-REGIS'!M31</f>
        <v>0</v>
      </c>
      <c r="E642" s="275"/>
      <c r="F642" s="276"/>
      <c r="G642" s="276"/>
      <c r="H642" s="277"/>
    </row>
    <row r="646" spans="1:8" ht="15.75" thickBot="1" x14ac:dyDescent="0.3">
      <c r="A646" s="184"/>
      <c r="B646" s="184"/>
      <c r="C646" s="184"/>
      <c r="D646" s="184"/>
      <c r="E646" s="184"/>
      <c r="F646" s="184"/>
      <c r="G646" s="184"/>
      <c r="H646" s="184"/>
    </row>
    <row r="647" spans="1:8" x14ac:dyDescent="0.25">
      <c r="A647" s="75" t="s">
        <v>11</v>
      </c>
      <c r="B647" s="72" t="s">
        <v>12</v>
      </c>
      <c r="C647" s="72" t="s">
        <v>73</v>
      </c>
      <c r="D647" s="72" t="s">
        <v>13</v>
      </c>
      <c r="E647" s="72" t="s">
        <v>61</v>
      </c>
      <c r="F647" s="72" t="s">
        <v>14</v>
      </c>
      <c r="G647" s="72" t="s">
        <v>15</v>
      </c>
      <c r="H647" s="74" t="s">
        <v>16</v>
      </c>
    </row>
    <row r="648" spans="1:8" ht="17.25" x14ac:dyDescent="0.3">
      <c r="A648" s="76">
        <f>'CASE DATA'!A32</f>
        <v>0</v>
      </c>
      <c r="B648" s="77">
        <f>'CASE DATA'!B32</f>
        <v>0</v>
      </c>
      <c r="C648" s="79" t="e">
        <f>'CASE DATA'!#REF!</f>
        <v>#REF!</v>
      </c>
      <c r="D648" s="79">
        <f>'CASE DATA'!C32</f>
        <v>0</v>
      </c>
      <c r="E648" s="77">
        <f>'CASE DATA'!E32</f>
        <v>0</v>
      </c>
      <c r="F648" s="77">
        <f>'CASE DATA'!F32</f>
        <v>0</v>
      </c>
      <c r="G648" s="77">
        <f>'CASE DATA'!G32</f>
        <v>0</v>
      </c>
      <c r="H648" s="78">
        <f>'CASE DATA'!H32</f>
        <v>0</v>
      </c>
    </row>
    <row r="649" spans="1:8" x14ac:dyDescent="0.25">
      <c r="A649" s="53" t="s">
        <v>18</v>
      </c>
      <c r="B649" s="32">
        <f>'CASE DATA'!I32</f>
        <v>0</v>
      </c>
      <c r="C649" s="33" t="s">
        <v>21</v>
      </c>
      <c r="D649" s="36">
        <f>'CASE DATA'!L32</f>
        <v>0</v>
      </c>
      <c r="E649" s="38" t="s">
        <v>24</v>
      </c>
      <c r="F649" s="41">
        <f>'CASE DATA'!O32</f>
        <v>0</v>
      </c>
      <c r="G649" s="43" t="s">
        <v>74</v>
      </c>
      <c r="H649" s="54">
        <f>'CASE DATA'!R32</f>
        <v>0</v>
      </c>
    </row>
    <row r="650" spans="1:8" x14ac:dyDescent="0.25">
      <c r="A650" s="55" t="s">
        <v>75</v>
      </c>
      <c r="B650" s="32">
        <f>'CASE DATA'!J32</f>
        <v>0</v>
      </c>
      <c r="C650" s="34" t="s">
        <v>22</v>
      </c>
      <c r="D650" s="36">
        <f>'CASE DATA'!M32</f>
        <v>0</v>
      </c>
      <c r="E650" s="39" t="s">
        <v>25</v>
      </c>
      <c r="F650" s="41">
        <f>'CASE DATA'!P32</f>
        <v>0</v>
      </c>
      <c r="G650" s="44" t="s">
        <v>28</v>
      </c>
      <c r="H650" s="54">
        <f>'CASE DATA'!S32</f>
        <v>0</v>
      </c>
    </row>
    <row r="651" spans="1:8" x14ac:dyDescent="0.25">
      <c r="A651" s="56" t="s">
        <v>20</v>
      </c>
      <c r="B651" s="32">
        <f>'CASE DATA'!K32</f>
        <v>0</v>
      </c>
      <c r="C651" s="35" t="s">
        <v>23</v>
      </c>
      <c r="D651" s="37">
        <f>'CASE DATA'!N32</f>
        <v>0</v>
      </c>
      <c r="E651" s="40" t="s">
        <v>26</v>
      </c>
      <c r="F651" s="42">
        <f>'CASE DATA'!Q32</f>
        <v>0</v>
      </c>
      <c r="G651" s="28"/>
      <c r="H651" s="57"/>
    </row>
    <row r="652" spans="1:8" x14ac:dyDescent="0.25">
      <c r="A652" s="58" t="s">
        <v>10</v>
      </c>
      <c r="B652" s="278">
        <f>'CASE DATA'!T32</f>
        <v>0</v>
      </c>
      <c r="C652" s="279"/>
      <c r="D652" s="279"/>
      <c r="E652" s="279"/>
      <c r="F652" s="279"/>
      <c r="G652" s="279"/>
      <c r="H652" s="280"/>
    </row>
    <row r="653" spans="1:8" ht="18.75" x14ac:dyDescent="0.3">
      <c r="A653" s="265" t="s">
        <v>76</v>
      </c>
      <c r="B653" s="266"/>
      <c r="C653" s="266"/>
      <c r="D653" s="266"/>
      <c r="E653" s="266"/>
      <c r="F653" s="266"/>
      <c r="G653" s="266"/>
      <c r="H653" s="267"/>
    </row>
    <row r="654" spans="1:8" ht="45" x14ac:dyDescent="0.25">
      <c r="A654" s="59" t="s">
        <v>39</v>
      </c>
      <c r="B654" s="45" t="s">
        <v>77</v>
      </c>
      <c r="C654" s="46" t="s">
        <v>43</v>
      </c>
      <c r="D654" s="46" t="s">
        <v>44</v>
      </c>
      <c r="E654" s="46" t="s">
        <v>45</v>
      </c>
      <c r="F654" s="47" t="s">
        <v>46</v>
      </c>
      <c r="G654" s="26" t="s">
        <v>78</v>
      </c>
      <c r="H654" s="60"/>
    </row>
    <row r="655" spans="1:8" x14ac:dyDescent="0.25">
      <c r="A655" s="61" t="str">
        <f>EXPUNGEMENT!D31</f>
        <v>NO</v>
      </c>
      <c r="B655" s="61" t="str">
        <f>EXPUNGEMENT!G31</f>
        <v>N/A</v>
      </c>
      <c r="C655" s="136" t="str">
        <f>EXPUNGEMENT!H31</f>
        <v>NO</v>
      </c>
      <c r="D655" s="136" t="str">
        <f>EXPUNGEMENT!I31</f>
        <v>N/A</v>
      </c>
      <c r="E655" s="136" t="str">
        <f>EXPUNGEMENT!J31</f>
        <v>N/A</v>
      </c>
      <c r="F655" s="136" t="str">
        <f>EXPUNGEMENT!K31</f>
        <v>N/A</v>
      </c>
      <c r="G655" s="29"/>
      <c r="H655" s="62"/>
    </row>
    <row r="656" spans="1:8" x14ac:dyDescent="0.25">
      <c r="A656" s="63" t="s">
        <v>51</v>
      </c>
      <c r="B656" s="48" t="s">
        <v>79</v>
      </c>
      <c r="C656" s="49" t="s">
        <v>44</v>
      </c>
      <c r="D656" s="49" t="s">
        <v>45</v>
      </c>
      <c r="E656" s="29"/>
      <c r="F656" s="29"/>
      <c r="G656" s="29"/>
      <c r="H656" s="62"/>
    </row>
    <row r="657" spans="1:8" x14ac:dyDescent="0.25">
      <c r="A657" s="64" t="str">
        <f>EXPUNGEMENT!R31</f>
        <v>NO</v>
      </c>
      <c r="B657" s="64" t="str">
        <f>EXPUNGEMENT!S31</f>
        <v>N/A</v>
      </c>
      <c r="C657" s="64" t="str">
        <f>EXPUNGEMENT!T31</f>
        <v>N/A</v>
      </c>
      <c r="D657" s="64" t="str">
        <f>EXPUNGEMENT!U31</f>
        <v>N/A</v>
      </c>
      <c r="E657" s="29"/>
      <c r="F657" s="29"/>
      <c r="G657" s="29"/>
      <c r="H657" s="62"/>
    </row>
    <row r="658" spans="1:8" ht="18.75" customHeight="1" x14ac:dyDescent="0.3">
      <c r="A658" s="265" t="s">
        <v>80</v>
      </c>
      <c r="B658" s="266"/>
      <c r="C658" s="266"/>
      <c r="D658" s="266"/>
      <c r="E658" s="266"/>
      <c r="F658" s="268"/>
      <c r="G658" s="269">
        <v>29</v>
      </c>
      <c r="H658" s="270"/>
    </row>
    <row r="659" spans="1:8" ht="15" customHeight="1" x14ac:dyDescent="0.25">
      <c r="A659" s="65" t="s">
        <v>29</v>
      </c>
      <c r="B659" s="27">
        <f>BANKRUPTCY!C32</f>
        <v>0</v>
      </c>
      <c r="C659" s="50" t="s">
        <v>56</v>
      </c>
      <c r="D659" s="27">
        <f>BANKRUPTCY!D32</f>
        <v>0</v>
      </c>
      <c r="E659" s="50" t="s">
        <v>57</v>
      </c>
      <c r="F659" s="30">
        <f>BANKRUPTCY!E32</f>
        <v>0</v>
      </c>
      <c r="G659" s="271"/>
      <c r="H659" s="272"/>
    </row>
    <row r="660" spans="1:8" ht="18.75" customHeight="1" x14ac:dyDescent="0.3">
      <c r="A660" s="265" t="s">
        <v>81</v>
      </c>
      <c r="B660" s="266"/>
      <c r="C660" s="266"/>
      <c r="D660" s="266"/>
      <c r="E660" s="266"/>
      <c r="F660" s="268"/>
      <c r="G660" s="271"/>
      <c r="H660" s="272"/>
    </row>
    <row r="661" spans="1:8" ht="15" customHeight="1" x14ac:dyDescent="0.25">
      <c r="A661" s="65" t="s">
        <v>29</v>
      </c>
      <c r="B661" s="27">
        <f>SOL!C32</f>
        <v>0</v>
      </c>
      <c r="C661" s="50" t="s">
        <v>56</v>
      </c>
      <c r="D661" s="27">
        <f>SOL!D32</f>
        <v>0</v>
      </c>
      <c r="E661" s="50" t="s">
        <v>57</v>
      </c>
      <c r="F661" s="30">
        <f>SOL!E32</f>
        <v>0</v>
      </c>
      <c r="G661" s="271"/>
      <c r="H661" s="272"/>
    </row>
    <row r="662" spans="1:8" ht="18.75" customHeight="1" x14ac:dyDescent="0.3">
      <c r="A662" s="265" t="s">
        <v>82</v>
      </c>
      <c r="B662" s="266"/>
      <c r="C662" s="266"/>
      <c r="D662" s="266"/>
      <c r="E662" s="52"/>
      <c r="F662" s="51"/>
      <c r="G662" s="271"/>
      <c r="H662" s="272"/>
    </row>
    <row r="663" spans="1:8" ht="15" customHeight="1" x14ac:dyDescent="0.25">
      <c r="A663" s="65" t="s">
        <v>67</v>
      </c>
      <c r="B663" s="27">
        <f>EXEMPTIONS!C32</f>
        <v>0</v>
      </c>
      <c r="C663" s="50" t="s">
        <v>68</v>
      </c>
      <c r="D663" s="27">
        <f>EXEMPTIONS!D32</f>
        <v>0</v>
      </c>
      <c r="E663" s="31"/>
      <c r="F663" s="31"/>
      <c r="G663" s="271"/>
      <c r="H663" s="272"/>
    </row>
    <row r="664" spans="1:8" ht="18.75" customHeight="1" x14ac:dyDescent="0.3">
      <c r="A664" s="265" t="s">
        <v>83</v>
      </c>
      <c r="B664" s="266"/>
      <c r="C664" s="266"/>
      <c r="D664" s="266"/>
      <c r="E664" s="52"/>
      <c r="F664" s="52"/>
      <c r="G664" s="273"/>
      <c r="H664" s="274"/>
    </row>
    <row r="665" spans="1:8" ht="15.75" thickBot="1" x14ac:dyDescent="0.3">
      <c r="A665" s="66" t="s">
        <v>62</v>
      </c>
      <c r="B665" s="67" t="str">
        <f>'LICENSE-REGIS'!I32</f>
        <v>N/A</v>
      </c>
      <c r="C665" s="68" t="s">
        <v>63</v>
      </c>
      <c r="D665" s="67">
        <f>'LICENSE-REGIS'!M32</f>
        <v>0</v>
      </c>
      <c r="E665" s="275"/>
      <c r="F665" s="276"/>
      <c r="G665" s="276"/>
      <c r="H665" s="277"/>
    </row>
    <row r="669" spans="1:8" ht="15.75" thickBot="1" x14ac:dyDescent="0.3">
      <c r="A669" s="184"/>
      <c r="B669" s="184"/>
      <c r="C669" s="184"/>
      <c r="D669" s="184"/>
      <c r="E669" s="184"/>
      <c r="F669" s="184"/>
      <c r="G669" s="184"/>
      <c r="H669" s="184"/>
    </row>
    <row r="670" spans="1:8" x14ac:dyDescent="0.25">
      <c r="A670" s="75" t="s">
        <v>11</v>
      </c>
      <c r="B670" s="72" t="s">
        <v>12</v>
      </c>
      <c r="C670" s="72" t="s">
        <v>73</v>
      </c>
      <c r="D670" s="72" t="s">
        <v>13</v>
      </c>
      <c r="E670" s="72" t="s">
        <v>61</v>
      </c>
      <c r="F670" s="72" t="s">
        <v>14</v>
      </c>
      <c r="G670" s="72" t="s">
        <v>15</v>
      </c>
      <c r="H670" s="74" t="s">
        <v>16</v>
      </c>
    </row>
    <row r="671" spans="1:8" ht="17.25" x14ac:dyDescent="0.3">
      <c r="A671" s="76">
        <f>'CASE DATA'!A33</f>
        <v>0</v>
      </c>
      <c r="B671" s="77">
        <f>'CASE DATA'!B33</f>
        <v>0</v>
      </c>
      <c r="C671" s="79" t="e">
        <f>'CASE DATA'!#REF!</f>
        <v>#REF!</v>
      </c>
      <c r="D671" s="79">
        <f>'CASE DATA'!C33</f>
        <v>0</v>
      </c>
      <c r="E671" s="77">
        <f>'CASE DATA'!E33</f>
        <v>0</v>
      </c>
      <c r="F671" s="77">
        <f>'CASE DATA'!F33</f>
        <v>0</v>
      </c>
      <c r="G671" s="77">
        <f>'CASE DATA'!G33</f>
        <v>0</v>
      </c>
      <c r="H671" s="78">
        <f>'CASE DATA'!H33</f>
        <v>0</v>
      </c>
    </row>
    <row r="672" spans="1:8" x14ac:dyDescent="0.25">
      <c r="A672" s="53" t="s">
        <v>18</v>
      </c>
      <c r="B672" s="32">
        <f>'CASE DATA'!I33</f>
        <v>0</v>
      </c>
      <c r="C672" s="33" t="s">
        <v>21</v>
      </c>
      <c r="D672" s="36">
        <f>'CASE DATA'!L33</f>
        <v>0</v>
      </c>
      <c r="E672" s="38" t="s">
        <v>24</v>
      </c>
      <c r="F672" s="41">
        <f>'CASE DATA'!O33</f>
        <v>0</v>
      </c>
      <c r="G672" s="43" t="s">
        <v>74</v>
      </c>
      <c r="H672" s="54">
        <f>'CASE DATA'!R33</f>
        <v>0</v>
      </c>
    </row>
    <row r="673" spans="1:8" x14ac:dyDescent="0.25">
      <c r="A673" s="55" t="s">
        <v>75</v>
      </c>
      <c r="B673" s="32">
        <f>'CASE DATA'!J33</f>
        <v>0</v>
      </c>
      <c r="C673" s="34" t="s">
        <v>22</v>
      </c>
      <c r="D673" s="36">
        <f>'CASE DATA'!M33</f>
        <v>0</v>
      </c>
      <c r="E673" s="39" t="s">
        <v>25</v>
      </c>
      <c r="F673" s="41">
        <f>'CASE DATA'!P33</f>
        <v>0</v>
      </c>
      <c r="G673" s="44" t="s">
        <v>28</v>
      </c>
      <c r="H673" s="54">
        <f>'CASE DATA'!S33</f>
        <v>0</v>
      </c>
    </row>
    <row r="674" spans="1:8" x14ac:dyDescent="0.25">
      <c r="A674" s="56" t="s">
        <v>20</v>
      </c>
      <c r="B674" s="32">
        <f>'CASE DATA'!K33</f>
        <v>0</v>
      </c>
      <c r="C674" s="35" t="s">
        <v>23</v>
      </c>
      <c r="D674" s="37">
        <f>'CASE DATA'!N33</f>
        <v>0</v>
      </c>
      <c r="E674" s="40" t="s">
        <v>26</v>
      </c>
      <c r="F674" s="42">
        <f>'CASE DATA'!Q33</f>
        <v>0</v>
      </c>
      <c r="G674" s="28"/>
      <c r="H674" s="57"/>
    </row>
    <row r="675" spans="1:8" x14ac:dyDescent="0.25">
      <c r="A675" s="58" t="s">
        <v>10</v>
      </c>
      <c r="B675" s="278">
        <f>'CASE DATA'!T33</f>
        <v>0</v>
      </c>
      <c r="C675" s="279"/>
      <c r="D675" s="279"/>
      <c r="E675" s="279"/>
      <c r="F675" s="279"/>
      <c r="G675" s="279"/>
      <c r="H675" s="280"/>
    </row>
    <row r="676" spans="1:8" ht="18.75" x14ac:dyDescent="0.3">
      <c r="A676" s="265" t="s">
        <v>76</v>
      </c>
      <c r="B676" s="266"/>
      <c r="C676" s="266"/>
      <c r="D676" s="266"/>
      <c r="E676" s="266"/>
      <c r="F676" s="266"/>
      <c r="G676" s="266"/>
      <c r="H676" s="267"/>
    </row>
    <row r="677" spans="1:8" ht="45" x14ac:dyDescent="0.25">
      <c r="A677" s="59" t="s">
        <v>39</v>
      </c>
      <c r="B677" s="45" t="s">
        <v>77</v>
      </c>
      <c r="C677" s="46" t="s">
        <v>43</v>
      </c>
      <c r="D677" s="46" t="s">
        <v>44</v>
      </c>
      <c r="E677" s="46" t="s">
        <v>45</v>
      </c>
      <c r="F677" s="47" t="s">
        <v>46</v>
      </c>
      <c r="G677" s="26" t="s">
        <v>78</v>
      </c>
      <c r="H677" s="60"/>
    </row>
    <row r="678" spans="1:8" x14ac:dyDescent="0.25">
      <c r="A678" s="61" t="str">
        <f>EXPUNGEMENT!D32</f>
        <v>NO</v>
      </c>
      <c r="B678" s="61" t="str">
        <f>EXPUNGEMENT!G32</f>
        <v>N/A</v>
      </c>
      <c r="C678" s="136" t="str">
        <f>EXPUNGEMENT!H32</f>
        <v>NO</v>
      </c>
      <c r="D678" s="136" t="str">
        <f>EXPUNGEMENT!I32</f>
        <v>N/A</v>
      </c>
      <c r="E678" s="136" t="str">
        <f>EXPUNGEMENT!J32</f>
        <v>N/A</v>
      </c>
      <c r="F678" s="136" t="str">
        <f>EXPUNGEMENT!K32</f>
        <v>N/A</v>
      </c>
      <c r="G678" s="29"/>
      <c r="H678" s="62"/>
    </row>
    <row r="679" spans="1:8" x14ac:dyDescent="0.25">
      <c r="A679" s="63" t="s">
        <v>51</v>
      </c>
      <c r="B679" s="48" t="s">
        <v>79</v>
      </c>
      <c r="C679" s="49" t="s">
        <v>44</v>
      </c>
      <c r="D679" s="49" t="s">
        <v>45</v>
      </c>
      <c r="E679" s="29"/>
      <c r="F679" s="29"/>
      <c r="G679" s="29"/>
      <c r="H679" s="62"/>
    </row>
    <row r="680" spans="1:8" x14ac:dyDescent="0.25">
      <c r="A680" s="64" t="str">
        <f>EXPUNGEMENT!R32</f>
        <v>NO</v>
      </c>
      <c r="B680" s="64" t="str">
        <f>EXPUNGEMENT!S32</f>
        <v>N/A</v>
      </c>
      <c r="C680" s="64" t="str">
        <f>EXPUNGEMENT!T32</f>
        <v>N/A</v>
      </c>
      <c r="D680" s="64" t="str">
        <f>EXPUNGEMENT!U32</f>
        <v>N/A</v>
      </c>
      <c r="E680" s="29"/>
      <c r="F680" s="29"/>
      <c r="G680" s="29"/>
      <c r="H680" s="62"/>
    </row>
    <row r="681" spans="1:8" ht="18.75" x14ac:dyDescent="0.3">
      <c r="A681" s="265" t="s">
        <v>80</v>
      </c>
      <c r="B681" s="266"/>
      <c r="C681" s="266"/>
      <c r="D681" s="266"/>
      <c r="E681" s="266"/>
      <c r="F681" s="268"/>
      <c r="G681" s="269">
        <v>30</v>
      </c>
      <c r="H681" s="270"/>
    </row>
    <row r="682" spans="1:8" x14ac:dyDescent="0.25">
      <c r="A682" s="65" t="s">
        <v>29</v>
      </c>
      <c r="B682" s="27">
        <f>BANKRUPTCY!C33</f>
        <v>0</v>
      </c>
      <c r="C682" s="50" t="s">
        <v>56</v>
      </c>
      <c r="D682" s="27">
        <f>BANKRUPTCY!D33</f>
        <v>0</v>
      </c>
      <c r="E682" s="50" t="s">
        <v>57</v>
      </c>
      <c r="F682" s="30">
        <f>BANKRUPTCY!E33</f>
        <v>0</v>
      </c>
      <c r="G682" s="271"/>
      <c r="H682" s="272"/>
    </row>
    <row r="683" spans="1:8" ht="18.75" x14ac:dyDescent="0.3">
      <c r="A683" s="265" t="s">
        <v>81</v>
      </c>
      <c r="B683" s="266"/>
      <c r="C683" s="266"/>
      <c r="D683" s="266"/>
      <c r="E683" s="266"/>
      <c r="F683" s="268"/>
      <c r="G683" s="271"/>
      <c r="H683" s="272"/>
    </row>
    <row r="684" spans="1:8" x14ac:dyDescent="0.25">
      <c r="A684" s="65" t="s">
        <v>29</v>
      </c>
      <c r="B684" s="27">
        <f>SOL!C33</f>
        <v>0</v>
      </c>
      <c r="C684" s="50" t="s">
        <v>56</v>
      </c>
      <c r="D684" s="27">
        <f>SOL!D33</f>
        <v>0</v>
      </c>
      <c r="E684" s="50" t="s">
        <v>57</v>
      </c>
      <c r="F684" s="30">
        <f>SOL!E33</f>
        <v>0</v>
      </c>
      <c r="G684" s="271"/>
      <c r="H684" s="272"/>
    </row>
    <row r="685" spans="1:8" ht="18.75" x14ac:dyDescent="0.3">
      <c r="A685" s="265" t="s">
        <v>82</v>
      </c>
      <c r="B685" s="266"/>
      <c r="C685" s="266"/>
      <c r="D685" s="266"/>
      <c r="E685" s="52"/>
      <c r="F685" s="51"/>
      <c r="G685" s="271"/>
      <c r="H685" s="272"/>
    </row>
    <row r="686" spans="1:8" x14ac:dyDescent="0.25">
      <c r="A686" s="65" t="s">
        <v>67</v>
      </c>
      <c r="B686" s="27">
        <f>EXEMPTIONS!C33</f>
        <v>0</v>
      </c>
      <c r="C686" s="50" t="s">
        <v>68</v>
      </c>
      <c r="D686" s="27">
        <f>EXEMPTIONS!D33</f>
        <v>0</v>
      </c>
      <c r="E686" s="31"/>
      <c r="F686" s="31"/>
      <c r="G686" s="271"/>
      <c r="H686" s="272"/>
    </row>
    <row r="687" spans="1:8" ht="18.75" x14ac:dyDescent="0.3">
      <c r="A687" s="265" t="s">
        <v>83</v>
      </c>
      <c r="B687" s="266"/>
      <c r="C687" s="266"/>
      <c r="D687" s="266"/>
      <c r="E687" s="52"/>
      <c r="F687" s="52"/>
      <c r="G687" s="273"/>
      <c r="H687" s="274"/>
    </row>
    <row r="688" spans="1:8" ht="15.75" thickBot="1" x14ac:dyDescent="0.3">
      <c r="A688" s="66" t="s">
        <v>62</v>
      </c>
      <c r="B688" s="67" t="str">
        <f>'LICENSE-REGIS'!I33</f>
        <v>N/A</v>
      </c>
      <c r="C688" s="68" t="s">
        <v>63</v>
      </c>
      <c r="D688" s="67">
        <f>'LICENSE-REGIS'!M33</f>
        <v>0</v>
      </c>
      <c r="E688" s="275"/>
      <c r="F688" s="276"/>
      <c r="G688" s="276"/>
      <c r="H688" s="277"/>
    </row>
    <row r="692" spans="1:8" ht="15.75" thickBot="1" x14ac:dyDescent="0.3">
      <c r="A692" s="184"/>
      <c r="B692" s="184"/>
      <c r="C692" s="184"/>
      <c r="D692" s="184"/>
      <c r="E692" s="184"/>
      <c r="F692" s="184"/>
      <c r="G692" s="184"/>
      <c r="H692" s="184"/>
    </row>
    <row r="693" spans="1:8" x14ac:dyDescent="0.25">
      <c r="A693" s="75" t="s">
        <v>11</v>
      </c>
      <c r="B693" s="72" t="s">
        <v>12</v>
      </c>
      <c r="C693" s="72" t="s">
        <v>73</v>
      </c>
      <c r="D693" s="72" t="s">
        <v>13</v>
      </c>
      <c r="E693" s="72" t="s">
        <v>61</v>
      </c>
      <c r="F693" s="72" t="s">
        <v>14</v>
      </c>
      <c r="G693" s="72" t="s">
        <v>15</v>
      </c>
      <c r="H693" s="74" t="s">
        <v>16</v>
      </c>
    </row>
    <row r="694" spans="1:8" ht="17.25" x14ac:dyDescent="0.3">
      <c r="A694" s="76">
        <f>'CASE DATA'!A34</f>
        <v>0</v>
      </c>
      <c r="B694" s="77">
        <f>'CASE DATA'!B34</f>
        <v>0</v>
      </c>
      <c r="C694" s="79" t="e">
        <f>'CASE DATA'!#REF!</f>
        <v>#REF!</v>
      </c>
      <c r="D694" s="79">
        <f>'CASE DATA'!C34</f>
        <v>0</v>
      </c>
      <c r="E694" s="77">
        <f>'CASE DATA'!E34</f>
        <v>0</v>
      </c>
      <c r="F694" s="77">
        <f>'CASE DATA'!F34</f>
        <v>0</v>
      </c>
      <c r="G694" s="77">
        <f>'CASE DATA'!G34</f>
        <v>0</v>
      </c>
      <c r="H694" s="78">
        <f>'CASE DATA'!H34</f>
        <v>0</v>
      </c>
    </row>
    <row r="695" spans="1:8" x14ac:dyDescent="0.25">
      <c r="A695" s="53" t="s">
        <v>18</v>
      </c>
      <c r="B695" s="32">
        <f>'CASE DATA'!I34</f>
        <v>0</v>
      </c>
      <c r="C695" s="33" t="s">
        <v>21</v>
      </c>
      <c r="D695" s="36">
        <f>'CASE DATA'!L34</f>
        <v>0</v>
      </c>
      <c r="E695" s="38" t="s">
        <v>24</v>
      </c>
      <c r="F695" s="41">
        <f>'CASE DATA'!O34</f>
        <v>0</v>
      </c>
      <c r="G695" s="43" t="s">
        <v>74</v>
      </c>
      <c r="H695" s="54">
        <f>'CASE DATA'!R34</f>
        <v>0</v>
      </c>
    </row>
    <row r="696" spans="1:8" x14ac:dyDescent="0.25">
      <c r="A696" s="55" t="s">
        <v>75</v>
      </c>
      <c r="B696" s="32">
        <f>'CASE DATA'!J34</f>
        <v>0</v>
      </c>
      <c r="C696" s="34" t="s">
        <v>22</v>
      </c>
      <c r="D696" s="36">
        <f>'CASE DATA'!M34</f>
        <v>0</v>
      </c>
      <c r="E696" s="39" t="s">
        <v>25</v>
      </c>
      <c r="F696" s="41">
        <f>'CASE DATA'!P34</f>
        <v>0</v>
      </c>
      <c r="G696" s="44" t="s">
        <v>28</v>
      </c>
      <c r="H696" s="54">
        <f>'CASE DATA'!S34</f>
        <v>0</v>
      </c>
    </row>
    <row r="697" spans="1:8" x14ac:dyDescent="0.25">
      <c r="A697" s="56" t="s">
        <v>20</v>
      </c>
      <c r="B697" s="32">
        <f>'CASE DATA'!K34</f>
        <v>0</v>
      </c>
      <c r="C697" s="35" t="s">
        <v>23</v>
      </c>
      <c r="D697" s="37">
        <f>'CASE DATA'!N34</f>
        <v>0</v>
      </c>
      <c r="E697" s="40" t="s">
        <v>26</v>
      </c>
      <c r="F697" s="42">
        <f>'CASE DATA'!Q34</f>
        <v>0</v>
      </c>
      <c r="G697" s="28"/>
      <c r="H697" s="57"/>
    </row>
    <row r="698" spans="1:8" x14ac:dyDescent="0.25">
      <c r="A698" s="58" t="s">
        <v>10</v>
      </c>
      <c r="B698" s="278">
        <f>'CASE DATA'!T34</f>
        <v>0</v>
      </c>
      <c r="C698" s="279"/>
      <c r="D698" s="279"/>
      <c r="E698" s="279"/>
      <c r="F698" s="279"/>
      <c r="G698" s="279"/>
      <c r="H698" s="280"/>
    </row>
    <row r="699" spans="1:8" ht="18.75" x14ac:dyDescent="0.3">
      <c r="A699" s="265" t="s">
        <v>76</v>
      </c>
      <c r="B699" s="266"/>
      <c r="C699" s="266"/>
      <c r="D699" s="266"/>
      <c r="E699" s="266"/>
      <c r="F699" s="266"/>
      <c r="G699" s="266"/>
      <c r="H699" s="267"/>
    </row>
    <row r="700" spans="1:8" ht="45" x14ac:dyDescent="0.25">
      <c r="A700" s="59" t="s">
        <v>39</v>
      </c>
      <c r="B700" s="45" t="s">
        <v>77</v>
      </c>
      <c r="C700" s="46" t="s">
        <v>43</v>
      </c>
      <c r="D700" s="46" t="s">
        <v>44</v>
      </c>
      <c r="E700" s="46" t="s">
        <v>45</v>
      </c>
      <c r="F700" s="47" t="s">
        <v>46</v>
      </c>
      <c r="G700" s="26" t="s">
        <v>78</v>
      </c>
      <c r="H700" s="60"/>
    </row>
    <row r="701" spans="1:8" x14ac:dyDescent="0.25">
      <c r="A701" s="61" t="str">
        <f>EXPUNGEMENT!D33</f>
        <v>NO</v>
      </c>
      <c r="B701" s="61" t="str">
        <f>EXPUNGEMENT!G33</f>
        <v>N/A</v>
      </c>
      <c r="C701" s="136" t="str">
        <f>EXPUNGEMENT!H33</f>
        <v>NO</v>
      </c>
      <c r="D701" s="136" t="str">
        <f>EXPUNGEMENT!I33</f>
        <v>N/A</v>
      </c>
      <c r="E701" s="136" t="str">
        <f>EXPUNGEMENT!J33</f>
        <v>N/A</v>
      </c>
      <c r="F701" s="136" t="str">
        <f>EXPUNGEMENT!K33</f>
        <v>N/A</v>
      </c>
      <c r="G701" s="29"/>
      <c r="H701" s="62"/>
    </row>
    <row r="702" spans="1:8" x14ac:dyDescent="0.25">
      <c r="A702" s="63" t="s">
        <v>51</v>
      </c>
      <c r="B702" s="48" t="s">
        <v>79</v>
      </c>
      <c r="C702" s="49" t="s">
        <v>44</v>
      </c>
      <c r="D702" s="49" t="s">
        <v>45</v>
      </c>
      <c r="E702" s="29"/>
      <c r="F702" s="29"/>
      <c r="G702" s="29"/>
      <c r="H702" s="62"/>
    </row>
    <row r="703" spans="1:8" x14ac:dyDescent="0.25">
      <c r="A703" s="64" t="str">
        <f>EXPUNGEMENT!R33</f>
        <v>NO</v>
      </c>
      <c r="B703" s="64" t="str">
        <f>EXPUNGEMENT!S33</f>
        <v>N/A</v>
      </c>
      <c r="C703" s="64" t="str">
        <f>EXPUNGEMENT!T33</f>
        <v>N/A</v>
      </c>
      <c r="D703" s="64" t="str">
        <f>EXPUNGEMENT!U33</f>
        <v>N/A</v>
      </c>
      <c r="E703" s="29"/>
      <c r="F703" s="29"/>
      <c r="G703" s="29"/>
      <c r="H703" s="62"/>
    </row>
    <row r="704" spans="1:8" ht="18.75" x14ac:dyDescent="0.3">
      <c r="A704" s="265" t="s">
        <v>80</v>
      </c>
      <c r="B704" s="266"/>
      <c r="C704" s="266"/>
      <c r="D704" s="266"/>
      <c r="E704" s="266"/>
      <c r="F704" s="268"/>
      <c r="G704" s="269">
        <v>31</v>
      </c>
      <c r="H704" s="270"/>
    </row>
    <row r="705" spans="1:8" x14ac:dyDescent="0.25">
      <c r="A705" s="65" t="s">
        <v>29</v>
      </c>
      <c r="B705" s="27">
        <f>BANKRUPTCY!C34</f>
        <v>0</v>
      </c>
      <c r="C705" s="50" t="s">
        <v>56</v>
      </c>
      <c r="D705" s="27">
        <f>BANKRUPTCY!D34</f>
        <v>0</v>
      </c>
      <c r="E705" s="50" t="s">
        <v>57</v>
      </c>
      <c r="F705" s="30">
        <f>BANKRUPTCY!E34</f>
        <v>0</v>
      </c>
      <c r="G705" s="271"/>
      <c r="H705" s="272"/>
    </row>
    <row r="706" spans="1:8" ht="18.75" x14ac:dyDescent="0.3">
      <c r="A706" s="265" t="s">
        <v>81</v>
      </c>
      <c r="B706" s="266"/>
      <c r="C706" s="266"/>
      <c r="D706" s="266"/>
      <c r="E706" s="266"/>
      <c r="F706" s="268"/>
      <c r="G706" s="271"/>
      <c r="H706" s="272"/>
    </row>
    <row r="707" spans="1:8" x14ac:dyDescent="0.25">
      <c r="A707" s="65" t="s">
        <v>29</v>
      </c>
      <c r="B707" s="27">
        <f>SOL!C34</f>
        <v>0</v>
      </c>
      <c r="C707" s="50" t="s">
        <v>56</v>
      </c>
      <c r="D707" s="27">
        <f>SOL!D34</f>
        <v>0</v>
      </c>
      <c r="E707" s="50" t="s">
        <v>57</v>
      </c>
      <c r="F707" s="30">
        <f>SOL!E34</f>
        <v>0</v>
      </c>
      <c r="G707" s="271"/>
      <c r="H707" s="272"/>
    </row>
    <row r="708" spans="1:8" ht="18.75" x14ac:dyDescent="0.3">
      <c r="A708" s="265" t="s">
        <v>82</v>
      </c>
      <c r="B708" s="266"/>
      <c r="C708" s="266"/>
      <c r="D708" s="266"/>
      <c r="E708" s="52"/>
      <c r="F708" s="51"/>
      <c r="G708" s="271"/>
      <c r="H708" s="272"/>
    </row>
    <row r="709" spans="1:8" x14ac:dyDescent="0.25">
      <c r="A709" s="65" t="s">
        <v>67</v>
      </c>
      <c r="B709" s="27">
        <f>EXEMPTIONS!C34</f>
        <v>0</v>
      </c>
      <c r="C709" s="50" t="s">
        <v>68</v>
      </c>
      <c r="D709" s="27">
        <f>EXEMPTIONS!D34</f>
        <v>0</v>
      </c>
      <c r="E709" s="31"/>
      <c r="F709" s="31"/>
      <c r="G709" s="271"/>
      <c r="H709" s="272"/>
    </row>
    <row r="710" spans="1:8" ht="18.75" x14ac:dyDescent="0.3">
      <c r="A710" s="265" t="s">
        <v>83</v>
      </c>
      <c r="B710" s="266"/>
      <c r="C710" s="266"/>
      <c r="D710" s="266"/>
      <c r="E710" s="52"/>
      <c r="F710" s="52"/>
      <c r="G710" s="273"/>
      <c r="H710" s="274"/>
    </row>
    <row r="711" spans="1:8" ht="15.75" thickBot="1" x14ac:dyDescent="0.3">
      <c r="A711" s="66" t="s">
        <v>62</v>
      </c>
      <c r="B711" s="67" t="str">
        <f>'LICENSE-REGIS'!I34</f>
        <v>N/A</v>
      </c>
      <c r="C711" s="68" t="s">
        <v>63</v>
      </c>
      <c r="D711" s="67">
        <f>'LICENSE-REGIS'!M34</f>
        <v>0</v>
      </c>
      <c r="E711" s="275"/>
      <c r="F711" s="276"/>
      <c r="G711" s="276"/>
      <c r="H711" s="277"/>
    </row>
    <row r="715" spans="1:8" ht="15.75" thickBot="1" x14ac:dyDescent="0.3">
      <c r="A715" s="184"/>
      <c r="B715" s="184"/>
      <c r="C715" s="184"/>
      <c r="D715" s="184"/>
      <c r="E715" s="184"/>
      <c r="F715" s="184"/>
      <c r="G715" s="184"/>
      <c r="H715" s="184"/>
    </row>
    <row r="716" spans="1:8" x14ac:dyDescent="0.25">
      <c r="A716" s="75" t="s">
        <v>11</v>
      </c>
      <c r="B716" s="72" t="s">
        <v>12</v>
      </c>
      <c r="C716" s="72" t="s">
        <v>73</v>
      </c>
      <c r="D716" s="72" t="s">
        <v>13</v>
      </c>
      <c r="E716" s="72" t="s">
        <v>61</v>
      </c>
      <c r="F716" s="72" t="s">
        <v>14</v>
      </c>
      <c r="G716" s="72" t="s">
        <v>15</v>
      </c>
      <c r="H716" s="74" t="s">
        <v>16</v>
      </c>
    </row>
    <row r="717" spans="1:8" ht="17.25" x14ac:dyDescent="0.3">
      <c r="A717" s="76">
        <f>'CASE DATA'!A35</f>
        <v>0</v>
      </c>
      <c r="B717" s="77">
        <f>'CASE DATA'!B35</f>
        <v>0</v>
      </c>
      <c r="C717" s="79" t="e">
        <f>'CASE DATA'!#REF!</f>
        <v>#REF!</v>
      </c>
      <c r="D717" s="79">
        <f>'CASE DATA'!C35</f>
        <v>0</v>
      </c>
      <c r="E717" s="77">
        <f>'CASE DATA'!E35</f>
        <v>0</v>
      </c>
      <c r="F717" s="77">
        <f>'CASE DATA'!F35</f>
        <v>0</v>
      </c>
      <c r="G717" s="77">
        <f>'CASE DATA'!G35</f>
        <v>0</v>
      </c>
      <c r="H717" s="78">
        <f>'CASE DATA'!H35</f>
        <v>0</v>
      </c>
    </row>
    <row r="718" spans="1:8" x14ac:dyDescent="0.25">
      <c r="A718" s="53" t="s">
        <v>18</v>
      </c>
      <c r="B718" s="32">
        <f>'CASE DATA'!I35</f>
        <v>0</v>
      </c>
      <c r="C718" s="33" t="s">
        <v>21</v>
      </c>
      <c r="D718" s="36">
        <f>'CASE DATA'!L35</f>
        <v>0</v>
      </c>
      <c r="E718" s="38" t="s">
        <v>24</v>
      </c>
      <c r="F718" s="41">
        <f>'CASE DATA'!O35</f>
        <v>0</v>
      </c>
      <c r="G718" s="43" t="s">
        <v>74</v>
      </c>
      <c r="H718" s="54">
        <f>'CASE DATA'!R35</f>
        <v>0</v>
      </c>
    </row>
    <row r="719" spans="1:8" x14ac:dyDescent="0.25">
      <c r="A719" s="55" t="s">
        <v>75</v>
      </c>
      <c r="B719" s="32">
        <f>'CASE DATA'!J35</f>
        <v>0</v>
      </c>
      <c r="C719" s="34" t="s">
        <v>22</v>
      </c>
      <c r="D719" s="36">
        <f>'CASE DATA'!M35</f>
        <v>0</v>
      </c>
      <c r="E719" s="39" t="s">
        <v>25</v>
      </c>
      <c r="F719" s="41">
        <f>'CASE DATA'!P35</f>
        <v>0</v>
      </c>
      <c r="G719" s="44" t="s">
        <v>28</v>
      </c>
      <c r="H719" s="54">
        <f>'CASE DATA'!S35</f>
        <v>0</v>
      </c>
    </row>
    <row r="720" spans="1:8" x14ac:dyDescent="0.25">
      <c r="A720" s="56" t="s">
        <v>20</v>
      </c>
      <c r="B720" s="32">
        <f>'CASE DATA'!K35</f>
        <v>0</v>
      </c>
      <c r="C720" s="35" t="s">
        <v>23</v>
      </c>
      <c r="D720" s="37">
        <f>'CASE DATA'!N35</f>
        <v>0</v>
      </c>
      <c r="E720" s="40" t="s">
        <v>26</v>
      </c>
      <c r="F720" s="42">
        <f>'CASE DATA'!Q35</f>
        <v>0</v>
      </c>
      <c r="G720" s="28"/>
      <c r="H720" s="57"/>
    </row>
    <row r="721" spans="1:8" x14ac:dyDescent="0.25">
      <c r="A721" s="58" t="s">
        <v>10</v>
      </c>
      <c r="B721" s="278">
        <f>'CASE DATA'!T35</f>
        <v>0</v>
      </c>
      <c r="C721" s="279"/>
      <c r="D721" s="279"/>
      <c r="E721" s="279"/>
      <c r="F721" s="279"/>
      <c r="G721" s="279"/>
      <c r="H721" s="280"/>
    </row>
    <row r="722" spans="1:8" ht="18.75" x14ac:dyDescent="0.3">
      <c r="A722" s="265" t="s">
        <v>76</v>
      </c>
      <c r="B722" s="266"/>
      <c r="C722" s="266"/>
      <c r="D722" s="266"/>
      <c r="E722" s="266"/>
      <c r="F722" s="266"/>
      <c r="G722" s="266"/>
      <c r="H722" s="267"/>
    </row>
    <row r="723" spans="1:8" ht="45" x14ac:dyDescent="0.25">
      <c r="A723" s="59" t="s">
        <v>39</v>
      </c>
      <c r="B723" s="45" t="s">
        <v>77</v>
      </c>
      <c r="C723" s="46" t="s">
        <v>43</v>
      </c>
      <c r="D723" s="46" t="s">
        <v>44</v>
      </c>
      <c r="E723" s="46" t="s">
        <v>45</v>
      </c>
      <c r="F723" s="47" t="s">
        <v>46</v>
      </c>
      <c r="G723" s="26" t="s">
        <v>78</v>
      </c>
      <c r="H723" s="60"/>
    </row>
    <row r="724" spans="1:8" x14ac:dyDescent="0.25">
      <c r="A724" s="61" t="str">
        <f>EXPUNGEMENT!D34</f>
        <v>NO</v>
      </c>
      <c r="B724" s="61" t="str">
        <f>EXPUNGEMENT!G34</f>
        <v>N/A</v>
      </c>
      <c r="C724" s="136" t="str">
        <f>EXPUNGEMENT!H34</f>
        <v>NO</v>
      </c>
      <c r="D724" s="136" t="str">
        <f>EXPUNGEMENT!I34</f>
        <v>N/A</v>
      </c>
      <c r="E724" s="136" t="str">
        <f>EXPUNGEMENT!J34</f>
        <v>N/A</v>
      </c>
      <c r="F724" s="136" t="str">
        <f>EXPUNGEMENT!K34</f>
        <v>N/A</v>
      </c>
      <c r="G724" s="29"/>
      <c r="H724" s="62"/>
    </row>
    <row r="725" spans="1:8" x14ac:dyDescent="0.25">
      <c r="A725" s="63" t="s">
        <v>51</v>
      </c>
      <c r="B725" s="48" t="s">
        <v>79</v>
      </c>
      <c r="C725" s="49" t="s">
        <v>44</v>
      </c>
      <c r="D725" s="49" t="s">
        <v>45</v>
      </c>
      <c r="E725" s="29"/>
      <c r="F725" s="29"/>
      <c r="G725" s="29"/>
      <c r="H725" s="62"/>
    </row>
    <row r="726" spans="1:8" x14ac:dyDescent="0.25">
      <c r="A726" s="64" t="str">
        <f>EXPUNGEMENT!R34</f>
        <v>NO</v>
      </c>
      <c r="B726" s="64" t="str">
        <f>EXPUNGEMENT!S34</f>
        <v>N/A</v>
      </c>
      <c r="C726" s="64" t="str">
        <f>EXPUNGEMENT!T34</f>
        <v>N/A</v>
      </c>
      <c r="D726" s="64" t="str">
        <f>EXPUNGEMENT!U34</f>
        <v>N/A</v>
      </c>
      <c r="E726" s="29"/>
      <c r="F726" s="29"/>
      <c r="G726" s="29"/>
      <c r="H726" s="62"/>
    </row>
    <row r="727" spans="1:8" ht="18.75" customHeight="1" x14ac:dyDescent="0.3">
      <c r="A727" s="265" t="s">
        <v>80</v>
      </c>
      <c r="B727" s="266"/>
      <c r="C727" s="266"/>
      <c r="D727" s="266"/>
      <c r="E727" s="266"/>
      <c r="F727" s="268"/>
      <c r="G727" s="269">
        <v>32</v>
      </c>
      <c r="H727" s="270"/>
    </row>
    <row r="728" spans="1:8" ht="15" customHeight="1" x14ac:dyDescent="0.25">
      <c r="A728" s="65" t="s">
        <v>29</v>
      </c>
      <c r="B728" s="27">
        <f>BANKRUPTCY!C35</f>
        <v>0</v>
      </c>
      <c r="C728" s="50" t="s">
        <v>56</v>
      </c>
      <c r="D728" s="27">
        <f>BANKRUPTCY!D35</f>
        <v>0</v>
      </c>
      <c r="E728" s="50" t="s">
        <v>57</v>
      </c>
      <c r="F728" s="30">
        <f>BANKRUPTCY!E35</f>
        <v>0</v>
      </c>
      <c r="G728" s="271"/>
      <c r="H728" s="272"/>
    </row>
    <row r="729" spans="1:8" ht="18.75" customHeight="1" x14ac:dyDescent="0.3">
      <c r="A729" s="265" t="s">
        <v>81</v>
      </c>
      <c r="B729" s="266"/>
      <c r="C729" s="266"/>
      <c r="D729" s="266"/>
      <c r="E729" s="266"/>
      <c r="F729" s="268"/>
      <c r="G729" s="271"/>
      <c r="H729" s="272"/>
    </row>
    <row r="730" spans="1:8" ht="15" customHeight="1" x14ac:dyDescent="0.25">
      <c r="A730" s="65" t="s">
        <v>29</v>
      </c>
      <c r="B730" s="27">
        <f>SOL!C35</f>
        <v>0</v>
      </c>
      <c r="C730" s="50" t="s">
        <v>56</v>
      </c>
      <c r="D730" s="27">
        <f>SOL!D35</f>
        <v>0</v>
      </c>
      <c r="E730" s="50" t="s">
        <v>57</v>
      </c>
      <c r="F730" s="30">
        <f>SOL!E35</f>
        <v>0</v>
      </c>
      <c r="G730" s="271"/>
      <c r="H730" s="272"/>
    </row>
    <row r="731" spans="1:8" ht="18.75" customHeight="1" x14ac:dyDescent="0.3">
      <c r="A731" s="265" t="s">
        <v>82</v>
      </c>
      <c r="B731" s="266"/>
      <c r="C731" s="266"/>
      <c r="D731" s="266"/>
      <c r="E731" s="52"/>
      <c r="F731" s="51"/>
      <c r="G731" s="271"/>
      <c r="H731" s="272"/>
    </row>
    <row r="732" spans="1:8" ht="15" customHeight="1" x14ac:dyDescent="0.25">
      <c r="A732" s="65" t="s">
        <v>67</v>
      </c>
      <c r="B732" s="27">
        <f>EXEMPTIONS!C35</f>
        <v>0</v>
      </c>
      <c r="C732" s="50" t="s">
        <v>68</v>
      </c>
      <c r="D732" s="27">
        <f>EXEMPTIONS!D35</f>
        <v>0</v>
      </c>
      <c r="E732" s="31"/>
      <c r="F732" s="31"/>
      <c r="G732" s="271"/>
      <c r="H732" s="272"/>
    </row>
    <row r="733" spans="1:8" ht="18.75" customHeight="1" x14ac:dyDescent="0.3">
      <c r="A733" s="265" t="s">
        <v>83</v>
      </c>
      <c r="B733" s="266"/>
      <c r="C733" s="266"/>
      <c r="D733" s="266"/>
      <c r="E733" s="52"/>
      <c r="F733" s="52"/>
      <c r="G733" s="273"/>
      <c r="H733" s="274"/>
    </row>
    <row r="734" spans="1:8" ht="15.75" thickBot="1" x14ac:dyDescent="0.3">
      <c r="A734" s="66" t="s">
        <v>62</v>
      </c>
      <c r="B734" s="67" t="str">
        <f>'LICENSE-REGIS'!I35</f>
        <v>N/A</v>
      </c>
      <c r="C734" s="68" t="s">
        <v>63</v>
      </c>
      <c r="D734" s="67">
        <f>'LICENSE-REGIS'!M35</f>
        <v>0</v>
      </c>
      <c r="E734" s="275"/>
      <c r="F734" s="276"/>
      <c r="G734" s="276"/>
      <c r="H734" s="277"/>
    </row>
    <row r="738" spans="1:8" ht="15.75" thickBot="1" x14ac:dyDescent="0.3">
      <c r="A738" s="184"/>
      <c r="B738" s="184"/>
      <c r="C738" s="184"/>
      <c r="D738" s="184"/>
      <c r="E738" s="184"/>
      <c r="F738" s="184"/>
      <c r="G738" s="184"/>
      <c r="H738" s="184"/>
    </row>
    <row r="739" spans="1:8" x14ac:dyDescent="0.25">
      <c r="A739" s="75" t="s">
        <v>11</v>
      </c>
      <c r="B739" s="72" t="s">
        <v>12</v>
      </c>
      <c r="C739" s="72" t="s">
        <v>73</v>
      </c>
      <c r="D739" s="72" t="s">
        <v>13</v>
      </c>
      <c r="E739" s="72" t="s">
        <v>61</v>
      </c>
      <c r="F739" s="72" t="s">
        <v>14</v>
      </c>
      <c r="G739" s="72" t="s">
        <v>15</v>
      </c>
      <c r="H739" s="74" t="s">
        <v>16</v>
      </c>
    </row>
    <row r="740" spans="1:8" ht="17.25" x14ac:dyDescent="0.3">
      <c r="A740" s="76">
        <f>'CASE DATA'!A36</f>
        <v>0</v>
      </c>
      <c r="B740" s="77">
        <f>'CASE DATA'!B36</f>
        <v>0</v>
      </c>
      <c r="C740" s="79" t="e">
        <f>'CASE DATA'!#REF!</f>
        <v>#REF!</v>
      </c>
      <c r="D740" s="79">
        <f>'CASE DATA'!C36</f>
        <v>0</v>
      </c>
      <c r="E740" s="77">
        <f>'CASE DATA'!E36</f>
        <v>0</v>
      </c>
      <c r="F740" s="77">
        <f>'CASE DATA'!F36</f>
        <v>0</v>
      </c>
      <c r="G740" s="77">
        <f>'CASE DATA'!G36</f>
        <v>0</v>
      </c>
      <c r="H740" s="78">
        <f>'CASE DATA'!H36</f>
        <v>0</v>
      </c>
    </row>
    <row r="741" spans="1:8" x14ac:dyDescent="0.25">
      <c r="A741" s="53" t="s">
        <v>18</v>
      </c>
      <c r="B741" s="32">
        <f>'CASE DATA'!I36</f>
        <v>0</v>
      </c>
      <c r="C741" s="33" t="s">
        <v>21</v>
      </c>
      <c r="D741" s="36">
        <f>'CASE DATA'!L36</f>
        <v>0</v>
      </c>
      <c r="E741" s="38" t="s">
        <v>24</v>
      </c>
      <c r="F741" s="41">
        <f>'CASE DATA'!O36</f>
        <v>0</v>
      </c>
      <c r="G741" s="43" t="s">
        <v>74</v>
      </c>
      <c r="H741" s="54">
        <f>'CASE DATA'!R36</f>
        <v>0</v>
      </c>
    </row>
    <row r="742" spans="1:8" x14ac:dyDescent="0.25">
      <c r="A742" s="55" t="s">
        <v>75</v>
      </c>
      <c r="B742" s="32">
        <f>'CASE DATA'!J36</f>
        <v>0</v>
      </c>
      <c r="C742" s="34" t="s">
        <v>22</v>
      </c>
      <c r="D742" s="36">
        <f>'CASE DATA'!M36</f>
        <v>0</v>
      </c>
      <c r="E742" s="39" t="s">
        <v>25</v>
      </c>
      <c r="F742" s="41">
        <f>'CASE DATA'!P36</f>
        <v>0</v>
      </c>
      <c r="G742" s="44" t="s">
        <v>28</v>
      </c>
      <c r="H742" s="54">
        <f>'CASE DATA'!S36</f>
        <v>0</v>
      </c>
    </row>
    <row r="743" spans="1:8" x14ac:dyDescent="0.25">
      <c r="A743" s="56" t="s">
        <v>20</v>
      </c>
      <c r="B743" s="32">
        <f>'CASE DATA'!K36</f>
        <v>0</v>
      </c>
      <c r="C743" s="35" t="s">
        <v>23</v>
      </c>
      <c r="D743" s="37">
        <f>'CASE DATA'!N36</f>
        <v>0</v>
      </c>
      <c r="E743" s="40" t="s">
        <v>26</v>
      </c>
      <c r="F743" s="42">
        <f>'CASE DATA'!Q36</f>
        <v>0</v>
      </c>
      <c r="G743" s="28"/>
      <c r="H743" s="57"/>
    </row>
    <row r="744" spans="1:8" x14ac:dyDescent="0.25">
      <c r="A744" s="58" t="s">
        <v>10</v>
      </c>
      <c r="B744" s="278">
        <f>'CASE DATA'!T36</f>
        <v>0</v>
      </c>
      <c r="C744" s="279"/>
      <c r="D744" s="279"/>
      <c r="E744" s="279"/>
      <c r="F744" s="279"/>
      <c r="G744" s="279"/>
      <c r="H744" s="280"/>
    </row>
    <row r="745" spans="1:8" ht="18.75" x14ac:dyDescent="0.3">
      <c r="A745" s="265" t="s">
        <v>76</v>
      </c>
      <c r="B745" s="266"/>
      <c r="C745" s="266"/>
      <c r="D745" s="266"/>
      <c r="E745" s="266"/>
      <c r="F745" s="266"/>
      <c r="G745" s="266"/>
      <c r="H745" s="267"/>
    </row>
    <row r="746" spans="1:8" ht="45" x14ac:dyDescent="0.25">
      <c r="A746" s="59" t="s">
        <v>39</v>
      </c>
      <c r="B746" s="45" t="s">
        <v>77</v>
      </c>
      <c r="C746" s="46" t="s">
        <v>43</v>
      </c>
      <c r="D746" s="46" t="s">
        <v>44</v>
      </c>
      <c r="E746" s="46" t="s">
        <v>45</v>
      </c>
      <c r="F746" s="47" t="s">
        <v>46</v>
      </c>
      <c r="G746" s="26" t="s">
        <v>78</v>
      </c>
      <c r="H746" s="60"/>
    </row>
    <row r="747" spans="1:8" x14ac:dyDescent="0.25">
      <c r="A747" s="61" t="str">
        <f>EXPUNGEMENT!D35</f>
        <v>NO</v>
      </c>
      <c r="B747" s="61" t="str">
        <f>EXPUNGEMENT!G35</f>
        <v>N/A</v>
      </c>
      <c r="C747" s="136" t="str">
        <f>EXPUNGEMENT!H35</f>
        <v>NO</v>
      </c>
      <c r="D747" s="136" t="str">
        <f>EXPUNGEMENT!I35</f>
        <v>N/A</v>
      </c>
      <c r="E747" s="136" t="str">
        <f>EXPUNGEMENT!J35</f>
        <v>N/A</v>
      </c>
      <c r="F747" s="136" t="str">
        <f>EXPUNGEMENT!K35</f>
        <v>N/A</v>
      </c>
      <c r="G747" s="29"/>
      <c r="H747" s="62"/>
    </row>
    <row r="748" spans="1:8" x14ac:dyDescent="0.25">
      <c r="A748" s="63" t="s">
        <v>51</v>
      </c>
      <c r="B748" s="48" t="s">
        <v>79</v>
      </c>
      <c r="C748" s="49" t="s">
        <v>44</v>
      </c>
      <c r="D748" s="49" t="s">
        <v>45</v>
      </c>
      <c r="E748" s="29"/>
      <c r="F748" s="29"/>
      <c r="G748" s="29"/>
      <c r="H748" s="62"/>
    </row>
    <row r="749" spans="1:8" x14ac:dyDescent="0.25">
      <c r="A749" s="64" t="str">
        <f>EXPUNGEMENT!R35</f>
        <v>NO</v>
      </c>
      <c r="B749" s="64" t="str">
        <f>EXPUNGEMENT!S35</f>
        <v>N/A</v>
      </c>
      <c r="C749" s="64" t="str">
        <f>EXPUNGEMENT!T35</f>
        <v>N/A</v>
      </c>
      <c r="D749" s="64" t="str">
        <f>EXPUNGEMENT!U35</f>
        <v>N/A</v>
      </c>
      <c r="E749" s="29"/>
      <c r="F749" s="29"/>
      <c r="G749" s="29"/>
      <c r="H749" s="62"/>
    </row>
    <row r="750" spans="1:8" ht="18.75" x14ac:dyDescent="0.3">
      <c r="A750" s="265" t="s">
        <v>80</v>
      </c>
      <c r="B750" s="266"/>
      <c r="C750" s="266"/>
      <c r="D750" s="266"/>
      <c r="E750" s="266"/>
      <c r="F750" s="268"/>
      <c r="G750" s="269">
        <v>33</v>
      </c>
      <c r="H750" s="270"/>
    </row>
    <row r="751" spans="1:8" x14ac:dyDescent="0.25">
      <c r="A751" s="65" t="s">
        <v>29</v>
      </c>
      <c r="B751" s="27">
        <f>BANKRUPTCY!C36</f>
        <v>0</v>
      </c>
      <c r="C751" s="50" t="s">
        <v>56</v>
      </c>
      <c r="D751" s="27">
        <f>BANKRUPTCY!D36</f>
        <v>0</v>
      </c>
      <c r="E751" s="50" t="s">
        <v>57</v>
      </c>
      <c r="F751" s="30">
        <f>BANKRUPTCY!E36</f>
        <v>0</v>
      </c>
      <c r="G751" s="271"/>
      <c r="H751" s="272"/>
    </row>
    <row r="752" spans="1:8" ht="18.75" x14ac:dyDescent="0.3">
      <c r="A752" s="265" t="s">
        <v>81</v>
      </c>
      <c r="B752" s="266"/>
      <c r="C752" s="266"/>
      <c r="D752" s="266"/>
      <c r="E752" s="266"/>
      <c r="F752" s="268"/>
      <c r="G752" s="271"/>
      <c r="H752" s="272"/>
    </row>
    <row r="753" spans="1:8" x14ac:dyDescent="0.25">
      <c r="A753" s="65" t="s">
        <v>29</v>
      </c>
      <c r="B753" s="27">
        <f>SOL!C36</f>
        <v>0</v>
      </c>
      <c r="C753" s="50" t="s">
        <v>56</v>
      </c>
      <c r="D753" s="27">
        <f>SOL!D36</f>
        <v>0</v>
      </c>
      <c r="E753" s="50" t="s">
        <v>57</v>
      </c>
      <c r="F753" s="30">
        <f>SOL!E36</f>
        <v>0</v>
      </c>
      <c r="G753" s="271"/>
      <c r="H753" s="272"/>
    </row>
    <row r="754" spans="1:8" ht="18.75" x14ac:dyDescent="0.3">
      <c r="A754" s="265" t="s">
        <v>82</v>
      </c>
      <c r="B754" s="266"/>
      <c r="C754" s="266"/>
      <c r="D754" s="266"/>
      <c r="E754" s="52"/>
      <c r="F754" s="51"/>
      <c r="G754" s="271"/>
      <c r="H754" s="272"/>
    </row>
    <row r="755" spans="1:8" x14ac:dyDescent="0.25">
      <c r="A755" s="65" t="s">
        <v>67</v>
      </c>
      <c r="B755" s="27">
        <f>EXEMPTIONS!C36</f>
        <v>0</v>
      </c>
      <c r="C755" s="50" t="s">
        <v>68</v>
      </c>
      <c r="D755" s="27">
        <f>EXEMPTIONS!D36</f>
        <v>0</v>
      </c>
      <c r="E755" s="31"/>
      <c r="F755" s="31"/>
      <c r="G755" s="271"/>
      <c r="H755" s="272"/>
    </row>
    <row r="756" spans="1:8" ht="18.75" x14ac:dyDescent="0.3">
      <c r="A756" s="265" t="s">
        <v>83</v>
      </c>
      <c r="B756" s="266"/>
      <c r="C756" s="266"/>
      <c r="D756" s="266"/>
      <c r="E756" s="52"/>
      <c r="F756" s="52"/>
      <c r="G756" s="273"/>
      <c r="H756" s="274"/>
    </row>
    <row r="757" spans="1:8" ht="15.75" thickBot="1" x14ac:dyDescent="0.3">
      <c r="A757" s="66" t="s">
        <v>62</v>
      </c>
      <c r="B757" s="67" t="str">
        <f>'LICENSE-REGIS'!I36</f>
        <v>N/A</v>
      </c>
      <c r="C757" s="68" t="s">
        <v>63</v>
      </c>
      <c r="D757" s="67">
        <f>'LICENSE-REGIS'!M36</f>
        <v>0</v>
      </c>
      <c r="E757" s="275"/>
      <c r="F757" s="276"/>
      <c r="G757" s="276"/>
      <c r="H757" s="277"/>
    </row>
    <row r="761" spans="1:8" ht="15.75" thickBot="1" x14ac:dyDescent="0.3">
      <c r="A761" s="184"/>
      <c r="B761" s="184"/>
      <c r="C761" s="184"/>
      <c r="D761" s="184"/>
      <c r="E761" s="184"/>
      <c r="F761" s="184"/>
      <c r="G761" s="184"/>
      <c r="H761" s="184"/>
    </row>
    <row r="762" spans="1:8" x14ac:dyDescent="0.25">
      <c r="A762" s="75" t="s">
        <v>11</v>
      </c>
      <c r="B762" s="72" t="s">
        <v>12</v>
      </c>
      <c r="C762" s="72" t="s">
        <v>73</v>
      </c>
      <c r="D762" s="72" t="s">
        <v>13</v>
      </c>
      <c r="E762" s="72" t="s">
        <v>61</v>
      </c>
      <c r="F762" s="72" t="s">
        <v>14</v>
      </c>
      <c r="G762" s="72" t="s">
        <v>15</v>
      </c>
      <c r="H762" s="74" t="s">
        <v>16</v>
      </c>
    </row>
    <row r="763" spans="1:8" ht="17.25" x14ac:dyDescent="0.3">
      <c r="A763" s="76">
        <f>'CASE DATA'!A37</f>
        <v>0</v>
      </c>
      <c r="B763" s="77">
        <f>'CASE DATA'!B37</f>
        <v>0</v>
      </c>
      <c r="C763" s="79" t="e">
        <f>'CASE DATA'!#REF!</f>
        <v>#REF!</v>
      </c>
      <c r="D763" s="79">
        <f>'CASE DATA'!C37</f>
        <v>0</v>
      </c>
      <c r="E763" s="77">
        <f>'CASE DATA'!E37</f>
        <v>0</v>
      </c>
      <c r="F763" s="77">
        <f>'CASE DATA'!F37</f>
        <v>0</v>
      </c>
      <c r="G763" s="77">
        <f>'CASE DATA'!G37</f>
        <v>0</v>
      </c>
      <c r="H763" s="78">
        <f>'CASE DATA'!H37</f>
        <v>0</v>
      </c>
    </row>
    <row r="764" spans="1:8" x14ac:dyDescent="0.25">
      <c r="A764" s="53" t="s">
        <v>18</v>
      </c>
      <c r="B764" s="32">
        <f>'CASE DATA'!I37</f>
        <v>0</v>
      </c>
      <c r="C764" s="33" t="s">
        <v>21</v>
      </c>
      <c r="D764" s="36">
        <f>'CASE DATA'!L37</f>
        <v>0</v>
      </c>
      <c r="E764" s="38" t="s">
        <v>24</v>
      </c>
      <c r="F764" s="41">
        <f>'CASE DATA'!O37</f>
        <v>0</v>
      </c>
      <c r="G764" s="43" t="s">
        <v>74</v>
      </c>
      <c r="H764" s="54">
        <f>'CASE DATA'!R37</f>
        <v>0</v>
      </c>
    </row>
    <row r="765" spans="1:8" x14ac:dyDescent="0.25">
      <c r="A765" s="55" t="s">
        <v>75</v>
      </c>
      <c r="B765" s="32">
        <f>'CASE DATA'!J37</f>
        <v>0</v>
      </c>
      <c r="C765" s="34" t="s">
        <v>22</v>
      </c>
      <c r="D765" s="36">
        <f>'CASE DATA'!M37</f>
        <v>0</v>
      </c>
      <c r="E765" s="39" t="s">
        <v>25</v>
      </c>
      <c r="F765" s="41">
        <f>'CASE DATA'!P37</f>
        <v>0</v>
      </c>
      <c r="G765" s="44" t="s">
        <v>28</v>
      </c>
      <c r="H765" s="54">
        <f>'CASE DATA'!S37</f>
        <v>0</v>
      </c>
    </row>
    <row r="766" spans="1:8" x14ac:dyDescent="0.25">
      <c r="A766" s="56" t="s">
        <v>20</v>
      </c>
      <c r="B766" s="32">
        <f>'CASE DATA'!K37</f>
        <v>0</v>
      </c>
      <c r="C766" s="35" t="s">
        <v>23</v>
      </c>
      <c r="D766" s="37">
        <f>'CASE DATA'!N37</f>
        <v>0</v>
      </c>
      <c r="E766" s="40" t="s">
        <v>26</v>
      </c>
      <c r="F766" s="42">
        <f>'CASE DATA'!Q37</f>
        <v>0</v>
      </c>
      <c r="G766" s="28"/>
      <c r="H766" s="57"/>
    </row>
    <row r="767" spans="1:8" x14ac:dyDescent="0.25">
      <c r="A767" s="58" t="s">
        <v>10</v>
      </c>
      <c r="B767" s="278">
        <f>'CASE DATA'!T37</f>
        <v>0</v>
      </c>
      <c r="C767" s="279"/>
      <c r="D767" s="279"/>
      <c r="E767" s="279"/>
      <c r="F767" s="279"/>
      <c r="G767" s="279"/>
      <c r="H767" s="280"/>
    </row>
    <row r="768" spans="1:8" ht="18.75" x14ac:dyDescent="0.3">
      <c r="A768" s="265" t="s">
        <v>76</v>
      </c>
      <c r="B768" s="266"/>
      <c r="C768" s="266"/>
      <c r="D768" s="266"/>
      <c r="E768" s="266"/>
      <c r="F768" s="266"/>
      <c r="G768" s="266"/>
      <c r="H768" s="267"/>
    </row>
    <row r="769" spans="1:8" ht="45" x14ac:dyDescent="0.25">
      <c r="A769" s="59" t="s">
        <v>39</v>
      </c>
      <c r="B769" s="45" t="s">
        <v>77</v>
      </c>
      <c r="C769" s="46" t="s">
        <v>43</v>
      </c>
      <c r="D769" s="46" t="s">
        <v>44</v>
      </c>
      <c r="E769" s="46" t="s">
        <v>45</v>
      </c>
      <c r="F769" s="47" t="s">
        <v>46</v>
      </c>
      <c r="G769" s="26" t="s">
        <v>78</v>
      </c>
      <c r="H769" s="60"/>
    </row>
    <row r="770" spans="1:8" x14ac:dyDescent="0.25">
      <c r="A770" s="61" t="str">
        <f>EXPUNGEMENT!D36</f>
        <v>NO</v>
      </c>
      <c r="B770" s="61" t="str">
        <f>EXPUNGEMENT!G36</f>
        <v>N/A</v>
      </c>
      <c r="C770" s="136" t="str">
        <f>EXPUNGEMENT!H36</f>
        <v>NO</v>
      </c>
      <c r="D770" s="136" t="str">
        <f>EXPUNGEMENT!I36</f>
        <v>N/A</v>
      </c>
      <c r="E770" s="136" t="str">
        <f>EXPUNGEMENT!J36</f>
        <v>N/A</v>
      </c>
      <c r="F770" s="136" t="str">
        <f>EXPUNGEMENT!K36</f>
        <v>N/A</v>
      </c>
      <c r="G770" s="29"/>
      <c r="H770" s="62"/>
    </row>
    <row r="771" spans="1:8" x14ac:dyDescent="0.25">
      <c r="A771" s="63" t="s">
        <v>51</v>
      </c>
      <c r="B771" s="48" t="s">
        <v>79</v>
      </c>
      <c r="C771" s="49" t="s">
        <v>44</v>
      </c>
      <c r="D771" s="49" t="s">
        <v>45</v>
      </c>
      <c r="E771" s="29"/>
      <c r="F771" s="29"/>
      <c r="G771" s="29"/>
      <c r="H771" s="62"/>
    </row>
    <row r="772" spans="1:8" x14ac:dyDescent="0.25">
      <c r="A772" s="64" t="str">
        <f>EXPUNGEMENT!R36</f>
        <v>NO</v>
      </c>
      <c r="B772" s="64" t="str">
        <f>EXPUNGEMENT!S36</f>
        <v>N/A</v>
      </c>
      <c r="C772" s="64" t="str">
        <f>EXPUNGEMENT!T36</f>
        <v>N/A</v>
      </c>
      <c r="D772" s="64" t="str">
        <f>EXPUNGEMENT!U36</f>
        <v>N/A</v>
      </c>
      <c r="E772" s="29"/>
      <c r="F772" s="29"/>
      <c r="G772" s="29"/>
      <c r="H772" s="62"/>
    </row>
    <row r="773" spans="1:8" ht="18.75" x14ac:dyDescent="0.3">
      <c r="A773" s="265" t="s">
        <v>80</v>
      </c>
      <c r="B773" s="266"/>
      <c r="C773" s="266"/>
      <c r="D773" s="266"/>
      <c r="E773" s="266"/>
      <c r="F773" s="268"/>
      <c r="G773" s="269">
        <v>34</v>
      </c>
      <c r="H773" s="270"/>
    </row>
    <row r="774" spans="1:8" x14ac:dyDescent="0.25">
      <c r="A774" s="65" t="s">
        <v>29</v>
      </c>
      <c r="B774" s="27">
        <f>BANKRUPTCY!C37</f>
        <v>0</v>
      </c>
      <c r="C774" s="50" t="s">
        <v>56</v>
      </c>
      <c r="D774" s="27">
        <f>BANKRUPTCY!D37</f>
        <v>0</v>
      </c>
      <c r="E774" s="50" t="s">
        <v>57</v>
      </c>
      <c r="F774" s="30">
        <f>BANKRUPTCY!E37</f>
        <v>0</v>
      </c>
      <c r="G774" s="271"/>
      <c r="H774" s="272"/>
    </row>
    <row r="775" spans="1:8" ht="18.75" x14ac:dyDescent="0.3">
      <c r="A775" s="265" t="s">
        <v>81</v>
      </c>
      <c r="B775" s="266"/>
      <c r="C775" s="266"/>
      <c r="D775" s="266"/>
      <c r="E775" s="266"/>
      <c r="F775" s="268"/>
      <c r="G775" s="271"/>
      <c r="H775" s="272"/>
    </row>
    <row r="776" spans="1:8" x14ac:dyDescent="0.25">
      <c r="A776" s="65" t="s">
        <v>29</v>
      </c>
      <c r="B776" s="27">
        <f>SOL!C37</f>
        <v>0</v>
      </c>
      <c r="C776" s="50" t="s">
        <v>56</v>
      </c>
      <c r="D776" s="27">
        <f>SOL!D37</f>
        <v>0</v>
      </c>
      <c r="E776" s="50" t="s">
        <v>57</v>
      </c>
      <c r="F776" s="30">
        <f>SOL!E37</f>
        <v>0</v>
      </c>
      <c r="G776" s="271"/>
      <c r="H776" s="272"/>
    </row>
    <row r="777" spans="1:8" ht="18.75" x14ac:dyDescent="0.3">
      <c r="A777" s="265" t="s">
        <v>82</v>
      </c>
      <c r="B777" s="266"/>
      <c r="C777" s="266"/>
      <c r="D777" s="266"/>
      <c r="E777" s="52"/>
      <c r="F777" s="51"/>
      <c r="G777" s="271"/>
      <c r="H777" s="272"/>
    </row>
    <row r="778" spans="1:8" x14ac:dyDescent="0.25">
      <c r="A778" s="65" t="s">
        <v>67</v>
      </c>
      <c r="B778" s="27">
        <f>EXEMPTIONS!C37</f>
        <v>0</v>
      </c>
      <c r="C778" s="50" t="s">
        <v>68</v>
      </c>
      <c r="D778" s="27">
        <f>EXEMPTIONS!D37</f>
        <v>0</v>
      </c>
      <c r="E778" s="31"/>
      <c r="F778" s="31"/>
      <c r="G778" s="271"/>
      <c r="H778" s="272"/>
    </row>
    <row r="779" spans="1:8" ht="18.75" x14ac:dyDescent="0.3">
      <c r="A779" s="265" t="s">
        <v>83</v>
      </c>
      <c r="B779" s="266"/>
      <c r="C779" s="266"/>
      <c r="D779" s="266"/>
      <c r="E779" s="52"/>
      <c r="F779" s="52"/>
      <c r="G779" s="273"/>
      <c r="H779" s="274"/>
    </row>
    <row r="780" spans="1:8" ht="15.75" thickBot="1" x14ac:dyDescent="0.3">
      <c r="A780" s="66" t="s">
        <v>62</v>
      </c>
      <c r="B780" s="67" t="str">
        <f>'LICENSE-REGIS'!I37</f>
        <v>N/A</v>
      </c>
      <c r="C780" s="68" t="s">
        <v>63</v>
      </c>
      <c r="D780" s="67">
        <f>'LICENSE-REGIS'!M37</f>
        <v>0</v>
      </c>
      <c r="E780" s="275"/>
      <c r="F780" s="276"/>
      <c r="G780" s="276"/>
      <c r="H780" s="277"/>
    </row>
    <row r="784" spans="1:8" ht="15.75" thickBot="1" x14ac:dyDescent="0.3">
      <c r="A784" s="184"/>
      <c r="B784" s="184"/>
      <c r="C784" s="184"/>
      <c r="D784" s="184"/>
      <c r="E784" s="184"/>
      <c r="F784" s="184"/>
      <c r="G784" s="184"/>
      <c r="H784" s="184"/>
    </row>
    <row r="785" spans="1:8" x14ac:dyDescent="0.25">
      <c r="A785" s="75" t="s">
        <v>11</v>
      </c>
      <c r="B785" s="72" t="s">
        <v>12</v>
      </c>
      <c r="C785" s="72" t="s">
        <v>73</v>
      </c>
      <c r="D785" s="72" t="s">
        <v>13</v>
      </c>
      <c r="E785" s="72" t="s">
        <v>61</v>
      </c>
      <c r="F785" s="72" t="s">
        <v>14</v>
      </c>
      <c r="G785" s="72" t="s">
        <v>15</v>
      </c>
      <c r="H785" s="74" t="s">
        <v>16</v>
      </c>
    </row>
    <row r="786" spans="1:8" ht="17.25" x14ac:dyDescent="0.3">
      <c r="A786" s="76">
        <f>'CASE DATA'!A38</f>
        <v>0</v>
      </c>
      <c r="B786" s="77">
        <f>'CASE DATA'!B38</f>
        <v>0</v>
      </c>
      <c r="C786" s="79" t="e">
        <f>'CASE DATA'!#REF!</f>
        <v>#REF!</v>
      </c>
      <c r="D786" s="79">
        <f>'CASE DATA'!C38</f>
        <v>0</v>
      </c>
      <c r="E786" s="77">
        <f>'CASE DATA'!E38</f>
        <v>0</v>
      </c>
      <c r="F786" s="77">
        <f>'CASE DATA'!F38</f>
        <v>0</v>
      </c>
      <c r="G786" s="77">
        <f>'CASE DATA'!G38</f>
        <v>0</v>
      </c>
      <c r="H786" s="78">
        <f>'CASE DATA'!H38</f>
        <v>0</v>
      </c>
    </row>
    <row r="787" spans="1:8" x14ac:dyDescent="0.25">
      <c r="A787" s="53" t="s">
        <v>18</v>
      </c>
      <c r="B787" s="32">
        <f>'CASE DATA'!I38</f>
        <v>0</v>
      </c>
      <c r="C787" s="33" t="s">
        <v>21</v>
      </c>
      <c r="D787" s="36">
        <f>'CASE DATA'!L38</f>
        <v>0</v>
      </c>
      <c r="E787" s="38" t="s">
        <v>24</v>
      </c>
      <c r="F787" s="41">
        <f>'CASE DATA'!O38</f>
        <v>0</v>
      </c>
      <c r="G787" s="43" t="s">
        <v>74</v>
      </c>
      <c r="H787" s="54">
        <f>'CASE DATA'!R38</f>
        <v>0</v>
      </c>
    </row>
    <row r="788" spans="1:8" x14ac:dyDescent="0.25">
      <c r="A788" s="55" t="s">
        <v>75</v>
      </c>
      <c r="B788" s="32">
        <f>'CASE DATA'!J38</f>
        <v>0</v>
      </c>
      <c r="C788" s="34" t="s">
        <v>22</v>
      </c>
      <c r="D788" s="36">
        <f>'CASE DATA'!M38</f>
        <v>0</v>
      </c>
      <c r="E788" s="39" t="s">
        <v>25</v>
      </c>
      <c r="F788" s="41">
        <f>'CASE DATA'!P38</f>
        <v>0</v>
      </c>
      <c r="G788" s="44" t="s">
        <v>28</v>
      </c>
      <c r="H788" s="54">
        <f>'CASE DATA'!S38</f>
        <v>0</v>
      </c>
    </row>
    <row r="789" spans="1:8" x14ac:dyDescent="0.25">
      <c r="A789" s="56" t="s">
        <v>20</v>
      </c>
      <c r="B789" s="32">
        <f>'CASE DATA'!K38</f>
        <v>0</v>
      </c>
      <c r="C789" s="35" t="s">
        <v>23</v>
      </c>
      <c r="D789" s="37">
        <f>'CASE DATA'!N38</f>
        <v>0</v>
      </c>
      <c r="E789" s="40" t="s">
        <v>26</v>
      </c>
      <c r="F789" s="42">
        <f>'CASE DATA'!Q38</f>
        <v>0</v>
      </c>
      <c r="G789" s="28"/>
      <c r="H789" s="57"/>
    </row>
    <row r="790" spans="1:8" x14ac:dyDescent="0.25">
      <c r="A790" s="58" t="s">
        <v>10</v>
      </c>
      <c r="B790" s="278">
        <f>'CASE DATA'!T38</f>
        <v>0</v>
      </c>
      <c r="C790" s="279"/>
      <c r="D790" s="279"/>
      <c r="E790" s="279"/>
      <c r="F790" s="279"/>
      <c r="G790" s="279"/>
      <c r="H790" s="280"/>
    </row>
    <row r="791" spans="1:8" ht="18.75" x14ac:dyDescent="0.3">
      <c r="A791" s="265" t="s">
        <v>76</v>
      </c>
      <c r="B791" s="266"/>
      <c r="C791" s="266"/>
      <c r="D791" s="266"/>
      <c r="E791" s="266"/>
      <c r="F791" s="266"/>
      <c r="G791" s="266"/>
      <c r="H791" s="267"/>
    </row>
    <row r="792" spans="1:8" ht="45" x14ac:dyDescent="0.25">
      <c r="A792" s="59" t="s">
        <v>39</v>
      </c>
      <c r="B792" s="45" t="s">
        <v>77</v>
      </c>
      <c r="C792" s="46" t="s">
        <v>43</v>
      </c>
      <c r="D792" s="46" t="s">
        <v>44</v>
      </c>
      <c r="E792" s="46" t="s">
        <v>45</v>
      </c>
      <c r="F792" s="47" t="s">
        <v>46</v>
      </c>
      <c r="G792" s="26" t="s">
        <v>78</v>
      </c>
      <c r="H792" s="60"/>
    </row>
    <row r="793" spans="1:8" x14ac:dyDescent="0.25">
      <c r="A793" s="61" t="str">
        <f>EXPUNGEMENT!D37</f>
        <v>NO</v>
      </c>
      <c r="B793" s="61" t="str">
        <f>EXPUNGEMENT!G37</f>
        <v>N/A</v>
      </c>
      <c r="C793" s="136" t="str">
        <f>EXPUNGEMENT!H37</f>
        <v>NO</v>
      </c>
      <c r="D793" s="136" t="str">
        <f>EXPUNGEMENT!I37</f>
        <v>N/A</v>
      </c>
      <c r="E793" s="136" t="str">
        <f>EXPUNGEMENT!J37</f>
        <v>N/A</v>
      </c>
      <c r="F793" s="136" t="str">
        <f>EXPUNGEMENT!K37</f>
        <v>N/A</v>
      </c>
      <c r="G793" s="29"/>
      <c r="H793" s="62"/>
    </row>
    <row r="794" spans="1:8" x14ac:dyDescent="0.25">
      <c r="A794" s="63" t="s">
        <v>51</v>
      </c>
      <c r="B794" s="48" t="s">
        <v>79</v>
      </c>
      <c r="C794" s="49" t="s">
        <v>44</v>
      </c>
      <c r="D794" s="49" t="s">
        <v>45</v>
      </c>
      <c r="E794" s="29"/>
      <c r="F794" s="29"/>
      <c r="G794" s="29"/>
      <c r="H794" s="62"/>
    </row>
    <row r="795" spans="1:8" x14ac:dyDescent="0.25">
      <c r="A795" s="64" t="str">
        <f>EXPUNGEMENT!R37</f>
        <v>NO</v>
      </c>
      <c r="B795" s="64" t="str">
        <f>EXPUNGEMENT!S37</f>
        <v>N/A</v>
      </c>
      <c r="C795" s="64" t="str">
        <f>EXPUNGEMENT!T37</f>
        <v>N/A</v>
      </c>
      <c r="D795" s="64" t="str">
        <f>EXPUNGEMENT!U37</f>
        <v>N/A</v>
      </c>
      <c r="E795" s="29"/>
      <c r="F795" s="29"/>
      <c r="G795" s="29"/>
      <c r="H795" s="62"/>
    </row>
    <row r="796" spans="1:8" ht="18.75" customHeight="1" x14ac:dyDescent="0.3">
      <c r="A796" s="265" t="s">
        <v>80</v>
      </c>
      <c r="B796" s="266"/>
      <c r="C796" s="266"/>
      <c r="D796" s="266"/>
      <c r="E796" s="266"/>
      <c r="F796" s="268"/>
      <c r="G796" s="269">
        <v>35</v>
      </c>
      <c r="H796" s="270"/>
    </row>
    <row r="797" spans="1:8" ht="15" customHeight="1" x14ac:dyDescent="0.25">
      <c r="A797" s="65" t="s">
        <v>29</v>
      </c>
      <c r="B797" s="27">
        <f>BANKRUPTCY!C38</f>
        <v>0</v>
      </c>
      <c r="C797" s="50" t="s">
        <v>56</v>
      </c>
      <c r="D797" s="27">
        <f>BANKRUPTCY!D38</f>
        <v>0</v>
      </c>
      <c r="E797" s="50" t="s">
        <v>57</v>
      </c>
      <c r="F797" s="30">
        <f>BANKRUPTCY!E38</f>
        <v>0</v>
      </c>
      <c r="G797" s="271"/>
      <c r="H797" s="272"/>
    </row>
    <row r="798" spans="1:8" ht="18.75" customHeight="1" x14ac:dyDescent="0.3">
      <c r="A798" s="265" t="s">
        <v>81</v>
      </c>
      <c r="B798" s="266"/>
      <c r="C798" s="266"/>
      <c r="D798" s="266"/>
      <c r="E798" s="266"/>
      <c r="F798" s="268"/>
      <c r="G798" s="271"/>
      <c r="H798" s="272"/>
    </row>
    <row r="799" spans="1:8" ht="15" customHeight="1" x14ac:dyDescent="0.25">
      <c r="A799" s="65" t="s">
        <v>29</v>
      </c>
      <c r="B799" s="27">
        <f>SOL!C38</f>
        <v>0</v>
      </c>
      <c r="C799" s="50" t="s">
        <v>56</v>
      </c>
      <c r="D799" s="27">
        <f>SOL!D38</f>
        <v>0</v>
      </c>
      <c r="E799" s="50" t="s">
        <v>57</v>
      </c>
      <c r="F799" s="30">
        <f>SOL!E38</f>
        <v>0</v>
      </c>
      <c r="G799" s="271"/>
      <c r="H799" s="272"/>
    </row>
    <row r="800" spans="1:8" ht="18.75" customHeight="1" x14ac:dyDescent="0.3">
      <c r="A800" s="265" t="s">
        <v>82</v>
      </c>
      <c r="B800" s="266"/>
      <c r="C800" s="266"/>
      <c r="D800" s="266"/>
      <c r="E800" s="52"/>
      <c r="F800" s="51"/>
      <c r="G800" s="271"/>
      <c r="H800" s="272"/>
    </row>
    <row r="801" spans="1:8" ht="15" customHeight="1" x14ac:dyDescent="0.25">
      <c r="A801" s="65" t="s">
        <v>67</v>
      </c>
      <c r="B801" s="27">
        <f>EXEMPTIONS!C38</f>
        <v>0</v>
      </c>
      <c r="C801" s="50" t="s">
        <v>68</v>
      </c>
      <c r="D801" s="27">
        <f>EXEMPTIONS!D38</f>
        <v>0</v>
      </c>
      <c r="E801" s="31"/>
      <c r="F801" s="31"/>
      <c r="G801" s="271"/>
      <c r="H801" s="272"/>
    </row>
    <row r="802" spans="1:8" ht="18.75" customHeight="1" x14ac:dyDescent="0.3">
      <c r="A802" s="265" t="s">
        <v>83</v>
      </c>
      <c r="B802" s="266"/>
      <c r="C802" s="266"/>
      <c r="D802" s="266"/>
      <c r="E802" s="52"/>
      <c r="F802" s="52"/>
      <c r="G802" s="273"/>
      <c r="H802" s="274"/>
    </row>
    <row r="803" spans="1:8" ht="15.75" thickBot="1" x14ac:dyDescent="0.3">
      <c r="A803" s="66" t="s">
        <v>62</v>
      </c>
      <c r="B803" s="67" t="str">
        <f>'LICENSE-REGIS'!I38</f>
        <v>N/A</v>
      </c>
      <c r="C803" s="68" t="s">
        <v>63</v>
      </c>
      <c r="D803" s="67">
        <f>'LICENSE-REGIS'!M38</f>
        <v>0</v>
      </c>
      <c r="E803" s="275"/>
      <c r="F803" s="276"/>
      <c r="G803" s="276"/>
      <c r="H803" s="277"/>
    </row>
    <row r="807" spans="1:8" ht="15.75" thickBot="1" x14ac:dyDescent="0.3">
      <c r="A807" s="184"/>
      <c r="B807" s="184"/>
      <c r="C807" s="184"/>
      <c r="D807" s="184"/>
      <c r="E807" s="184"/>
      <c r="F807" s="184"/>
      <c r="G807" s="184"/>
      <c r="H807" s="184"/>
    </row>
    <row r="808" spans="1:8" x14ac:dyDescent="0.25">
      <c r="A808" s="75" t="s">
        <v>11</v>
      </c>
      <c r="B808" s="72" t="s">
        <v>12</v>
      </c>
      <c r="C808" s="72" t="s">
        <v>73</v>
      </c>
      <c r="D808" s="72" t="s">
        <v>13</v>
      </c>
      <c r="E808" s="72" t="s">
        <v>61</v>
      </c>
      <c r="F808" s="72" t="s">
        <v>14</v>
      </c>
      <c r="G808" s="72" t="s">
        <v>15</v>
      </c>
      <c r="H808" s="74" t="s">
        <v>16</v>
      </c>
    </row>
    <row r="809" spans="1:8" ht="17.25" x14ac:dyDescent="0.3">
      <c r="A809" s="76">
        <f>'CASE DATA'!A39</f>
        <v>0</v>
      </c>
      <c r="B809" s="77">
        <f>'CASE DATA'!B39</f>
        <v>0</v>
      </c>
      <c r="C809" s="79" t="e">
        <f>'CASE DATA'!#REF!</f>
        <v>#REF!</v>
      </c>
      <c r="D809" s="79">
        <f>'CASE DATA'!C39</f>
        <v>0</v>
      </c>
      <c r="E809" s="77">
        <f>'CASE DATA'!E39</f>
        <v>0</v>
      </c>
      <c r="F809" s="77">
        <f>'CASE DATA'!F39</f>
        <v>0</v>
      </c>
      <c r="G809" s="77">
        <f>'CASE DATA'!G39</f>
        <v>0</v>
      </c>
      <c r="H809" s="78">
        <f>'CASE DATA'!H39</f>
        <v>0</v>
      </c>
    </row>
    <row r="810" spans="1:8" x14ac:dyDescent="0.25">
      <c r="A810" s="53" t="s">
        <v>18</v>
      </c>
      <c r="B810" s="32">
        <f>'CASE DATA'!I39</f>
        <v>0</v>
      </c>
      <c r="C810" s="33" t="s">
        <v>21</v>
      </c>
      <c r="D810" s="36">
        <f>'CASE DATA'!L39</f>
        <v>0</v>
      </c>
      <c r="E810" s="38" t="s">
        <v>24</v>
      </c>
      <c r="F810" s="41">
        <f>'CASE DATA'!O39</f>
        <v>0</v>
      </c>
      <c r="G810" s="43" t="s">
        <v>74</v>
      </c>
      <c r="H810" s="54">
        <f>'CASE DATA'!R39</f>
        <v>0</v>
      </c>
    </row>
    <row r="811" spans="1:8" x14ac:dyDescent="0.25">
      <c r="A811" s="55" t="s">
        <v>75</v>
      </c>
      <c r="B811" s="32">
        <f>'CASE DATA'!J39</f>
        <v>0</v>
      </c>
      <c r="C811" s="34" t="s">
        <v>22</v>
      </c>
      <c r="D811" s="36">
        <f>'CASE DATA'!M39</f>
        <v>0</v>
      </c>
      <c r="E811" s="39" t="s">
        <v>25</v>
      </c>
      <c r="F811" s="41">
        <f>'CASE DATA'!P39</f>
        <v>0</v>
      </c>
      <c r="G811" s="44" t="s">
        <v>28</v>
      </c>
      <c r="H811" s="54">
        <f>'CASE DATA'!S39</f>
        <v>0</v>
      </c>
    </row>
    <row r="812" spans="1:8" x14ac:dyDescent="0.25">
      <c r="A812" s="56" t="s">
        <v>20</v>
      </c>
      <c r="B812" s="32">
        <f>'CASE DATA'!K39</f>
        <v>0</v>
      </c>
      <c r="C812" s="35" t="s">
        <v>23</v>
      </c>
      <c r="D812" s="37">
        <f>'CASE DATA'!N39</f>
        <v>0</v>
      </c>
      <c r="E812" s="40" t="s">
        <v>26</v>
      </c>
      <c r="F812" s="42">
        <f>'CASE DATA'!Q39</f>
        <v>0</v>
      </c>
      <c r="G812" s="28"/>
      <c r="H812" s="57"/>
    </row>
    <row r="813" spans="1:8" x14ac:dyDescent="0.25">
      <c r="A813" s="58" t="s">
        <v>10</v>
      </c>
      <c r="B813" s="278">
        <f>'CASE DATA'!T39</f>
        <v>0</v>
      </c>
      <c r="C813" s="279"/>
      <c r="D813" s="279"/>
      <c r="E813" s="279"/>
      <c r="F813" s="279"/>
      <c r="G813" s="279"/>
      <c r="H813" s="280"/>
    </row>
    <row r="814" spans="1:8" ht="18.75" x14ac:dyDescent="0.3">
      <c r="A814" s="265" t="s">
        <v>76</v>
      </c>
      <c r="B814" s="266"/>
      <c r="C814" s="266"/>
      <c r="D814" s="266"/>
      <c r="E814" s="266"/>
      <c r="F814" s="266"/>
      <c r="G814" s="266"/>
      <c r="H814" s="267"/>
    </row>
    <row r="815" spans="1:8" ht="45" x14ac:dyDescent="0.25">
      <c r="A815" s="59" t="s">
        <v>39</v>
      </c>
      <c r="B815" s="45" t="s">
        <v>77</v>
      </c>
      <c r="C815" s="46" t="s">
        <v>43</v>
      </c>
      <c r="D815" s="46" t="s">
        <v>44</v>
      </c>
      <c r="E815" s="46" t="s">
        <v>45</v>
      </c>
      <c r="F815" s="47" t="s">
        <v>46</v>
      </c>
      <c r="G815" s="26" t="s">
        <v>78</v>
      </c>
      <c r="H815" s="60"/>
    </row>
    <row r="816" spans="1:8" x14ac:dyDescent="0.25">
      <c r="A816" s="61" t="str">
        <f>EXPUNGEMENT!D38</f>
        <v>NO</v>
      </c>
      <c r="B816" s="61" t="str">
        <f>EXPUNGEMENT!G38</f>
        <v>N/A</v>
      </c>
      <c r="C816" s="136" t="str">
        <f>EXPUNGEMENT!H38</f>
        <v>NO</v>
      </c>
      <c r="D816" s="136" t="str">
        <f>EXPUNGEMENT!I38</f>
        <v>N/A</v>
      </c>
      <c r="E816" s="136" t="str">
        <f>EXPUNGEMENT!J38</f>
        <v>N/A</v>
      </c>
      <c r="F816" s="136" t="str">
        <f>EXPUNGEMENT!K38</f>
        <v>N/A</v>
      </c>
      <c r="G816" s="29"/>
      <c r="H816" s="62"/>
    </row>
    <row r="817" spans="1:8" x14ac:dyDescent="0.25">
      <c r="A817" s="63" t="s">
        <v>51</v>
      </c>
      <c r="B817" s="48" t="s">
        <v>79</v>
      </c>
      <c r="C817" s="49" t="s">
        <v>44</v>
      </c>
      <c r="D817" s="49" t="s">
        <v>45</v>
      </c>
      <c r="E817" s="29"/>
      <c r="F817" s="29"/>
      <c r="G817" s="29"/>
      <c r="H817" s="62"/>
    </row>
    <row r="818" spans="1:8" x14ac:dyDescent="0.25">
      <c r="A818" s="64" t="str">
        <f>EXPUNGEMENT!R38</f>
        <v>NO</v>
      </c>
      <c r="B818" s="64" t="str">
        <f>EXPUNGEMENT!S38</f>
        <v>N/A</v>
      </c>
      <c r="C818" s="64" t="str">
        <f>EXPUNGEMENT!T38</f>
        <v>N/A</v>
      </c>
      <c r="D818" s="64" t="str">
        <f>EXPUNGEMENT!U38</f>
        <v>N/A</v>
      </c>
      <c r="E818" s="29"/>
      <c r="F818" s="29"/>
      <c r="G818" s="29"/>
      <c r="H818" s="62"/>
    </row>
    <row r="819" spans="1:8" ht="18.75" x14ac:dyDescent="0.3">
      <c r="A819" s="265" t="s">
        <v>80</v>
      </c>
      <c r="B819" s="266"/>
      <c r="C819" s="266"/>
      <c r="D819" s="266"/>
      <c r="E819" s="266"/>
      <c r="F819" s="268"/>
      <c r="G819" s="269">
        <v>36</v>
      </c>
      <c r="H819" s="270"/>
    </row>
    <row r="820" spans="1:8" x14ac:dyDescent="0.25">
      <c r="A820" s="65" t="s">
        <v>29</v>
      </c>
      <c r="B820" s="27">
        <f>BANKRUPTCY!C39</f>
        <v>0</v>
      </c>
      <c r="C820" s="50" t="s">
        <v>56</v>
      </c>
      <c r="D820" s="27">
        <f>BANKRUPTCY!D39</f>
        <v>0</v>
      </c>
      <c r="E820" s="50" t="s">
        <v>57</v>
      </c>
      <c r="F820" s="30">
        <f>BANKRUPTCY!E39</f>
        <v>0</v>
      </c>
      <c r="G820" s="271"/>
      <c r="H820" s="272"/>
    </row>
    <row r="821" spans="1:8" ht="18.75" x14ac:dyDescent="0.3">
      <c r="A821" s="265" t="s">
        <v>81</v>
      </c>
      <c r="B821" s="266"/>
      <c r="C821" s="266"/>
      <c r="D821" s="266"/>
      <c r="E821" s="266"/>
      <c r="F821" s="268"/>
      <c r="G821" s="271"/>
      <c r="H821" s="272"/>
    </row>
    <row r="822" spans="1:8" x14ac:dyDescent="0.25">
      <c r="A822" s="65" t="s">
        <v>29</v>
      </c>
      <c r="B822" s="27">
        <f>SOL!C39</f>
        <v>0</v>
      </c>
      <c r="C822" s="50" t="s">
        <v>56</v>
      </c>
      <c r="D822" s="27">
        <f>SOL!D39</f>
        <v>0</v>
      </c>
      <c r="E822" s="50" t="s">
        <v>57</v>
      </c>
      <c r="F822" s="30">
        <f>SOL!E39</f>
        <v>0</v>
      </c>
      <c r="G822" s="271"/>
      <c r="H822" s="272"/>
    </row>
    <row r="823" spans="1:8" ht="18.75" x14ac:dyDescent="0.3">
      <c r="A823" s="265" t="s">
        <v>82</v>
      </c>
      <c r="B823" s="266"/>
      <c r="C823" s="266"/>
      <c r="D823" s="266"/>
      <c r="E823" s="52"/>
      <c r="F823" s="51"/>
      <c r="G823" s="271"/>
      <c r="H823" s="272"/>
    </row>
    <row r="824" spans="1:8" x14ac:dyDescent="0.25">
      <c r="A824" s="65" t="s">
        <v>67</v>
      </c>
      <c r="B824" s="27">
        <f>EXEMPTIONS!C39</f>
        <v>0</v>
      </c>
      <c r="C824" s="50" t="s">
        <v>68</v>
      </c>
      <c r="D824" s="27">
        <f>EXEMPTIONS!D39</f>
        <v>0</v>
      </c>
      <c r="E824" s="31"/>
      <c r="F824" s="31"/>
      <c r="G824" s="271"/>
      <c r="H824" s="272"/>
    </row>
    <row r="825" spans="1:8" ht="18.75" x14ac:dyDescent="0.3">
      <c r="A825" s="265" t="s">
        <v>83</v>
      </c>
      <c r="B825" s="266"/>
      <c r="C825" s="266"/>
      <c r="D825" s="266"/>
      <c r="E825" s="52"/>
      <c r="F825" s="52"/>
      <c r="G825" s="273"/>
      <c r="H825" s="274"/>
    </row>
    <row r="826" spans="1:8" ht="15.75" thickBot="1" x14ac:dyDescent="0.3">
      <c r="A826" s="66" t="s">
        <v>62</v>
      </c>
      <c r="B826" s="67" t="str">
        <f>'LICENSE-REGIS'!I39</f>
        <v>N/A</v>
      </c>
      <c r="C826" s="68" t="s">
        <v>63</v>
      </c>
      <c r="D826" s="67">
        <f>'LICENSE-REGIS'!M39</f>
        <v>0</v>
      </c>
      <c r="E826" s="275"/>
      <c r="F826" s="276"/>
      <c r="G826" s="276"/>
      <c r="H826" s="277"/>
    </row>
    <row r="830" spans="1:8" ht="15.75" thickBot="1" x14ac:dyDescent="0.3">
      <c r="A830" s="184"/>
      <c r="B830" s="184"/>
      <c r="C830" s="184"/>
      <c r="D830" s="184"/>
      <c r="E830" s="184"/>
      <c r="F830" s="184"/>
      <c r="G830" s="184"/>
      <c r="H830" s="184"/>
    </row>
    <row r="831" spans="1:8" x14ac:dyDescent="0.25">
      <c r="A831" s="75" t="s">
        <v>11</v>
      </c>
      <c r="B831" s="72" t="s">
        <v>12</v>
      </c>
      <c r="C831" s="72" t="s">
        <v>73</v>
      </c>
      <c r="D831" s="72" t="s">
        <v>13</v>
      </c>
      <c r="E831" s="72" t="s">
        <v>61</v>
      </c>
      <c r="F831" s="72" t="s">
        <v>14</v>
      </c>
      <c r="G831" s="72" t="s">
        <v>15</v>
      </c>
      <c r="H831" s="74" t="s">
        <v>16</v>
      </c>
    </row>
    <row r="832" spans="1:8" ht="17.25" x14ac:dyDescent="0.3">
      <c r="A832" s="76">
        <f>'CASE DATA'!A40</f>
        <v>0</v>
      </c>
      <c r="B832" s="77">
        <f>'CASE DATA'!B40</f>
        <v>0</v>
      </c>
      <c r="C832" s="79" t="e">
        <f>'CASE DATA'!#REF!</f>
        <v>#REF!</v>
      </c>
      <c r="D832" s="79">
        <f>'CASE DATA'!C40</f>
        <v>0</v>
      </c>
      <c r="E832" s="77">
        <f>'CASE DATA'!E40</f>
        <v>0</v>
      </c>
      <c r="F832" s="77">
        <f>'CASE DATA'!F40</f>
        <v>0</v>
      </c>
      <c r="G832" s="77">
        <f>'CASE DATA'!G40</f>
        <v>0</v>
      </c>
      <c r="H832" s="78">
        <f>'CASE DATA'!H40</f>
        <v>0</v>
      </c>
    </row>
    <row r="833" spans="1:8" x14ac:dyDescent="0.25">
      <c r="A833" s="53" t="s">
        <v>18</v>
      </c>
      <c r="B833" s="32">
        <f>'CASE DATA'!I40</f>
        <v>0</v>
      </c>
      <c r="C833" s="33" t="s">
        <v>21</v>
      </c>
      <c r="D833" s="36">
        <f>'CASE DATA'!L40</f>
        <v>0</v>
      </c>
      <c r="E833" s="38" t="s">
        <v>24</v>
      </c>
      <c r="F833" s="41">
        <f>'CASE DATA'!O40</f>
        <v>0</v>
      </c>
      <c r="G833" s="43" t="s">
        <v>74</v>
      </c>
      <c r="H833" s="54">
        <f>'CASE DATA'!R40</f>
        <v>0</v>
      </c>
    </row>
    <row r="834" spans="1:8" x14ac:dyDescent="0.25">
      <c r="A834" s="55" t="s">
        <v>75</v>
      </c>
      <c r="B834" s="32">
        <f>'CASE DATA'!J40</f>
        <v>0</v>
      </c>
      <c r="C834" s="34" t="s">
        <v>22</v>
      </c>
      <c r="D834" s="36">
        <f>'CASE DATA'!M40</f>
        <v>0</v>
      </c>
      <c r="E834" s="39" t="s">
        <v>25</v>
      </c>
      <c r="F834" s="41">
        <f>'CASE DATA'!P40</f>
        <v>0</v>
      </c>
      <c r="G834" s="44" t="s">
        <v>28</v>
      </c>
      <c r="H834" s="54">
        <f>'CASE DATA'!S40</f>
        <v>0</v>
      </c>
    </row>
    <row r="835" spans="1:8" x14ac:dyDescent="0.25">
      <c r="A835" s="56" t="s">
        <v>20</v>
      </c>
      <c r="B835" s="32">
        <f>'CASE DATA'!K40</f>
        <v>0</v>
      </c>
      <c r="C835" s="35" t="s">
        <v>23</v>
      </c>
      <c r="D835" s="37">
        <f>'CASE DATA'!N40</f>
        <v>0</v>
      </c>
      <c r="E835" s="40" t="s">
        <v>26</v>
      </c>
      <c r="F835" s="42">
        <f>'CASE DATA'!Q40</f>
        <v>0</v>
      </c>
      <c r="G835" s="28"/>
      <c r="H835" s="57"/>
    </row>
    <row r="836" spans="1:8" x14ac:dyDescent="0.25">
      <c r="A836" s="58" t="s">
        <v>10</v>
      </c>
      <c r="B836" s="278">
        <f>'CASE DATA'!T40</f>
        <v>0</v>
      </c>
      <c r="C836" s="279"/>
      <c r="D836" s="279"/>
      <c r="E836" s="279"/>
      <c r="F836" s="279"/>
      <c r="G836" s="279"/>
      <c r="H836" s="280"/>
    </row>
    <row r="837" spans="1:8" ht="18.75" x14ac:dyDescent="0.3">
      <c r="A837" s="265" t="s">
        <v>76</v>
      </c>
      <c r="B837" s="266"/>
      <c r="C837" s="266"/>
      <c r="D837" s="266"/>
      <c r="E837" s="266"/>
      <c r="F837" s="266"/>
      <c r="G837" s="266"/>
      <c r="H837" s="267"/>
    </row>
    <row r="838" spans="1:8" ht="45" x14ac:dyDescent="0.25">
      <c r="A838" s="59" t="s">
        <v>39</v>
      </c>
      <c r="B838" s="45" t="s">
        <v>77</v>
      </c>
      <c r="C838" s="46" t="s">
        <v>43</v>
      </c>
      <c r="D838" s="46" t="s">
        <v>44</v>
      </c>
      <c r="E838" s="46" t="s">
        <v>45</v>
      </c>
      <c r="F838" s="47" t="s">
        <v>46</v>
      </c>
      <c r="G838" s="26" t="s">
        <v>78</v>
      </c>
      <c r="H838" s="60"/>
    </row>
    <row r="839" spans="1:8" x14ac:dyDescent="0.25">
      <c r="A839" s="61" t="str">
        <f>EXPUNGEMENT!D39</f>
        <v>NO</v>
      </c>
      <c r="B839" s="61" t="str">
        <f>EXPUNGEMENT!G39</f>
        <v>N/A</v>
      </c>
      <c r="C839" s="136" t="str">
        <f>EXPUNGEMENT!H39</f>
        <v>NO</v>
      </c>
      <c r="D839" s="136" t="str">
        <f>EXPUNGEMENT!I39</f>
        <v>N/A</v>
      </c>
      <c r="E839" s="136" t="str">
        <f>EXPUNGEMENT!J39</f>
        <v>N/A</v>
      </c>
      <c r="F839" s="136" t="str">
        <f>EXPUNGEMENT!K39</f>
        <v>N/A</v>
      </c>
      <c r="G839" s="29"/>
      <c r="H839" s="62"/>
    </row>
    <row r="840" spans="1:8" x14ac:dyDescent="0.25">
      <c r="A840" s="63" t="s">
        <v>51</v>
      </c>
      <c r="B840" s="48" t="s">
        <v>79</v>
      </c>
      <c r="C840" s="49" t="s">
        <v>44</v>
      </c>
      <c r="D840" s="49" t="s">
        <v>45</v>
      </c>
      <c r="E840" s="29"/>
      <c r="F840" s="29"/>
      <c r="G840" s="29"/>
      <c r="H840" s="62"/>
    </row>
    <row r="841" spans="1:8" x14ac:dyDescent="0.25">
      <c r="A841" s="64" t="str">
        <f>EXPUNGEMENT!R39</f>
        <v>NO</v>
      </c>
      <c r="B841" s="64" t="str">
        <f>EXPUNGEMENT!S39</f>
        <v>N/A</v>
      </c>
      <c r="C841" s="64" t="str">
        <f>EXPUNGEMENT!T39</f>
        <v>N/A</v>
      </c>
      <c r="D841" s="64" t="str">
        <f>EXPUNGEMENT!U39</f>
        <v>N/A</v>
      </c>
      <c r="E841" s="29"/>
      <c r="F841" s="29"/>
      <c r="G841" s="29"/>
      <c r="H841" s="62"/>
    </row>
    <row r="842" spans="1:8" ht="18.75" x14ac:dyDescent="0.3">
      <c r="A842" s="265" t="s">
        <v>80</v>
      </c>
      <c r="B842" s="266"/>
      <c r="C842" s="266"/>
      <c r="D842" s="266"/>
      <c r="E842" s="266"/>
      <c r="F842" s="268"/>
      <c r="G842" s="269">
        <v>37</v>
      </c>
      <c r="H842" s="270"/>
    </row>
    <row r="843" spans="1:8" x14ac:dyDescent="0.25">
      <c r="A843" s="65" t="s">
        <v>29</v>
      </c>
      <c r="B843" s="27">
        <f>BANKRUPTCY!C40</f>
        <v>0</v>
      </c>
      <c r="C843" s="50" t="s">
        <v>56</v>
      </c>
      <c r="D843" s="27">
        <f>BANKRUPTCY!D40</f>
        <v>0</v>
      </c>
      <c r="E843" s="50" t="s">
        <v>57</v>
      </c>
      <c r="F843" s="30">
        <f>BANKRUPTCY!E40</f>
        <v>0</v>
      </c>
      <c r="G843" s="271"/>
      <c r="H843" s="272"/>
    </row>
    <row r="844" spans="1:8" ht="18.75" x14ac:dyDescent="0.3">
      <c r="A844" s="265" t="s">
        <v>81</v>
      </c>
      <c r="B844" s="266"/>
      <c r="C844" s="266"/>
      <c r="D844" s="266"/>
      <c r="E844" s="266"/>
      <c r="F844" s="268"/>
      <c r="G844" s="271"/>
      <c r="H844" s="272"/>
    </row>
    <row r="845" spans="1:8" x14ac:dyDescent="0.25">
      <c r="A845" s="65" t="s">
        <v>29</v>
      </c>
      <c r="B845" s="27">
        <f>SOL!C40</f>
        <v>0</v>
      </c>
      <c r="C845" s="50" t="s">
        <v>56</v>
      </c>
      <c r="D845" s="27">
        <f>SOL!D40</f>
        <v>0</v>
      </c>
      <c r="E845" s="50" t="s">
        <v>57</v>
      </c>
      <c r="F845" s="30">
        <f>SOL!E40</f>
        <v>0</v>
      </c>
      <c r="G845" s="271"/>
      <c r="H845" s="272"/>
    </row>
    <row r="846" spans="1:8" ht="18.75" x14ac:dyDescent="0.3">
      <c r="A846" s="265" t="s">
        <v>82</v>
      </c>
      <c r="B846" s="266"/>
      <c r="C846" s="266"/>
      <c r="D846" s="266"/>
      <c r="E846" s="52"/>
      <c r="F846" s="51"/>
      <c r="G846" s="271"/>
      <c r="H846" s="272"/>
    </row>
    <row r="847" spans="1:8" x14ac:dyDescent="0.25">
      <c r="A847" s="65" t="s">
        <v>67</v>
      </c>
      <c r="B847" s="27">
        <f>EXEMPTIONS!C40</f>
        <v>0</v>
      </c>
      <c r="C847" s="50" t="s">
        <v>68</v>
      </c>
      <c r="D847" s="27">
        <f>EXEMPTIONS!D40</f>
        <v>0</v>
      </c>
      <c r="E847" s="31"/>
      <c r="F847" s="31"/>
      <c r="G847" s="271"/>
      <c r="H847" s="272"/>
    </row>
    <row r="848" spans="1:8" ht="18.75" x14ac:dyDescent="0.3">
      <c r="A848" s="265" t="s">
        <v>83</v>
      </c>
      <c r="B848" s="266"/>
      <c r="C848" s="266"/>
      <c r="D848" s="266"/>
      <c r="E848" s="52"/>
      <c r="F848" s="52"/>
      <c r="G848" s="273"/>
      <c r="H848" s="274"/>
    </row>
    <row r="849" spans="1:8" ht="15.75" thickBot="1" x14ac:dyDescent="0.3">
      <c r="A849" s="66" t="s">
        <v>62</v>
      </c>
      <c r="B849" s="67" t="str">
        <f>'LICENSE-REGIS'!I40</f>
        <v>N/A</v>
      </c>
      <c r="C849" s="68" t="s">
        <v>63</v>
      </c>
      <c r="D849" s="67">
        <f>'LICENSE-REGIS'!M40</f>
        <v>0</v>
      </c>
      <c r="E849" s="275"/>
      <c r="F849" s="276"/>
      <c r="G849" s="276"/>
      <c r="H849" s="277"/>
    </row>
    <row r="853" spans="1:8" ht="15.75" thickBot="1" x14ac:dyDescent="0.3">
      <c r="A853" s="184"/>
      <c r="B853" s="184"/>
      <c r="C853" s="184"/>
      <c r="D853" s="184"/>
      <c r="E853" s="184"/>
      <c r="F853" s="184"/>
      <c r="G853" s="184"/>
      <c r="H853" s="184"/>
    </row>
    <row r="854" spans="1:8" x14ac:dyDescent="0.25">
      <c r="A854" s="75" t="s">
        <v>11</v>
      </c>
      <c r="B854" s="72" t="s">
        <v>12</v>
      </c>
      <c r="C854" s="72" t="s">
        <v>73</v>
      </c>
      <c r="D854" s="72" t="s">
        <v>13</v>
      </c>
      <c r="E854" s="72" t="s">
        <v>61</v>
      </c>
      <c r="F854" s="72" t="s">
        <v>14</v>
      </c>
      <c r="G854" s="72" t="s">
        <v>15</v>
      </c>
      <c r="H854" s="74" t="s">
        <v>16</v>
      </c>
    </row>
    <row r="855" spans="1:8" ht="17.25" x14ac:dyDescent="0.3">
      <c r="A855" s="76">
        <f>'CASE DATA'!A41</f>
        <v>0</v>
      </c>
      <c r="B855" s="77">
        <f>'CASE DATA'!B41</f>
        <v>0</v>
      </c>
      <c r="C855" s="79" t="e">
        <f>'CASE DATA'!#REF!</f>
        <v>#REF!</v>
      </c>
      <c r="D855" s="79">
        <f>'CASE DATA'!C41</f>
        <v>0</v>
      </c>
      <c r="E855" s="77">
        <f>'CASE DATA'!E41</f>
        <v>0</v>
      </c>
      <c r="F855" s="77">
        <f>'CASE DATA'!F41</f>
        <v>0</v>
      </c>
      <c r="G855" s="77">
        <f>'CASE DATA'!G41</f>
        <v>0</v>
      </c>
      <c r="H855" s="78">
        <f>'CASE DATA'!H41</f>
        <v>0</v>
      </c>
    </row>
    <row r="856" spans="1:8" x14ac:dyDescent="0.25">
      <c r="A856" s="53" t="s">
        <v>18</v>
      </c>
      <c r="B856" s="32">
        <f>'CASE DATA'!I41</f>
        <v>0</v>
      </c>
      <c r="C856" s="33" t="s">
        <v>21</v>
      </c>
      <c r="D856" s="36">
        <f>'CASE DATA'!L41</f>
        <v>0</v>
      </c>
      <c r="E856" s="38" t="s">
        <v>24</v>
      </c>
      <c r="F856" s="41">
        <f>'CASE DATA'!O41</f>
        <v>0</v>
      </c>
      <c r="G856" s="43" t="s">
        <v>74</v>
      </c>
      <c r="H856" s="54">
        <f>'CASE DATA'!R41</f>
        <v>0</v>
      </c>
    </row>
    <row r="857" spans="1:8" x14ac:dyDescent="0.25">
      <c r="A857" s="55" t="s">
        <v>75</v>
      </c>
      <c r="B857" s="32">
        <f>'CASE DATA'!J41</f>
        <v>0</v>
      </c>
      <c r="C857" s="34" t="s">
        <v>22</v>
      </c>
      <c r="D857" s="36">
        <f>'CASE DATA'!M41</f>
        <v>0</v>
      </c>
      <c r="E857" s="39" t="s">
        <v>25</v>
      </c>
      <c r="F857" s="41">
        <f>'CASE DATA'!P41</f>
        <v>0</v>
      </c>
      <c r="G857" s="44" t="s">
        <v>28</v>
      </c>
      <c r="H857" s="54">
        <f>'CASE DATA'!S41</f>
        <v>0</v>
      </c>
    </row>
    <row r="858" spans="1:8" x14ac:dyDescent="0.25">
      <c r="A858" s="56" t="s">
        <v>20</v>
      </c>
      <c r="B858" s="32">
        <f>'CASE DATA'!K41</f>
        <v>0</v>
      </c>
      <c r="C858" s="35" t="s">
        <v>23</v>
      </c>
      <c r="D858" s="37">
        <f>'CASE DATA'!N41</f>
        <v>0</v>
      </c>
      <c r="E858" s="40" t="s">
        <v>26</v>
      </c>
      <c r="F858" s="42">
        <f>'CASE DATA'!Q41</f>
        <v>0</v>
      </c>
      <c r="G858" s="28"/>
      <c r="H858" s="57"/>
    </row>
    <row r="859" spans="1:8" x14ac:dyDescent="0.25">
      <c r="A859" s="58" t="s">
        <v>10</v>
      </c>
      <c r="B859" s="278">
        <f>'CASE DATA'!T41</f>
        <v>0</v>
      </c>
      <c r="C859" s="279"/>
      <c r="D859" s="279"/>
      <c r="E859" s="279"/>
      <c r="F859" s="279"/>
      <c r="G859" s="279"/>
      <c r="H859" s="280"/>
    </row>
    <row r="860" spans="1:8" ht="18.75" x14ac:dyDescent="0.3">
      <c r="A860" s="265" t="s">
        <v>76</v>
      </c>
      <c r="B860" s="266"/>
      <c r="C860" s="266"/>
      <c r="D860" s="266"/>
      <c r="E860" s="266"/>
      <c r="F860" s="266"/>
      <c r="G860" s="266"/>
      <c r="H860" s="267"/>
    </row>
    <row r="861" spans="1:8" ht="45" x14ac:dyDescent="0.25">
      <c r="A861" s="59" t="s">
        <v>39</v>
      </c>
      <c r="B861" s="45" t="s">
        <v>77</v>
      </c>
      <c r="C861" s="46" t="s">
        <v>43</v>
      </c>
      <c r="D861" s="46" t="s">
        <v>44</v>
      </c>
      <c r="E861" s="46" t="s">
        <v>45</v>
      </c>
      <c r="F861" s="47" t="s">
        <v>46</v>
      </c>
      <c r="G861" s="26" t="s">
        <v>78</v>
      </c>
      <c r="H861" s="60"/>
    </row>
    <row r="862" spans="1:8" x14ac:dyDescent="0.25">
      <c r="A862" s="61" t="str">
        <f>EXPUNGEMENT!D40</f>
        <v>NO</v>
      </c>
      <c r="B862" s="61" t="str">
        <f>EXPUNGEMENT!G40</f>
        <v>N/A</v>
      </c>
      <c r="C862" s="136" t="str">
        <f>EXPUNGEMENT!H40</f>
        <v>NO</v>
      </c>
      <c r="D862" s="136" t="str">
        <f>EXPUNGEMENT!I40</f>
        <v>N/A</v>
      </c>
      <c r="E862" s="136" t="str">
        <f>EXPUNGEMENT!J40</f>
        <v>N/A</v>
      </c>
      <c r="F862" s="136" t="str">
        <f>EXPUNGEMENT!K40</f>
        <v>N/A</v>
      </c>
      <c r="G862" s="29"/>
      <c r="H862" s="62"/>
    </row>
    <row r="863" spans="1:8" x14ac:dyDescent="0.25">
      <c r="A863" s="63" t="s">
        <v>51</v>
      </c>
      <c r="B863" s="48" t="s">
        <v>79</v>
      </c>
      <c r="C863" s="49" t="s">
        <v>44</v>
      </c>
      <c r="D863" s="49" t="s">
        <v>45</v>
      </c>
      <c r="E863" s="29"/>
      <c r="F863" s="29"/>
      <c r="G863" s="29"/>
      <c r="H863" s="62"/>
    </row>
    <row r="864" spans="1:8" x14ac:dyDescent="0.25">
      <c r="A864" s="64" t="str">
        <f>EXPUNGEMENT!R40</f>
        <v>NO</v>
      </c>
      <c r="B864" s="64" t="str">
        <f>EXPUNGEMENT!S40</f>
        <v>N/A</v>
      </c>
      <c r="C864" s="64" t="str">
        <f>EXPUNGEMENT!T40</f>
        <v>N/A</v>
      </c>
      <c r="D864" s="64" t="str">
        <f>EXPUNGEMENT!U40</f>
        <v>N/A</v>
      </c>
      <c r="E864" s="29"/>
      <c r="F864" s="29"/>
      <c r="G864" s="29"/>
      <c r="H864" s="62"/>
    </row>
    <row r="865" spans="1:8" ht="18.75" customHeight="1" x14ac:dyDescent="0.3">
      <c r="A865" s="265" t="s">
        <v>80</v>
      </c>
      <c r="B865" s="266"/>
      <c r="C865" s="266"/>
      <c r="D865" s="266"/>
      <c r="E865" s="266"/>
      <c r="F865" s="268"/>
      <c r="G865" s="269">
        <v>38</v>
      </c>
      <c r="H865" s="270"/>
    </row>
    <row r="866" spans="1:8" ht="15" customHeight="1" x14ac:dyDescent="0.25">
      <c r="A866" s="65" t="s">
        <v>29</v>
      </c>
      <c r="B866" s="27">
        <f>BANKRUPTCY!C41</f>
        <v>0</v>
      </c>
      <c r="C866" s="50" t="s">
        <v>56</v>
      </c>
      <c r="D866" s="27">
        <f>BANKRUPTCY!D41</f>
        <v>0</v>
      </c>
      <c r="E866" s="50" t="s">
        <v>57</v>
      </c>
      <c r="F866" s="30">
        <f>BANKRUPTCY!E41</f>
        <v>0</v>
      </c>
      <c r="G866" s="271"/>
      <c r="H866" s="272"/>
    </row>
    <row r="867" spans="1:8" ht="18.75" customHeight="1" x14ac:dyDescent="0.3">
      <c r="A867" s="265" t="s">
        <v>81</v>
      </c>
      <c r="B867" s="266"/>
      <c r="C867" s="266"/>
      <c r="D867" s="266"/>
      <c r="E867" s="266"/>
      <c r="F867" s="268"/>
      <c r="G867" s="271"/>
      <c r="H867" s="272"/>
    </row>
    <row r="868" spans="1:8" ht="15" customHeight="1" x14ac:dyDescent="0.25">
      <c r="A868" s="65" t="s">
        <v>29</v>
      </c>
      <c r="B868" s="27">
        <f>SOL!C41</f>
        <v>0</v>
      </c>
      <c r="C868" s="50" t="s">
        <v>56</v>
      </c>
      <c r="D868" s="27">
        <f>SOL!D41</f>
        <v>0</v>
      </c>
      <c r="E868" s="50" t="s">
        <v>57</v>
      </c>
      <c r="F868" s="30">
        <f>SOL!E41</f>
        <v>0</v>
      </c>
      <c r="G868" s="271"/>
      <c r="H868" s="272"/>
    </row>
    <row r="869" spans="1:8" ht="18.75" customHeight="1" x14ac:dyDescent="0.3">
      <c r="A869" s="265" t="s">
        <v>82</v>
      </c>
      <c r="B869" s="266"/>
      <c r="C869" s="266"/>
      <c r="D869" s="266"/>
      <c r="E869" s="52"/>
      <c r="F869" s="51"/>
      <c r="G869" s="271"/>
      <c r="H869" s="272"/>
    </row>
    <row r="870" spans="1:8" ht="15" customHeight="1" x14ac:dyDescent="0.25">
      <c r="A870" s="65" t="s">
        <v>67</v>
      </c>
      <c r="B870" s="27">
        <f>EXEMPTIONS!C41</f>
        <v>0</v>
      </c>
      <c r="C870" s="50" t="s">
        <v>68</v>
      </c>
      <c r="D870" s="27">
        <f>EXEMPTIONS!D41</f>
        <v>0</v>
      </c>
      <c r="E870" s="31"/>
      <c r="F870" s="31"/>
      <c r="G870" s="271"/>
      <c r="H870" s="272"/>
    </row>
    <row r="871" spans="1:8" ht="18.75" customHeight="1" x14ac:dyDescent="0.3">
      <c r="A871" s="265" t="s">
        <v>83</v>
      </c>
      <c r="B871" s="266"/>
      <c r="C871" s="266"/>
      <c r="D871" s="266"/>
      <c r="E871" s="52"/>
      <c r="F871" s="52"/>
      <c r="G871" s="273"/>
      <c r="H871" s="274"/>
    </row>
    <row r="872" spans="1:8" ht="15.75" thickBot="1" x14ac:dyDescent="0.3">
      <c r="A872" s="66" t="s">
        <v>62</v>
      </c>
      <c r="B872" s="67" t="str">
        <f>'LICENSE-REGIS'!I41</f>
        <v>N/A</v>
      </c>
      <c r="C872" s="68" t="s">
        <v>63</v>
      </c>
      <c r="D872" s="67">
        <f>'LICENSE-REGIS'!M41</f>
        <v>0</v>
      </c>
      <c r="E872" s="275"/>
      <c r="F872" s="276"/>
      <c r="G872" s="276"/>
      <c r="H872" s="277"/>
    </row>
    <row r="876" spans="1:8" ht="15.75" thickBot="1" x14ac:dyDescent="0.3">
      <c r="A876" s="184"/>
      <c r="B876" s="184"/>
      <c r="C876" s="184"/>
      <c r="D876" s="184"/>
      <c r="E876" s="184"/>
      <c r="F876" s="184"/>
      <c r="G876" s="184"/>
      <c r="H876" s="184"/>
    </row>
    <row r="877" spans="1:8" x14ac:dyDescent="0.25">
      <c r="A877" s="75" t="s">
        <v>11</v>
      </c>
      <c r="B877" s="72" t="s">
        <v>12</v>
      </c>
      <c r="C877" s="72" t="s">
        <v>73</v>
      </c>
      <c r="D877" s="72" t="s">
        <v>13</v>
      </c>
      <c r="E877" s="72" t="s">
        <v>61</v>
      </c>
      <c r="F877" s="72" t="s">
        <v>14</v>
      </c>
      <c r="G877" s="72" t="s">
        <v>15</v>
      </c>
      <c r="H877" s="74" t="s">
        <v>16</v>
      </c>
    </row>
    <row r="878" spans="1:8" ht="17.25" x14ac:dyDescent="0.3">
      <c r="A878" s="76">
        <f>'CASE DATA'!A42</f>
        <v>0</v>
      </c>
      <c r="B878" s="77">
        <f>'CASE DATA'!B42</f>
        <v>0</v>
      </c>
      <c r="C878" s="79" t="e">
        <f>'CASE DATA'!#REF!</f>
        <v>#REF!</v>
      </c>
      <c r="D878" s="79">
        <f>'CASE DATA'!C42</f>
        <v>0</v>
      </c>
      <c r="E878" s="77">
        <f>'CASE DATA'!E42</f>
        <v>0</v>
      </c>
      <c r="F878" s="77">
        <f>'CASE DATA'!F42</f>
        <v>0</v>
      </c>
      <c r="G878" s="77">
        <f>'CASE DATA'!G42</f>
        <v>0</v>
      </c>
      <c r="H878" s="78">
        <f>'CASE DATA'!H42</f>
        <v>0</v>
      </c>
    </row>
    <row r="879" spans="1:8" x14ac:dyDescent="0.25">
      <c r="A879" s="53" t="s">
        <v>18</v>
      </c>
      <c r="B879" s="32">
        <f>'CASE DATA'!I42</f>
        <v>0</v>
      </c>
      <c r="C879" s="33" t="s">
        <v>21</v>
      </c>
      <c r="D879" s="36">
        <f>'CASE DATA'!L42</f>
        <v>0</v>
      </c>
      <c r="E879" s="38" t="s">
        <v>24</v>
      </c>
      <c r="F879" s="41">
        <f>'CASE DATA'!O42</f>
        <v>0</v>
      </c>
      <c r="G879" s="43" t="s">
        <v>74</v>
      </c>
      <c r="H879" s="54">
        <f>'CASE DATA'!R42</f>
        <v>0</v>
      </c>
    </row>
    <row r="880" spans="1:8" x14ac:dyDescent="0.25">
      <c r="A880" s="55" t="s">
        <v>75</v>
      </c>
      <c r="B880" s="32">
        <f>'CASE DATA'!J42</f>
        <v>0</v>
      </c>
      <c r="C880" s="34" t="s">
        <v>22</v>
      </c>
      <c r="D880" s="36">
        <f>'CASE DATA'!M42</f>
        <v>0</v>
      </c>
      <c r="E880" s="39" t="s">
        <v>25</v>
      </c>
      <c r="F880" s="41">
        <f>'CASE DATA'!P42</f>
        <v>0</v>
      </c>
      <c r="G880" s="44" t="s">
        <v>28</v>
      </c>
      <c r="H880" s="54">
        <f>'CASE DATA'!S42</f>
        <v>0</v>
      </c>
    </row>
    <row r="881" spans="1:8" x14ac:dyDescent="0.25">
      <c r="A881" s="56" t="s">
        <v>20</v>
      </c>
      <c r="B881" s="32">
        <f>'CASE DATA'!K42</f>
        <v>0</v>
      </c>
      <c r="C881" s="35" t="s">
        <v>23</v>
      </c>
      <c r="D881" s="37">
        <f>'CASE DATA'!N42</f>
        <v>0</v>
      </c>
      <c r="E881" s="40" t="s">
        <v>26</v>
      </c>
      <c r="F881" s="42">
        <f>'CASE DATA'!Q42</f>
        <v>0</v>
      </c>
      <c r="G881" s="28"/>
      <c r="H881" s="57"/>
    </row>
    <row r="882" spans="1:8" x14ac:dyDescent="0.25">
      <c r="A882" s="58" t="s">
        <v>10</v>
      </c>
      <c r="B882" s="278">
        <f>'CASE DATA'!T42</f>
        <v>0</v>
      </c>
      <c r="C882" s="279"/>
      <c r="D882" s="279"/>
      <c r="E882" s="279"/>
      <c r="F882" s="279"/>
      <c r="G882" s="279"/>
      <c r="H882" s="280"/>
    </row>
    <row r="883" spans="1:8" ht="18.75" x14ac:dyDescent="0.3">
      <c r="A883" s="265" t="s">
        <v>76</v>
      </c>
      <c r="B883" s="266"/>
      <c r="C883" s="266"/>
      <c r="D883" s="266"/>
      <c r="E883" s="266"/>
      <c r="F883" s="266"/>
      <c r="G883" s="266"/>
      <c r="H883" s="267"/>
    </row>
    <row r="884" spans="1:8" ht="45" x14ac:dyDescent="0.25">
      <c r="A884" s="59" t="s">
        <v>39</v>
      </c>
      <c r="B884" s="45" t="s">
        <v>77</v>
      </c>
      <c r="C884" s="46" t="s">
        <v>43</v>
      </c>
      <c r="D884" s="46" t="s">
        <v>44</v>
      </c>
      <c r="E884" s="46" t="s">
        <v>45</v>
      </c>
      <c r="F884" s="47" t="s">
        <v>46</v>
      </c>
      <c r="G884" s="26" t="s">
        <v>78</v>
      </c>
      <c r="H884" s="60"/>
    </row>
    <row r="885" spans="1:8" x14ac:dyDescent="0.25">
      <c r="A885" s="61" t="str">
        <f>EXPUNGEMENT!D41</f>
        <v>NO</v>
      </c>
      <c r="B885" s="61" t="str">
        <f>EXPUNGEMENT!G41</f>
        <v>N/A</v>
      </c>
      <c r="C885" s="136" t="str">
        <f>EXPUNGEMENT!H41</f>
        <v>NO</v>
      </c>
      <c r="D885" s="136" t="str">
        <f>EXPUNGEMENT!I41</f>
        <v>N/A</v>
      </c>
      <c r="E885" s="136" t="str">
        <f>EXPUNGEMENT!J41</f>
        <v>N/A</v>
      </c>
      <c r="F885" s="136" t="str">
        <f>EXPUNGEMENT!K41</f>
        <v>N/A</v>
      </c>
      <c r="G885" s="29"/>
      <c r="H885" s="62"/>
    </row>
    <row r="886" spans="1:8" x14ac:dyDescent="0.25">
      <c r="A886" s="63" t="s">
        <v>51</v>
      </c>
      <c r="B886" s="48" t="s">
        <v>79</v>
      </c>
      <c r="C886" s="49" t="s">
        <v>44</v>
      </c>
      <c r="D886" s="49" t="s">
        <v>45</v>
      </c>
      <c r="E886" s="29"/>
      <c r="F886" s="29"/>
      <c r="G886" s="29"/>
      <c r="H886" s="62"/>
    </row>
    <row r="887" spans="1:8" x14ac:dyDescent="0.25">
      <c r="A887" s="64" t="str">
        <f>EXPUNGEMENT!R41</f>
        <v>NO</v>
      </c>
      <c r="B887" s="64" t="str">
        <f>EXPUNGEMENT!S41</f>
        <v>N/A</v>
      </c>
      <c r="C887" s="64" t="str">
        <f>EXPUNGEMENT!T41</f>
        <v>N/A</v>
      </c>
      <c r="D887" s="64" t="str">
        <f>EXPUNGEMENT!U41</f>
        <v>N/A</v>
      </c>
      <c r="E887" s="29"/>
      <c r="F887" s="29"/>
      <c r="G887" s="29"/>
      <c r="H887" s="62"/>
    </row>
    <row r="888" spans="1:8" ht="18.75" x14ac:dyDescent="0.3">
      <c r="A888" s="265" t="s">
        <v>80</v>
      </c>
      <c r="B888" s="266"/>
      <c r="C888" s="266"/>
      <c r="D888" s="266"/>
      <c r="E888" s="266"/>
      <c r="F888" s="268"/>
      <c r="G888" s="269">
        <v>39</v>
      </c>
      <c r="H888" s="270"/>
    </row>
    <row r="889" spans="1:8" x14ac:dyDescent="0.25">
      <c r="A889" s="65" t="s">
        <v>29</v>
      </c>
      <c r="B889" s="27">
        <f>BANKRUPTCY!C42</f>
        <v>0</v>
      </c>
      <c r="C889" s="50" t="s">
        <v>56</v>
      </c>
      <c r="D889" s="27">
        <f>BANKRUPTCY!D42</f>
        <v>0</v>
      </c>
      <c r="E889" s="50" t="s">
        <v>57</v>
      </c>
      <c r="F889" s="30">
        <f>BANKRUPTCY!E42</f>
        <v>0</v>
      </c>
      <c r="G889" s="271"/>
      <c r="H889" s="272"/>
    </row>
    <row r="890" spans="1:8" ht="18.75" x14ac:dyDescent="0.3">
      <c r="A890" s="265" t="s">
        <v>81</v>
      </c>
      <c r="B890" s="266"/>
      <c r="C890" s="266"/>
      <c r="D890" s="266"/>
      <c r="E890" s="266"/>
      <c r="F890" s="268"/>
      <c r="G890" s="271"/>
      <c r="H890" s="272"/>
    </row>
    <row r="891" spans="1:8" x14ac:dyDescent="0.25">
      <c r="A891" s="65" t="s">
        <v>29</v>
      </c>
      <c r="B891" s="27">
        <f>SOL!C42</f>
        <v>0</v>
      </c>
      <c r="C891" s="50" t="s">
        <v>56</v>
      </c>
      <c r="D891" s="27">
        <f>SOL!D42</f>
        <v>0</v>
      </c>
      <c r="E891" s="50" t="s">
        <v>57</v>
      </c>
      <c r="F891" s="30">
        <f>SOL!E42</f>
        <v>0</v>
      </c>
      <c r="G891" s="271"/>
      <c r="H891" s="272"/>
    </row>
    <row r="892" spans="1:8" ht="18.75" x14ac:dyDescent="0.3">
      <c r="A892" s="265" t="s">
        <v>82</v>
      </c>
      <c r="B892" s="266"/>
      <c r="C892" s="266"/>
      <c r="D892" s="266"/>
      <c r="E892" s="52"/>
      <c r="F892" s="51"/>
      <c r="G892" s="271"/>
      <c r="H892" s="272"/>
    </row>
    <row r="893" spans="1:8" x14ac:dyDescent="0.25">
      <c r="A893" s="65" t="s">
        <v>67</v>
      </c>
      <c r="B893" s="27">
        <f>EXEMPTIONS!C42</f>
        <v>0</v>
      </c>
      <c r="C893" s="50" t="s">
        <v>68</v>
      </c>
      <c r="D893" s="27">
        <f>EXEMPTIONS!D42</f>
        <v>0</v>
      </c>
      <c r="E893" s="31"/>
      <c r="F893" s="31"/>
      <c r="G893" s="271"/>
      <c r="H893" s="272"/>
    </row>
    <row r="894" spans="1:8" ht="18.75" x14ac:dyDescent="0.3">
      <c r="A894" s="265" t="s">
        <v>83</v>
      </c>
      <c r="B894" s="266"/>
      <c r="C894" s="266"/>
      <c r="D894" s="266"/>
      <c r="E894" s="52"/>
      <c r="F894" s="52"/>
      <c r="G894" s="273"/>
      <c r="H894" s="274"/>
    </row>
    <row r="895" spans="1:8" ht="15.75" thickBot="1" x14ac:dyDescent="0.3">
      <c r="A895" s="66" t="s">
        <v>62</v>
      </c>
      <c r="B895" s="67" t="str">
        <f>'LICENSE-REGIS'!I42</f>
        <v>N/A</v>
      </c>
      <c r="C895" s="68" t="s">
        <v>63</v>
      </c>
      <c r="D895" s="67">
        <f>'LICENSE-REGIS'!M42</f>
        <v>0</v>
      </c>
      <c r="E895" s="275"/>
      <c r="F895" s="276"/>
      <c r="G895" s="276"/>
      <c r="H895" s="277"/>
    </row>
    <row r="899" spans="1:8" ht="15.75" thickBot="1" x14ac:dyDescent="0.3">
      <c r="A899" s="184"/>
      <c r="B899" s="184"/>
      <c r="C899" s="184"/>
      <c r="D899" s="184"/>
      <c r="E899" s="184"/>
      <c r="F899" s="184"/>
      <c r="G899" s="184"/>
      <c r="H899" s="184"/>
    </row>
    <row r="900" spans="1:8" x14ac:dyDescent="0.25">
      <c r="A900" s="75" t="s">
        <v>11</v>
      </c>
      <c r="B900" s="72" t="s">
        <v>12</v>
      </c>
      <c r="C900" s="72" t="s">
        <v>73</v>
      </c>
      <c r="D900" s="72" t="s">
        <v>13</v>
      </c>
      <c r="E900" s="72" t="s">
        <v>61</v>
      </c>
      <c r="F900" s="72" t="s">
        <v>14</v>
      </c>
      <c r="G900" s="72" t="s">
        <v>15</v>
      </c>
      <c r="H900" s="74" t="s">
        <v>16</v>
      </c>
    </row>
    <row r="901" spans="1:8" ht="17.25" x14ac:dyDescent="0.3">
      <c r="A901" s="76">
        <f>'CASE DATA'!A43</f>
        <v>0</v>
      </c>
      <c r="B901" s="77">
        <f>'CASE DATA'!B43</f>
        <v>0</v>
      </c>
      <c r="C901" s="79" t="e">
        <f>'CASE DATA'!#REF!</f>
        <v>#REF!</v>
      </c>
      <c r="D901" s="79">
        <f>'CASE DATA'!C43</f>
        <v>0</v>
      </c>
      <c r="E901" s="77">
        <f>'CASE DATA'!E43</f>
        <v>0</v>
      </c>
      <c r="F901" s="77">
        <f>'CASE DATA'!F43</f>
        <v>0</v>
      </c>
      <c r="G901" s="77">
        <f>'CASE DATA'!G43</f>
        <v>0</v>
      </c>
      <c r="H901" s="78">
        <f>'CASE DATA'!H43</f>
        <v>0</v>
      </c>
    </row>
    <row r="902" spans="1:8" x14ac:dyDescent="0.25">
      <c r="A902" s="53" t="s">
        <v>18</v>
      </c>
      <c r="B902" s="32">
        <f>'CASE DATA'!I43</f>
        <v>0</v>
      </c>
      <c r="C902" s="33" t="s">
        <v>21</v>
      </c>
      <c r="D902" s="36">
        <f>'CASE DATA'!L43</f>
        <v>0</v>
      </c>
      <c r="E902" s="38" t="s">
        <v>24</v>
      </c>
      <c r="F902" s="41">
        <f>'CASE DATA'!O43</f>
        <v>0</v>
      </c>
      <c r="G902" s="43" t="s">
        <v>74</v>
      </c>
      <c r="H902" s="54">
        <f>'CASE DATA'!R43</f>
        <v>0</v>
      </c>
    </row>
    <row r="903" spans="1:8" x14ac:dyDescent="0.25">
      <c r="A903" s="55" t="s">
        <v>75</v>
      </c>
      <c r="B903" s="32">
        <f>'CASE DATA'!J43</f>
        <v>0</v>
      </c>
      <c r="C903" s="34" t="s">
        <v>22</v>
      </c>
      <c r="D903" s="36">
        <f>'CASE DATA'!M43</f>
        <v>0</v>
      </c>
      <c r="E903" s="39" t="s">
        <v>25</v>
      </c>
      <c r="F903" s="41">
        <f>'CASE DATA'!P43</f>
        <v>0</v>
      </c>
      <c r="G903" s="44" t="s">
        <v>28</v>
      </c>
      <c r="H903" s="54">
        <f>'CASE DATA'!S43</f>
        <v>0</v>
      </c>
    </row>
    <row r="904" spans="1:8" x14ac:dyDescent="0.25">
      <c r="A904" s="56" t="s">
        <v>20</v>
      </c>
      <c r="B904" s="32">
        <f>'CASE DATA'!K43</f>
        <v>0</v>
      </c>
      <c r="C904" s="35" t="s">
        <v>23</v>
      </c>
      <c r="D904" s="37">
        <f>'CASE DATA'!N43</f>
        <v>0</v>
      </c>
      <c r="E904" s="40" t="s">
        <v>26</v>
      </c>
      <c r="F904" s="42">
        <f>'CASE DATA'!Q43</f>
        <v>0</v>
      </c>
      <c r="G904" s="28"/>
      <c r="H904" s="57"/>
    </row>
    <row r="905" spans="1:8" x14ac:dyDescent="0.25">
      <c r="A905" s="58" t="s">
        <v>10</v>
      </c>
      <c r="B905" s="278">
        <f>'CASE DATA'!T43</f>
        <v>0</v>
      </c>
      <c r="C905" s="279"/>
      <c r="D905" s="279"/>
      <c r="E905" s="279"/>
      <c r="F905" s="279"/>
      <c r="G905" s="279"/>
      <c r="H905" s="280"/>
    </row>
    <row r="906" spans="1:8" ht="18.75" x14ac:dyDescent="0.3">
      <c r="A906" s="265" t="s">
        <v>76</v>
      </c>
      <c r="B906" s="266"/>
      <c r="C906" s="266"/>
      <c r="D906" s="266"/>
      <c r="E906" s="266"/>
      <c r="F906" s="266"/>
      <c r="G906" s="266"/>
      <c r="H906" s="267"/>
    </row>
    <row r="907" spans="1:8" ht="45" x14ac:dyDescent="0.25">
      <c r="A907" s="59" t="s">
        <v>39</v>
      </c>
      <c r="B907" s="45" t="s">
        <v>77</v>
      </c>
      <c r="C907" s="46" t="s">
        <v>43</v>
      </c>
      <c r="D907" s="46" t="s">
        <v>44</v>
      </c>
      <c r="E907" s="46" t="s">
        <v>45</v>
      </c>
      <c r="F907" s="47" t="s">
        <v>46</v>
      </c>
      <c r="G907" s="26" t="s">
        <v>78</v>
      </c>
      <c r="H907" s="60"/>
    </row>
    <row r="908" spans="1:8" x14ac:dyDescent="0.25">
      <c r="A908" s="61" t="str">
        <f>EXPUNGEMENT!D42</f>
        <v>NO</v>
      </c>
      <c r="B908" s="61" t="str">
        <f>EXPUNGEMENT!G42</f>
        <v>N/A</v>
      </c>
      <c r="C908" s="136" t="str">
        <f>EXPUNGEMENT!H42</f>
        <v>NO</v>
      </c>
      <c r="D908" s="136" t="str">
        <f>EXPUNGEMENT!I42</f>
        <v>N/A</v>
      </c>
      <c r="E908" s="136" t="str">
        <f>EXPUNGEMENT!J42</f>
        <v>N/A</v>
      </c>
      <c r="F908" s="136" t="str">
        <f>EXPUNGEMENT!K42</f>
        <v>N/A</v>
      </c>
      <c r="G908" s="29"/>
      <c r="H908" s="62"/>
    </row>
    <row r="909" spans="1:8" x14ac:dyDescent="0.25">
      <c r="A909" s="63" t="s">
        <v>51</v>
      </c>
      <c r="B909" s="48" t="s">
        <v>79</v>
      </c>
      <c r="C909" s="49" t="s">
        <v>44</v>
      </c>
      <c r="D909" s="49" t="s">
        <v>45</v>
      </c>
      <c r="E909" s="29"/>
      <c r="F909" s="29"/>
      <c r="G909" s="29"/>
      <c r="H909" s="62"/>
    </row>
    <row r="910" spans="1:8" x14ac:dyDescent="0.25">
      <c r="A910" s="64" t="str">
        <f>EXPUNGEMENT!R42</f>
        <v>NO</v>
      </c>
      <c r="B910" s="64" t="str">
        <f>EXPUNGEMENT!S42</f>
        <v>N/A</v>
      </c>
      <c r="C910" s="64" t="str">
        <f>EXPUNGEMENT!T42</f>
        <v>N/A</v>
      </c>
      <c r="D910" s="64" t="str">
        <f>EXPUNGEMENT!U42</f>
        <v>N/A</v>
      </c>
      <c r="E910" s="29"/>
      <c r="F910" s="29"/>
      <c r="G910" s="29"/>
      <c r="H910" s="62"/>
    </row>
    <row r="911" spans="1:8" ht="18.75" x14ac:dyDescent="0.3">
      <c r="A911" s="265" t="s">
        <v>80</v>
      </c>
      <c r="B911" s="266"/>
      <c r="C911" s="266"/>
      <c r="D911" s="266"/>
      <c r="E911" s="266"/>
      <c r="F911" s="268"/>
      <c r="G911" s="269">
        <v>40</v>
      </c>
      <c r="H911" s="270"/>
    </row>
    <row r="912" spans="1:8" x14ac:dyDescent="0.25">
      <c r="A912" s="65" t="s">
        <v>29</v>
      </c>
      <c r="B912" s="27">
        <f>BANKRUPTCY!C43</f>
        <v>0</v>
      </c>
      <c r="C912" s="50" t="s">
        <v>56</v>
      </c>
      <c r="D912" s="27">
        <f>BANKRUPTCY!D43</f>
        <v>0</v>
      </c>
      <c r="E912" s="50" t="s">
        <v>57</v>
      </c>
      <c r="F912" s="30">
        <f>BANKRUPTCY!E43</f>
        <v>0</v>
      </c>
      <c r="G912" s="271"/>
      <c r="H912" s="272"/>
    </row>
    <row r="913" spans="1:8" ht="18.75" x14ac:dyDescent="0.3">
      <c r="A913" s="265" t="s">
        <v>81</v>
      </c>
      <c r="B913" s="266"/>
      <c r="C913" s="266"/>
      <c r="D913" s="266"/>
      <c r="E913" s="266"/>
      <c r="F913" s="268"/>
      <c r="G913" s="271"/>
      <c r="H913" s="272"/>
    </row>
    <row r="914" spans="1:8" x14ac:dyDescent="0.25">
      <c r="A914" s="65" t="s">
        <v>29</v>
      </c>
      <c r="B914" s="27">
        <f>SOL!C43</f>
        <v>0</v>
      </c>
      <c r="C914" s="50" t="s">
        <v>56</v>
      </c>
      <c r="D914" s="27">
        <f>SOL!D43</f>
        <v>0</v>
      </c>
      <c r="E914" s="50" t="s">
        <v>57</v>
      </c>
      <c r="F914" s="30">
        <f>SOL!E43</f>
        <v>0</v>
      </c>
      <c r="G914" s="271"/>
      <c r="H914" s="272"/>
    </row>
    <row r="915" spans="1:8" ht="18.75" x14ac:dyDescent="0.3">
      <c r="A915" s="265" t="s">
        <v>82</v>
      </c>
      <c r="B915" s="266"/>
      <c r="C915" s="266"/>
      <c r="D915" s="266"/>
      <c r="E915" s="52"/>
      <c r="F915" s="51"/>
      <c r="G915" s="271"/>
      <c r="H915" s="272"/>
    </row>
    <row r="916" spans="1:8" x14ac:dyDescent="0.25">
      <c r="A916" s="65" t="s">
        <v>67</v>
      </c>
      <c r="B916" s="27">
        <f>EXEMPTIONS!C43</f>
        <v>0</v>
      </c>
      <c r="C916" s="50" t="s">
        <v>68</v>
      </c>
      <c r="D916" s="27">
        <f>EXEMPTIONS!D43</f>
        <v>0</v>
      </c>
      <c r="E916" s="31"/>
      <c r="F916" s="31"/>
      <c r="G916" s="271"/>
      <c r="H916" s="272"/>
    </row>
    <row r="917" spans="1:8" ht="18.75" x14ac:dyDescent="0.3">
      <c r="A917" s="265" t="s">
        <v>83</v>
      </c>
      <c r="B917" s="266"/>
      <c r="C917" s="266"/>
      <c r="D917" s="266"/>
      <c r="E917" s="52"/>
      <c r="F917" s="52"/>
      <c r="G917" s="273"/>
      <c r="H917" s="274"/>
    </row>
    <row r="918" spans="1:8" ht="15.75" thickBot="1" x14ac:dyDescent="0.3">
      <c r="A918" s="66" t="s">
        <v>62</v>
      </c>
      <c r="B918" s="67" t="str">
        <f>'LICENSE-REGIS'!I43</f>
        <v>N/A</v>
      </c>
      <c r="C918" s="68" t="s">
        <v>63</v>
      </c>
      <c r="D918" s="67">
        <f>'LICENSE-REGIS'!M43</f>
        <v>0</v>
      </c>
      <c r="E918" s="275"/>
      <c r="F918" s="276"/>
      <c r="G918" s="276"/>
      <c r="H918" s="277"/>
    </row>
    <row r="922" spans="1:8" ht="15.75" thickBot="1" x14ac:dyDescent="0.3">
      <c r="A922" s="184"/>
      <c r="B922" s="184"/>
      <c r="C922" s="184"/>
      <c r="D922" s="184"/>
      <c r="E922" s="184"/>
      <c r="F922" s="184"/>
      <c r="G922" s="184"/>
      <c r="H922" s="184"/>
    </row>
    <row r="923" spans="1:8" x14ac:dyDescent="0.25">
      <c r="A923" s="75" t="s">
        <v>11</v>
      </c>
      <c r="B923" s="72" t="s">
        <v>12</v>
      </c>
      <c r="C923" s="72" t="s">
        <v>73</v>
      </c>
      <c r="D923" s="72" t="s">
        <v>13</v>
      </c>
      <c r="E923" s="72" t="s">
        <v>61</v>
      </c>
      <c r="F923" s="72" t="s">
        <v>14</v>
      </c>
      <c r="G923" s="72" t="s">
        <v>15</v>
      </c>
      <c r="H923" s="74" t="s">
        <v>16</v>
      </c>
    </row>
    <row r="924" spans="1:8" ht="17.25" x14ac:dyDescent="0.3">
      <c r="A924" s="76">
        <f>'CASE DATA'!A44</f>
        <v>0</v>
      </c>
      <c r="B924" s="77">
        <f>'CASE DATA'!B44</f>
        <v>0</v>
      </c>
      <c r="C924" s="79" t="e">
        <f>'CASE DATA'!#REF!</f>
        <v>#REF!</v>
      </c>
      <c r="D924" s="79">
        <f>'CASE DATA'!C44</f>
        <v>0</v>
      </c>
      <c r="E924" s="77">
        <f>'CASE DATA'!E44</f>
        <v>0</v>
      </c>
      <c r="F924" s="77">
        <f>'CASE DATA'!F44</f>
        <v>0</v>
      </c>
      <c r="G924" s="77">
        <f>'CASE DATA'!G44</f>
        <v>0</v>
      </c>
      <c r="H924" s="78">
        <f>'CASE DATA'!H44</f>
        <v>0</v>
      </c>
    </row>
    <row r="925" spans="1:8" x14ac:dyDescent="0.25">
      <c r="A925" s="53" t="s">
        <v>18</v>
      </c>
      <c r="B925" s="32">
        <f>'CASE DATA'!I44</f>
        <v>0</v>
      </c>
      <c r="C925" s="33" t="s">
        <v>21</v>
      </c>
      <c r="D925" s="36">
        <f>'CASE DATA'!L44</f>
        <v>0</v>
      </c>
      <c r="E925" s="38" t="s">
        <v>24</v>
      </c>
      <c r="F925" s="41">
        <f>'CASE DATA'!O44</f>
        <v>0</v>
      </c>
      <c r="G925" s="43" t="s">
        <v>74</v>
      </c>
      <c r="H925" s="54">
        <f>'CASE DATA'!R44</f>
        <v>0</v>
      </c>
    </row>
    <row r="926" spans="1:8" x14ac:dyDescent="0.25">
      <c r="A926" s="55" t="s">
        <v>75</v>
      </c>
      <c r="B926" s="32">
        <f>'CASE DATA'!J44</f>
        <v>0</v>
      </c>
      <c r="C926" s="34" t="s">
        <v>22</v>
      </c>
      <c r="D926" s="36">
        <f>'CASE DATA'!M44</f>
        <v>0</v>
      </c>
      <c r="E926" s="39" t="s">
        <v>25</v>
      </c>
      <c r="F926" s="41">
        <f>'CASE DATA'!P44</f>
        <v>0</v>
      </c>
      <c r="G926" s="44" t="s">
        <v>28</v>
      </c>
      <c r="H926" s="54">
        <f>'CASE DATA'!S44</f>
        <v>0</v>
      </c>
    </row>
    <row r="927" spans="1:8" x14ac:dyDescent="0.25">
      <c r="A927" s="56" t="s">
        <v>20</v>
      </c>
      <c r="B927" s="32">
        <f>'CASE DATA'!K44</f>
        <v>0</v>
      </c>
      <c r="C927" s="35" t="s">
        <v>23</v>
      </c>
      <c r="D927" s="37">
        <f>'CASE DATA'!N44</f>
        <v>0</v>
      </c>
      <c r="E927" s="40" t="s">
        <v>26</v>
      </c>
      <c r="F927" s="42">
        <f>'CASE DATA'!Q44</f>
        <v>0</v>
      </c>
      <c r="G927" s="28"/>
      <c r="H927" s="57"/>
    </row>
    <row r="928" spans="1:8" x14ac:dyDescent="0.25">
      <c r="A928" s="58" t="s">
        <v>10</v>
      </c>
      <c r="B928" s="278">
        <f>'CASE DATA'!T44</f>
        <v>0</v>
      </c>
      <c r="C928" s="279"/>
      <c r="D928" s="279"/>
      <c r="E928" s="279"/>
      <c r="F928" s="279"/>
      <c r="G928" s="279"/>
      <c r="H928" s="280"/>
    </row>
    <row r="929" spans="1:8" ht="18.75" x14ac:dyDescent="0.3">
      <c r="A929" s="265" t="s">
        <v>76</v>
      </c>
      <c r="B929" s="266"/>
      <c r="C929" s="266"/>
      <c r="D929" s="266"/>
      <c r="E929" s="266"/>
      <c r="F929" s="266"/>
      <c r="G929" s="266"/>
      <c r="H929" s="267"/>
    </row>
    <row r="930" spans="1:8" ht="45" x14ac:dyDescent="0.25">
      <c r="A930" s="59" t="s">
        <v>39</v>
      </c>
      <c r="B930" s="45" t="s">
        <v>77</v>
      </c>
      <c r="C930" s="46" t="s">
        <v>43</v>
      </c>
      <c r="D930" s="46" t="s">
        <v>44</v>
      </c>
      <c r="E930" s="46" t="s">
        <v>45</v>
      </c>
      <c r="F930" s="47" t="s">
        <v>46</v>
      </c>
      <c r="G930" s="26" t="s">
        <v>78</v>
      </c>
      <c r="H930" s="60"/>
    </row>
    <row r="931" spans="1:8" x14ac:dyDescent="0.25">
      <c r="A931" s="61" t="str">
        <f>EXPUNGEMENT!D43</f>
        <v>NO</v>
      </c>
      <c r="B931" s="61" t="str">
        <f>EXPUNGEMENT!G43</f>
        <v>N/A</v>
      </c>
      <c r="C931" s="136" t="str">
        <f>EXPUNGEMENT!H43</f>
        <v>NO</v>
      </c>
      <c r="D931" s="136" t="str">
        <f>EXPUNGEMENT!I43</f>
        <v>N/A</v>
      </c>
      <c r="E931" s="136" t="str">
        <f>EXPUNGEMENT!J43</f>
        <v>N/A</v>
      </c>
      <c r="F931" s="136" t="str">
        <f>EXPUNGEMENT!K43</f>
        <v>N/A</v>
      </c>
      <c r="G931" s="29"/>
      <c r="H931" s="62"/>
    </row>
    <row r="932" spans="1:8" x14ac:dyDescent="0.25">
      <c r="A932" s="63" t="s">
        <v>51</v>
      </c>
      <c r="B932" s="48" t="s">
        <v>79</v>
      </c>
      <c r="C932" s="49" t="s">
        <v>44</v>
      </c>
      <c r="D932" s="49" t="s">
        <v>45</v>
      </c>
      <c r="E932" s="29"/>
      <c r="F932" s="29"/>
      <c r="G932" s="29"/>
      <c r="H932" s="62"/>
    </row>
    <row r="933" spans="1:8" x14ac:dyDescent="0.25">
      <c r="A933" s="64" t="str">
        <f>EXPUNGEMENT!R43</f>
        <v>NO</v>
      </c>
      <c r="B933" s="64" t="str">
        <f>EXPUNGEMENT!S43</f>
        <v>N/A</v>
      </c>
      <c r="C933" s="64" t="str">
        <f>EXPUNGEMENT!T43</f>
        <v>N/A</v>
      </c>
      <c r="D933" s="64" t="str">
        <f>EXPUNGEMENT!U43</f>
        <v>N/A</v>
      </c>
      <c r="E933" s="29"/>
      <c r="F933" s="29"/>
      <c r="G933" s="29"/>
      <c r="H933" s="62"/>
    </row>
    <row r="934" spans="1:8" ht="18.75" customHeight="1" x14ac:dyDescent="0.3">
      <c r="A934" s="265" t="s">
        <v>80</v>
      </c>
      <c r="B934" s="266"/>
      <c r="C934" s="266"/>
      <c r="D934" s="266"/>
      <c r="E934" s="266"/>
      <c r="F934" s="268"/>
      <c r="G934" s="269">
        <v>41</v>
      </c>
      <c r="H934" s="270"/>
    </row>
    <row r="935" spans="1:8" ht="15" customHeight="1" x14ac:dyDescent="0.25">
      <c r="A935" s="65" t="s">
        <v>29</v>
      </c>
      <c r="B935" s="27">
        <f>BANKRUPTCY!C44</f>
        <v>0</v>
      </c>
      <c r="C935" s="50" t="s">
        <v>56</v>
      </c>
      <c r="D935" s="27">
        <f>BANKRUPTCY!D44</f>
        <v>0</v>
      </c>
      <c r="E935" s="50" t="s">
        <v>57</v>
      </c>
      <c r="F935" s="30">
        <f>BANKRUPTCY!E44</f>
        <v>0</v>
      </c>
      <c r="G935" s="271"/>
      <c r="H935" s="272"/>
    </row>
    <row r="936" spans="1:8" ht="18.75" customHeight="1" x14ac:dyDescent="0.3">
      <c r="A936" s="265" t="s">
        <v>81</v>
      </c>
      <c r="B936" s="266"/>
      <c r="C936" s="266"/>
      <c r="D936" s="266"/>
      <c r="E936" s="266"/>
      <c r="F936" s="268"/>
      <c r="G936" s="271"/>
      <c r="H936" s="272"/>
    </row>
    <row r="937" spans="1:8" ht="15" customHeight="1" x14ac:dyDescent="0.25">
      <c r="A937" s="65" t="s">
        <v>29</v>
      </c>
      <c r="B937" s="27">
        <f>SOL!C44</f>
        <v>0</v>
      </c>
      <c r="C937" s="50" t="s">
        <v>56</v>
      </c>
      <c r="D937" s="27">
        <f>SOL!D44</f>
        <v>0</v>
      </c>
      <c r="E937" s="50" t="s">
        <v>57</v>
      </c>
      <c r="F937" s="30">
        <f>SOL!E44</f>
        <v>0</v>
      </c>
      <c r="G937" s="271"/>
      <c r="H937" s="272"/>
    </row>
    <row r="938" spans="1:8" ht="18.75" customHeight="1" x14ac:dyDescent="0.3">
      <c r="A938" s="265" t="s">
        <v>82</v>
      </c>
      <c r="B938" s="266"/>
      <c r="C938" s="266"/>
      <c r="D938" s="266"/>
      <c r="E938" s="52"/>
      <c r="F938" s="51"/>
      <c r="G938" s="271"/>
      <c r="H938" s="272"/>
    </row>
    <row r="939" spans="1:8" ht="15" customHeight="1" x14ac:dyDescent="0.25">
      <c r="A939" s="65" t="s">
        <v>67</v>
      </c>
      <c r="B939" s="27">
        <f>EXEMPTIONS!C44</f>
        <v>0</v>
      </c>
      <c r="C939" s="50" t="s">
        <v>68</v>
      </c>
      <c r="D939" s="27">
        <f>EXEMPTIONS!D44</f>
        <v>0</v>
      </c>
      <c r="E939" s="31"/>
      <c r="F939" s="31"/>
      <c r="G939" s="271"/>
      <c r="H939" s="272"/>
    </row>
    <row r="940" spans="1:8" ht="18.75" customHeight="1" x14ac:dyDescent="0.3">
      <c r="A940" s="265" t="s">
        <v>83</v>
      </c>
      <c r="B940" s="266"/>
      <c r="C940" s="266"/>
      <c r="D940" s="266"/>
      <c r="E940" s="52"/>
      <c r="F940" s="52"/>
      <c r="G940" s="273"/>
      <c r="H940" s="274"/>
    </row>
    <row r="941" spans="1:8" ht="15.75" thickBot="1" x14ac:dyDescent="0.3">
      <c r="A941" s="66" t="s">
        <v>62</v>
      </c>
      <c r="B941" s="67" t="str">
        <f>'LICENSE-REGIS'!I44</f>
        <v>N/A</v>
      </c>
      <c r="C941" s="68" t="s">
        <v>63</v>
      </c>
      <c r="D941" s="67">
        <f>'LICENSE-REGIS'!M44</f>
        <v>0</v>
      </c>
      <c r="E941" s="275"/>
      <c r="F941" s="276"/>
      <c r="G941" s="276"/>
      <c r="H941" s="277"/>
    </row>
    <row r="945" spans="1:8" ht="15.75" thickBot="1" x14ac:dyDescent="0.3">
      <c r="A945" s="184"/>
      <c r="B945" s="184"/>
      <c r="C945" s="184"/>
      <c r="D945" s="184"/>
      <c r="E945" s="184"/>
      <c r="F945" s="184"/>
      <c r="G945" s="184"/>
      <c r="H945" s="184"/>
    </row>
    <row r="946" spans="1:8" x14ac:dyDescent="0.25">
      <c r="A946" s="75" t="s">
        <v>11</v>
      </c>
      <c r="B946" s="72" t="s">
        <v>12</v>
      </c>
      <c r="C946" s="72" t="s">
        <v>73</v>
      </c>
      <c r="D946" s="72" t="s">
        <v>13</v>
      </c>
      <c r="E946" s="72" t="s">
        <v>61</v>
      </c>
      <c r="F946" s="72" t="s">
        <v>14</v>
      </c>
      <c r="G946" s="72" t="s">
        <v>15</v>
      </c>
      <c r="H946" s="74" t="s">
        <v>16</v>
      </c>
    </row>
    <row r="947" spans="1:8" ht="17.25" x14ac:dyDescent="0.3">
      <c r="A947" s="76">
        <f>'CASE DATA'!A45</f>
        <v>0</v>
      </c>
      <c r="B947" s="77">
        <f>'CASE DATA'!B45</f>
        <v>0</v>
      </c>
      <c r="C947" s="79" t="e">
        <f>'CASE DATA'!#REF!</f>
        <v>#REF!</v>
      </c>
      <c r="D947" s="79">
        <f>'CASE DATA'!C45</f>
        <v>0</v>
      </c>
      <c r="E947" s="77">
        <f>'CASE DATA'!E45</f>
        <v>0</v>
      </c>
      <c r="F947" s="77">
        <f>'CASE DATA'!F45</f>
        <v>0</v>
      </c>
      <c r="G947" s="77">
        <f>'CASE DATA'!G45</f>
        <v>0</v>
      </c>
      <c r="H947" s="78">
        <f>'CASE DATA'!H45</f>
        <v>0</v>
      </c>
    </row>
    <row r="948" spans="1:8" x14ac:dyDescent="0.25">
      <c r="A948" s="53" t="s">
        <v>18</v>
      </c>
      <c r="B948" s="32">
        <f>'CASE DATA'!I45</f>
        <v>0</v>
      </c>
      <c r="C948" s="33" t="s">
        <v>21</v>
      </c>
      <c r="D948" s="36">
        <f>'CASE DATA'!L45</f>
        <v>0</v>
      </c>
      <c r="E948" s="38" t="s">
        <v>24</v>
      </c>
      <c r="F948" s="41">
        <f>'CASE DATA'!O45</f>
        <v>0</v>
      </c>
      <c r="G948" s="43" t="s">
        <v>74</v>
      </c>
      <c r="H948" s="54">
        <f>'CASE DATA'!R45</f>
        <v>0</v>
      </c>
    </row>
    <row r="949" spans="1:8" x14ac:dyDescent="0.25">
      <c r="A949" s="55" t="s">
        <v>75</v>
      </c>
      <c r="B949" s="32">
        <f>'CASE DATA'!J45</f>
        <v>0</v>
      </c>
      <c r="C949" s="34" t="s">
        <v>22</v>
      </c>
      <c r="D949" s="36">
        <f>'CASE DATA'!M45</f>
        <v>0</v>
      </c>
      <c r="E949" s="39" t="s">
        <v>25</v>
      </c>
      <c r="F949" s="41">
        <f>'CASE DATA'!P45</f>
        <v>0</v>
      </c>
      <c r="G949" s="44" t="s">
        <v>28</v>
      </c>
      <c r="H949" s="54">
        <f>'CASE DATA'!S45</f>
        <v>0</v>
      </c>
    </row>
    <row r="950" spans="1:8" x14ac:dyDescent="0.25">
      <c r="A950" s="56" t="s">
        <v>20</v>
      </c>
      <c r="B950" s="32">
        <f>'CASE DATA'!K45</f>
        <v>0</v>
      </c>
      <c r="C950" s="35" t="s">
        <v>23</v>
      </c>
      <c r="D950" s="37">
        <f>'CASE DATA'!N45</f>
        <v>0</v>
      </c>
      <c r="E950" s="40" t="s">
        <v>26</v>
      </c>
      <c r="F950" s="42">
        <f>'CASE DATA'!Q45</f>
        <v>0</v>
      </c>
      <c r="G950" s="28"/>
      <c r="H950" s="57"/>
    </row>
    <row r="951" spans="1:8" x14ac:dyDescent="0.25">
      <c r="A951" s="58" t="s">
        <v>10</v>
      </c>
      <c r="B951" s="278">
        <f>'CASE DATA'!T45</f>
        <v>0</v>
      </c>
      <c r="C951" s="279"/>
      <c r="D951" s="279"/>
      <c r="E951" s="279"/>
      <c r="F951" s="279"/>
      <c r="G951" s="279"/>
      <c r="H951" s="280"/>
    </row>
    <row r="952" spans="1:8" ht="18.75" x14ac:dyDescent="0.3">
      <c r="A952" s="265" t="s">
        <v>76</v>
      </c>
      <c r="B952" s="266"/>
      <c r="C952" s="266"/>
      <c r="D952" s="266"/>
      <c r="E952" s="266"/>
      <c r="F952" s="266"/>
      <c r="G952" s="266"/>
      <c r="H952" s="267"/>
    </row>
    <row r="953" spans="1:8" ht="45" x14ac:dyDescent="0.25">
      <c r="A953" s="59" t="s">
        <v>39</v>
      </c>
      <c r="B953" s="45" t="s">
        <v>77</v>
      </c>
      <c r="C953" s="46" t="s">
        <v>43</v>
      </c>
      <c r="D953" s="46" t="s">
        <v>44</v>
      </c>
      <c r="E953" s="46" t="s">
        <v>45</v>
      </c>
      <c r="F953" s="47" t="s">
        <v>46</v>
      </c>
      <c r="G953" s="26" t="s">
        <v>78</v>
      </c>
      <c r="H953" s="60"/>
    </row>
    <row r="954" spans="1:8" x14ac:dyDescent="0.25">
      <c r="A954" s="61" t="str">
        <f>EXPUNGEMENT!D44</f>
        <v>NO</v>
      </c>
      <c r="B954" s="61" t="str">
        <f>EXPUNGEMENT!G44</f>
        <v>N/A</v>
      </c>
      <c r="C954" s="136" t="str">
        <f>EXPUNGEMENT!H44</f>
        <v>NO</v>
      </c>
      <c r="D954" s="136" t="str">
        <f>EXPUNGEMENT!I44</f>
        <v>N/A</v>
      </c>
      <c r="E954" s="136" t="str">
        <f>EXPUNGEMENT!J44</f>
        <v>N/A</v>
      </c>
      <c r="F954" s="136" t="str">
        <f>EXPUNGEMENT!K44</f>
        <v>N/A</v>
      </c>
      <c r="G954" s="29"/>
      <c r="H954" s="62"/>
    </row>
    <row r="955" spans="1:8" x14ac:dyDescent="0.25">
      <c r="A955" s="63" t="s">
        <v>51</v>
      </c>
      <c r="B955" s="48" t="s">
        <v>79</v>
      </c>
      <c r="C955" s="49" t="s">
        <v>44</v>
      </c>
      <c r="D955" s="49" t="s">
        <v>45</v>
      </c>
      <c r="E955" s="29"/>
      <c r="F955" s="29"/>
      <c r="G955" s="29"/>
      <c r="H955" s="62"/>
    </row>
    <row r="956" spans="1:8" x14ac:dyDescent="0.25">
      <c r="A956" s="64" t="str">
        <f>EXPUNGEMENT!R44</f>
        <v>NO</v>
      </c>
      <c r="B956" s="64" t="str">
        <f>EXPUNGEMENT!S44</f>
        <v>N/A</v>
      </c>
      <c r="C956" s="64" t="str">
        <f>EXPUNGEMENT!T44</f>
        <v>N/A</v>
      </c>
      <c r="D956" s="64" t="str">
        <f>EXPUNGEMENT!U44</f>
        <v>N/A</v>
      </c>
      <c r="E956" s="29"/>
      <c r="F956" s="29"/>
      <c r="G956" s="29"/>
      <c r="H956" s="62"/>
    </row>
    <row r="957" spans="1:8" ht="18.75" x14ac:dyDescent="0.3">
      <c r="A957" s="265" t="s">
        <v>80</v>
      </c>
      <c r="B957" s="266"/>
      <c r="C957" s="266"/>
      <c r="D957" s="266"/>
      <c r="E957" s="266"/>
      <c r="F957" s="268"/>
      <c r="G957" s="269">
        <v>42</v>
      </c>
      <c r="H957" s="270"/>
    </row>
    <row r="958" spans="1:8" x14ac:dyDescent="0.25">
      <c r="A958" s="65" t="s">
        <v>29</v>
      </c>
      <c r="B958" s="27">
        <f>BANKRUPTCY!C45</f>
        <v>0</v>
      </c>
      <c r="C958" s="50" t="s">
        <v>56</v>
      </c>
      <c r="D958" s="27">
        <f>BANKRUPTCY!D45</f>
        <v>0</v>
      </c>
      <c r="E958" s="50" t="s">
        <v>57</v>
      </c>
      <c r="F958" s="30">
        <f>BANKRUPTCY!E45</f>
        <v>0</v>
      </c>
      <c r="G958" s="271"/>
      <c r="H958" s="272"/>
    </row>
    <row r="959" spans="1:8" ht="18.75" x14ac:dyDescent="0.3">
      <c r="A959" s="265" t="s">
        <v>81</v>
      </c>
      <c r="B959" s="266"/>
      <c r="C959" s="266"/>
      <c r="D959" s="266"/>
      <c r="E959" s="266"/>
      <c r="F959" s="268"/>
      <c r="G959" s="271"/>
      <c r="H959" s="272"/>
    </row>
    <row r="960" spans="1:8" x14ac:dyDescent="0.25">
      <c r="A960" s="65" t="s">
        <v>29</v>
      </c>
      <c r="B960" s="27">
        <f>SOL!C45</f>
        <v>0</v>
      </c>
      <c r="C960" s="50" t="s">
        <v>56</v>
      </c>
      <c r="D960" s="27">
        <f>SOL!D45</f>
        <v>0</v>
      </c>
      <c r="E960" s="50" t="s">
        <v>57</v>
      </c>
      <c r="F960" s="30">
        <f>SOL!E45</f>
        <v>0</v>
      </c>
      <c r="G960" s="271"/>
      <c r="H960" s="272"/>
    </row>
    <row r="961" spans="1:8" ht="18.75" x14ac:dyDescent="0.3">
      <c r="A961" s="265" t="s">
        <v>82</v>
      </c>
      <c r="B961" s="266"/>
      <c r="C961" s="266"/>
      <c r="D961" s="266"/>
      <c r="E961" s="52"/>
      <c r="F961" s="51"/>
      <c r="G961" s="271"/>
      <c r="H961" s="272"/>
    </row>
    <row r="962" spans="1:8" x14ac:dyDescent="0.25">
      <c r="A962" s="65" t="s">
        <v>67</v>
      </c>
      <c r="B962" s="27">
        <f>EXEMPTIONS!C45</f>
        <v>0</v>
      </c>
      <c r="C962" s="50" t="s">
        <v>68</v>
      </c>
      <c r="D962" s="27">
        <f>EXEMPTIONS!D45</f>
        <v>0</v>
      </c>
      <c r="E962" s="31"/>
      <c r="F962" s="31"/>
      <c r="G962" s="271"/>
      <c r="H962" s="272"/>
    </row>
    <row r="963" spans="1:8" ht="18.75" x14ac:dyDescent="0.3">
      <c r="A963" s="265" t="s">
        <v>83</v>
      </c>
      <c r="B963" s="266"/>
      <c r="C963" s="266"/>
      <c r="D963" s="266"/>
      <c r="E963" s="52"/>
      <c r="F963" s="52"/>
      <c r="G963" s="273"/>
      <c r="H963" s="274"/>
    </row>
    <row r="964" spans="1:8" ht="15.75" thickBot="1" x14ac:dyDescent="0.3">
      <c r="A964" s="66" t="s">
        <v>62</v>
      </c>
      <c r="B964" s="67" t="str">
        <f>'LICENSE-REGIS'!I45</f>
        <v>N/A</v>
      </c>
      <c r="C964" s="68" t="s">
        <v>63</v>
      </c>
      <c r="D964" s="67">
        <f>'LICENSE-REGIS'!M45</f>
        <v>0</v>
      </c>
      <c r="E964" s="275"/>
      <c r="F964" s="276"/>
      <c r="G964" s="276"/>
      <c r="H964" s="277"/>
    </row>
    <row r="968" spans="1:8" ht="15.75" thickBot="1" x14ac:dyDescent="0.3">
      <c r="A968" s="184"/>
      <c r="B968" s="184"/>
      <c r="C968" s="184"/>
      <c r="D968" s="184"/>
      <c r="E968" s="184"/>
      <c r="F968" s="184"/>
      <c r="G968" s="184"/>
      <c r="H968" s="184"/>
    </row>
    <row r="969" spans="1:8" x14ac:dyDescent="0.25">
      <c r="A969" s="75" t="s">
        <v>11</v>
      </c>
      <c r="B969" s="72" t="s">
        <v>12</v>
      </c>
      <c r="C969" s="72" t="s">
        <v>73</v>
      </c>
      <c r="D969" s="72" t="s">
        <v>13</v>
      </c>
      <c r="E969" s="72" t="s">
        <v>61</v>
      </c>
      <c r="F969" s="72" t="s">
        <v>14</v>
      </c>
      <c r="G969" s="72" t="s">
        <v>15</v>
      </c>
      <c r="H969" s="74" t="s">
        <v>16</v>
      </c>
    </row>
    <row r="970" spans="1:8" ht="17.25" x14ac:dyDescent="0.3">
      <c r="A970" s="76">
        <f>'CASE DATA'!A46</f>
        <v>0</v>
      </c>
      <c r="B970" s="77">
        <f>'CASE DATA'!B46</f>
        <v>0</v>
      </c>
      <c r="C970" s="79" t="e">
        <f>'CASE DATA'!#REF!</f>
        <v>#REF!</v>
      </c>
      <c r="D970" s="79">
        <f>'CASE DATA'!C46</f>
        <v>0</v>
      </c>
      <c r="E970" s="77">
        <f>'CASE DATA'!E46</f>
        <v>0</v>
      </c>
      <c r="F970" s="77">
        <f>'CASE DATA'!F46</f>
        <v>0</v>
      </c>
      <c r="G970" s="77">
        <f>'CASE DATA'!G46</f>
        <v>0</v>
      </c>
      <c r="H970" s="78">
        <f>'CASE DATA'!H46</f>
        <v>0</v>
      </c>
    </row>
    <row r="971" spans="1:8" x14ac:dyDescent="0.25">
      <c r="A971" s="53" t="s">
        <v>18</v>
      </c>
      <c r="B971" s="32">
        <f>'CASE DATA'!I46</f>
        <v>0</v>
      </c>
      <c r="C971" s="33" t="s">
        <v>21</v>
      </c>
      <c r="D971" s="36">
        <f>'CASE DATA'!L46</f>
        <v>0</v>
      </c>
      <c r="E971" s="38" t="s">
        <v>24</v>
      </c>
      <c r="F971" s="41">
        <f>'CASE DATA'!O46</f>
        <v>0</v>
      </c>
      <c r="G971" s="43" t="s">
        <v>74</v>
      </c>
      <c r="H971" s="54">
        <f>'CASE DATA'!R46</f>
        <v>0</v>
      </c>
    </row>
    <row r="972" spans="1:8" x14ac:dyDescent="0.25">
      <c r="A972" s="55" t="s">
        <v>75</v>
      </c>
      <c r="B972" s="32">
        <f>'CASE DATA'!J46</f>
        <v>0</v>
      </c>
      <c r="C972" s="34" t="s">
        <v>22</v>
      </c>
      <c r="D972" s="36">
        <f>'CASE DATA'!M46</f>
        <v>0</v>
      </c>
      <c r="E972" s="39" t="s">
        <v>25</v>
      </c>
      <c r="F972" s="41">
        <f>'CASE DATA'!P46</f>
        <v>0</v>
      </c>
      <c r="G972" s="44" t="s">
        <v>28</v>
      </c>
      <c r="H972" s="54">
        <f>'CASE DATA'!S46</f>
        <v>0</v>
      </c>
    </row>
    <row r="973" spans="1:8" x14ac:dyDescent="0.25">
      <c r="A973" s="56" t="s">
        <v>20</v>
      </c>
      <c r="B973" s="32">
        <f>'CASE DATA'!K46</f>
        <v>0</v>
      </c>
      <c r="C973" s="35" t="s">
        <v>23</v>
      </c>
      <c r="D973" s="37">
        <f>'CASE DATA'!N46</f>
        <v>0</v>
      </c>
      <c r="E973" s="40" t="s">
        <v>26</v>
      </c>
      <c r="F973" s="42">
        <f>'CASE DATA'!Q46</f>
        <v>0</v>
      </c>
      <c r="G973" s="28"/>
      <c r="H973" s="57"/>
    </row>
    <row r="974" spans="1:8" x14ac:dyDescent="0.25">
      <c r="A974" s="58" t="s">
        <v>10</v>
      </c>
      <c r="B974" s="278">
        <f>'CASE DATA'!T46</f>
        <v>0</v>
      </c>
      <c r="C974" s="279"/>
      <c r="D974" s="279"/>
      <c r="E974" s="279"/>
      <c r="F974" s="279"/>
      <c r="G974" s="279"/>
      <c r="H974" s="280"/>
    </row>
    <row r="975" spans="1:8" ht="18.75" x14ac:dyDescent="0.3">
      <c r="A975" s="265" t="s">
        <v>76</v>
      </c>
      <c r="B975" s="266"/>
      <c r="C975" s="266"/>
      <c r="D975" s="266"/>
      <c r="E975" s="266"/>
      <c r="F975" s="266"/>
      <c r="G975" s="266"/>
      <c r="H975" s="267"/>
    </row>
    <row r="976" spans="1:8" ht="45" x14ac:dyDescent="0.25">
      <c r="A976" s="59" t="s">
        <v>39</v>
      </c>
      <c r="B976" s="45" t="s">
        <v>77</v>
      </c>
      <c r="C976" s="46" t="s">
        <v>43</v>
      </c>
      <c r="D976" s="46" t="s">
        <v>44</v>
      </c>
      <c r="E976" s="46" t="s">
        <v>45</v>
      </c>
      <c r="F976" s="47" t="s">
        <v>46</v>
      </c>
      <c r="G976" s="26" t="s">
        <v>78</v>
      </c>
      <c r="H976" s="60"/>
    </row>
    <row r="977" spans="1:8" x14ac:dyDescent="0.25">
      <c r="A977" s="61" t="str">
        <f>EXPUNGEMENT!D45</f>
        <v>NO</v>
      </c>
      <c r="B977" s="61" t="str">
        <f>EXPUNGEMENT!G45</f>
        <v>N/A</v>
      </c>
      <c r="C977" s="136" t="str">
        <f>EXPUNGEMENT!H45</f>
        <v>NO</v>
      </c>
      <c r="D977" s="136" t="str">
        <f>EXPUNGEMENT!I45</f>
        <v>N/A</v>
      </c>
      <c r="E977" s="136" t="str">
        <f>EXPUNGEMENT!J45</f>
        <v>N/A</v>
      </c>
      <c r="F977" s="136" t="str">
        <f>EXPUNGEMENT!K45</f>
        <v>N/A</v>
      </c>
      <c r="G977" s="29"/>
      <c r="H977" s="62"/>
    </row>
    <row r="978" spans="1:8" x14ac:dyDescent="0.25">
      <c r="A978" s="63" t="s">
        <v>51</v>
      </c>
      <c r="B978" s="48" t="s">
        <v>79</v>
      </c>
      <c r="C978" s="49" t="s">
        <v>44</v>
      </c>
      <c r="D978" s="49" t="s">
        <v>45</v>
      </c>
      <c r="E978" s="29"/>
      <c r="F978" s="29"/>
      <c r="G978" s="29"/>
      <c r="H978" s="62"/>
    </row>
    <row r="979" spans="1:8" x14ac:dyDescent="0.25">
      <c r="A979" s="64" t="str">
        <f>EXPUNGEMENT!R45</f>
        <v>NO</v>
      </c>
      <c r="B979" s="64" t="str">
        <f>EXPUNGEMENT!S45</f>
        <v>N/A</v>
      </c>
      <c r="C979" s="64" t="str">
        <f>EXPUNGEMENT!T45</f>
        <v>N/A</v>
      </c>
      <c r="D979" s="64" t="str">
        <f>EXPUNGEMENT!U45</f>
        <v>N/A</v>
      </c>
      <c r="E979" s="29"/>
      <c r="F979" s="29"/>
      <c r="G979" s="29"/>
      <c r="H979" s="62"/>
    </row>
    <row r="980" spans="1:8" ht="18.75" x14ac:dyDescent="0.3">
      <c r="A980" s="265" t="s">
        <v>80</v>
      </c>
      <c r="B980" s="266"/>
      <c r="C980" s="266"/>
      <c r="D980" s="266"/>
      <c r="E980" s="266"/>
      <c r="F980" s="268"/>
      <c r="G980" s="269">
        <v>43</v>
      </c>
      <c r="H980" s="270"/>
    </row>
    <row r="981" spans="1:8" x14ac:dyDescent="0.25">
      <c r="A981" s="65" t="s">
        <v>29</v>
      </c>
      <c r="B981" s="27">
        <f>BANKRUPTCY!C46</f>
        <v>0</v>
      </c>
      <c r="C981" s="50" t="s">
        <v>56</v>
      </c>
      <c r="D981" s="27">
        <f>BANKRUPTCY!D46</f>
        <v>0</v>
      </c>
      <c r="E981" s="50" t="s">
        <v>57</v>
      </c>
      <c r="F981" s="30">
        <f>BANKRUPTCY!E46</f>
        <v>0</v>
      </c>
      <c r="G981" s="271"/>
      <c r="H981" s="272"/>
    </row>
    <row r="982" spans="1:8" ht="18.75" x14ac:dyDescent="0.3">
      <c r="A982" s="265" t="s">
        <v>81</v>
      </c>
      <c r="B982" s="266"/>
      <c r="C982" s="266"/>
      <c r="D982" s="266"/>
      <c r="E982" s="266"/>
      <c r="F982" s="268"/>
      <c r="G982" s="271"/>
      <c r="H982" s="272"/>
    </row>
    <row r="983" spans="1:8" x14ac:dyDescent="0.25">
      <c r="A983" s="65" t="s">
        <v>29</v>
      </c>
      <c r="B983" s="27">
        <f>SOL!C46</f>
        <v>0</v>
      </c>
      <c r="C983" s="50" t="s">
        <v>56</v>
      </c>
      <c r="D983" s="27">
        <f>SOL!D46</f>
        <v>0</v>
      </c>
      <c r="E983" s="50" t="s">
        <v>57</v>
      </c>
      <c r="F983" s="30">
        <f>SOL!E46</f>
        <v>0</v>
      </c>
      <c r="G983" s="271"/>
      <c r="H983" s="272"/>
    </row>
    <row r="984" spans="1:8" ht="18.75" x14ac:dyDescent="0.3">
      <c r="A984" s="265" t="s">
        <v>82</v>
      </c>
      <c r="B984" s="266"/>
      <c r="C984" s="266"/>
      <c r="D984" s="266"/>
      <c r="E984" s="52"/>
      <c r="F984" s="51"/>
      <c r="G984" s="271"/>
      <c r="H984" s="272"/>
    </row>
    <row r="985" spans="1:8" x14ac:dyDescent="0.25">
      <c r="A985" s="65" t="s">
        <v>67</v>
      </c>
      <c r="B985" s="27">
        <f>EXEMPTIONS!C46</f>
        <v>0</v>
      </c>
      <c r="C985" s="50" t="s">
        <v>68</v>
      </c>
      <c r="D985" s="27">
        <f>EXEMPTIONS!D46</f>
        <v>0</v>
      </c>
      <c r="E985" s="31"/>
      <c r="F985" s="31"/>
      <c r="G985" s="271"/>
      <c r="H985" s="272"/>
    </row>
    <row r="986" spans="1:8" ht="18.75" x14ac:dyDescent="0.3">
      <c r="A986" s="265" t="s">
        <v>83</v>
      </c>
      <c r="B986" s="266"/>
      <c r="C986" s="266"/>
      <c r="D986" s="266"/>
      <c r="E986" s="52"/>
      <c r="F986" s="52"/>
      <c r="G986" s="273"/>
      <c r="H986" s="274"/>
    </row>
    <row r="987" spans="1:8" ht="15.75" thickBot="1" x14ac:dyDescent="0.3">
      <c r="A987" s="66" t="s">
        <v>62</v>
      </c>
      <c r="B987" s="67" t="str">
        <f>'LICENSE-REGIS'!I46</f>
        <v>N/A</v>
      </c>
      <c r="C987" s="68" t="s">
        <v>63</v>
      </c>
      <c r="D987" s="67">
        <f>'LICENSE-REGIS'!M46</f>
        <v>0</v>
      </c>
      <c r="E987" s="275"/>
      <c r="F987" s="276"/>
      <c r="G987" s="276"/>
      <c r="H987" s="277"/>
    </row>
    <row r="991" spans="1:8" ht="15.75" thickBot="1" x14ac:dyDescent="0.3">
      <c r="A991" s="184"/>
      <c r="B991" s="184"/>
      <c r="C991" s="184"/>
      <c r="D991" s="184"/>
      <c r="E991" s="184"/>
      <c r="F991" s="184"/>
      <c r="G991" s="184"/>
      <c r="H991" s="184"/>
    </row>
    <row r="992" spans="1:8" x14ac:dyDescent="0.25">
      <c r="A992" s="75" t="s">
        <v>11</v>
      </c>
      <c r="B992" s="72" t="s">
        <v>12</v>
      </c>
      <c r="C992" s="72" t="s">
        <v>73</v>
      </c>
      <c r="D992" s="72" t="s">
        <v>13</v>
      </c>
      <c r="E992" s="72" t="s">
        <v>61</v>
      </c>
      <c r="F992" s="72" t="s">
        <v>14</v>
      </c>
      <c r="G992" s="72" t="s">
        <v>15</v>
      </c>
      <c r="H992" s="74" t="s">
        <v>16</v>
      </c>
    </row>
    <row r="993" spans="1:8" ht="17.25" x14ac:dyDescent="0.3">
      <c r="A993" s="76">
        <f>'CASE DATA'!A47</f>
        <v>0</v>
      </c>
      <c r="B993" s="77">
        <f>'CASE DATA'!B47</f>
        <v>0</v>
      </c>
      <c r="C993" s="79" t="e">
        <f>'CASE DATA'!#REF!</f>
        <v>#REF!</v>
      </c>
      <c r="D993" s="79">
        <f>'CASE DATA'!C47</f>
        <v>0</v>
      </c>
      <c r="E993" s="77">
        <f>'CASE DATA'!E47</f>
        <v>0</v>
      </c>
      <c r="F993" s="77">
        <f>'CASE DATA'!F47</f>
        <v>0</v>
      </c>
      <c r="G993" s="77">
        <f>'CASE DATA'!G47</f>
        <v>0</v>
      </c>
      <c r="H993" s="78">
        <f>'CASE DATA'!H47</f>
        <v>0</v>
      </c>
    </row>
    <row r="994" spans="1:8" x14ac:dyDescent="0.25">
      <c r="A994" s="53" t="s">
        <v>18</v>
      </c>
      <c r="B994" s="32">
        <f>'CASE DATA'!I47</f>
        <v>0</v>
      </c>
      <c r="C994" s="33" t="s">
        <v>21</v>
      </c>
      <c r="D994" s="36">
        <f>'CASE DATA'!L47</f>
        <v>0</v>
      </c>
      <c r="E994" s="38" t="s">
        <v>24</v>
      </c>
      <c r="F994" s="41">
        <f>'CASE DATA'!O47</f>
        <v>0</v>
      </c>
      <c r="G994" s="43" t="s">
        <v>74</v>
      </c>
      <c r="H994" s="54">
        <f>'CASE DATA'!R47</f>
        <v>0</v>
      </c>
    </row>
    <row r="995" spans="1:8" x14ac:dyDescent="0.25">
      <c r="A995" s="55" t="s">
        <v>75</v>
      </c>
      <c r="B995" s="32">
        <f>'CASE DATA'!J47</f>
        <v>0</v>
      </c>
      <c r="C995" s="34" t="s">
        <v>22</v>
      </c>
      <c r="D995" s="36">
        <f>'CASE DATA'!M47</f>
        <v>0</v>
      </c>
      <c r="E995" s="39" t="s">
        <v>25</v>
      </c>
      <c r="F995" s="41">
        <f>'CASE DATA'!P47</f>
        <v>0</v>
      </c>
      <c r="G995" s="44" t="s">
        <v>28</v>
      </c>
      <c r="H995" s="54">
        <f>'CASE DATA'!S47</f>
        <v>0</v>
      </c>
    </row>
    <row r="996" spans="1:8" x14ac:dyDescent="0.25">
      <c r="A996" s="56" t="s">
        <v>20</v>
      </c>
      <c r="B996" s="32">
        <f>'CASE DATA'!K47</f>
        <v>0</v>
      </c>
      <c r="C996" s="35" t="s">
        <v>23</v>
      </c>
      <c r="D996" s="37">
        <f>'CASE DATA'!N47</f>
        <v>0</v>
      </c>
      <c r="E996" s="40" t="s">
        <v>26</v>
      </c>
      <c r="F996" s="42">
        <f>'CASE DATA'!Q47</f>
        <v>0</v>
      </c>
      <c r="G996" s="28"/>
      <c r="H996" s="57"/>
    </row>
    <row r="997" spans="1:8" x14ac:dyDescent="0.25">
      <c r="A997" s="58" t="s">
        <v>10</v>
      </c>
      <c r="B997" s="278">
        <f>'CASE DATA'!T47</f>
        <v>0</v>
      </c>
      <c r="C997" s="279"/>
      <c r="D997" s="279"/>
      <c r="E997" s="279"/>
      <c r="F997" s="279"/>
      <c r="G997" s="279"/>
      <c r="H997" s="280"/>
    </row>
    <row r="998" spans="1:8" ht="18.75" x14ac:dyDescent="0.3">
      <c r="A998" s="265" t="s">
        <v>76</v>
      </c>
      <c r="B998" s="266"/>
      <c r="C998" s="266"/>
      <c r="D998" s="266"/>
      <c r="E998" s="266"/>
      <c r="F998" s="266"/>
      <c r="G998" s="266"/>
      <c r="H998" s="267"/>
    </row>
    <row r="999" spans="1:8" ht="45" x14ac:dyDescent="0.25">
      <c r="A999" s="59" t="s">
        <v>39</v>
      </c>
      <c r="B999" s="45" t="s">
        <v>77</v>
      </c>
      <c r="C999" s="46" t="s">
        <v>43</v>
      </c>
      <c r="D999" s="46" t="s">
        <v>44</v>
      </c>
      <c r="E999" s="46" t="s">
        <v>45</v>
      </c>
      <c r="F999" s="47" t="s">
        <v>46</v>
      </c>
      <c r="G999" s="26" t="s">
        <v>78</v>
      </c>
      <c r="H999" s="60"/>
    </row>
    <row r="1000" spans="1:8" x14ac:dyDescent="0.25">
      <c r="A1000" s="61" t="str">
        <f>EXPUNGEMENT!D46</f>
        <v>NO</v>
      </c>
      <c r="B1000" s="61" t="str">
        <f>EXPUNGEMENT!G46</f>
        <v>N/A</v>
      </c>
      <c r="C1000" s="136" t="str">
        <f>EXPUNGEMENT!H46</f>
        <v>NO</v>
      </c>
      <c r="D1000" s="136" t="str">
        <f>EXPUNGEMENT!I46</f>
        <v>N/A</v>
      </c>
      <c r="E1000" s="136" t="str">
        <f>EXPUNGEMENT!J46</f>
        <v>N/A</v>
      </c>
      <c r="F1000" s="136" t="str">
        <f>EXPUNGEMENT!K46</f>
        <v>N/A</v>
      </c>
      <c r="G1000" s="29"/>
      <c r="H1000" s="62"/>
    </row>
    <row r="1001" spans="1:8" x14ac:dyDescent="0.25">
      <c r="A1001" s="63" t="s">
        <v>51</v>
      </c>
      <c r="B1001" s="48" t="s">
        <v>79</v>
      </c>
      <c r="C1001" s="49" t="s">
        <v>44</v>
      </c>
      <c r="D1001" s="49" t="s">
        <v>45</v>
      </c>
      <c r="E1001" s="29"/>
      <c r="F1001" s="29"/>
      <c r="G1001" s="29"/>
      <c r="H1001" s="62"/>
    </row>
    <row r="1002" spans="1:8" x14ac:dyDescent="0.25">
      <c r="A1002" s="64" t="str">
        <f>EXPUNGEMENT!R46</f>
        <v>NO</v>
      </c>
      <c r="B1002" s="64" t="str">
        <f>EXPUNGEMENT!S46</f>
        <v>N/A</v>
      </c>
      <c r="C1002" s="64" t="str">
        <f>EXPUNGEMENT!T46</f>
        <v>N/A</v>
      </c>
      <c r="D1002" s="64" t="str">
        <f>EXPUNGEMENT!U46</f>
        <v>N/A</v>
      </c>
      <c r="E1002" s="29"/>
      <c r="F1002" s="29"/>
      <c r="G1002" s="29"/>
      <c r="H1002" s="62"/>
    </row>
    <row r="1003" spans="1:8" ht="18.75" customHeight="1" x14ac:dyDescent="0.3">
      <c r="A1003" s="265" t="s">
        <v>80</v>
      </c>
      <c r="B1003" s="266"/>
      <c r="C1003" s="266"/>
      <c r="D1003" s="266"/>
      <c r="E1003" s="266"/>
      <c r="F1003" s="268"/>
      <c r="G1003" s="269">
        <v>44</v>
      </c>
      <c r="H1003" s="270"/>
    </row>
    <row r="1004" spans="1:8" ht="15" customHeight="1" x14ac:dyDescent="0.25">
      <c r="A1004" s="65" t="s">
        <v>29</v>
      </c>
      <c r="B1004" s="27">
        <f>BANKRUPTCY!C47</f>
        <v>0</v>
      </c>
      <c r="C1004" s="50" t="s">
        <v>56</v>
      </c>
      <c r="D1004" s="27">
        <f>BANKRUPTCY!D47</f>
        <v>0</v>
      </c>
      <c r="E1004" s="50" t="s">
        <v>57</v>
      </c>
      <c r="F1004" s="30">
        <f>BANKRUPTCY!E47</f>
        <v>0</v>
      </c>
      <c r="G1004" s="271"/>
      <c r="H1004" s="272"/>
    </row>
    <row r="1005" spans="1:8" ht="18.75" customHeight="1" x14ac:dyDescent="0.3">
      <c r="A1005" s="265" t="s">
        <v>81</v>
      </c>
      <c r="B1005" s="266"/>
      <c r="C1005" s="266"/>
      <c r="D1005" s="266"/>
      <c r="E1005" s="266"/>
      <c r="F1005" s="268"/>
      <c r="G1005" s="271"/>
      <c r="H1005" s="272"/>
    </row>
    <row r="1006" spans="1:8" ht="15" customHeight="1" x14ac:dyDescent="0.25">
      <c r="A1006" s="65" t="s">
        <v>29</v>
      </c>
      <c r="B1006" s="27">
        <f>SOL!C47</f>
        <v>0</v>
      </c>
      <c r="C1006" s="50" t="s">
        <v>56</v>
      </c>
      <c r="D1006" s="27">
        <f>SOL!D47</f>
        <v>0</v>
      </c>
      <c r="E1006" s="50" t="s">
        <v>57</v>
      </c>
      <c r="F1006" s="30">
        <f>SOL!E47</f>
        <v>0</v>
      </c>
      <c r="G1006" s="271"/>
      <c r="H1006" s="272"/>
    </row>
    <row r="1007" spans="1:8" ht="18.75" customHeight="1" x14ac:dyDescent="0.3">
      <c r="A1007" s="265" t="s">
        <v>82</v>
      </c>
      <c r="B1007" s="266"/>
      <c r="C1007" s="266"/>
      <c r="D1007" s="266"/>
      <c r="E1007" s="52"/>
      <c r="F1007" s="51"/>
      <c r="G1007" s="271"/>
      <c r="H1007" s="272"/>
    </row>
    <row r="1008" spans="1:8" ht="15" customHeight="1" x14ac:dyDescent="0.25">
      <c r="A1008" s="65" t="s">
        <v>67</v>
      </c>
      <c r="B1008" s="27">
        <f>EXEMPTIONS!C47</f>
        <v>0</v>
      </c>
      <c r="C1008" s="50" t="s">
        <v>68</v>
      </c>
      <c r="D1008" s="27">
        <f>EXEMPTIONS!D47</f>
        <v>0</v>
      </c>
      <c r="E1008" s="31"/>
      <c r="F1008" s="31"/>
      <c r="G1008" s="271"/>
      <c r="H1008" s="272"/>
    </row>
    <row r="1009" spans="1:8" ht="18.75" customHeight="1" x14ac:dyDescent="0.3">
      <c r="A1009" s="265" t="s">
        <v>83</v>
      </c>
      <c r="B1009" s="266"/>
      <c r="C1009" s="266"/>
      <c r="D1009" s="266"/>
      <c r="E1009" s="52"/>
      <c r="F1009" s="52"/>
      <c r="G1009" s="273"/>
      <c r="H1009" s="274"/>
    </row>
    <row r="1010" spans="1:8" ht="15.75" thickBot="1" x14ac:dyDescent="0.3">
      <c r="A1010" s="66" t="s">
        <v>62</v>
      </c>
      <c r="B1010" s="67" t="str">
        <f>'LICENSE-REGIS'!I47</f>
        <v>N/A</v>
      </c>
      <c r="C1010" s="68" t="s">
        <v>63</v>
      </c>
      <c r="D1010" s="67">
        <f>'LICENSE-REGIS'!M47</f>
        <v>0</v>
      </c>
      <c r="E1010" s="275"/>
      <c r="F1010" s="276"/>
      <c r="G1010" s="276"/>
      <c r="H1010" s="277"/>
    </row>
    <row r="1014" spans="1:8" ht="15.75" thickBot="1" x14ac:dyDescent="0.3">
      <c r="A1014" s="184"/>
      <c r="B1014" s="184"/>
      <c r="C1014" s="184"/>
      <c r="D1014" s="184"/>
      <c r="E1014" s="184"/>
      <c r="F1014" s="184"/>
      <c r="G1014" s="184"/>
      <c r="H1014" s="184"/>
    </row>
    <row r="1015" spans="1:8" x14ac:dyDescent="0.25">
      <c r="A1015" s="75" t="s">
        <v>11</v>
      </c>
      <c r="B1015" s="72" t="s">
        <v>12</v>
      </c>
      <c r="C1015" s="72" t="s">
        <v>73</v>
      </c>
      <c r="D1015" s="72" t="s">
        <v>13</v>
      </c>
      <c r="E1015" s="72" t="s">
        <v>61</v>
      </c>
      <c r="F1015" s="72" t="s">
        <v>14</v>
      </c>
      <c r="G1015" s="72" t="s">
        <v>15</v>
      </c>
      <c r="H1015" s="74" t="s">
        <v>16</v>
      </c>
    </row>
    <row r="1016" spans="1:8" ht="17.25" x14ac:dyDescent="0.3">
      <c r="A1016" s="76">
        <f>'CASE DATA'!A48</f>
        <v>0</v>
      </c>
      <c r="B1016" s="77">
        <f>'CASE DATA'!B48</f>
        <v>0</v>
      </c>
      <c r="C1016" s="79" t="e">
        <f>'CASE DATA'!#REF!</f>
        <v>#REF!</v>
      </c>
      <c r="D1016" s="79">
        <f>'CASE DATA'!C48</f>
        <v>0</v>
      </c>
      <c r="E1016" s="77">
        <f>'CASE DATA'!E48</f>
        <v>0</v>
      </c>
      <c r="F1016" s="77">
        <f>'CASE DATA'!F48</f>
        <v>0</v>
      </c>
      <c r="G1016" s="77">
        <f>'CASE DATA'!G48</f>
        <v>0</v>
      </c>
      <c r="H1016" s="78">
        <f>'CASE DATA'!H48</f>
        <v>0</v>
      </c>
    </row>
    <row r="1017" spans="1:8" x14ac:dyDescent="0.25">
      <c r="A1017" s="53" t="s">
        <v>18</v>
      </c>
      <c r="B1017" s="32">
        <f>'CASE DATA'!I48</f>
        <v>0</v>
      </c>
      <c r="C1017" s="33" t="s">
        <v>21</v>
      </c>
      <c r="D1017" s="36">
        <f>'CASE DATA'!L48</f>
        <v>0</v>
      </c>
      <c r="E1017" s="38" t="s">
        <v>24</v>
      </c>
      <c r="F1017" s="41">
        <f>'CASE DATA'!O48</f>
        <v>0</v>
      </c>
      <c r="G1017" s="43" t="s">
        <v>74</v>
      </c>
      <c r="H1017" s="54">
        <f>'CASE DATA'!R48</f>
        <v>0</v>
      </c>
    </row>
    <row r="1018" spans="1:8" x14ac:dyDescent="0.25">
      <c r="A1018" s="55" t="s">
        <v>75</v>
      </c>
      <c r="B1018" s="32">
        <f>'CASE DATA'!J48</f>
        <v>0</v>
      </c>
      <c r="C1018" s="34" t="s">
        <v>22</v>
      </c>
      <c r="D1018" s="36">
        <f>'CASE DATA'!M48</f>
        <v>0</v>
      </c>
      <c r="E1018" s="39" t="s">
        <v>25</v>
      </c>
      <c r="F1018" s="41">
        <f>'CASE DATA'!P48</f>
        <v>0</v>
      </c>
      <c r="G1018" s="44" t="s">
        <v>28</v>
      </c>
      <c r="H1018" s="54">
        <f>'CASE DATA'!S48</f>
        <v>0</v>
      </c>
    </row>
    <row r="1019" spans="1:8" x14ac:dyDescent="0.25">
      <c r="A1019" s="56" t="s">
        <v>20</v>
      </c>
      <c r="B1019" s="32">
        <f>'CASE DATA'!K48</f>
        <v>0</v>
      </c>
      <c r="C1019" s="35" t="s">
        <v>23</v>
      </c>
      <c r="D1019" s="37">
        <f>'CASE DATA'!N48</f>
        <v>0</v>
      </c>
      <c r="E1019" s="40" t="s">
        <v>26</v>
      </c>
      <c r="F1019" s="42">
        <f>'CASE DATA'!Q48</f>
        <v>0</v>
      </c>
      <c r="G1019" s="28"/>
      <c r="H1019" s="57"/>
    </row>
    <row r="1020" spans="1:8" x14ac:dyDescent="0.25">
      <c r="A1020" s="58" t="s">
        <v>10</v>
      </c>
      <c r="B1020" s="278">
        <f>'CASE DATA'!T48</f>
        <v>0</v>
      </c>
      <c r="C1020" s="279"/>
      <c r="D1020" s="279"/>
      <c r="E1020" s="279"/>
      <c r="F1020" s="279"/>
      <c r="G1020" s="279"/>
      <c r="H1020" s="280"/>
    </row>
    <row r="1021" spans="1:8" ht="18.75" x14ac:dyDescent="0.3">
      <c r="A1021" s="265" t="s">
        <v>76</v>
      </c>
      <c r="B1021" s="266"/>
      <c r="C1021" s="266"/>
      <c r="D1021" s="266"/>
      <c r="E1021" s="266"/>
      <c r="F1021" s="266"/>
      <c r="G1021" s="266"/>
      <c r="H1021" s="267"/>
    </row>
    <row r="1022" spans="1:8" ht="45" x14ac:dyDescent="0.25">
      <c r="A1022" s="59" t="s">
        <v>39</v>
      </c>
      <c r="B1022" s="45" t="s">
        <v>77</v>
      </c>
      <c r="C1022" s="46" t="s">
        <v>43</v>
      </c>
      <c r="D1022" s="46" t="s">
        <v>44</v>
      </c>
      <c r="E1022" s="46" t="s">
        <v>45</v>
      </c>
      <c r="F1022" s="47" t="s">
        <v>46</v>
      </c>
      <c r="G1022" s="26" t="s">
        <v>78</v>
      </c>
      <c r="H1022" s="60"/>
    </row>
    <row r="1023" spans="1:8" x14ac:dyDescent="0.25">
      <c r="A1023" s="61" t="str">
        <f>EXPUNGEMENT!D47</f>
        <v>NO</v>
      </c>
      <c r="B1023" s="61" t="str">
        <f>EXPUNGEMENT!G47</f>
        <v>N/A</v>
      </c>
      <c r="C1023" s="136" t="str">
        <f>EXPUNGEMENT!H47</f>
        <v>NO</v>
      </c>
      <c r="D1023" s="136" t="str">
        <f>EXPUNGEMENT!I47</f>
        <v>N/A</v>
      </c>
      <c r="E1023" s="136" t="str">
        <f>EXPUNGEMENT!J47</f>
        <v>N/A</v>
      </c>
      <c r="F1023" s="136" t="str">
        <f>EXPUNGEMENT!K47</f>
        <v>N/A</v>
      </c>
      <c r="G1023" s="29"/>
      <c r="H1023" s="62"/>
    </row>
    <row r="1024" spans="1:8" x14ac:dyDescent="0.25">
      <c r="A1024" s="63" t="s">
        <v>51</v>
      </c>
      <c r="B1024" s="48" t="s">
        <v>79</v>
      </c>
      <c r="C1024" s="49" t="s">
        <v>44</v>
      </c>
      <c r="D1024" s="49" t="s">
        <v>45</v>
      </c>
      <c r="E1024" s="29"/>
      <c r="F1024" s="29"/>
      <c r="G1024" s="29"/>
      <c r="H1024" s="62"/>
    </row>
    <row r="1025" spans="1:8" x14ac:dyDescent="0.25">
      <c r="A1025" s="64" t="str">
        <f>EXPUNGEMENT!R47</f>
        <v>NO</v>
      </c>
      <c r="B1025" s="64" t="str">
        <f>EXPUNGEMENT!S47</f>
        <v>N/A</v>
      </c>
      <c r="C1025" s="64" t="str">
        <f>EXPUNGEMENT!T47</f>
        <v>N/A</v>
      </c>
      <c r="D1025" s="64" t="str">
        <f>EXPUNGEMENT!U47</f>
        <v>N/A</v>
      </c>
      <c r="E1025" s="29"/>
      <c r="F1025" s="29"/>
      <c r="G1025" s="29"/>
      <c r="H1025" s="62"/>
    </row>
    <row r="1026" spans="1:8" ht="18.75" x14ac:dyDescent="0.3">
      <c r="A1026" s="265" t="s">
        <v>80</v>
      </c>
      <c r="B1026" s="266"/>
      <c r="C1026" s="266"/>
      <c r="D1026" s="266"/>
      <c r="E1026" s="266"/>
      <c r="F1026" s="268"/>
      <c r="G1026" s="269">
        <v>45</v>
      </c>
      <c r="H1026" s="270"/>
    </row>
    <row r="1027" spans="1:8" x14ac:dyDescent="0.25">
      <c r="A1027" s="65" t="s">
        <v>29</v>
      </c>
      <c r="B1027" s="27">
        <f>BANKRUPTCY!C48</f>
        <v>0</v>
      </c>
      <c r="C1027" s="50" t="s">
        <v>56</v>
      </c>
      <c r="D1027" s="27">
        <f>BANKRUPTCY!D48</f>
        <v>0</v>
      </c>
      <c r="E1027" s="50" t="s">
        <v>57</v>
      </c>
      <c r="F1027" s="30">
        <f>BANKRUPTCY!E48</f>
        <v>0</v>
      </c>
      <c r="G1027" s="271"/>
      <c r="H1027" s="272"/>
    </row>
    <row r="1028" spans="1:8" ht="18.75" x14ac:dyDescent="0.3">
      <c r="A1028" s="265" t="s">
        <v>81</v>
      </c>
      <c r="B1028" s="266"/>
      <c r="C1028" s="266"/>
      <c r="D1028" s="266"/>
      <c r="E1028" s="266"/>
      <c r="F1028" s="268"/>
      <c r="G1028" s="271"/>
      <c r="H1028" s="272"/>
    </row>
    <row r="1029" spans="1:8" x14ac:dyDescent="0.25">
      <c r="A1029" s="65" t="s">
        <v>29</v>
      </c>
      <c r="B1029" s="27">
        <f>SOL!C48</f>
        <v>0</v>
      </c>
      <c r="C1029" s="50" t="s">
        <v>56</v>
      </c>
      <c r="D1029" s="27">
        <f>SOL!D48</f>
        <v>0</v>
      </c>
      <c r="E1029" s="50" t="s">
        <v>57</v>
      </c>
      <c r="F1029" s="30">
        <f>SOL!E48</f>
        <v>0</v>
      </c>
      <c r="G1029" s="271"/>
      <c r="H1029" s="272"/>
    </row>
    <row r="1030" spans="1:8" ht="18.75" x14ac:dyDescent="0.3">
      <c r="A1030" s="265" t="s">
        <v>82</v>
      </c>
      <c r="B1030" s="266"/>
      <c r="C1030" s="266"/>
      <c r="D1030" s="266"/>
      <c r="E1030" s="52"/>
      <c r="F1030" s="51"/>
      <c r="G1030" s="271"/>
      <c r="H1030" s="272"/>
    </row>
    <row r="1031" spans="1:8" x14ac:dyDescent="0.25">
      <c r="A1031" s="65" t="s">
        <v>67</v>
      </c>
      <c r="B1031" s="27">
        <f>EXEMPTIONS!C48</f>
        <v>0</v>
      </c>
      <c r="C1031" s="50" t="s">
        <v>68</v>
      </c>
      <c r="D1031" s="27">
        <f>EXEMPTIONS!D48</f>
        <v>0</v>
      </c>
      <c r="E1031" s="31"/>
      <c r="F1031" s="31"/>
      <c r="G1031" s="271"/>
      <c r="H1031" s="272"/>
    </row>
    <row r="1032" spans="1:8" ht="18.75" x14ac:dyDescent="0.3">
      <c r="A1032" s="265" t="s">
        <v>83</v>
      </c>
      <c r="B1032" s="266"/>
      <c r="C1032" s="266"/>
      <c r="D1032" s="266"/>
      <c r="E1032" s="52"/>
      <c r="F1032" s="52"/>
      <c r="G1032" s="273"/>
      <c r="H1032" s="274"/>
    </row>
    <row r="1033" spans="1:8" ht="15.75" thickBot="1" x14ac:dyDescent="0.3">
      <c r="A1033" s="66" t="s">
        <v>62</v>
      </c>
      <c r="B1033" s="67" t="str">
        <f>'LICENSE-REGIS'!I48</f>
        <v>N/A</v>
      </c>
      <c r="C1033" s="68" t="s">
        <v>63</v>
      </c>
      <c r="D1033" s="67">
        <f>'LICENSE-REGIS'!M48</f>
        <v>0</v>
      </c>
      <c r="E1033" s="275"/>
      <c r="F1033" s="276"/>
      <c r="G1033" s="276"/>
      <c r="H1033" s="277"/>
    </row>
    <row r="1037" spans="1:8" ht="15.75" thickBot="1" x14ac:dyDescent="0.3">
      <c r="A1037" s="184"/>
      <c r="B1037" s="184"/>
      <c r="C1037" s="184"/>
      <c r="D1037" s="184"/>
      <c r="E1037" s="184"/>
      <c r="F1037" s="184"/>
      <c r="G1037" s="184"/>
      <c r="H1037" s="184"/>
    </row>
    <row r="1038" spans="1:8" x14ac:dyDescent="0.25">
      <c r="A1038" s="75" t="s">
        <v>11</v>
      </c>
      <c r="B1038" s="72" t="s">
        <v>12</v>
      </c>
      <c r="C1038" s="72" t="s">
        <v>73</v>
      </c>
      <c r="D1038" s="72" t="s">
        <v>13</v>
      </c>
      <c r="E1038" s="72" t="s">
        <v>61</v>
      </c>
      <c r="F1038" s="72" t="s">
        <v>14</v>
      </c>
      <c r="G1038" s="72" t="s">
        <v>15</v>
      </c>
      <c r="H1038" s="74" t="s">
        <v>16</v>
      </c>
    </row>
    <row r="1039" spans="1:8" ht="17.25" x14ac:dyDescent="0.3">
      <c r="A1039" s="76">
        <f>'CASE DATA'!A49</f>
        <v>0</v>
      </c>
      <c r="B1039" s="77">
        <f>'CASE DATA'!B49</f>
        <v>0</v>
      </c>
      <c r="C1039" s="79" t="e">
        <f>'CASE DATA'!#REF!</f>
        <v>#REF!</v>
      </c>
      <c r="D1039" s="79">
        <f>'CASE DATA'!C49</f>
        <v>0</v>
      </c>
      <c r="E1039" s="77">
        <f>'CASE DATA'!E49</f>
        <v>0</v>
      </c>
      <c r="F1039" s="77">
        <f>'CASE DATA'!F49</f>
        <v>0</v>
      </c>
      <c r="G1039" s="77">
        <f>'CASE DATA'!G49</f>
        <v>0</v>
      </c>
      <c r="H1039" s="78">
        <f>'CASE DATA'!H49</f>
        <v>0</v>
      </c>
    </row>
    <row r="1040" spans="1:8" x14ac:dyDescent="0.25">
      <c r="A1040" s="53" t="s">
        <v>18</v>
      </c>
      <c r="B1040" s="32">
        <f>'CASE DATA'!I49</f>
        <v>0</v>
      </c>
      <c r="C1040" s="33" t="s">
        <v>21</v>
      </c>
      <c r="D1040" s="36">
        <f>'CASE DATA'!L49</f>
        <v>0</v>
      </c>
      <c r="E1040" s="38" t="s">
        <v>24</v>
      </c>
      <c r="F1040" s="41">
        <f>'CASE DATA'!O49</f>
        <v>0</v>
      </c>
      <c r="G1040" s="43" t="s">
        <v>74</v>
      </c>
      <c r="H1040" s="54">
        <f>'CASE DATA'!R49</f>
        <v>0</v>
      </c>
    </row>
    <row r="1041" spans="1:8" x14ac:dyDescent="0.25">
      <c r="A1041" s="55" t="s">
        <v>75</v>
      </c>
      <c r="B1041" s="32">
        <f>'CASE DATA'!J49</f>
        <v>0</v>
      </c>
      <c r="C1041" s="34" t="s">
        <v>22</v>
      </c>
      <c r="D1041" s="36">
        <f>'CASE DATA'!M49</f>
        <v>0</v>
      </c>
      <c r="E1041" s="39" t="s">
        <v>25</v>
      </c>
      <c r="F1041" s="41">
        <f>'CASE DATA'!P49</f>
        <v>0</v>
      </c>
      <c r="G1041" s="44" t="s">
        <v>28</v>
      </c>
      <c r="H1041" s="54">
        <f>'CASE DATA'!S49</f>
        <v>0</v>
      </c>
    </row>
    <row r="1042" spans="1:8" x14ac:dyDescent="0.25">
      <c r="A1042" s="56" t="s">
        <v>20</v>
      </c>
      <c r="B1042" s="32">
        <f>'CASE DATA'!K49</f>
        <v>0</v>
      </c>
      <c r="C1042" s="35" t="s">
        <v>23</v>
      </c>
      <c r="D1042" s="37">
        <f>'CASE DATA'!N49</f>
        <v>0</v>
      </c>
      <c r="E1042" s="40" t="s">
        <v>26</v>
      </c>
      <c r="F1042" s="42">
        <f>'CASE DATA'!Q49</f>
        <v>0</v>
      </c>
      <c r="G1042" s="28"/>
      <c r="H1042" s="57"/>
    </row>
    <row r="1043" spans="1:8" x14ac:dyDescent="0.25">
      <c r="A1043" s="58" t="s">
        <v>10</v>
      </c>
      <c r="B1043" s="278">
        <f>'CASE DATA'!T49</f>
        <v>0</v>
      </c>
      <c r="C1043" s="279"/>
      <c r="D1043" s="279"/>
      <c r="E1043" s="279"/>
      <c r="F1043" s="279"/>
      <c r="G1043" s="279"/>
      <c r="H1043" s="280"/>
    </row>
    <row r="1044" spans="1:8" ht="18.75" x14ac:dyDescent="0.3">
      <c r="A1044" s="265" t="s">
        <v>76</v>
      </c>
      <c r="B1044" s="266"/>
      <c r="C1044" s="266"/>
      <c r="D1044" s="266"/>
      <c r="E1044" s="266"/>
      <c r="F1044" s="266"/>
      <c r="G1044" s="266"/>
      <c r="H1044" s="267"/>
    </row>
    <row r="1045" spans="1:8" ht="45" x14ac:dyDescent="0.25">
      <c r="A1045" s="59" t="s">
        <v>39</v>
      </c>
      <c r="B1045" s="45" t="s">
        <v>77</v>
      </c>
      <c r="C1045" s="46" t="s">
        <v>43</v>
      </c>
      <c r="D1045" s="46" t="s">
        <v>44</v>
      </c>
      <c r="E1045" s="46" t="s">
        <v>45</v>
      </c>
      <c r="F1045" s="47" t="s">
        <v>46</v>
      </c>
      <c r="G1045" s="26" t="s">
        <v>78</v>
      </c>
      <c r="H1045" s="60"/>
    </row>
    <row r="1046" spans="1:8" x14ac:dyDescent="0.25">
      <c r="A1046" s="61" t="str">
        <f>EXPUNGEMENT!D48</f>
        <v>NO</v>
      </c>
      <c r="B1046" s="61" t="str">
        <f>EXPUNGEMENT!G48</f>
        <v>N/A</v>
      </c>
      <c r="C1046" s="136" t="str">
        <f>EXPUNGEMENT!H48</f>
        <v>NO</v>
      </c>
      <c r="D1046" s="136" t="str">
        <f>EXPUNGEMENT!I48</f>
        <v>N/A</v>
      </c>
      <c r="E1046" s="136" t="str">
        <f>EXPUNGEMENT!J48</f>
        <v>N/A</v>
      </c>
      <c r="F1046" s="136" t="str">
        <f>EXPUNGEMENT!K48</f>
        <v>N/A</v>
      </c>
      <c r="G1046" s="29"/>
      <c r="H1046" s="62"/>
    </row>
    <row r="1047" spans="1:8" x14ac:dyDescent="0.25">
      <c r="A1047" s="63" t="s">
        <v>51</v>
      </c>
      <c r="B1047" s="48" t="s">
        <v>79</v>
      </c>
      <c r="C1047" s="49" t="s">
        <v>44</v>
      </c>
      <c r="D1047" s="49" t="s">
        <v>45</v>
      </c>
      <c r="E1047" s="29"/>
      <c r="F1047" s="29"/>
      <c r="G1047" s="29"/>
      <c r="H1047" s="62"/>
    </row>
    <row r="1048" spans="1:8" x14ac:dyDescent="0.25">
      <c r="A1048" s="64" t="str">
        <f>EXPUNGEMENT!R48</f>
        <v>NO</v>
      </c>
      <c r="B1048" s="64" t="str">
        <f>EXPUNGEMENT!S48</f>
        <v>N/A</v>
      </c>
      <c r="C1048" s="64" t="str">
        <f>EXPUNGEMENT!T48</f>
        <v>N/A</v>
      </c>
      <c r="D1048" s="64" t="str">
        <f>EXPUNGEMENT!U48</f>
        <v>N/A</v>
      </c>
      <c r="E1048" s="29"/>
      <c r="F1048" s="29"/>
      <c r="G1048" s="29"/>
      <c r="H1048" s="62"/>
    </row>
    <row r="1049" spans="1:8" ht="18.75" x14ac:dyDescent="0.3">
      <c r="A1049" s="265" t="s">
        <v>80</v>
      </c>
      <c r="B1049" s="266"/>
      <c r="C1049" s="266"/>
      <c r="D1049" s="266"/>
      <c r="E1049" s="266"/>
      <c r="F1049" s="268"/>
      <c r="G1049" s="269">
        <v>46</v>
      </c>
      <c r="H1049" s="270"/>
    </row>
    <row r="1050" spans="1:8" x14ac:dyDescent="0.25">
      <c r="A1050" s="65" t="s">
        <v>29</v>
      </c>
      <c r="B1050" s="27">
        <f>BANKRUPTCY!C49</f>
        <v>0</v>
      </c>
      <c r="C1050" s="50" t="s">
        <v>56</v>
      </c>
      <c r="D1050" s="27">
        <f>BANKRUPTCY!D49</f>
        <v>0</v>
      </c>
      <c r="E1050" s="50" t="s">
        <v>57</v>
      </c>
      <c r="F1050" s="30">
        <f>BANKRUPTCY!E49</f>
        <v>0</v>
      </c>
      <c r="G1050" s="271"/>
      <c r="H1050" s="272"/>
    </row>
    <row r="1051" spans="1:8" ht="18.75" x14ac:dyDescent="0.3">
      <c r="A1051" s="265" t="s">
        <v>81</v>
      </c>
      <c r="B1051" s="266"/>
      <c r="C1051" s="266"/>
      <c r="D1051" s="266"/>
      <c r="E1051" s="266"/>
      <c r="F1051" s="268"/>
      <c r="G1051" s="271"/>
      <c r="H1051" s="272"/>
    </row>
    <row r="1052" spans="1:8" x14ac:dyDescent="0.25">
      <c r="A1052" s="65" t="s">
        <v>29</v>
      </c>
      <c r="B1052" s="27">
        <f>SOL!C49</f>
        <v>0</v>
      </c>
      <c r="C1052" s="50" t="s">
        <v>56</v>
      </c>
      <c r="D1052" s="27">
        <f>SOL!D49</f>
        <v>0</v>
      </c>
      <c r="E1052" s="50" t="s">
        <v>57</v>
      </c>
      <c r="F1052" s="30">
        <f>SOL!E49</f>
        <v>0</v>
      </c>
      <c r="G1052" s="271"/>
      <c r="H1052" s="272"/>
    </row>
    <row r="1053" spans="1:8" ht="18.75" x14ac:dyDescent="0.3">
      <c r="A1053" s="265" t="s">
        <v>82</v>
      </c>
      <c r="B1053" s="266"/>
      <c r="C1053" s="266"/>
      <c r="D1053" s="266"/>
      <c r="E1053" s="52"/>
      <c r="F1053" s="51"/>
      <c r="G1053" s="271"/>
      <c r="H1053" s="272"/>
    </row>
    <row r="1054" spans="1:8" x14ac:dyDescent="0.25">
      <c r="A1054" s="65" t="s">
        <v>67</v>
      </c>
      <c r="B1054" s="27">
        <f>EXEMPTIONS!C49</f>
        <v>0</v>
      </c>
      <c r="C1054" s="50" t="s">
        <v>68</v>
      </c>
      <c r="D1054" s="27">
        <f>EXEMPTIONS!D49</f>
        <v>0</v>
      </c>
      <c r="E1054" s="31"/>
      <c r="F1054" s="31"/>
      <c r="G1054" s="271"/>
      <c r="H1054" s="272"/>
    </row>
    <row r="1055" spans="1:8" ht="18.75" x14ac:dyDescent="0.3">
      <c r="A1055" s="265" t="s">
        <v>83</v>
      </c>
      <c r="B1055" s="266"/>
      <c r="C1055" s="266"/>
      <c r="D1055" s="266"/>
      <c r="E1055" s="52"/>
      <c r="F1055" s="52"/>
      <c r="G1055" s="273"/>
      <c r="H1055" s="274"/>
    </row>
    <row r="1056" spans="1:8" ht="15.75" thickBot="1" x14ac:dyDescent="0.3">
      <c r="A1056" s="66" t="s">
        <v>62</v>
      </c>
      <c r="B1056" s="67" t="str">
        <f>'LICENSE-REGIS'!I49</f>
        <v>N/A</v>
      </c>
      <c r="C1056" s="68" t="s">
        <v>63</v>
      </c>
      <c r="D1056" s="67">
        <f>'LICENSE-REGIS'!M49</f>
        <v>0</v>
      </c>
      <c r="E1056" s="275"/>
      <c r="F1056" s="276"/>
      <c r="G1056" s="276"/>
      <c r="H1056" s="277"/>
    </row>
    <row r="1060" spans="1:8" ht="15.75" thickBot="1" x14ac:dyDescent="0.3">
      <c r="A1060" s="184"/>
      <c r="B1060" s="184"/>
      <c r="C1060" s="184"/>
      <c r="D1060" s="184"/>
      <c r="E1060" s="184"/>
      <c r="F1060" s="184"/>
      <c r="G1060" s="184"/>
      <c r="H1060" s="184"/>
    </row>
    <row r="1061" spans="1:8" x14ac:dyDescent="0.25">
      <c r="A1061" s="75" t="s">
        <v>11</v>
      </c>
      <c r="B1061" s="72" t="s">
        <v>12</v>
      </c>
      <c r="C1061" s="72" t="s">
        <v>73</v>
      </c>
      <c r="D1061" s="72" t="s">
        <v>13</v>
      </c>
      <c r="E1061" s="72" t="s">
        <v>61</v>
      </c>
      <c r="F1061" s="72" t="s">
        <v>14</v>
      </c>
      <c r="G1061" s="72" t="s">
        <v>15</v>
      </c>
      <c r="H1061" s="74" t="s">
        <v>16</v>
      </c>
    </row>
    <row r="1062" spans="1:8" ht="17.25" x14ac:dyDescent="0.3">
      <c r="A1062" s="76">
        <f>'CASE DATA'!A50</f>
        <v>0</v>
      </c>
      <c r="B1062" s="77">
        <f>'CASE DATA'!B50</f>
        <v>0</v>
      </c>
      <c r="C1062" s="79" t="e">
        <f>'CASE DATA'!#REF!</f>
        <v>#REF!</v>
      </c>
      <c r="D1062" s="79">
        <f>'CASE DATA'!C50</f>
        <v>0</v>
      </c>
      <c r="E1062" s="77">
        <f>'CASE DATA'!E50</f>
        <v>0</v>
      </c>
      <c r="F1062" s="77">
        <f>'CASE DATA'!F50</f>
        <v>0</v>
      </c>
      <c r="G1062" s="77">
        <f>'CASE DATA'!G50</f>
        <v>0</v>
      </c>
      <c r="H1062" s="78">
        <f>'CASE DATA'!H50</f>
        <v>0</v>
      </c>
    </row>
    <row r="1063" spans="1:8" x14ac:dyDescent="0.25">
      <c r="A1063" s="53" t="s">
        <v>18</v>
      </c>
      <c r="B1063" s="32">
        <f>'CASE DATA'!I50</f>
        <v>0</v>
      </c>
      <c r="C1063" s="33" t="s">
        <v>21</v>
      </c>
      <c r="D1063" s="36">
        <f>'CASE DATA'!L50</f>
        <v>0</v>
      </c>
      <c r="E1063" s="38" t="s">
        <v>24</v>
      </c>
      <c r="F1063" s="41">
        <f>'CASE DATA'!O50</f>
        <v>0</v>
      </c>
      <c r="G1063" s="43" t="s">
        <v>74</v>
      </c>
      <c r="H1063" s="54">
        <f>'CASE DATA'!R50</f>
        <v>0</v>
      </c>
    </row>
    <row r="1064" spans="1:8" x14ac:dyDescent="0.25">
      <c r="A1064" s="55" t="s">
        <v>75</v>
      </c>
      <c r="B1064" s="32">
        <f>'CASE DATA'!J50</f>
        <v>0</v>
      </c>
      <c r="C1064" s="34" t="s">
        <v>22</v>
      </c>
      <c r="D1064" s="36">
        <f>'CASE DATA'!M50</f>
        <v>0</v>
      </c>
      <c r="E1064" s="39" t="s">
        <v>25</v>
      </c>
      <c r="F1064" s="41">
        <f>'CASE DATA'!P50</f>
        <v>0</v>
      </c>
      <c r="G1064" s="44" t="s">
        <v>28</v>
      </c>
      <c r="H1064" s="54">
        <f>'CASE DATA'!S50</f>
        <v>0</v>
      </c>
    </row>
    <row r="1065" spans="1:8" x14ac:dyDescent="0.25">
      <c r="A1065" s="56" t="s">
        <v>20</v>
      </c>
      <c r="B1065" s="32">
        <f>'CASE DATA'!K50</f>
        <v>0</v>
      </c>
      <c r="C1065" s="35" t="s">
        <v>23</v>
      </c>
      <c r="D1065" s="37">
        <f>'CASE DATA'!N50</f>
        <v>0</v>
      </c>
      <c r="E1065" s="40" t="s">
        <v>26</v>
      </c>
      <c r="F1065" s="42">
        <f>'CASE DATA'!Q50</f>
        <v>0</v>
      </c>
      <c r="G1065" s="28"/>
      <c r="H1065" s="57"/>
    </row>
    <row r="1066" spans="1:8" x14ac:dyDescent="0.25">
      <c r="A1066" s="58" t="s">
        <v>10</v>
      </c>
      <c r="B1066" s="278">
        <f>'CASE DATA'!T50</f>
        <v>0</v>
      </c>
      <c r="C1066" s="279"/>
      <c r="D1066" s="279"/>
      <c r="E1066" s="279"/>
      <c r="F1066" s="279"/>
      <c r="G1066" s="279"/>
      <c r="H1066" s="280"/>
    </row>
    <row r="1067" spans="1:8" ht="18.75" x14ac:dyDescent="0.3">
      <c r="A1067" s="265" t="s">
        <v>76</v>
      </c>
      <c r="B1067" s="266"/>
      <c r="C1067" s="266"/>
      <c r="D1067" s="266"/>
      <c r="E1067" s="266"/>
      <c r="F1067" s="266"/>
      <c r="G1067" s="266"/>
      <c r="H1067" s="267"/>
    </row>
    <row r="1068" spans="1:8" ht="45" x14ac:dyDescent="0.25">
      <c r="A1068" s="59" t="s">
        <v>39</v>
      </c>
      <c r="B1068" s="45" t="s">
        <v>77</v>
      </c>
      <c r="C1068" s="46" t="s">
        <v>43</v>
      </c>
      <c r="D1068" s="46" t="s">
        <v>44</v>
      </c>
      <c r="E1068" s="46" t="s">
        <v>45</v>
      </c>
      <c r="F1068" s="47" t="s">
        <v>46</v>
      </c>
      <c r="G1068" s="26" t="s">
        <v>78</v>
      </c>
      <c r="H1068" s="60"/>
    </row>
    <row r="1069" spans="1:8" x14ac:dyDescent="0.25">
      <c r="A1069" s="61" t="str">
        <f>EXPUNGEMENT!D49</f>
        <v>NO</v>
      </c>
      <c r="B1069" s="61" t="str">
        <f>EXPUNGEMENT!G49</f>
        <v>N/A</v>
      </c>
      <c r="C1069" s="136" t="str">
        <f>EXPUNGEMENT!H49</f>
        <v>NO</v>
      </c>
      <c r="D1069" s="136" t="str">
        <f>EXPUNGEMENT!I49</f>
        <v>N/A</v>
      </c>
      <c r="E1069" s="136" t="str">
        <f>EXPUNGEMENT!J49</f>
        <v>N/A</v>
      </c>
      <c r="F1069" s="136" t="str">
        <f>EXPUNGEMENT!K49</f>
        <v>N/A</v>
      </c>
      <c r="G1069" s="29"/>
      <c r="H1069" s="62"/>
    </row>
    <row r="1070" spans="1:8" x14ac:dyDescent="0.25">
      <c r="A1070" s="63" t="s">
        <v>51</v>
      </c>
      <c r="B1070" s="48" t="s">
        <v>79</v>
      </c>
      <c r="C1070" s="49" t="s">
        <v>44</v>
      </c>
      <c r="D1070" s="49" t="s">
        <v>45</v>
      </c>
      <c r="E1070" s="29"/>
      <c r="F1070" s="29"/>
      <c r="G1070" s="29"/>
      <c r="H1070" s="62"/>
    </row>
    <row r="1071" spans="1:8" x14ac:dyDescent="0.25">
      <c r="A1071" s="64" t="str">
        <f>EXPUNGEMENT!R49</f>
        <v>NO</v>
      </c>
      <c r="B1071" s="64" t="str">
        <f>EXPUNGEMENT!S49</f>
        <v>N/A</v>
      </c>
      <c r="C1071" s="64" t="str">
        <f>EXPUNGEMENT!T49</f>
        <v>N/A</v>
      </c>
      <c r="D1071" s="64" t="str">
        <f>EXPUNGEMENT!U49</f>
        <v>N/A</v>
      </c>
      <c r="E1071" s="29"/>
      <c r="F1071" s="29"/>
      <c r="G1071" s="29"/>
      <c r="H1071" s="62"/>
    </row>
    <row r="1072" spans="1:8" ht="18.75" customHeight="1" x14ac:dyDescent="0.3">
      <c r="A1072" s="265" t="s">
        <v>80</v>
      </c>
      <c r="B1072" s="266"/>
      <c r="C1072" s="266"/>
      <c r="D1072" s="266"/>
      <c r="E1072" s="266"/>
      <c r="F1072" s="268"/>
      <c r="G1072" s="269">
        <v>47</v>
      </c>
      <c r="H1072" s="270"/>
    </row>
    <row r="1073" spans="1:8" ht="15" customHeight="1" x14ac:dyDescent="0.25">
      <c r="A1073" s="65" t="s">
        <v>29</v>
      </c>
      <c r="B1073" s="27">
        <f>BANKRUPTCY!C50</f>
        <v>0</v>
      </c>
      <c r="C1073" s="50" t="s">
        <v>56</v>
      </c>
      <c r="D1073" s="27">
        <f>BANKRUPTCY!D50</f>
        <v>0</v>
      </c>
      <c r="E1073" s="50" t="s">
        <v>57</v>
      </c>
      <c r="F1073" s="30">
        <f>BANKRUPTCY!E50</f>
        <v>0</v>
      </c>
      <c r="G1073" s="271"/>
      <c r="H1073" s="272"/>
    </row>
    <row r="1074" spans="1:8" ht="18.75" customHeight="1" x14ac:dyDescent="0.3">
      <c r="A1074" s="265" t="s">
        <v>81</v>
      </c>
      <c r="B1074" s="266"/>
      <c r="C1074" s="266"/>
      <c r="D1074" s="266"/>
      <c r="E1074" s="266"/>
      <c r="F1074" s="268"/>
      <c r="G1074" s="271"/>
      <c r="H1074" s="272"/>
    </row>
    <row r="1075" spans="1:8" ht="15" customHeight="1" x14ac:dyDescent="0.25">
      <c r="A1075" s="65" t="s">
        <v>29</v>
      </c>
      <c r="B1075" s="27">
        <f>SOL!C50</f>
        <v>0</v>
      </c>
      <c r="C1075" s="50" t="s">
        <v>56</v>
      </c>
      <c r="D1075" s="27">
        <f>SOL!D50</f>
        <v>0</v>
      </c>
      <c r="E1075" s="50" t="s">
        <v>57</v>
      </c>
      <c r="F1075" s="30">
        <f>SOL!E50</f>
        <v>0</v>
      </c>
      <c r="G1075" s="271"/>
      <c r="H1075" s="272"/>
    </row>
    <row r="1076" spans="1:8" ht="18.75" customHeight="1" x14ac:dyDescent="0.3">
      <c r="A1076" s="265" t="s">
        <v>82</v>
      </c>
      <c r="B1076" s="266"/>
      <c r="C1076" s="266"/>
      <c r="D1076" s="266"/>
      <c r="E1076" s="52"/>
      <c r="F1076" s="51"/>
      <c r="G1076" s="271"/>
      <c r="H1076" s="272"/>
    </row>
    <row r="1077" spans="1:8" ht="15" customHeight="1" x14ac:dyDescent="0.25">
      <c r="A1077" s="65" t="s">
        <v>67</v>
      </c>
      <c r="B1077" s="27">
        <f>EXEMPTIONS!C50</f>
        <v>0</v>
      </c>
      <c r="C1077" s="50" t="s">
        <v>68</v>
      </c>
      <c r="D1077" s="27">
        <f>EXEMPTIONS!D50</f>
        <v>0</v>
      </c>
      <c r="E1077" s="31"/>
      <c r="F1077" s="31"/>
      <c r="G1077" s="271"/>
      <c r="H1077" s="272"/>
    </row>
    <row r="1078" spans="1:8" ht="18.75" customHeight="1" x14ac:dyDescent="0.3">
      <c r="A1078" s="265" t="s">
        <v>83</v>
      </c>
      <c r="B1078" s="266"/>
      <c r="C1078" s="266"/>
      <c r="D1078" s="266"/>
      <c r="E1078" s="52"/>
      <c r="F1078" s="52"/>
      <c r="G1078" s="273"/>
      <c r="H1078" s="274"/>
    </row>
    <row r="1079" spans="1:8" ht="15.75" thickBot="1" x14ac:dyDescent="0.3">
      <c r="A1079" s="66" t="s">
        <v>62</v>
      </c>
      <c r="B1079" s="67" t="str">
        <f>'LICENSE-REGIS'!I50</f>
        <v>N/A</v>
      </c>
      <c r="C1079" s="68" t="s">
        <v>63</v>
      </c>
      <c r="D1079" s="67">
        <f>'LICENSE-REGIS'!M50</f>
        <v>0</v>
      </c>
      <c r="E1079" s="275"/>
      <c r="F1079" s="276"/>
      <c r="G1079" s="276"/>
      <c r="H1079" s="277"/>
    </row>
    <row r="1083" spans="1:8" ht="15.75" thickBot="1" x14ac:dyDescent="0.3">
      <c r="A1083" s="184"/>
      <c r="B1083" s="184"/>
      <c r="C1083" s="184"/>
      <c r="D1083" s="184"/>
      <c r="E1083" s="184"/>
      <c r="F1083" s="184"/>
      <c r="G1083" s="184"/>
      <c r="H1083" s="184"/>
    </row>
    <row r="1084" spans="1:8" x14ac:dyDescent="0.25">
      <c r="A1084" s="75" t="s">
        <v>11</v>
      </c>
      <c r="B1084" s="72" t="s">
        <v>12</v>
      </c>
      <c r="C1084" s="72" t="s">
        <v>73</v>
      </c>
      <c r="D1084" s="72" t="s">
        <v>13</v>
      </c>
      <c r="E1084" s="72" t="s">
        <v>61</v>
      </c>
      <c r="F1084" s="72" t="s">
        <v>14</v>
      </c>
      <c r="G1084" s="72" t="s">
        <v>15</v>
      </c>
      <c r="H1084" s="74" t="s">
        <v>16</v>
      </c>
    </row>
    <row r="1085" spans="1:8" ht="17.25" x14ac:dyDescent="0.3">
      <c r="A1085" s="76">
        <f>'CASE DATA'!A51</f>
        <v>0</v>
      </c>
      <c r="B1085" s="77">
        <f>'CASE DATA'!B51</f>
        <v>0</v>
      </c>
      <c r="C1085" s="79" t="e">
        <f>'CASE DATA'!#REF!</f>
        <v>#REF!</v>
      </c>
      <c r="D1085" s="79">
        <f>'CASE DATA'!C51</f>
        <v>0</v>
      </c>
      <c r="E1085" s="77">
        <f>'CASE DATA'!E51</f>
        <v>0</v>
      </c>
      <c r="F1085" s="77">
        <f>'CASE DATA'!F51</f>
        <v>0</v>
      </c>
      <c r="G1085" s="77">
        <f>'CASE DATA'!G51</f>
        <v>0</v>
      </c>
      <c r="H1085" s="78">
        <f>'CASE DATA'!H51</f>
        <v>0</v>
      </c>
    </row>
    <row r="1086" spans="1:8" x14ac:dyDescent="0.25">
      <c r="A1086" s="53" t="s">
        <v>18</v>
      </c>
      <c r="B1086" s="32">
        <f>'CASE DATA'!I51</f>
        <v>0</v>
      </c>
      <c r="C1086" s="33" t="s">
        <v>21</v>
      </c>
      <c r="D1086" s="36">
        <f>'CASE DATA'!L51</f>
        <v>0</v>
      </c>
      <c r="E1086" s="38" t="s">
        <v>24</v>
      </c>
      <c r="F1086" s="41">
        <f>'CASE DATA'!O51</f>
        <v>0</v>
      </c>
      <c r="G1086" s="43" t="s">
        <v>74</v>
      </c>
      <c r="H1086" s="54">
        <f>'CASE DATA'!R51</f>
        <v>0</v>
      </c>
    </row>
    <row r="1087" spans="1:8" x14ac:dyDescent="0.25">
      <c r="A1087" s="55" t="s">
        <v>75</v>
      </c>
      <c r="B1087" s="32">
        <f>'CASE DATA'!J51</f>
        <v>0</v>
      </c>
      <c r="C1087" s="34" t="s">
        <v>22</v>
      </c>
      <c r="D1087" s="36">
        <f>'CASE DATA'!M51</f>
        <v>0</v>
      </c>
      <c r="E1087" s="39" t="s">
        <v>25</v>
      </c>
      <c r="F1087" s="41">
        <f>'CASE DATA'!P51</f>
        <v>0</v>
      </c>
      <c r="G1087" s="44" t="s">
        <v>28</v>
      </c>
      <c r="H1087" s="54">
        <f>'CASE DATA'!S51</f>
        <v>0</v>
      </c>
    </row>
    <row r="1088" spans="1:8" x14ac:dyDescent="0.25">
      <c r="A1088" s="56" t="s">
        <v>20</v>
      </c>
      <c r="B1088" s="32">
        <f>'CASE DATA'!K51</f>
        <v>0</v>
      </c>
      <c r="C1088" s="35" t="s">
        <v>23</v>
      </c>
      <c r="D1088" s="37">
        <f>'CASE DATA'!N51</f>
        <v>0</v>
      </c>
      <c r="E1088" s="40" t="s">
        <v>26</v>
      </c>
      <c r="F1088" s="42">
        <f>'CASE DATA'!Q51</f>
        <v>0</v>
      </c>
      <c r="G1088" s="28"/>
      <c r="H1088" s="57"/>
    </row>
    <row r="1089" spans="1:8" x14ac:dyDescent="0.25">
      <c r="A1089" s="58" t="s">
        <v>10</v>
      </c>
      <c r="B1089" s="278">
        <f>'CASE DATA'!T51</f>
        <v>0</v>
      </c>
      <c r="C1089" s="279"/>
      <c r="D1089" s="279"/>
      <c r="E1089" s="279"/>
      <c r="F1089" s="279"/>
      <c r="G1089" s="279"/>
      <c r="H1089" s="280"/>
    </row>
    <row r="1090" spans="1:8" ht="18.75" x14ac:dyDescent="0.3">
      <c r="A1090" s="265" t="s">
        <v>76</v>
      </c>
      <c r="B1090" s="266"/>
      <c r="C1090" s="266"/>
      <c r="D1090" s="266"/>
      <c r="E1090" s="266"/>
      <c r="F1090" s="266"/>
      <c r="G1090" s="266"/>
      <c r="H1090" s="267"/>
    </row>
    <row r="1091" spans="1:8" ht="45" x14ac:dyDescent="0.25">
      <c r="A1091" s="59" t="s">
        <v>39</v>
      </c>
      <c r="B1091" s="45" t="s">
        <v>77</v>
      </c>
      <c r="C1091" s="46" t="s">
        <v>43</v>
      </c>
      <c r="D1091" s="46" t="s">
        <v>44</v>
      </c>
      <c r="E1091" s="46" t="s">
        <v>45</v>
      </c>
      <c r="F1091" s="47" t="s">
        <v>46</v>
      </c>
      <c r="G1091" s="26" t="s">
        <v>78</v>
      </c>
      <c r="H1091" s="60"/>
    </row>
    <row r="1092" spans="1:8" x14ac:dyDescent="0.25">
      <c r="A1092" s="61" t="str">
        <f>EXPUNGEMENT!D50</f>
        <v>NO</v>
      </c>
      <c r="B1092" s="61" t="str">
        <f>EXPUNGEMENT!G50</f>
        <v>N/A</v>
      </c>
      <c r="C1092" s="136" t="str">
        <f>EXPUNGEMENT!H50</f>
        <v>NO</v>
      </c>
      <c r="D1092" s="136" t="str">
        <f>EXPUNGEMENT!I50</f>
        <v>N/A</v>
      </c>
      <c r="E1092" s="136" t="str">
        <f>EXPUNGEMENT!J50</f>
        <v>N/A</v>
      </c>
      <c r="F1092" s="136" t="str">
        <f>EXPUNGEMENT!K50</f>
        <v>N/A</v>
      </c>
      <c r="G1092" s="29"/>
      <c r="H1092" s="62"/>
    </row>
    <row r="1093" spans="1:8" x14ac:dyDescent="0.25">
      <c r="A1093" s="63" t="s">
        <v>51</v>
      </c>
      <c r="B1093" s="48" t="s">
        <v>79</v>
      </c>
      <c r="C1093" s="49" t="s">
        <v>44</v>
      </c>
      <c r="D1093" s="49" t="s">
        <v>45</v>
      </c>
      <c r="E1093" s="29"/>
      <c r="F1093" s="29"/>
      <c r="G1093" s="29"/>
      <c r="H1093" s="62"/>
    </row>
    <row r="1094" spans="1:8" x14ac:dyDescent="0.25">
      <c r="A1094" s="64" t="str">
        <f>EXPUNGEMENT!R50</f>
        <v>NO</v>
      </c>
      <c r="B1094" s="64" t="str">
        <f>EXPUNGEMENT!S50</f>
        <v>N/A</v>
      </c>
      <c r="C1094" s="64" t="str">
        <f>EXPUNGEMENT!T50</f>
        <v>N/A</v>
      </c>
      <c r="D1094" s="64" t="str">
        <f>EXPUNGEMENT!U50</f>
        <v>N/A</v>
      </c>
      <c r="E1094" s="29"/>
      <c r="F1094" s="29"/>
      <c r="G1094" s="29"/>
      <c r="H1094" s="62"/>
    </row>
    <row r="1095" spans="1:8" ht="18.75" x14ac:dyDescent="0.3">
      <c r="A1095" s="265" t="s">
        <v>80</v>
      </c>
      <c r="B1095" s="266"/>
      <c r="C1095" s="266"/>
      <c r="D1095" s="266"/>
      <c r="E1095" s="266"/>
      <c r="F1095" s="268"/>
      <c r="G1095" s="269">
        <v>48</v>
      </c>
      <c r="H1095" s="270"/>
    </row>
    <row r="1096" spans="1:8" x14ac:dyDescent="0.25">
      <c r="A1096" s="65" t="s">
        <v>29</v>
      </c>
      <c r="B1096" s="27">
        <f>BANKRUPTCY!C51</f>
        <v>0</v>
      </c>
      <c r="C1096" s="50" t="s">
        <v>56</v>
      </c>
      <c r="D1096" s="27">
        <f>BANKRUPTCY!D51</f>
        <v>0</v>
      </c>
      <c r="E1096" s="50" t="s">
        <v>57</v>
      </c>
      <c r="F1096" s="30">
        <f>BANKRUPTCY!E51</f>
        <v>0</v>
      </c>
      <c r="G1096" s="271"/>
      <c r="H1096" s="272"/>
    </row>
    <row r="1097" spans="1:8" ht="18.75" x14ac:dyDescent="0.3">
      <c r="A1097" s="265" t="s">
        <v>81</v>
      </c>
      <c r="B1097" s="266"/>
      <c r="C1097" s="266"/>
      <c r="D1097" s="266"/>
      <c r="E1097" s="266"/>
      <c r="F1097" s="268"/>
      <c r="G1097" s="271"/>
      <c r="H1097" s="272"/>
    </row>
    <row r="1098" spans="1:8" x14ac:dyDescent="0.25">
      <c r="A1098" s="65" t="s">
        <v>29</v>
      </c>
      <c r="B1098" s="27">
        <f>SOL!C51</f>
        <v>0</v>
      </c>
      <c r="C1098" s="50" t="s">
        <v>56</v>
      </c>
      <c r="D1098" s="27">
        <f>SOL!D51</f>
        <v>0</v>
      </c>
      <c r="E1098" s="50" t="s">
        <v>57</v>
      </c>
      <c r="F1098" s="30">
        <f>SOL!E51</f>
        <v>0</v>
      </c>
      <c r="G1098" s="271"/>
      <c r="H1098" s="272"/>
    </row>
    <row r="1099" spans="1:8" ht="18.75" x14ac:dyDescent="0.3">
      <c r="A1099" s="265" t="s">
        <v>82</v>
      </c>
      <c r="B1099" s="266"/>
      <c r="C1099" s="266"/>
      <c r="D1099" s="266"/>
      <c r="E1099" s="52"/>
      <c r="F1099" s="51"/>
      <c r="G1099" s="271"/>
      <c r="H1099" s="272"/>
    </row>
    <row r="1100" spans="1:8" x14ac:dyDescent="0.25">
      <c r="A1100" s="65" t="s">
        <v>67</v>
      </c>
      <c r="B1100" s="27">
        <f>EXEMPTIONS!C51</f>
        <v>0</v>
      </c>
      <c r="C1100" s="50" t="s">
        <v>68</v>
      </c>
      <c r="D1100" s="27">
        <f>EXEMPTIONS!D51</f>
        <v>0</v>
      </c>
      <c r="E1100" s="31"/>
      <c r="F1100" s="31"/>
      <c r="G1100" s="271"/>
      <c r="H1100" s="272"/>
    </row>
    <row r="1101" spans="1:8" ht="18.75" x14ac:dyDescent="0.3">
      <c r="A1101" s="265" t="s">
        <v>83</v>
      </c>
      <c r="B1101" s="266"/>
      <c r="C1101" s="266"/>
      <c r="D1101" s="266"/>
      <c r="E1101" s="52"/>
      <c r="F1101" s="52"/>
      <c r="G1101" s="273"/>
      <c r="H1101" s="274"/>
    </row>
    <row r="1102" spans="1:8" ht="15.75" thickBot="1" x14ac:dyDescent="0.3">
      <c r="A1102" s="66" t="s">
        <v>62</v>
      </c>
      <c r="B1102" s="67" t="str">
        <f>'LICENSE-REGIS'!I51</f>
        <v>N/A</v>
      </c>
      <c r="C1102" s="68" t="s">
        <v>63</v>
      </c>
      <c r="D1102" s="67">
        <f>'LICENSE-REGIS'!M51</f>
        <v>0</v>
      </c>
      <c r="E1102" s="275"/>
      <c r="F1102" s="276"/>
      <c r="G1102" s="276"/>
      <c r="H1102" s="277"/>
    </row>
    <row r="1106" spans="1:8" ht="15.75" thickBot="1" x14ac:dyDescent="0.3">
      <c r="A1106" s="184"/>
      <c r="B1106" s="184"/>
      <c r="C1106" s="184"/>
      <c r="D1106" s="184"/>
      <c r="E1106" s="184"/>
      <c r="F1106" s="184"/>
      <c r="G1106" s="184"/>
      <c r="H1106" s="184"/>
    </row>
    <row r="1107" spans="1:8" x14ac:dyDescent="0.25">
      <c r="A1107" s="75" t="s">
        <v>11</v>
      </c>
      <c r="B1107" s="72" t="s">
        <v>12</v>
      </c>
      <c r="C1107" s="72" t="s">
        <v>73</v>
      </c>
      <c r="D1107" s="72" t="s">
        <v>13</v>
      </c>
      <c r="E1107" s="72" t="s">
        <v>61</v>
      </c>
      <c r="F1107" s="72" t="s">
        <v>14</v>
      </c>
      <c r="G1107" s="72" t="s">
        <v>15</v>
      </c>
      <c r="H1107" s="74" t="s">
        <v>16</v>
      </c>
    </row>
    <row r="1108" spans="1:8" ht="17.25" x14ac:dyDescent="0.3">
      <c r="A1108" s="76">
        <f>'CASE DATA'!A52</f>
        <v>0</v>
      </c>
      <c r="B1108" s="77">
        <f>'CASE DATA'!B52</f>
        <v>0</v>
      </c>
      <c r="C1108" s="79" t="e">
        <f>'CASE DATA'!#REF!</f>
        <v>#REF!</v>
      </c>
      <c r="D1108" s="79">
        <f>'CASE DATA'!C52</f>
        <v>0</v>
      </c>
      <c r="E1108" s="77">
        <f>'CASE DATA'!E52</f>
        <v>0</v>
      </c>
      <c r="F1108" s="77">
        <f>'CASE DATA'!F52</f>
        <v>0</v>
      </c>
      <c r="G1108" s="77">
        <f>'CASE DATA'!G52</f>
        <v>0</v>
      </c>
      <c r="H1108" s="78">
        <f>'CASE DATA'!H52</f>
        <v>0</v>
      </c>
    </row>
    <row r="1109" spans="1:8" x14ac:dyDescent="0.25">
      <c r="A1109" s="53" t="s">
        <v>18</v>
      </c>
      <c r="B1109" s="32">
        <f>'CASE DATA'!I52</f>
        <v>0</v>
      </c>
      <c r="C1109" s="33" t="s">
        <v>21</v>
      </c>
      <c r="D1109" s="36">
        <f>'CASE DATA'!L52</f>
        <v>0</v>
      </c>
      <c r="E1109" s="38" t="s">
        <v>24</v>
      </c>
      <c r="F1109" s="41">
        <f>'CASE DATA'!O52</f>
        <v>0</v>
      </c>
      <c r="G1109" s="43" t="s">
        <v>74</v>
      </c>
      <c r="H1109" s="54">
        <f>'CASE DATA'!R52</f>
        <v>0</v>
      </c>
    </row>
    <row r="1110" spans="1:8" x14ac:dyDescent="0.25">
      <c r="A1110" s="55" t="s">
        <v>75</v>
      </c>
      <c r="B1110" s="32">
        <f>'CASE DATA'!J52</f>
        <v>0</v>
      </c>
      <c r="C1110" s="34" t="s">
        <v>22</v>
      </c>
      <c r="D1110" s="36">
        <f>'CASE DATA'!M52</f>
        <v>0</v>
      </c>
      <c r="E1110" s="39" t="s">
        <v>25</v>
      </c>
      <c r="F1110" s="41">
        <f>'CASE DATA'!P52</f>
        <v>0</v>
      </c>
      <c r="G1110" s="44" t="s">
        <v>28</v>
      </c>
      <c r="H1110" s="54">
        <f>'CASE DATA'!S52</f>
        <v>0</v>
      </c>
    </row>
    <row r="1111" spans="1:8" x14ac:dyDescent="0.25">
      <c r="A1111" s="56" t="s">
        <v>20</v>
      </c>
      <c r="B1111" s="32">
        <f>'CASE DATA'!K52</f>
        <v>0</v>
      </c>
      <c r="C1111" s="35" t="s">
        <v>23</v>
      </c>
      <c r="D1111" s="37">
        <f>'CASE DATA'!N52</f>
        <v>0</v>
      </c>
      <c r="E1111" s="40" t="s">
        <v>26</v>
      </c>
      <c r="F1111" s="42">
        <f>'CASE DATA'!Q52</f>
        <v>0</v>
      </c>
      <c r="G1111" s="28"/>
      <c r="H1111" s="57"/>
    </row>
    <row r="1112" spans="1:8" x14ac:dyDescent="0.25">
      <c r="A1112" s="58" t="s">
        <v>10</v>
      </c>
      <c r="B1112" s="278">
        <f>'CASE DATA'!T52</f>
        <v>0</v>
      </c>
      <c r="C1112" s="279"/>
      <c r="D1112" s="279"/>
      <c r="E1112" s="279"/>
      <c r="F1112" s="279"/>
      <c r="G1112" s="279"/>
      <c r="H1112" s="280"/>
    </row>
    <row r="1113" spans="1:8" ht="18.75" x14ac:dyDescent="0.3">
      <c r="A1113" s="265" t="s">
        <v>76</v>
      </c>
      <c r="B1113" s="266"/>
      <c r="C1113" s="266"/>
      <c r="D1113" s="266"/>
      <c r="E1113" s="266"/>
      <c r="F1113" s="266"/>
      <c r="G1113" s="266"/>
      <c r="H1113" s="267"/>
    </row>
    <row r="1114" spans="1:8" ht="45" x14ac:dyDescent="0.25">
      <c r="A1114" s="59" t="s">
        <v>39</v>
      </c>
      <c r="B1114" s="45" t="s">
        <v>77</v>
      </c>
      <c r="C1114" s="46" t="s">
        <v>43</v>
      </c>
      <c r="D1114" s="46" t="s">
        <v>44</v>
      </c>
      <c r="E1114" s="46" t="s">
        <v>45</v>
      </c>
      <c r="F1114" s="47" t="s">
        <v>46</v>
      </c>
      <c r="G1114" s="26" t="s">
        <v>78</v>
      </c>
      <c r="H1114" s="60"/>
    </row>
    <row r="1115" spans="1:8" x14ac:dyDescent="0.25">
      <c r="A1115" s="61" t="str">
        <f>EXPUNGEMENT!D51</f>
        <v>NO</v>
      </c>
      <c r="B1115" s="61" t="str">
        <f>EXPUNGEMENT!G51</f>
        <v>N/A</v>
      </c>
      <c r="C1115" s="136" t="str">
        <f>EXPUNGEMENT!H51</f>
        <v>NO</v>
      </c>
      <c r="D1115" s="136" t="str">
        <f>EXPUNGEMENT!I51</f>
        <v>N/A</v>
      </c>
      <c r="E1115" s="136" t="str">
        <f>EXPUNGEMENT!J51</f>
        <v>N/A</v>
      </c>
      <c r="F1115" s="136" t="str">
        <f>EXPUNGEMENT!K51</f>
        <v>N/A</v>
      </c>
      <c r="G1115" s="29"/>
      <c r="H1115" s="62"/>
    </row>
    <row r="1116" spans="1:8" x14ac:dyDescent="0.25">
      <c r="A1116" s="63" t="s">
        <v>51</v>
      </c>
      <c r="B1116" s="48" t="s">
        <v>79</v>
      </c>
      <c r="C1116" s="49" t="s">
        <v>44</v>
      </c>
      <c r="D1116" s="49" t="s">
        <v>45</v>
      </c>
      <c r="E1116" s="29"/>
      <c r="F1116" s="29"/>
      <c r="G1116" s="29"/>
      <c r="H1116" s="62"/>
    </row>
    <row r="1117" spans="1:8" x14ac:dyDescent="0.25">
      <c r="A1117" s="64" t="str">
        <f>EXPUNGEMENT!R51</f>
        <v>NO</v>
      </c>
      <c r="B1117" s="64" t="str">
        <f>EXPUNGEMENT!S51</f>
        <v>N/A</v>
      </c>
      <c r="C1117" s="64" t="str">
        <f>EXPUNGEMENT!T51</f>
        <v>N/A</v>
      </c>
      <c r="D1117" s="64" t="str">
        <f>EXPUNGEMENT!U51</f>
        <v>N/A</v>
      </c>
      <c r="E1117" s="29"/>
      <c r="F1117" s="29"/>
      <c r="G1117" s="29"/>
      <c r="H1117" s="62"/>
    </row>
    <row r="1118" spans="1:8" ht="18.75" x14ac:dyDescent="0.3">
      <c r="A1118" s="265" t="s">
        <v>80</v>
      </c>
      <c r="B1118" s="266"/>
      <c r="C1118" s="266"/>
      <c r="D1118" s="266"/>
      <c r="E1118" s="266"/>
      <c r="F1118" s="268"/>
      <c r="G1118" s="269">
        <v>49</v>
      </c>
      <c r="H1118" s="270"/>
    </row>
    <row r="1119" spans="1:8" x14ac:dyDescent="0.25">
      <c r="A1119" s="65" t="s">
        <v>29</v>
      </c>
      <c r="B1119" s="27">
        <f>BANKRUPTCY!C52</f>
        <v>0</v>
      </c>
      <c r="C1119" s="50" t="s">
        <v>56</v>
      </c>
      <c r="D1119" s="27">
        <f>BANKRUPTCY!D52</f>
        <v>0</v>
      </c>
      <c r="E1119" s="50" t="s">
        <v>57</v>
      </c>
      <c r="F1119" s="30">
        <f>BANKRUPTCY!E52</f>
        <v>0</v>
      </c>
      <c r="G1119" s="271"/>
      <c r="H1119" s="272"/>
    </row>
    <row r="1120" spans="1:8" ht="18.75" x14ac:dyDescent="0.3">
      <c r="A1120" s="265" t="s">
        <v>81</v>
      </c>
      <c r="B1120" s="266"/>
      <c r="C1120" s="266"/>
      <c r="D1120" s="266"/>
      <c r="E1120" s="266"/>
      <c r="F1120" s="268"/>
      <c r="G1120" s="271"/>
      <c r="H1120" s="272"/>
    </row>
    <row r="1121" spans="1:8" x14ac:dyDescent="0.25">
      <c r="A1121" s="65" t="s">
        <v>29</v>
      </c>
      <c r="B1121" s="27">
        <f>SOL!C52</f>
        <v>0</v>
      </c>
      <c r="C1121" s="50" t="s">
        <v>56</v>
      </c>
      <c r="D1121" s="27">
        <f>SOL!D52</f>
        <v>0</v>
      </c>
      <c r="E1121" s="50" t="s">
        <v>57</v>
      </c>
      <c r="F1121" s="30">
        <f>SOL!E52</f>
        <v>0</v>
      </c>
      <c r="G1121" s="271"/>
      <c r="H1121" s="272"/>
    </row>
    <row r="1122" spans="1:8" ht="18.75" x14ac:dyDescent="0.3">
      <c r="A1122" s="265" t="s">
        <v>82</v>
      </c>
      <c r="B1122" s="266"/>
      <c r="C1122" s="266"/>
      <c r="D1122" s="266"/>
      <c r="E1122" s="52"/>
      <c r="F1122" s="51"/>
      <c r="G1122" s="271"/>
      <c r="H1122" s="272"/>
    </row>
    <row r="1123" spans="1:8" x14ac:dyDescent="0.25">
      <c r="A1123" s="65" t="s">
        <v>67</v>
      </c>
      <c r="B1123" s="27">
        <f>EXEMPTIONS!C52</f>
        <v>0</v>
      </c>
      <c r="C1123" s="50" t="s">
        <v>68</v>
      </c>
      <c r="D1123" s="27">
        <f>EXEMPTIONS!D52</f>
        <v>0</v>
      </c>
      <c r="E1123" s="31"/>
      <c r="F1123" s="31"/>
      <c r="G1123" s="271"/>
      <c r="H1123" s="272"/>
    </row>
    <row r="1124" spans="1:8" ht="18.75" x14ac:dyDescent="0.3">
      <c r="A1124" s="265" t="s">
        <v>83</v>
      </c>
      <c r="B1124" s="266"/>
      <c r="C1124" s="266"/>
      <c r="D1124" s="266"/>
      <c r="E1124" s="52"/>
      <c r="F1124" s="52"/>
      <c r="G1124" s="273"/>
      <c r="H1124" s="274"/>
    </row>
    <row r="1125" spans="1:8" ht="15.75" thickBot="1" x14ac:dyDescent="0.3">
      <c r="A1125" s="66" t="s">
        <v>62</v>
      </c>
      <c r="B1125" s="67" t="str">
        <f>'LICENSE-REGIS'!I52</f>
        <v>N/A</v>
      </c>
      <c r="C1125" s="68" t="s">
        <v>63</v>
      </c>
      <c r="D1125" s="67">
        <f>'LICENSE-REGIS'!M52</f>
        <v>0</v>
      </c>
      <c r="E1125" s="275"/>
      <c r="F1125" s="276"/>
      <c r="G1125" s="276"/>
      <c r="H1125" s="277"/>
    </row>
    <row r="1129" spans="1:8" ht="15.75" thickBot="1" x14ac:dyDescent="0.3">
      <c r="A1129" s="184"/>
      <c r="B1129" s="184"/>
      <c r="C1129" s="184"/>
      <c r="D1129" s="184"/>
      <c r="E1129" s="184"/>
      <c r="F1129" s="184"/>
      <c r="G1129" s="184"/>
      <c r="H1129" s="184"/>
    </row>
    <row r="1130" spans="1:8" x14ac:dyDescent="0.25">
      <c r="A1130" s="75" t="s">
        <v>11</v>
      </c>
      <c r="B1130" s="72" t="s">
        <v>12</v>
      </c>
      <c r="C1130" s="72" t="s">
        <v>73</v>
      </c>
      <c r="D1130" s="72" t="s">
        <v>13</v>
      </c>
      <c r="E1130" s="72" t="s">
        <v>61</v>
      </c>
      <c r="F1130" s="72" t="s">
        <v>14</v>
      </c>
      <c r="G1130" s="72" t="s">
        <v>15</v>
      </c>
      <c r="H1130" s="74" t="s">
        <v>16</v>
      </c>
    </row>
    <row r="1131" spans="1:8" ht="17.25" x14ac:dyDescent="0.3">
      <c r="A1131" s="76">
        <f>'CASE DATA'!A53</f>
        <v>0</v>
      </c>
      <c r="B1131" s="77">
        <f>'CASE DATA'!B53</f>
        <v>0</v>
      </c>
      <c r="C1131" s="79" t="e">
        <f>'CASE DATA'!#REF!</f>
        <v>#REF!</v>
      </c>
      <c r="D1131" s="79">
        <f>'CASE DATA'!C53</f>
        <v>0</v>
      </c>
      <c r="E1131" s="77">
        <f>'CASE DATA'!E53</f>
        <v>0</v>
      </c>
      <c r="F1131" s="77">
        <f>'CASE DATA'!F53</f>
        <v>0</v>
      </c>
      <c r="G1131" s="77">
        <f>'CASE DATA'!G53</f>
        <v>0</v>
      </c>
      <c r="H1131" s="78">
        <f>'CASE DATA'!H53</f>
        <v>0</v>
      </c>
    </row>
    <row r="1132" spans="1:8" x14ac:dyDescent="0.25">
      <c r="A1132" s="53" t="s">
        <v>18</v>
      </c>
      <c r="B1132" s="32">
        <f>'CASE DATA'!I53</f>
        <v>0</v>
      </c>
      <c r="C1132" s="33" t="s">
        <v>21</v>
      </c>
      <c r="D1132" s="36">
        <f>'CASE DATA'!L53</f>
        <v>0</v>
      </c>
      <c r="E1132" s="38" t="s">
        <v>24</v>
      </c>
      <c r="F1132" s="41">
        <f>'CASE DATA'!O53</f>
        <v>0</v>
      </c>
      <c r="G1132" s="43" t="s">
        <v>74</v>
      </c>
      <c r="H1132" s="54">
        <f>'CASE DATA'!R53</f>
        <v>0</v>
      </c>
    </row>
    <row r="1133" spans="1:8" x14ac:dyDescent="0.25">
      <c r="A1133" s="55" t="s">
        <v>75</v>
      </c>
      <c r="B1133" s="32">
        <f>'CASE DATA'!J53</f>
        <v>0</v>
      </c>
      <c r="C1133" s="34" t="s">
        <v>22</v>
      </c>
      <c r="D1133" s="36">
        <f>'CASE DATA'!M53</f>
        <v>0</v>
      </c>
      <c r="E1133" s="39" t="s">
        <v>25</v>
      </c>
      <c r="F1133" s="41">
        <f>'CASE DATA'!P53</f>
        <v>0</v>
      </c>
      <c r="G1133" s="44" t="s">
        <v>28</v>
      </c>
      <c r="H1133" s="54">
        <f>'CASE DATA'!S53</f>
        <v>0</v>
      </c>
    </row>
    <row r="1134" spans="1:8" x14ac:dyDescent="0.25">
      <c r="A1134" s="56" t="s">
        <v>20</v>
      </c>
      <c r="B1134" s="32">
        <f>'CASE DATA'!K53</f>
        <v>0</v>
      </c>
      <c r="C1134" s="35" t="s">
        <v>23</v>
      </c>
      <c r="D1134" s="37">
        <f>'CASE DATA'!N53</f>
        <v>0</v>
      </c>
      <c r="E1134" s="40" t="s">
        <v>26</v>
      </c>
      <c r="F1134" s="42">
        <f>'CASE DATA'!Q53</f>
        <v>0</v>
      </c>
      <c r="G1134" s="28"/>
      <c r="H1134" s="57"/>
    </row>
    <row r="1135" spans="1:8" x14ac:dyDescent="0.25">
      <c r="A1135" s="58" t="s">
        <v>10</v>
      </c>
      <c r="B1135" s="278">
        <f>'CASE DATA'!T53</f>
        <v>0</v>
      </c>
      <c r="C1135" s="279"/>
      <c r="D1135" s="279"/>
      <c r="E1135" s="279"/>
      <c r="F1135" s="279"/>
      <c r="G1135" s="279"/>
      <c r="H1135" s="280"/>
    </row>
    <row r="1136" spans="1:8" ht="18.75" x14ac:dyDescent="0.3">
      <c r="A1136" s="265" t="s">
        <v>76</v>
      </c>
      <c r="B1136" s="266"/>
      <c r="C1136" s="266"/>
      <c r="D1136" s="266"/>
      <c r="E1136" s="266"/>
      <c r="F1136" s="266"/>
      <c r="G1136" s="266"/>
      <c r="H1136" s="267"/>
    </row>
    <row r="1137" spans="1:8" ht="45" x14ac:dyDescent="0.25">
      <c r="A1137" s="59" t="s">
        <v>39</v>
      </c>
      <c r="B1137" s="45" t="s">
        <v>77</v>
      </c>
      <c r="C1137" s="46" t="s">
        <v>43</v>
      </c>
      <c r="D1137" s="46" t="s">
        <v>44</v>
      </c>
      <c r="E1137" s="46" t="s">
        <v>45</v>
      </c>
      <c r="F1137" s="47" t="s">
        <v>46</v>
      </c>
      <c r="G1137" s="26" t="s">
        <v>78</v>
      </c>
      <c r="H1137" s="60"/>
    </row>
    <row r="1138" spans="1:8" x14ac:dyDescent="0.25">
      <c r="A1138" s="61" t="str">
        <f>EXPUNGEMENT!D52</f>
        <v>NO</v>
      </c>
      <c r="B1138" s="61" t="str">
        <f>EXPUNGEMENT!G52</f>
        <v>N/A</v>
      </c>
      <c r="C1138" s="136" t="str">
        <f>EXPUNGEMENT!H52</f>
        <v>NO</v>
      </c>
      <c r="D1138" s="136" t="str">
        <f>EXPUNGEMENT!I52</f>
        <v>N/A</v>
      </c>
      <c r="E1138" s="136" t="str">
        <f>EXPUNGEMENT!J52</f>
        <v>N/A</v>
      </c>
      <c r="F1138" s="136" t="str">
        <f>EXPUNGEMENT!K52</f>
        <v>N/A</v>
      </c>
      <c r="G1138" s="29"/>
      <c r="H1138" s="62"/>
    </row>
    <row r="1139" spans="1:8" x14ac:dyDescent="0.25">
      <c r="A1139" s="63" t="s">
        <v>51</v>
      </c>
      <c r="B1139" s="48" t="s">
        <v>79</v>
      </c>
      <c r="C1139" s="49" t="s">
        <v>44</v>
      </c>
      <c r="D1139" s="49" t="s">
        <v>45</v>
      </c>
      <c r="E1139" s="29"/>
      <c r="F1139" s="29"/>
      <c r="G1139" s="29"/>
      <c r="H1139" s="62"/>
    </row>
    <row r="1140" spans="1:8" x14ac:dyDescent="0.25">
      <c r="A1140" s="64" t="str">
        <f>EXPUNGEMENT!R52</f>
        <v>NO</v>
      </c>
      <c r="B1140" s="64" t="str">
        <f>EXPUNGEMENT!S52</f>
        <v>N/A</v>
      </c>
      <c r="C1140" s="64" t="str">
        <f>EXPUNGEMENT!T52</f>
        <v>N/A</v>
      </c>
      <c r="D1140" s="64" t="str">
        <f>EXPUNGEMENT!U52</f>
        <v>N/A</v>
      </c>
      <c r="E1140" s="29"/>
      <c r="F1140" s="29"/>
      <c r="G1140" s="29"/>
      <c r="H1140" s="62"/>
    </row>
    <row r="1141" spans="1:8" ht="18.75" customHeight="1" x14ac:dyDescent="0.3">
      <c r="A1141" s="265" t="s">
        <v>80</v>
      </c>
      <c r="B1141" s="266"/>
      <c r="C1141" s="266"/>
      <c r="D1141" s="266"/>
      <c r="E1141" s="266"/>
      <c r="F1141" s="268"/>
      <c r="G1141" s="269">
        <v>50</v>
      </c>
      <c r="H1141" s="270"/>
    </row>
    <row r="1142" spans="1:8" ht="15" customHeight="1" x14ac:dyDescent="0.25">
      <c r="A1142" s="65" t="s">
        <v>29</v>
      </c>
      <c r="B1142" s="27">
        <f>BANKRUPTCY!C53</f>
        <v>0</v>
      </c>
      <c r="C1142" s="50" t="s">
        <v>56</v>
      </c>
      <c r="D1142" s="27">
        <f>BANKRUPTCY!D53</f>
        <v>0</v>
      </c>
      <c r="E1142" s="50" t="s">
        <v>57</v>
      </c>
      <c r="F1142" s="30">
        <f>BANKRUPTCY!E53</f>
        <v>0</v>
      </c>
      <c r="G1142" s="271"/>
      <c r="H1142" s="272"/>
    </row>
    <row r="1143" spans="1:8" ht="18.75" customHeight="1" x14ac:dyDescent="0.3">
      <c r="A1143" s="265" t="s">
        <v>81</v>
      </c>
      <c r="B1143" s="266"/>
      <c r="C1143" s="266"/>
      <c r="D1143" s="266"/>
      <c r="E1143" s="266"/>
      <c r="F1143" s="268"/>
      <c r="G1143" s="271"/>
      <c r="H1143" s="272"/>
    </row>
    <row r="1144" spans="1:8" ht="15" customHeight="1" x14ac:dyDescent="0.25">
      <c r="A1144" s="65" t="s">
        <v>29</v>
      </c>
      <c r="B1144" s="27">
        <f>SOL!C53</f>
        <v>0</v>
      </c>
      <c r="C1144" s="50" t="s">
        <v>56</v>
      </c>
      <c r="D1144" s="27">
        <f>SOL!D53</f>
        <v>0</v>
      </c>
      <c r="E1144" s="50" t="s">
        <v>57</v>
      </c>
      <c r="F1144" s="30">
        <f>SOL!E53</f>
        <v>0</v>
      </c>
      <c r="G1144" s="271"/>
      <c r="H1144" s="272"/>
    </row>
    <row r="1145" spans="1:8" ht="18.75" customHeight="1" x14ac:dyDescent="0.3">
      <c r="A1145" s="265" t="s">
        <v>82</v>
      </c>
      <c r="B1145" s="266"/>
      <c r="C1145" s="266"/>
      <c r="D1145" s="266"/>
      <c r="E1145" s="52"/>
      <c r="F1145" s="51"/>
      <c r="G1145" s="271"/>
      <c r="H1145" s="272"/>
    </row>
    <row r="1146" spans="1:8" ht="15" customHeight="1" x14ac:dyDescent="0.25">
      <c r="A1146" s="65" t="s">
        <v>67</v>
      </c>
      <c r="B1146" s="27">
        <f>EXEMPTIONS!C53</f>
        <v>0</v>
      </c>
      <c r="C1146" s="50" t="s">
        <v>68</v>
      </c>
      <c r="D1146" s="27">
        <f>EXEMPTIONS!D53</f>
        <v>0</v>
      </c>
      <c r="E1146" s="31"/>
      <c r="F1146" s="31"/>
      <c r="G1146" s="271"/>
      <c r="H1146" s="272"/>
    </row>
    <row r="1147" spans="1:8" ht="18.75" customHeight="1" x14ac:dyDescent="0.3">
      <c r="A1147" s="265" t="s">
        <v>83</v>
      </c>
      <c r="B1147" s="266"/>
      <c r="C1147" s="266"/>
      <c r="D1147" s="266"/>
      <c r="E1147" s="52"/>
      <c r="F1147" s="52"/>
      <c r="G1147" s="273"/>
      <c r="H1147" s="274"/>
    </row>
    <row r="1148" spans="1:8" ht="15.75" thickBot="1" x14ac:dyDescent="0.3">
      <c r="A1148" s="66" t="s">
        <v>62</v>
      </c>
      <c r="B1148" s="67" t="str">
        <f>'LICENSE-REGIS'!I53</f>
        <v>N/A</v>
      </c>
      <c r="C1148" s="68" t="s">
        <v>63</v>
      </c>
      <c r="D1148" s="67">
        <f>'LICENSE-REGIS'!M53</f>
        <v>0</v>
      </c>
      <c r="E1148" s="275"/>
      <c r="F1148" s="276"/>
      <c r="G1148" s="276"/>
      <c r="H1148" s="277"/>
    </row>
    <row r="1152" spans="1:8" ht="15.75" thickBot="1" x14ac:dyDescent="0.3">
      <c r="A1152" s="184"/>
      <c r="B1152" s="184"/>
      <c r="C1152" s="184"/>
      <c r="D1152" s="184"/>
      <c r="E1152" s="184"/>
      <c r="F1152" s="184"/>
      <c r="G1152" s="184"/>
      <c r="H1152" s="184"/>
    </row>
    <row r="1153" spans="1:8" x14ac:dyDescent="0.25">
      <c r="A1153" s="75" t="s">
        <v>11</v>
      </c>
      <c r="B1153" s="72" t="s">
        <v>12</v>
      </c>
      <c r="C1153" s="72" t="s">
        <v>73</v>
      </c>
      <c r="D1153" s="72" t="s">
        <v>13</v>
      </c>
      <c r="E1153" s="72" t="s">
        <v>61</v>
      </c>
      <c r="F1153" s="72" t="s">
        <v>14</v>
      </c>
      <c r="G1153" s="72" t="s">
        <v>15</v>
      </c>
      <c r="H1153" s="74" t="s">
        <v>16</v>
      </c>
    </row>
    <row r="1154" spans="1:8" ht="17.25" x14ac:dyDescent="0.3">
      <c r="A1154" s="76">
        <f>'CASE DATA'!A54</f>
        <v>0</v>
      </c>
      <c r="B1154" s="77">
        <f>'CASE DATA'!B54</f>
        <v>0</v>
      </c>
      <c r="C1154" s="79" t="e">
        <f>'CASE DATA'!#REF!</f>
        <v>#REF!</v>
      </c>
      <c r="D1154" s="79">
        <f>'CASE DATA'!C54</f>
        <v>0</v>
      </c>
      <c r="E1154" s="77">
        <f>'CASE DATA'!E54</f>
        <v>0</v>
      </c>
      <c r="F1154" s="77">
        <f>'CASE DATA'!F54</f>
        <v>0</v>
      </c>
      <c r="G1154" s="77">
        <f>'CASE DATA'!G54</f>
        <v>0</v>
      </c>
      <c r="H1154" s="78">
        <f>'CASE DATA'!H54</f>
        <v>0</v>
      </c>
    </row>
    <row r="1155" spans="1:8" x14ac:dyDescent="0.25">
      <c r="A1155" s="53" t="s">
        <v>18</v>
      </c>
      <c r="B1155" s="32">
        <f>'CASE DATA'!I54</f>
        <v>0</v>
      </c>
      <c r="C1155" s="33" t="s">
        <v>21</v>
      </c>
      <c r="D1155" s="36">
        <f>'CASE DATA'!L54</f>
        <v>0</v>
      </c>
      <c r="E1155" s="38" t="s">
        <v>24</v>
      </c>
      <c r="F1155" s="41">
        <f>'CASE DATA'!O54</f>
        <v>0</v>
      </c>
      <c r="G1155" s="43" t="s">
        <v>74</v>
      </c>
      <c r="H1155" s="54">
        <f>'CASE DATA'!R54</f>
        <v>0</v>
      </c>
    </row>
    <row r="1156" spans="1:8" x14ac:dyDescent="0.25">
      <c r="A1156" s="55" t="s">
        <v>75</v>
      </c>
      <c r="B1156" s="32">
        <f>'CASE DATA'!J54</f>
        <v>0</v>
      </c>
      <c r="C1156" s="34" t="s">
        <v>22</v>
      </c>
      <c r="D1156" s="36">
        <f>'CASE DATA'!M54</f>
        <v>0</v>
      </c>
      <c r="E1156" s="39" t="s">
        <v>25</v>
      </c>
      <c r="F1156" s="41">
        <f>'CASE DATA'!P54</f>
        <v>0</v>
      </c>
      <c r="G1156" s="44" t="s">
        <v>28</v>
      </c>
      <c r="H1156" s="54">
        <f>'CASE DATA'!S54</f>
        <v>0</v>
      </c>
    </row>
    <row r="1157" spans="1:8" x14ac:dyDescent="0.25">
      <c r="A1157" s="56" t="s">
        <v>20</v>
      </c>
      <c r="B1157" s="32">
        <f>'CASE DATA'!K54</f>
        <v>0</v>
      </c>
      <c r="C1157" s="35" t="s">
        <v>23</v>
      </c>
      <c r="D1157" s="37">
        <f>'CASE DATA'!N54</f>
        <v>0</v>
      </c>
      <c r="E1157" s="40" t="s">
        <v>26</v>
      </c>
      <c r="F1157" s="42">
        <f>'CASE DATA'!Q54</f>
        <v>0</v>
      </c>
      <c r="G1157" s="28"/>
      <c r="H1157" s="57"/>
    </row>
    <row r="1158" spans="1:8" x14ac:dyDescent="0.25">
      <c r="A1158" s="58" t="s">
        <v>10</v>
      </c>
      <c r="B1158" s="278">
        <f>'CASE DATA'!T54</f>
        <v>0</v>
      </c>
      <c r="C1158" s="279"/>
      <c r="D1158" s="279"/>
      <c r="E1158" s="279"/>
      <c r="F1158" s="279"/>
      <c r="G1158" s="279"/>
      <c r="H1158" s="280"/>
    </row>
    <row r="1159" spans="1:8" ht="18.75" x14ac:dyDescent="0.3">
      <c r="A1159" s="265" t="s">
        <v>76</v>
      </c>
      <c r="B1159" s="266"/>
      <c r="C1159" s="266"/>
      <c r="D1159" s="266"/>
      <c r="E1159" s="266"/>
      <c r="F1159" s="266"/>
      <c r="G1159" s="266"/>
      <c r="H1159" s="267"/>
    </row>
    <row r="1160" spans="1:8" ht="45" x14ac:dyDescent="0.25">
      <c r="A1160" s="59" t="s">
        <v>39</v>
      </c>
      <c r="B1160" s="45" t="s">
        <v>77</v>
      </c>
      <c r="C1160" s="46" t="s">
        <v>43</v>
      </c>
      <c r="D1160" s="46" t="s">
        <v>44</v>
      </c>
      <c r="E1160" s="46" t="s">
        <v>45</v>
      </c>
      <c r="F1160" s="47" t="s">
        <v>46</v>
      </c>
      <c r="G1160" s="26" t="s">
        <v>78</v>
      </c>
      <c r="H1160" s="60"/>
    </row>
    <row r="1161" spans="1:8" x14ac:dyDescent="0.25">
      <c r="A1161" s="61" t="str">
        <f>EXPUNGEMENT!D53</f>
        <v>NO</v>
      </c>
      <c r="B1161" s="61" t="str">
        <f>EXPUNGEMENT!G53</f>
        <v>N/A</v>
      </c>
      <c r="C1161" s="136" t="str">
        <f>EXPUNGEMENT!H53</f>
        <v>NO</v>
      </c>
      <c r="D1161" s="136" t="str">
        <f>EXPUNGEMENT!I53</f>
        <v>N/A</v>
      </c>
      <c r="E1161" s="136" t="str">
        <f>EXPUNGEMENT!J53</f>
        <v>N/A</v>
      </c>
      <c r="F1161" s="136" t="str">
        <f>EXPUNGEMENT!K53</f>
        <v>N/A</v>
      </c>
      <c r="G1161" s="29"/>
      <c r="H1161" s="62"/>
    </row>
    <row r="1162" spans="1:8" x14ac:dyDescent="0.25">
      <c r="A1162" s="63" t="s">
        <v>51</v>
      </c>
      <c r="B1162" s="48" t="s">
        <v>79</v>
      </c>
      <c r="C1162" s="49" t="s">
        <v>44</v>
      </c>
      <c r="D1162" s="49" t="s">
        <v>45</v>
      </c>
      <c r="E1162" s="29"/>
      <c r="F1162" s="29"/>
      <c r="G1162" s="29"/>
      <c r="H1162" s="62"/>
    </row>
    <row r="1163" spans="1:8" x14ac:dyDescent="0.25">
      <c r="A1163" s="64" t="str">
        <f>EXPUNGEMENT!R53</f>
        <v>NO</v>
      </c>
      <c r="B1163" s="64" t="str">
        <f>EXPUNGEMENT!S53</f>
        <v>N/A</v>
      </c>
      <c r="C1163" s="64" t="str">
        <f>EXPUNGEMENT!T53</f>
        <v>N/A</v>
      </c>
      <c r="D1163" s="64" t="str">
        <f>EXPUNGEMENT!U53</f>
        <v>N/A</v>
      </c>
      <c r="E1163" s="29"/>
      <c r="F1163" s="29"/>
      <c r="G1163" s="29"/>
      <c r="H1163" s="62"/>
    </row>
    <row r="1164" spans="1:8" ht="18.75" x14ac:dyDescent="0.3">
      <c r="A1164" s="265" t="s">
        <v>80</v>
      </c>
      <c r="B1164" s="266"/>
      <c r="C1164" s="266"/>
      <c r="D1164" s="266"/>
      <c r="E1164" s="266"/>
      <c r="F1164" s="268"/>
      <c r="G1164" s="269">
        <v>51</v>
      </c>
      <c r="H1164" s="270"/>
    </row>
    <row r="1165" spans="1:8" x14ac:dyDescent="0.25">
      <c r="A1165" s="65" t="s">
        <v>29</v>
      </c>
      <c r="B1165" s="27">
        <f>BANKRUPTCY!C54</f>
        <v>0</v>
      </c>
      <c r="C1165" s="50" t="s">
        <v>56</v>
      </c>
      <c r="D1165" s="27">
        <f>BANKRUPTCY!D54</f>
        <v>0</v>
      </c>
      <c r="E1165" s="50" t="s">
        <v>57</v>
      </c>
      <c r="F1165" s="30">
        <f>BANKRUPTCY!E54</f>
        <v>0</v>
      </c>
      <c r="G1165" s="271"/>
      <c r="H1165" s="272"/>
    </row>
    <row r="1166" spans="1:8" ht="18.75" x14ac:dyDescent="0.3">
      <c r="A1166" s="265" t="s">
        <v>81</v>
      </c>
      <c r="B1166" s="266"/>
      <c r="C1166" s="266"/>
      <c r="D1166" s="266"/>
      <c r="E1166" s="266"/>
      <c r="F1166" s="268"/>
      <c r="G1166" s="271"/>
      <c r="H1166" s="272"/>
    </row>
    <row r="1167" spans="1:8" x14ac:dyDescent="0.25">
      <c r="A1167" s="65" t="s">
        <v>29</v>
      </c>
      <c r="B1167" s="27">
        <f>SOL!C54</f>
        <v>0</v>
      </c>
      <c r="C1167" s="50" t="s">
        <v>56</v>
      </c>
      <c r="D1167" s="27">
        <f>SOL!D54</f>
        <v>0</v>
      </c>
      <c r="E1167" s="50" t="s">
        <v>57</v>
      </c>
      <c r="F1167" s="30">
        <f>SOL!E54</f>
        <v>0</v>
      </c>
      <c r="G1167" s="271"/>
      <c r="H1167" s="272"/>
    </row>
    <row r="1168" spans="1:8" ht="18.75" x14ac:dyDescent="0.3">
      <c r="A1168" s="265" t="s">
        <v>82</v>
      </c>
      <c r="B1168" s="266"/>
      <c r="C1168" s="266"/>
      <c r="D1168" s="266"/>
      <c r="E1168" s="52"/>
      <c r="F1168" s="51"/>
      <c r="G1168" s="271"/>
      <c r="H1168" s="272"/>
    </row>
    <row r="1169" spans="1:8" x14ac:dyDescent="0.25">
      <c r="A1169" s="65" t="s">
        <v>67</v>
      </c>
      <c r="B1169" s="27">
        <f>EXEMPTIONS!C54</f>
        <v>0</v>
      </c>
      <c r="C1169" s="50" t="s">
        <v>68</v>
      </c>
      <c r="D1169" s="27">
        <f>EXEMPTIONS!D54</f>
        <v>0</v>
      </c>
      <c r="E1169" s="31"/>
      <c r="F1169" s="31"/>
      <c r="G1169" s="271"/>
      <c r="H1169" s="272"/>
    </row>
    <row r="1170" spans="1:8" ht="18.75" x14ac:dyDescent="0.3">
      <c r="A1170" s="265" t="s">
        <v>83</v>
      </c>
      <c r="B1170" s="266"/>
      <c r="C1170" s="266"/>
      <c r="D1170" s="266"/>
      <c r="E1170" s="52"/>
      <c r="F1170" s="52"/>
      <c r="G1170" s="273"/>
      <c r="H1170" s="274"/>
    </row>
    <row r="1171" spans="1:8" ht="15.75" thickBot="1" x14ac:dyDescent="0.3">
      <c r="A1171" s="66" t="s">
        <v>62</v>
      </c>
      <c r="B1171" s="67" t="str">
        <f>'LICENSE-REGIS'!I54</f>
        <v>N/A</v>
      </c>
      <c r="C1171" s="68" t="s">
        <v>63</v>
      </c>
      <c r="D1171" s="67">
        <f>'LICENSE-REGIS'!M54</f>
        <v>0</v>
      </c>
      <c r="E1171" s="275"/>
      <c r="F1171" s="276"/>
      <c r="G1171" s="276"/>
      <c r="H1171" s="277"/>
    </row>
    <row r="1175" spans="1:8" ht="15.75" thickBot="1" x14ac:dyDescent="0.3">
      <c r="A1175" s="184"/>
      <c r="B1175" s="184"/>
      <c r="C1175" s="184"/>
      <c r="D1175" s="184"/>
      <c r="E1175" s="184"/>
      <c r="F1175" s="184"/>
      <c r="G1175" s="184"/>
      <c r="H1175" s="184"/>
    </row>
    <row r="1176" spans="1:8" x14ac:dyDescent="0.25">
      <c r="A1176" s="75" t="s">
        <v>11</v>
      </c>
      <c r="B1176" s="72" t="s">
        <v>12</v>
      </c>
      <c r="C1176" s="72" t="s">
        <v>73</v>
      </c>
      <c r="D1176" s="72" t="s">
        <v>13</v>
      </c>
      <c r="E1176" s="72" t="s">
        <v>61</v>
      </c>
      <c r="F1176" s="72" t="s">
        <v>14</v>
      </c>
      <c r="G1176" s="72" t="s">
        <v>15</v>
      </c>
      <c r="H1176" s="74" t="s">
        <v>16</v>
      </c>
    </row>
    <row r="1177" spans="1:8" ht="17.25" x14ac:dyDescent="0.3">
      <c r="A1177" s="76">
        <f>'CASE DATA'!A55</f>
        <v>0</v>
      </c>
      <c r="B1177" s="77">
        <f>'CASE DATA'!B55</f>
        <v>0</v>
      </c>
      <c r="C1177" s="79" t="e">
        <f>'CASE DATA'!#REF!</f>
        <v>#REF!</v>
      </c>
      <c r="D1177" s="79">
        <f>'CASE DATA'!C55</f>
        <v>0</v>
      </c>
      <c r="E1177" s="77">
        <f>'CASE DATA'!E55</f>
        <v>0</v>
      </c>
      <c r="F1177" s="77">
        <f>'CASE DATA'!F55</f>
        <v>0</v>
      </c>
      <c r="G1177" s="77">
        <f>'CASE DATA'!G55</f>
        <v>0</v>
      </c>
      <c r="H1177" s="78">
        <f>'CASE DATA'!H55</f>
        <v>0</v>
      </c>
    </row>
    <row r="1178" spans="1:8" x14ac:dyDescent="0.25">
      <c r="A1178" s="53" t="s">
        <v>18</v>
      </c>
      <c r="B1178" s="32">
        <f>'CASE DATA'!I55</f>
        <v>0</v>
      </c>
      <c r="C1178" s="33" t="s">
        <v>21</v>
      </c>
      <c r="D1178" s="36">
        <f>'CASE DATA'!L55</f>
        <v>0</v>
      </c>
      <c r="E1178" s="38" t="s">
        <v>24</v>
      </c>
      <c r="F1178" s="41">
        <f>'CASE DATA'!O55</f>
        <v>0</v>
      </c>
      <c r="G1178" s="43" t="s">
        <v>74</v>
      </c>
      <c r="H1178" s="54">
        <f>'CASE DATA'!R55</f>
        <v>0</v>
      </c>
    </row>
    <row r="1179" spans="1:8" x14ac:dyDescent="0.25">
      <c r="A1179" s="55" t="s">
        <v>75</v>
      </c>
      <c r="B1179" s="32">
        <f>'CASE DATA'!J55</f>
        <v>0</v>
      </c>
      <c r="C1179" s="34" t="s">
        <v>22</v>
      </c>
      <c r="D1179" s="36">
        <f>'CASE DATA'!M55</f>
        <v>0</v>
      </c>
      <c r="E1179" s="39" t="s">
        <v>25</v>
      </c>
      <c r="F1179" s="41">
        <f>'CASE DATA'!P55</f>
        <v>0</v>
      </c>
      <c r="G1179" s="44" t="s">
        <v>28</v>
      </c>
      <c r="H1179" s="54">
        <f>'CASE DATA'!S55</f>
        <v>0</v>
      </c>
    </row>
    <row r="1180" spans="1:8" x14ac:dyDescent="0.25">
      <c r="A1180" s="56" t="s">
        <v>20</v>
      </c>
      <c r="B1180" s="32">
        <f>'CASE DATA'!K55</f>
        <v>0</v>
      </c>
      <c r="C1180" s="35" t="s">
        <v>23</v>
      </c>
      <c r="D1180" s="37">
        <f>'CASE DATA'!N55</f>
        <v>0</v>
      </c>
      <c r="E1180" s="40" t="s">
        <v>26</v>
      </c>
      <c r="F1180" s="42">
        <f>'CASE DATA'!Q55</f>
        <v>0</v>
      </c>
      <c r="G1180" s="28"/>
      <c r="H1180" s="57"/>
    </row>
    <row r="1181" spans="1:8" x14ac:dyDescent="0.25">
      <c r="A1181" s="58" t="s">
        <v>10</v>
      </c>
      <c r="B1181" s="278">
        <f>'CASE DATA'!T55</f>
        <v>0</v>
      </c>
      <c r="C1181" s="279"/>
      <c r="D1181" s="279"/>
      <c r="E1181" s="279"/>
      <c r="F1181" s="279"/>
      <c r="G1181" s="279"/>
      <c r="H1181" s="280"/>
    </row>
    <row r="1182" spans="1:8" ht="18.75" x14ac:dyDescent="0.3">
      <c r="A1182" s="265" t="s">
        <v>76</v>
      </c>
      <c r="B1182" s="266"/>
      <c r="C1182" s="266"/>
      <c r="D1182" s="266"/>
      <c r="E1182" s="266"/>
      <c r="F1182" s="266"/>
      <c r="G1182" s="266"/>
      <c r="H1182" s="267"/>
    </row>
    <row r="1183" spans="1:8" ht="45" x14ac:dyDescent="0.25">
      <c r="A1183" s="59" t="s">
        <v>39</v>
      </c>
      <c r="B1183" s="45" t="s">
        <v>77</v>
      </c>
      <c r="C1183" s="46" t="s">
        <v>43</v>
      </c>
      <c r="D1183" s="46" t="s">
        <v>44</v>
      </c>
      <c r="E1183" s="46" t="s">
        <v>45</v>
      </c>
      <c r="F1183" s="47" t="s">
        <v>46</v>
      </c>
      <c r="G1183" s="26" t="s">
        <v>78</v>
      </c>
      <c r="H1183" s="60"/>
    </row>
    <row r="1184" spans="1:8" x14ac:dyDescent="0.25">
      <c r="A1184" s="61" t="str">
        <f>EXPUNGEMENT!D54</f>
        <v>NO</v>
      </c>
      <c r="B1184" s="61" t="str">
        <f>EXPUNGEMENT!G54</f>
        <v>N/A</v>
      </c>
      <c r="C1184" s="136" t="str">
        <f>EXPUNGEMENT!H54</f>
        <v>NO</v>
      </c>
      <c r="D1184" s="136" t="str">
        <f>EXPUNGEMENT!I54</f>
        <v>N/A</v>
      </c>
      <c r="E1184" s="136" t="str">
        <f>EXPUNGEMENT!J54</f>
        <v>N/A</v>
      </c>
      <c r="F1184" s="136" t="str">
        <f>EXPUNGEMENT!K54</f>
        <v>N/A</v>
      </c>
      <c r="G1184" s="29"/>
      <c r="H1184" s="62"/>
    </row>
    <row r="1185" spans="1:8" x14ac:dyDescent="0.25">
      <c r="A1185" s="63" t="s">
        <v>51</v>
      </c>
      <c r="B1185" s="48" t="s">
        <v>79</v>
      </c>
      <c r="C1185" s="49" t="s">
        <v>44</v>
      </c>
      <c r="D1185" s="49" t="s">
        <v>45</v>
      </c>
      <c r="E1185" s="29"/>
      <c r="F1185" s="29"/>
      <c r="G1185" s="29"/>
      <c r="H1185" s="62"/>
    </row>
    <row r="1186" spans="1:8" x14ac:dyDescent="0.25">
      <c r="A1186" s="64" t="str">
        <f>EXPUNGEMENT!R54</f>
        <v>NO</v>
      </c>
      <c r="B1186" s="64" t="str">
        <f>EXPUNGEMENT!S54</f>
        <v>N/A</v>
      </c>
      <c r="C1186" s="64" t="str">
        <f>EXPUNGEMENT!T54</f>
        <v>N/A</v>
      </c>
      <c r="D1186" s="64" t="str">
        <f>EXPUNGEMENT!U54</f>
        <v>N/A</v>
      </c>
      <c r="E1186" s="29"/>
      <c r="F1186" s="29"/>
      <c r="G1186" s="29"/>
      <c r="H1186" s="62"/>
    </row>
    <row r="1187" spans="1:8" ht="18.75" x14ac:dyDescent="0.3">
      <c r="A1187" s="265" t="s">
        <v>80</v>
      </c>
      <c r="B1187" s="266"/>
      <c r="C1187" s="266"/>
      <c r="D1187" s="266"/>
      <c r="E1187" s="266"/>
      <c r="F1187" s="268"/>
      <c r="G1187" s="269">
        <v>52</v>
      </c>
      <c r="H1187" s="270"/>
    </row>
    <row r="1188" spans="1:8" x14ac:dyDescent="0.25">
      <c r="A1188" s="65" t="s">
        <v>29</v>
      </c>
      <c r="B1188" s="27">
        <f>BANKRUPTCY!C55</f>
        <v>0</v>
      </c>
      <c r="C1188" s="50" t="s">
        <v>56</v>
      </c>
      <c r="D1188" s="27">
        <f>BANKRUPTCY!D55</f>
        <v>0</v>
      </c>
      <c r="E1188" s="50" t="s">
        <v>57</v>
      </c>
      <c r="F1188" s="30">
        <f>BANKRUPTCY!E55</f>
        <v>0</v>
      </c>
      <c r="G1188" s="271"/>
      <c r="H1188" s="272"/>
    </row>
    <row r="1189" spans="1:8" ht="18.75" x14ac:dyDescent="0.3">
      <c r="A1189" s="265" t="s">
        <v>81</v>
      </c>
      <c r="B1189" s="266"/>
      <c r="C1189" s="266"/>
      <c r="D1189" s="266"/>
      <c r="E1189" s="266"/>
      <c r="F1189" s="268"/>
      <c r="G1189" s="271"/>
      <c r="H1189" s="272"/>
    </row>
    <row r="1190" spans="1:8" x14ac:dyDescent="0.25">
      <c r="A1190" s="65" t="s">
        <v>29</v>
      </c>
      <c r="B1190" s="27">
        <f>SOL!C55</f>
        <v>0</v>
      </c>
      <c r="C1190" s="50" t="s">
        <v>56</v>
      </c>
      <c r="D1190" s="27">
        <f>SOL!D55</f>
        <v>0</v>
      </c>
      <c r="E1190" s="50" t="s">
        <v>57</v>
      </c>
      <c r="F1190" s="30">
        <f>SOL!E55</f>
        <v>0</v>
      </c>
      <c r="G1190" s="271"/>
      <c r="H1190" s="272"/>
    </row>
    <row r="1191" spans="1:8" ht="18.75" x14ac:dyDescent="0.3">
      <c r="A1191" s="265" t="s">
        <v>82</v>
      </c>
      <c r="B1191" s="266"/>
      <c r="C1191" s="266"/>
      <c r="D1191" s="266"/>
      <c r="E1191" s="52"/>
      <c r="F1191" s="51"/>
      <c r="G1191" s="271"/>
      <c r="H1191" s="272"/>
    </row>
    <row r="1192" spans="1:8" x14ac:dyDescent="0.25">
      <c r="A1192" s="65" t="s">
        <v>67</v>
      </c>
      <c r="B1192" s="27">
        <f>EXEMPTIONS!C55</f>
        <v>0</v>
      </c>
      <c r="C1192" s="50" t="s">
        <v>68</v>
      </c>
      <c r="D1192" s="27">
        <f>EXEMPTIONS!D55</f>
        <v>0</v>
      </c>
      <c r="E1192" s="31"/>
      <c r="F1192" s="31"/>
      <c r="G1192" s="271"/>
      <c r="H1192" s="272"/>
    </row>
    <row r="1193" spans="1:8" ht="18.75" x14ac:dyDescent="0.3">
      <c r="A1193" s="265" t="s">
        <v>83</v>
      </c>
      <c r="B1193" s="266"/>
      <c r="C1193" s="266"/>
      <c r="D1193" s="266"/>
      <c r="E1193" s="52"/>
      <c r="F1193" s="52"/>
      <c r="G1193" s="273"/>
      <c r="H1193" s="274"/>
    </row>
    <row r="1194" spans="1:8" ht="15.75" thickBot="1" x14ac:dyDescent="0.3">
      <c r="A1194" s="66" t="s">
        <v>62</v>
      </c>
      <c r="B1194" s="67" t="str">
        <f>'LICENSE-REGIS'!I55</f>
        <v>N/A</v>
      </c>
      <c r="C1194" s="68" t="s">
        <v>63</v>
      </c>
      <c r="D1194" s="67">
        <f>'LICENSE-REGIS'!M55</f>
        <v>0</v>
      </c>
      <c r="E1194" s="275"/>
      <c r="F1194" s="276"/>
      <c r="G1194" s="276"/>
      <c r="H1194" s="277"/>
    </row>
    <row r="1198" spans="1:8" ht="15.75" thickBot="1" x14ac:dyDescent="0.3">
      <c r="A1198" s="184"/>
      <c r="B1198" s="184"/>
      <c r="C1198" s="184"/>
      <c r="D1198" s="184"/>
      <c r="E1198" s="184"/>
      <c r="F1198" s="184"/>
      <c r="G1198" s="184"/>
      <c r="H1198" s="184"/>
    </row>
    <row r="1199" spans="1:8" x14ac:dyDescent="0.25">
      <c r="A1199" s="75" t="s">
        <v>11</v>
      </c>
      <c r="B1199" s="72" t="s">
        <v>12</v>
      </c>
      <c r="C1199" s="72" t="s">
        <v>73</v>
      </c>
      <c r="D1199" s="72" t="s">
        <v>13</v>
      </c>
      <c r="E1199" s="72" t="s">
        <v>61</v>
      </c>
      <c r="F1199" s="72" t="s">
        <v>14</v>
      </c>
      <c r="G1199" s="72" t="s">
        <v>15</v>
      </c>
      <c r="H1199" s="74" t="s">
        <v>16</v>
      </c>
    </row>
    <row r="1200" spans="1:8" ht="17.25" x14ac:dyDescent="0.3">
      <c r="A1200" s="76">
        <f>'CASE DATA'!A56</f>
        <v>0</v>
      </c>
      <c r="B1200" s="77">
        <f>'CASE DATA'!B56</f>
        <v>0</v>
      </c>
      <c r="C1200" s="79" t="e">
        <f>'CASE DATA'!#REF!</f>
        <v>#REF!</v>
      </c>
      <c r="D1200" s="79">
        <f>'CASE DATA'!C56</f>
        <v>0</v>
      </c>
      <c r="E1200" s="77">
        <f>'CASE DATA'!E56</f>
        <v>0</v>
      </c>
      <c r="F1200" s="77">
        <f>'CASE DATA'!F56</f>
        <v>0</v>
      </c>
      <c r="G1200" s="77">
        <f>'CASE DATA'!G56</f>
        <v>0</v>
      </c>
      <c r="H1200" s="78">
        <f>'CASE DATA'!H56</f>
        <v>0</v>
      </c>
    </row>
    <row r="1201" spans="1:8" x14ac:dyDescent="0.25">
      <c r="A1201" s="53" t="s">
        <v>18</v>
      </c>
      <c r="B1201" s="32">
        <f>'CASE DATA'!I56</f>
        <v>0</v>
      </c>
      <c r="C1201" s="33" t="s">
        <v>21</v>
      </c>
      <c r="D1201" s="36">
        <f>'CASE DATA'!L56</f>
        <v>0</v>
      </c>
      <c r="E1201" s="38" t="s">
        <v>24</v>
      </c>
      <c r="F1201" s="41">
        <f>'CASE DATA'!O56</f>
        <v>0</v>
      </c>
      <c r="G1201" s="43" t="s">
        <v>74</v>
      </c>
      <c r="H1201" s="54">
        <f>'CASE DATA'!R56</f>
        <v>0</v>
      </c>
    </row>
    <row r="1202" spans="1:8" x14ac:dyDescent="0.25">
      <c r="A1202" s="55" t="s">
        <v>75</v>
      </c>
      <c r="B1202" s="32">
        <f>'CASE DATA'!J56</f>
        <v>0</v>
      </c>
      <c r="C1202" s="34" t="s">
        <v>22</v>
      </c>
      <c r="D1202" s="36">
        <f>'CASE DATA'!M56</f>
        <v>0</v>
      </c>
      <c r="E1202" s="39" t="s">
        <v>25</v>
      </c>
      <c r="F1202" s="41">
        <f>'CASE DATA'!P56</f>
        <v>0</v>
      </c>
      <c r="G1202" s="44" t="s">
        <v>28</v>
      </c>
      <c r="H1202" s="54">
        <f>'CASE DATA'!S56</f>
        <v>0</v>
      </c>
    </row>
    <row r="1203" spans="1:8" x14ac:dyDescent="0.25">
      <c r="A1203" s="56" t="s">
        <v>20</v>
      </c>
      <c r="B1203" s="32">
        <f>'CASE DATA'!K56</f>
        <v>0</v>
      </c>
      <c r="C1203" s="35" t="s">
        <v>23</v>
      </c>
      <c r="D1203" s="37">
        <f>'CASE DATA'!N56</f>
        <v>0</v>
      </c>
      <c r="E1203" s="40" t="s">
        <v>26</v>
      </c>
      <c r="F1203" s="42">
        <f>'CASE DATA'!Q56</f>
        <v>0</v>
      </c>
      <c r="G1203" s="28"/>
      <c r="H1203" s="57"/>
    </row>
    <row r="1204" spans="1:8" x14ac:dyDescent="0.25">
      <c r="A1204" s="58" t="s">
        <v>10</v>
      </c>
      <c r="B1204" s="278">
        <f>'CASE DATA'!T56</f>
        <v>0</v>
      </c>
      <c r="C1204" s="279"/>
      <c r="D1204" s="279"/>
      <c r="E1204" s="279"/>
      <c r="F1204" s="279"/>
      <c r="G1204" s="279"/>
      <c r="H1204" s="280"/>
    </row>
    <row r="1205" spans="1:8" ht="18.75" x14ac:dyDescent="0.3">
      <c r="A1205" s="265" t="s">
        <v>76</v>
      </c>
      <c r="B1205" s="266"/>
      <c r="C1205" s="266"/>
      <c r="D1205" s="266"/>
      <c r="E1205" s="266"/>
      <c r="F1205" s="266"/>
      <c r="G1205" s="266"/>
      <c r="H1205" s="267"/>
    </row>
    <row r="1206" spans="1:8" ht="45" x14ac:dyDescent="0.25">
      <c r="A1206" s="59" t="s">
        <v>39</v>
      </c>
      <c r="B1206" s="45" t="s">
        <v>77</v>
      </c>
      <c r="C1206" s="46" t="s">
        <v>43</v>
      </c>
      <c r="D1206" s="46" t="s">
        <v>44</v>
      </c>
      <c r="E1206" s="46" t="s">
        <v>45</v>
      </c>
      <c r="F1206" s="47" t="s">
        <v>46</v>
      </c>
      <c r="G1206" s="26" t="s">
        <v>78</v>
      </c>
      <c r="H1206" s="60"/>
    </row>
    <row r="1207" spans="1:8" x14ac:dyDescent="0.25">
      <c r="A1207" s="61" t="str">
        <f>EXPUNGEMENT!D55</f>
        <v>NO</v>
      </c>
      <c r="B1207" s="61" t="str">
        <f>EXPUNGEMENT!G55</f>
        <v>N/A</v>
      </c>
      <c r="C1207" s="136" t="str">
        <f>EXPUNGEMENT!H55</f>
        <v>NO</v>
      </c>
      <c r="D1207" s="136" t="str">
        <f>EXPUNGEMENT!I55</f>
        <v>N/A</v>
      </c>
      <c r="E1207" s="136" t="str">
        <f>EXPUNGEMENT!J55</f>
        <v>N/A</v>
      </c>
      <c r="F1207" s="136" t="str">
        <f>EXPUNGEMENT!K55</f>
        <v>N/A</v>
      </c>
      <c r="G1207" s="29"/>
      <c r="H1207" s="62"/>
    </row>
    <row r="1208" spans="1:8" x14ac:dyDescent="0.25">
      <c r="A1208" s="63" t="s">
        <v>51</v>
      </c>
      <c r="B1208" s="48" t="s">
        <v>79</v>
      </c>
      <c r="C1208" s="49" t="s">
        <v>44</v>
      </c>
      <c r="D1208" s="49" t="s">
        <v>45</v>
      </c>
      <c r="E1208" s="29"/>
      <c r="F1208" s="29"/>
      <c r="G1208" s="29"/>
      <c r="H1208" s="62"/>
    </row>
    <row r="1209" spans="1:8" x14ac:dyDescent="0.25">
      <c r="A1209" s="64" t="str">
        <f>EXPUNGEMENT!R55</f>
        <v>NO</v>
      </c>
      <c r="B1209" s="64" t="str">
        <f>EXPUNGEMENT!S55</f>
        <v>N/A</v>
      </c>
      <c r="C1209" s="64" t="str">
        <f>EXPUNGEMENT!T55</f>
        <v>N/A</v>
      </c>
      <c r="D1209" s="64" t="str">
        <f>EXPUNGEMENT!U55</f>
        <v>N/A</v>
      </c>
      <c r="E1209" s="29"/>
      <c r="F1209" s="29"/>
      <c r="G1209" s="29"/>
      <c r="H1209" s="62"/>
    </row>
    <row r="1210" spans="1:8" ht="18.75" customHeight="1" x14ac:dyDescent="0.3">
      <c r="A1210" s="265" t="s">
        <v>80</v>
      </c>
      <c r="B1210" s="266"/>
      <c r="C1210" s="266"/>
      <c r="D1210" s="266"/>
      <c r="E1210" s="266"/>
      <c r="F1210" s="268"/>
      <c r="G1210" s="269">
        <v>53</v>
      </c>
      <c r="H1210" s="270"/>
    </row>
    <row r="1211" spans="1:8" ht="15" customHeight="1" x14ac:dyDescent="0.25">
      <c r="A1211" s="65" t="s">
        <v>29</v>
      </c>
      <c r="B1211" s="27">
        <f>BANKRUPTCY!C56</f>
        <v>0</v>
      </c>
      <c r="C1211" s="50" t="s">
        <v>56</v>
      </c>
      <c r="D1211" s="27">
        <f>BANKRUPTCY!D56</f>
        <v>0</v>
      </c>
      <c r="E1211" s="50" t="s">
        <v>57</v>
      </c>
      <c r="F1211" s="30">
        <f>BANKRUPTCY!E56</f>
        <v>0</v>
      </c>
      <c r="G1211" s="271"/>
      <c r="H1211" s="272"/>
    </row>
    <row r="1212" spans="1:8" ht="18.75" customHeight="1" x14ac:dyDescent="0.3">
      <c r="A1212" s="265" t="s">
        <v>81</v>
      </c>
      <c r="B1212" s="266"/>
      <c r="C1212" s="266"/>
      <c r="D1212" s="266"/>
      <c r="E1212" s="266"/>
      <c r="F1212" s="268"/>
      <c r="G1212" s="271"/>
      <c r="H1212" s="272"/>
    </row>
    <row r="1213" spans="1:8" ht="15" customHeight="1" x14ac:dyDescent="0.25">
      <c r="A1213" s="65" t="s">
        <v>29</v>
      </c>
      <c r="B1213" s="27">
        <f>SOL!C56</f>
        <v>0</v>
      </c>
      <c r="C1213" s="50" t="s">
        <v>56</v>
      </c>
      <c r="D1213" s="27">
        <f>SOL!D56</f>
        <v>0</v>
      </c>
      <c r="E1213" s="50" t="s">
        <v>57</v>
      </c>
      <c r="F1213" s="30">
        <f>SOL!E56</f>
        <v>0</v>
      </c>
      <c r="G1213" s="271"/>
      <c r="H1213" s="272"/>
    </row>
    <row r="1214" spans="1:8" ht="18.75" customHeight="1" x14ac:dyDescent="0.3">
      <c r="A1214" s="265" t="s">
        <v>82</v>
      </c>
      <c r="B1214" s="266"/>
      <c r="C1214" s="266"/>
      <c r="D1214" s="266"/>
      <c r="E1214" s="52"/>
      <c r="F1214" s="51"/>
      <c r="G1214" s="271"/>
      <c r="H1214" s="272"/>
    </row>
    <row r="1215" spans="1:8" ht="15" customHeight="1" x14ac:dyDescent="0.25">
      <c r="A1215" s="65" t="s">
        <v>67</v>
      </c>
      <c r="B1215" s="27">
        <f>EXEMPTIONS!C56</f>
        <v>0</v>
      </c>
      <c r="C1215" s="50" t="s">
        <v>68</v>
      </c>
      <c r="D1215" s="27">
        <f>EXEMPTIONS!D56</f>
        <v>0</v>
      </c>
      <c r="E1215" s="31"/>
      <c r="F1215" s="31"/>
      <c r="G1215" s="271"/>
      <c r="H1215" s="272"/>
    </row>
    <row r="1216" spans="1:8" ht="18.75" customHeight="1" x14ac:dyDescent="0.3">
      <c r="A1216" s="265" t="s">
        <v>83</v>
      </c>
      <c r="B1216" s="266"/>
      <c r="C1216" s="266"/>
      <c r="D1216" s="266"/>
      <c r="E1216" s="52"/>
      <c r="F1216" s="52"/>
      <c r="G1216" s="273"/>
      <c r="H1216" s="274"/>
    </row>
    <row r="1217" spans="1:8" ht="15.75" thickBot="1" x14ac:dyDescent="0.3">
      <c r="A1217" s="66" t="s">
        <v>62</v>
      </c>
      <c r="B1217" s="67" t="str">
        <f>'LICENSE-REGIS'!I56</f>
        <v>N/A</v>
      </c>
      <c r="C1217" s="68" t="s">
        <v>63</v>
      </c>
      <c r="D1217" s="67">
        <f>'LICENSE-REGIS'!M56</f>
        <v>0</v>
      </c>
      <c r="E1217" s="275"/>
      <c r="F1217" s="276"/>
      <c r="G1217" s="276"/>
      <c r="H1217" s="277"/>
    </row>
    <row r="1221" spans="1:8" ht="15.75" thickBot="1" x14ac:dyDescent="0.3">
      <c r="A1221" s="184"/>
      <c r="B1221" s="184"/>
      <c r="C1221" s="184"/>
      <c r="D1221" s="184"/>
      <c r="E1221" s="184"/>
      <c r="F1221" s="184"/>
      <c r="G1221" s="184"/>
      <c r="H1221" s="184"/>
    </row>
    <row r="1222" spans="1:8" x14ac:dyDescent="0.25">
      <c r="A1222" s="75" t="s">
        <v>11</v>
      </c>
      <c r="B1222" s="72" t="s">
        <v>12</v>
      </c>
      <c r="C1222" s="72" t="s">
        <v>73</v>
      </c>
      <c r="D1222" s="72" t="s">
        <v>13</v>
      </c>
      <c r="E1222" s="72" t="s">
        <v>61</v>
      </c>
      <c r="F1222" s="72" t="s">
        <v>14</v>
      </c>
      <c r="G1222" s="72" t="s">
        <v>15</v>
      </c>
      <c r="H1222" s="74" t="s">
        <v>16</v>
      </c>
    </row>
    <row r="1223" spans="1:8" ht="17.25" x14ac:dyDescent="0.3">
      <c r="A1223" s="76">
        <f>'CASE DATA'!A57</f>
        <v>0</v>
      </c>
      <c r="B1223" s="77">
        <f>'CASE DATA'!B57</f>
        <v>0</v>
      </c>
      <c r="C1223" s="79" t="e">
        <f>'CASE DATA'!#REF!</f>
        <v>#REF!</v>
      </c>
      <c r="D1223" s="79">
        <f>'CASE DATA'!C57</f>
        <v>0</v>
      </c>
      <c r="E1223" s="77">
        <f>'CASE DATA'!E57</f>
        <v>0</v>
      </c>
      <c r="F1223" s="77">
        <f>'CASE DATA'!F57</f>
        <v>0</v>
      </c>
      <c r="G1223" s="77">
        <f>'CASE DATA'!G57</f>
        <v>0</v>
      </c>
      <c r="H1223" s="78">
        <f>'CASE DATA'!H57</f>
        <v>0</v>
      </c>
    </row>
    <row r="1224" spans="1:8" x14ac:dyDescent="0.25">
      <c r="A1224" s="53" t="s">
        <v>18</v>
      </c>
      <c r="B1224" s="32">
        <f>'CASE DATA'!I57</f>
        <v>0</v>
      </c>
      <c r="C1224" s="33" t="s">
        <v>21</v>
      </c>
      <c r="D1224" s="36">
        <f>'CASE DATA'!L57</f>
        <v>0</v>
      </c>
      <c r="E1224" s="38" t="s">
        <v>24</v>
      </c>
      <c r="F1224" s="41">
        <f>'CASE DATA'!O57</f>
        <v>0</v>
      </c>
      <c r="G1224" s="43" t="s">
        <v>74</v>
      </c>
      <c r="H1224" s="54">
        <f>'CASE DATA'!R57</f>
        <v>0</v>
      </c>
    </row>
    <row r="1225" spans="1:8" x14ac:dyDescent="0.25">
      <c r="A1225" s="55" t="s">
        <v>75</v>
      </c>
      <c r="B1225" s="32">
        <f>'CASE DATA'!J57</f>
        <v>0</v>
      </c>
      <c r="C1225" s="34" t="s">
        <v>22</v>
      </c>
      <c r="D1225" s="36">
        <f>'CASE DATA'!M57</f>
        <v>0</v>
      </c>
      <c r="E1225" s="39" t="s">
        <v>25</v>
      </c>
      <c r="F1225" s="41">
        <f>'CASE DATA'!P57</f>
        <v>0</v>
      </c>
      <c r="G1225" s="44" t="s">
        <v>28</v>
      </c>
      <c r="H1225" s="54">
        <f>'CASE DATA'!S57</f>
        <v>0</v>
      </c>
    </row>
    <row r="1226" spans="1:8" x14ac:dyDescent="0.25">
      <c r="A1226" s="56" t="s">
        <v>20</v>
      </c>
      <c r="B1226" s="32">
        <f>'CASE DATA'!K57</f>
        <v>0</v>
      </c>
      <c r="C1226" s="35" t="s">
        <v>23</v>
      </c>
      <c r="D1226" s="37">
        <f>'CASE DATA'!N57</f>
        <v>0</v>
      </c>
      <c r="E1226" s="40" t="s">
        <v>26</v>
      </c>
      <c r="F1226" s="42">
        <f>'CASE DATA'!Q57</f>
        <v>0</v>
      </c>
      <c r="G1226" s="28"/>
      <c r="H1226" s="57"/>
    </row>
    <row r="1227" spans="1:8" x14ac:dyDescent="0.25">
      <c r="A1227" s="58" t="s">
        <v>10</v>
      </c>
      <c r="B1227" s="278">
        <f>'CASE DATA'!T57</f>
        <v>0</v>
      </c>
      <c r="C1227" s="279"/>
      <c r="D1227" s="279"/>
      <c r="E1227" s="279"/>
      <c r="F1227" s="279"/>
      <c r="G1227" s="279"/>
      <c r="H1227" s="280"/>
    </row>
    <row r="1228" spans="1:8" ht="18.75" x14ac:dyDescent="0.3">
      <c r="A1228" s="265" t="s">
        <v>76</v>
      </c>
      <c r="B1228" s="266"/>
      <c r="C1228" s="266"/>
      <c r="D1228" s="266"/>
      <c r="E1228" s="266"/>
      <c r="F1228" s="266"/>
      <c r="G1228" s="266"/>
      <c r="H1228" s="267"/>
    </row>
    <row r="1229" spans="1:8" ht="45" x14ac:dyDescent="0.25">
      <c r="A1229" s="59" t="s">
        <v>39</v>
      </c>
      <c r="B1229" s="45" t="s">
        <v>77</v>
      </c>
      <c r="C1229" s="46" t="s">
        <v>43</v>
      </c>
      <c r="D1229" s="46" t="s">
        <v>44</v>
      </c>
      <c r="E1229" s="46" t="s">
        <v>45</v>
      </c>
      <c r="F1229" s="47" t="s">
        <v>46</v>
      </c>
      <c r="G1229" s="26" t="s">
        <v>78</v>
      </c>
      <c r="H1229" s="60"/>
    </row>
    <row r="1230" spans="1:8" x14ac:dyDescent="0.25">
      <c r="A1230" s="61" t="str">
        <f>EXPUNGEMENT!D56</f>
        <v>NO</v>
      </c>
      <c r="B1230" s="61" t="str">
        <f>EXPUNGEMENT!G56</f>
        <v>N/A</v>
      </c>
      <c r="C1230" s="136" t="str">
        <f>EXPUNGEMENT!H56</f>
        <v>NO</v>
      </c>
      <c r="D1230" s="136" t="str">
        <f>EXPUNGEMENT!I56</f>
        <v>N/A</v>
      </c>
      <c r="E1230" s="136" t="str">
        <f>EXPUNGEMENT!J56</f>
        <v>N/A</v>
      </c>
      <c r="F1230" s="136" t="str">
        <f>EXPUNGEMENT!K56</f>
        <v>N/A</v>
      </c>
      <c r="G1230" s="29"/>
      <c r="H1230" s="62"/>
    </row>
    <row r="1231" spans="1:8" x14ac:dyDescent="0.25">
      <c r="A1231" s="63" t="s">
        <v>51</v>
      </c>
      <c r="B1231" s="48" t="s">
        <v>79</v>
      </c>
      <c r="C1231" s="49" t="s">
        <v>44</v>
      </c>
      <c r="D1231" s="49" t="s">
        <v>45</v>
      </c>
      <c r="E1231" s="29"/>
      <c r="F1231" s="29"/>
      <c r="G1231" s="29"/>
      <c r="H1231" s="62"/>
    </row>
    <row r="1232" spans="1:8" x14ac:dyDescent="0.25">
      <c r="A1232" s="64" t="str">
        <f>EXPUNGEMENT!R56</f>
        <v>NO</v>
      </c>
      <c r="B1232" s="64" t="str">
        <f>EXPUNGEMENT!S56</f>
        <v>N/A</v>
      </c>
      <c r="C1232" s="64" t="str">
        <f>EXPUNGEMENT!T56</f>
        <v>N/A</v>
      </c>
      <c r="D1232" s="64" t="str">
        <f>EXPUNGEMENT!U56</f>
        <v>N/A</v>
      </c>
      <c r="E1232" s="29"/>
      <c r="F1232" s="29"/>
      <c r="G1232" s="29"/>
      <c r="H1232" s="62"/>
    </row>
    <row r="1233" spans="1:8" ht="18.75" x14ac:dyDescent="0.3">
      <c r="A1233" s="265" t="s">
        <v>80</v>
      </c>
      <c r="B1233" s="266"/>
      <c r="C1233" s="266"/>
      <c r="D1233" s="266"/>
      <c r="E1233" s="266"/>
      <c r="F1233" s="268"/>
      <c r="G1233" s="269">
        <v>54</v>
      </c>
      <c r="H1233" s="270"/>
    </row>
    <row r="1234" spans="1:8" x14ac:dyDescent="0.25">
      <c r="A1234" s="65" t="s">
        <v>29</v>
      </c>
      <c r="B1234" s="27">
        <f>BANKRUPTCY!C57</f>
        <v>0</v>
      </c>
      <c r="C1234" s="50" t="s">
        <v>56</v>
      </c>
      <c r="D1234" s="27">
        <f>BANKRUPTCY!D57</f>
        <v>0</v>
      </c>
      <c r="E1234" s="50" t="s">
        <v>57</v>
      </c>
      <c r="F1234" s="30">
        <f>BANKRUPTCY!E57</f>
        <v>0</v>
      </c>
      <c r="G1234" s="271"/>
      <c r="H1234" s="272"/>
    </row>
    <row r="1235" spans="1:8" ht="18.75" x14ac:dyDescent="0.3">
      <c r="A1235" s="265" t="s">
        <v>81</v>
      </c>
      <c r="B1235" s="266"/>
      <c r="C1235" s="266"/>
      <c r="D1235" s="266"/>
      <c r="E1235" s="266"/>
      <c r="F1235" s="268"/>
      <c r="G1235" s="271"/>
      <c r="H1235" s="272"/>
    </row>
    <row r="1236" spans="1:8" x14ac:dyDescent="0.25">
      <c r="A1236" s="65" t="s">
        <v>29</v>
      </c>
      <c r="B1236" s="27">
        <f>SOL!C57</f>
        <v>0</v>
      </c>
      <c r="C1236" s="50" t="s">
        <v>56</v>
      </c>
      <c r="D1236" s="27">
        <f>SOL!D57</f>
        <v>0</v>
      </c>
      <c r="E1236" s="50" t="s">
        <v>57</v>
      </c>
      <c r="F1236" s="30">
        <f>SOL!E57</f>
        <v>0</v>
      </c>
      <c r="G1236" s="271"/>
      <c r="H1236" s="272"/>
    </row>
    <row r="1237" spans="1:8" ht="18.75" x14ac:dyDescent="0.3">
      <c r="A1237" s="265" t="s">
        <v>82</v>
      </c>
      <c r="B1237" s="266"/>
      <c r="C1237" s="266"/>
      <c r="D1237" s="266"/>
      <c r="E1237" s="52"/>
      <c r="F1237" s="51"/>
      <c r="G1237" s="271"/>
      <c r="H1237" s="272"/>
    </row>
    <row r="1238" spans="1:8" x14ac:dyDescent="0.25">
      <c r="A1238" s="65" t="s">
        <v>67</v>
      </c>
      <c r="B1238" s="27">
        <f>EXEMPTIONS!C57</f>
        <v>0</v>
      </c>
      <c r="C1238" s="50" t="s">
        <v>68</v>
      </c>
      <c r="D1238" s="27">
        <f>EXEMPTIONS!D57</f>
        <v>0</v>
      </c>
      <c r="E1238" s="31"/>
      <c r="F1238" s="31"/>
      <c r="G1238" s="271"/>
      <c r="H1238" s="272"/>
    </row>
    <row r="1239" spans="1:8" ht="18.75" x14ac:dyDescent="0.3">
      <c r="A1239" s="265" t="s">
        <v>83</v>
      </c>
      <c r="B1239" s="266"/>
      <c r="C1239" s="266"/>
      <c r="D1239" s="266"/>
      <c r="E1239" s="52"/>
      <c r="F1239" s="52"/>
      <c r="G1239" s="273"/>
      <c r="H1239" s="274"/>
    </row>
    <row r="1240" spans="1:8" ht="15.75" thickBot="1" x14ac:dyDescent="0.3">
      <c r="A1240" s="66" t="s">
        <v>62</v>
      </c>
      <c r="B1240" s="67" t="str">
        <f>'LICENSE-REGIS'!I57</f>
        <v>N/A</v>
      </c>
      <c r="C1240" s="68" t="s">
        <v>63</v>
      </c>
      <c r="D1240" s="67">
        <f>'LICENSE-REGIS'!M57</f>
        <v>0</v>
      </c>
      <c r="E1240" s="275"/>
      <c r="F1240" s="276"/>
      <c r="G1240" s="276"/>
      <c r="H1240" s="277"/>
    </row>
  </sheetData>
  <mergeCells count="433">
    <mergeCell ref="A336:F336"/>
    <mergeCell ref="G336:H342"/>
    <mergeCell ref="A338:F338"/>
    <mergeCell ref="A340:D340"/>
    <mergeCell ref="A342:D342"/>
    <mergeCell ref="E297:H297"/>
    <mergeCell ref="B307:H307"/>
    <mergeCell ref="A549:D549"/>
    <mergeCell ref="E504:H504"/>
    <mergeCell ref="B491:H491"/>
    <mergeCell ref="A492:H492"/>
    <mergeCell ref="A497:F497"/>
    <mergeCell ref="G497:H503"/>
    <mergeCell ref="E389:H389"/>
    <mergeCell ref="A407:F407"/>
    <mergeCell ref="A409:D409"/>
    <mergeCell ref="A411:D411"/>
    <mergeCell ref="A446:H446"/>
    <mergeCell ref="A451:F451"/>
    <mergeCell ref="G451:H457"/>
    <mergeCell ref="A453:F453"/>
    <mergeCell ref="A455:D455"/>
    <mergeCell ref="A457:D457"/>
    <mergeCell ref="A526:D526"/>
    <mergeCell ref="A524:D524"/>
    <mergeCell ref="A522:F522"/>
    <mergeCell ref="G520:H526"/>
    <mergeCell ref="A520:F520"/>
    <mergeCell ref="A515:H515"/>
    <mergeCell ref="B514:H514"/>
    <mergeCell ref="B54:H54"/>
    <mergeCell ref="A64:D64"/>
    <mergeCell ref="A62:F62"/>
    <mergeCell ref="A60:F60"/>
    <mergeCell ref="A55:H55"/>
    <mergeCell ref="A66:D66"/>
    <mergeCell ref="A499:F499"/>
    <mergeCell ref="A501:D501"/>
    <mergeCell ref="A503:D503"/>
    <mergeCell ref="E481:H481"/>
    <mergeCell ref="E458:H458"/>
    <mergeCell ref="E412:H412"/>
    <mergeCell ref="B399:H399"/>
    <mergeCell ref="A400:H400"/>
    <mergeCell ref="A405:F405"/>
    <mergeCell ref="G405:H411"/>
    <mergeCell ref="A331:H331"/>
    <mergeCell ref="B468:H468"/>
    <mergeCell ref="B767:H767"/>
    <mergeCell ref="A768:H768"/>
    <mergeCell ref="A773:F773"/>
    <mergeCell ref="G773:H779"/>
    <mergeCell ref="A775:F775"/>
    <mergeCell ref="A777:D777"/>
    <mergeCell ref="E527:H527"/>
    <mergeCell ref="B445:H445"/>
    <mergeCell ref="E665:H665"/>
    <mergeCell ref="A664:D664"/>
    <mergeCell ref="A662:D662"/>
    <mergeCell ref="A660:F660"/>
    <mergeCell ref="G658:H664"/>
    <mergeCell ref="A658:F658"/>
    <mergeCell ref="A653:H653"/>
    <mergeCell ref="B652:H652"/>
    <mergeCell ref="B583:H583"/>
    <mergeCell ref="E550:H550"/>
    <mergeCell ref="B537:H537"/>
    <mergeCell ref="A538:H538"/>
    <mergeCell ref="A543:F543"/>
    <mergeCell ref="G543:H549"/>
    <mergeCell ref="A545:F545"/>
    <mergeCell ref="A547:D547"/>
    <mergeCell ref="E734:H734"/>
    <mergeCell ref="B744:H744"/>
    <mergeCell ref="A745:H745"/>
    <mergeCell ref="A750:F750"/>
    <mergeCell ref="G750:H756"/>
    <mergeCell ref="A752:F752"/>
    <mergeCell ref="A754:D754"/>
    <mergeCell ref="A756:D756"/>
    <mergeCell ref="E757:H757"/>
    <mergeCell ref="B974:H974"/>
    <mergeCell ref="A975:H975"/>
    <mergeCell ref="A980:F980"/>
    <mergeCell ref="G980:H986"/>
    <mergeCell ref="A982:F982"/>
    <mergeCell ref="A984:D984"/>
    <mergeCell ref="E941:H941"/>
    <mergeCell ref="B951:H951"/>
    <mergeCell ref="A952:H952"/>
    <mergeCell ref="A957:F957"/>
    <mergeCell ref="G957:H963"/>
    <mergeCell ref="A959:F959"/>
    <mergeCell ref="A961:D961"/>
    <mergeCell ref="A963:D963"/>
    <mergeCell ref="E964:H964"/>
    <mergeCell ref="A986:D986"/>
    <mergeCell ref="A1090:H1090"/>
    <mergeCell ref="A1095:F1095"/>
    <mergeCell ref="A1113:H1113"/>
    <mergeCell ref="A1118:F1118"/>
    <mergeCell ref="G1118:H1124"/>
    <mergeCell ref="A1120:F1120"/>
    <mergeCell ref="A1122:D1122"/>
    <mergeCell ref="A1124:D1124"/>
    <mergeCell ref="G1095:H1101"/>
    <mergeCell ref="A1097:F1097"/>
    <mergeCell ref="A1099:D1099"/>
    <mergeCell ref="A1101:D1101"/>
    <mergeCell ref="E1102:H1102"/>
    <mergeCell ref="B1112:H1112"/>
    <mergeCell ref="A1067:H1067"/>
    <mergeCell ref="B1066:H1066"/>
    <mergeCell ref="A1072:F1072"/>
    <mergeCell ref="G1072:H1078"/>
    <mergeCell ref="A1074:F1074"/>
    <mergeCell ref="A1076:D1076"/>
    <mergeCell ref="A1078:D1078"/>
    <mergeCell ref="E1079:H1079"/>
    <mergeCell ref="B1089:H1089"/>
    <mergeCell ref="A469:H469"/>
    <mergeCell ref="A474:F474"/>
    <mergeCell ref="G474:H480"/>
    <mergeCell ref="A476:F476"/>
    <mergeCell ref="A478:D478"/>
    <mergeCell ref="B422:H422"/>
    <mergeCell ref="A423:H423"/>
    <mergeCell ref="A480:D480"/>
    <mergeCell ref="A434:D434"/>
    <mergeCell ref="E435:H435"/>
    <mergeCell ref="A428:F428"/>
    <mergeCell ref="G428:H434"/>
    <mergeCell ref="A430:F430"/>
    <mergeCell ref="A432:D432"/>
    <mergeCell ref="E366:H366"/>
    <mergeCell ref="E343:H343"/>
    <mergeCell ref="B353:H353"/>
    <mergeCell ref="A354:H354"/>
    <mergeCell ref="A359:F359"/>
    <mergeCell ref="G359:H365"/>
    <mergeCell ref="A361:F361"/>
    <mergeCell ref="A363:D363"/>
    <mergeCell ref="A365:D365"/>
    <mergeCell ref="A388:D388"/>
    <mergeCell ref="A386:D386"/>
    <mergeCell ref="A384:F384"/>
    <mergeCell ref="G382:H388"/>
    <mergeCell ref="A382:F382"/>
    <mergeCell ref="A377:H377"/>
    <mergeCell ref="A135:D135"/>
    <mergeCell ref="A110:D110"/>
    <mergeCell ref="A112:D112"/>
    <mergeCell ref="A124:H124"/>
    <mergeCell ref="A129:F129"/>
    <mergeCell ref="A131:F131"/>
    <mergeCell ref="A133:D133"/>
    <mergeCell ref="E228:H228"/>
    <mergeCell ref="E205:H205"/>
    <mergeCell ref="B192:H192"/>
    <mergeCell ref="A193:H193"/>
    <mergeCell ref="A198:F198"/>
    <mergeCell ref="G198:H204"/>
    <mergeCell ref="A200:F200"/>
    <mergeCell ref="A202:D202"/>
    <mergeCell ref="A204:D204"/>
    <mergeCell ref="B215:H215"/>
    <mergeCell ref="A216:H216"/>
    <mergeCell ref="G83:H89"/>
    <mergeCell ref="B77:H77"/>
    <mergeCell ref="B376:H376"/>
    <mergeCell ref="A308:H308"/>
    <mergeCell ref="A313:F313"/>
    <mergeCell ref="G313:H319"/>
    <mergeCell ref="A315:F315"/>
    <mergeCell ref="A317:D317"/>
    <mergeCell ref="A319:D319"/>
    <mergeCell ref="B284:H284"/>
    <mergeCell ref="A285:H285"/>
    <mergeCell ref="A290:F290"/>
    <mergeCell ref="G290:H296"/>
    <mergeCell ref="A292:F292"/>
    <mergeCell ref="A294:D294"/>
    <mergeCell ref="A296:D296"/>
    <mergeCell ref="E320:H320"/>
    <mergeCell ref="B330:H330"/>
    <mergeCell ref="A78:H78"/>
    <mergeCell ref="A83:F83"/>
    <mergeCell ref="A85:F85"/>
    <mergeCell ref="A87:D87"/>
    <mergeCell ref="A89:D89"/>
    <mergeCell ref="A101:H101"/>
    <mergeCell ref="B8:H8"/>
    <mergeCell ref="A9:H9"/>
    <mergeCell ref="E21:H21"/>
    <mergeCell ref="G14:H20"/>
    <mergeCell ref="A14:F14"/>
    <mergeCell ref="A16:F16"/>
    <mergeCell ref="A18:D18"/>
    <mergeCell ref="A20:D20"/>
    <mergeCell ref="G60:H66"/>
    <mergeCell ref="A37:F37"/>
    <mergeCell ref="G37:H43"/>
    <mergeCell ref="A32:H32"/>
    <mergeCell ref="B31:H31"/>
    <mergeCell ref="E44:H44"/>
    <mergeCell ref="A43:D43"/>
    <mergeCell ref="A41:D41"/>
    <mergeCell ref="A39:F39"/>
    <mergeCell ref="C26:D26"/>
    <mergeCell ref="C27:D27"/>
    <mergeCell ref="E67:H67"/>
    <mergeCell ref="E182:H182"/>
    <mergeCell ref="B169:H169"/>
    <mergeCell ref="B146:H146"/>
    <mergeCell ref="B123:H123"/>
    <mergeCell ref="B100:H100"/>
    <mergeCell ref="A170:H170"/>
    <mergeCell ref="A175:F175"/>
    <mergeCell ref="G175:H181"/>
    <mergeCell ref="A177:F177"/>
    <mergeCell ref="A179:D179"/>
    <mergeCell ref="A181:D181"/>
    <mergeCell ref="E159:H159"/>
    <mergeCell ref="G129:H135"/>
    <mergeCell ref="G106:H112"/>
    <mergeCell ref="A106:F106"/>
    <mergeCell ref="A108:F108"/>
    <mergeCell ref="G152:H158"/>
    <mergeCell ref="A147:H147"/>
    <mergeCell ref="A152:F152"/>
    <mergeCell ref="A154:F154"/>
    <mergeCell ref="A156:D156"/>
    <mergeCell ref="A158:D158"/>
    <mergeCell ref="E136:H136"/>
    <mergeCell ref="A221:F221"/>
    <mergeCell ref="G221:H227"/>
    <mergeCell ref="A223:F223"/>
    <mergeCell ref="A225:D225"/>
    <mergeCell ref="A227:D227"/>
    <mergeCell ref="B238:H238"/>
    <mergeCell ref="A239:H239"/>
    <mergeCell ref="A244:F244"/>
    <mergeCell ref="G244:H250"/>
    <mergeCell ref="A246:F246"/>
    <mergeCell ref="A248:D248"/>
    <mergeCell ref="A250:D250"/>
    <mergeCell ref="E274:H274"/>
    <mergeCell ref="E251:H251"/>
    <mergeCell ref="B261:H261"/>
    <mergeCell ref="A262:H262"/>
    <mergeCell ref="A267:F267"/>
    <mergeCell ref="G267:H273"/>
    <mergeCell ref="A269:F269"/>
    <mergeCell ref="A271:D271"/>
    <mergeCell ref="A273:D273"/>
    <mergeCell ref="B560:H560"/>
    <mergeCell ref="A561:H561"/>
    <mergeCell ref="A566:F566"/>
    <mergeCell ref="G566:H572"/>
    <mergeCell ref="A568:F568"/>
    <mergeCell ref="A570:D570"/>
    <mergeCell ref="A572:D572"/>
    <mergeCell ref="E573:H573"/>
    <mergeCell ref="A584:H584"/>
    <mergeCell ref="A589:F589"/>
    <mergeCell ref="G589:H595"/>
    <mergeCell ref="A591:F591"/>
    <mergeCell ref="A593:D593"/>
    <mergeCell ref="A595:D595"/>
    <mergeCell ref="E596:H596"/>
    <mergeCell ref="B606:H606"/>
    <mergeCell ref="A607:H607"/>
    <mergeCell ref="A612:F612"/>
    <mergeCell ref="G612:H618"/>
    <mergeCell ref="A614:F614"/>
    <mergeCell ref="A616:D616"/>
    <mergeCell ref="A618:D618"/>
    <mergeCell ref="E619:H619"/>
    <mergeCell ref="B629:H629"/>
    <mergeCell ref="A630:H630"/>
    <mergeCell ref="A635:F635"/>
    <mergeCell ref="G635:H641"/>
    <mergeCell ref="A637:F637"/>
    <mergeCell ref="A639:D639"/>
    <mergeCell ref="A641:D641"/>
    <mergeCell ref="E642:H642"/>
    <mergeCell ref="B675:H675"/>
    <mergeCell ref="A676:H676"/>
    <mergeCell ref="A681:F681"/>
    <mergeCell ref="G681:H687"/>
    <mergeCell ref="A683:F683"/>
    <mergeCell ref="A685:D685"/>
    <mergeCell ref="A687:D687"/>
    <mergeCell ref="E688:H688"/>
    <mergeCell ref="B698:H698"/>
    <mergeCell ref="A699:H699"/>
    <mergeCell ref="A704:F704"/>
    <mergeCell ref="G704:H710"/>
    <mergeCell ref="A706:F706"/>
    <mergeCell ref="A708:D708"/>
    <mergeCell ref="A710:D710"/>
    <mergeCell ref="E711:H711"/>
    <mergeCell ref="A727:F727"/>
    <mergeCell ref="G727:H733"/>
    <mergeCell ref="A729:F729"/>
    <mergeCell ref="A731:D731"/>
    <mergeCell ref="A733:D733"/>
    <mergeCell ref="A722:H722"/>
    <mergeCell ref="B721:H721"/>
    <mergeCell ref="A779:D779"/>
    <mergeCell ref="E780:H780"/>
    <mergeCell ref="B790:H790"/>
    <mergeCell ref="A791:H791"/>
    <mergeCell ref="A796:F796"/>
    <mergeCell ref="G796:H802"/>
    <mergeCell ref="A798:F798"/>
    <mergeCell ref="A800:D800"/>
    <mergeCell ref="A802:D802"/>
    <mergeCell ref="E803:H803"/>
    <mergeCell ref="B813:H813"/>
    <mergeCell ref="A814:H814"/>
    <mergeCell ref="A819:F819"/>
    <mergeCell ref="G819:H825"/>
    <mergeCell ref="A821:F821"/>
    <mergeCell ref="A823:D823"/>
    <mergeCell ref="A825:D825"/>
    <mergeCell ref="E826:H826"/>
    <mergeCell ref="B836:H836"/>
    <mergeCell ref="A837:H837"/>
    <mergeCell ref="A842:F842"/>
    <mergeCell ref="G842:H848"/>
    <mergeCell ref="A844:F844"/>
    <mergeCell ref="A846:D846"/>
    <mergeCell ref="A848:D848"/>
    <mergeCell ref="E849:H849"/>
    <mergeCell ref="E872:H872"/>
    <mergeCell ref="A860:H860"/>
    <mergeCell ref="B859:H859"/>
    <mergeCell ref="A871:D871"/>
    <mergeCell ref="A869:D869"/>
    <mergeCell ref="A867:F867"/>
    <mergeCell ref="G865:H871"/>
    <mergeCell ref="A865:F865"/>
    <mergeCell ref="B882:H882"/>
    <mergeCell ref="A883:H883"/>
    <mergeCell ref="A888:F888"/>
    <mergeCell ref="G888:H894"/>
    <mergeCell ref="A890:F890"/>
    <mergeCell ref="A892:D892"/>
    <mergeCell ref="A894:D894"/>
    <mergeCell ref="E895:H895"/>
    <mergeCell ref="B905:H905"/>
    <mergeCell ref="A906:H906"/>
    <mergeCell ref="A911:F911"/>
    <mergeCell ref="G911:H917"/>
    <mergeCell ref="A913:F913"/>
    <mergeCell ref="A915:D915"/>
    <mergeCell ref="A917:D917"/>
    <mergeCell ref="E918:H918"/>
    <mergeCell ref="A929:H929"/>
    <mergeCell ref="A934:F934"/>
    <mergeCell ref="G934:H940"/>
    <mergeCell ref="A936:F936"/>
    <mergeCell ref="A938:D938"/>
    <mergeCell ref="A940:D940"/>
    <mergeCell ref="B928:H928"/>
    <mergeCell ref="E987:H987"/>
    <mergeCell ref="B1020:H1020"/>
    <mergeCell ref="A1021:H1021"/>
    <mergeCell ref="A1026:F1026"/>
    <mergeCell ref="G1026:H1032"/>
    <mergeCell ref="A1028:F1028"/>
    <mergeCell ref="A1030:D1030"/>
    <mergeCell ref="A1032:D1032"/>
    <mergeCell ref="E1010:H1010"/>
    <mergeCell ref="A1009:D1009"/>
    <mergeCell ref="A1007:D1007"/>
    <mergeCell ref="A1005:F1005"/>
    <mergeCell ref="G1003:H1009"/>
    <mergeCell ref="A1003:F1003"/>
    <mergeCell ref="A998:H998"/>
    <mergeCell ref="B997:H997"/>
    <mergeCell ref="E1033:H1033"/>
    <mergeCell ref="B1043:H1043"/>
    <mergeCell ref="A1044:H1044"/>
    <mergeCell ref="A1049:F1049"/>
    <mergeCell ref="G1049:H1055"/>
    <mergeCell ref="A1051:F1051"/>
    <mergeCell ref="A1053:D1053"/>
    <mergeCell ref="A1055:D1055"/>
    <mergeCell ref="E1056:H1056"/>
    <mergeCell ref="E1125:H1125"/>
    <mergeCell ref="B1135:H1135"/>
    <mergeCell ref="A1136:H1136"/>
    <mergeCell ref="A1141:F1141"/>
    <mergeCell ref="G1141:H1147"/>
    <mergeCell ref="A1143:F1143"/>
    <mergeCell ref="A1145:D1145"/>
    <mergeCell ref="A1147:D1147"/>
    <mergeCell ref="E1148:H1148"/>
    <mergeCell ref="B1158:H1158"/>
    <mergeCell ref="A1159:H1159"/>
    <mergeCell ref="A1164:F1164"/>
    <mergeCell ref="G1164:H1170"/>
    <mergeCell ref="A1166:F1166"/>
    <mergeCell ref="A1168:D1168"/>
    <mergeCell ref="A1170:D1170"/>
    <mergeCell ref="E1171:H1171"/>
    <mergeCell ref="B1181:H1181"/>
    <mergeCell ref="C3:C4"/>
    <mergeCell ref="A1228:H1228"/>
    <mergeCell ref="A1233:F1233"/>
    <mergeCell ref="G1233:H1239"/>
    <mergeCell ref="A1235:F1235"/>
    <mergeCell ref="A1237:D1237"/>
    <mergeCell ref="A1239:D1239"/>
    <mergeCell ref="E1240:H1240"/>
    <mergeCell ref="A1182:H1182"/>
    <mergeCell ref="A1187:F1187"/>
    <mergeCell ref="G1187:H1193"/>
    <mergeCell ref="A1189:F1189"/>
    <mergeCell ref="A1191:D1191"/>
    <mergeCell ref="A1193:D1193"/>
    <mergeCell ref="E1194:H1194"/>
    <mergeCell ref="E1217:H1217"/>
    <mergeCell ref="B1227:H1227"/>
    <mergeCell ref="A1216:D1216"/>
    <mergeCell ref="A1214:D1214"/>
    <mergeCell ref="A1212:F1212"/>
    <mergeCell ref="G1210:H1216"/>
    <mergeCell ref="A1210:F1210"/>
    <mergeCell ref="A1205:H1205"/>
    <mergeCell ref="B1204:H1204"/>
  </mergeCells>
  <pageMargins left="0.25" right="0.25" top="0.25" bottom="0.25" header="0.3" footer="0.3"/>
  <pageSetup scale="73" fitToHeight="0" orientation="portrait" r:id="rId1"/>
  <rowBreaks count="26" manualBreakCount="26">
    <brk id="46" max="16383"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brk id="644" max="16383" man="1"/>
    <brk id="690" max="16383" man="1"/>
    <brk id="736" max="16383" man="1"/>
    <brk id="782" max="16383" man="1"/>
    <brk id="828" max="16383" man="1"/>
    <brk id="874" max="16383" man="1"/>
    <brk id="920" max="16383" man="1"/>
    <brk id="966" max="16383" man="1"/>
    <brk id="1012" max="16383" man="1"/>
    <brk id="1058" max="16383" man="1"/>
    <brk id="1104" max="16383" man="1"/>
    <brk id="1150" max="16383" man="1"/>
    <brk id="1196" max="16383" man="1"/>
  </rowBreaks>
  <colBreaks count="2" manualBreakCount="2">
    <brk id="2" max="1048575" man="1"/>
    <brk id="7"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35"/>
  <sheetViews>
    <sheetView topLeftCell="A23" workbookViewId="0">
      <selection activeCell="F43" sqref="F43"/>
    </sheetView>
  </sheetViews>
  <sheetFormatPr defaultRowHeight="15" x14ac:dyDescent="0.25"/>
  <cols>
    <col min="1" max="1" width="17.42578125" customWidth="1"/>
    <col min="2" max="2" width="15.28515625" customWidth="1"/>
    <col min="3" max="4" width="10.7109375" customWidth="1"/>
    <col min="5" max="5" width="35.7109375" customWidth="1"/>
    <col min="6" max="6" width="10.7109375" customWidth="1"/>
    <col min="7" max="7" width="11.28515625" customWidth="1"/>
    <col min="9" max="9" width="15.28515625" customWidth="1"/>
    <col min="10" max="10" width="14" customWidth="1"/>
    <col min="11" max="11" width="12.7109375" customWidth="1"/>
  </cols>
  <sheetData>
    <row r="1" spans="1:11" ht="15.75" thickBot="1" x14ac:dyDescent="0.3">
      <c r="A1" s="108" t="s">
        <v>84</v>
      </c>
      <c r="B1" s="296">
        <f>IF(0.25*(F11-F12)&lt;TABLES!L2,TABLES!L2,0.25*(F11-F12))</f>
        <v>25</v>
      </c>
      <c r="C1" s="297"/>
      <c r="D1" s="308" t="s">
        <v>85</v>
      </c>
      <c r="E1" s="309"/>
      <c r="F1" s="298">
        <f>IF(TABLES!L4*B1&lt;G3, TABLES!L4*B1, G3)</f>
        <v>0</v>
      </c>
      <c r="G1" s="299"/>
      <c r="H1" s="184"/>
      <c r="I1" s="184"/>
      <c r="J1" s="184"/>
      <c r="K1" s="184"/>
    </row>
    <row r="2" spans="1:11" ht="15.75" thickTop="1" x14ac:dyDescent="0.25">
      <c r="A2" s="305" t="s">
        <v>86</v>
      </c>
      <c r="B2" s="305"/>
      <c r="C2" s="305"/>
      <c r="D2" s="305"/>
      <c r="E2" s="305"/>
      <c r="F2" s="305"/>
      <c r="G2" s="305"/>
      <c r="H2" s="184"/>
      <c r="I2" s="136"/>
      <c r="J2" s="136"/>
      <c r="K2" s="136"/>
    </row>
    <row r="3" spans="1:11" x14ac:dyDescent="0.25">
      <c r="A3" s="176" t="s">
        <v>87</v>
      </c>
      <c r="B3" s="304" t="str">
        <f>'BASIC INFO'!B5</f>
        <v>SOMEBODY JOHNSON</v>
      </c>
      <c r="C3" s="304"/>
      <c r="D3" s="102" t="s">
        <v>88</v>
      </c>
      <c r="E3" s="105" t="s">
        <v>30</v>
      </c>
      <c r="F3" s="177" t="s">
        <v>89</v>
      </c>
      <c r="G3" s="114">
        <f>'CASE DATA'!S1</f>
        <v>0</v>
      </c>
      <c r="H3" s="184"/>
      <c r="I3" s="132"/>
      <c r="J3" s="133"/>
      <c r="K3" s="134"/>
    </row>
    <row r="4" spans="1:11" x14ac:dyDescent="0.25">
      <c r="A4" s="106" t="s">
        <v>90</v>
      </c>
      <c r="B4" s="178">
        <v>1</v>
      </c>
      <c r="C4" s="306" t="s">
        <v>91</v>
      </c>
      <c r="D4" s="307"/>
      <c r="E4" s="110">
        <v>1</v>
      </c>
      <c r="F4" s="100"/>
      <c r="G4" s="100"/>
      <c r="H4" s="184"/>
      <c r="I4" s="132"/>
      <c r="J4" s="133"/>
      <c r="K4" s="135"/>
    </row>
    <row r="5" spans="1:11" x14ac:dyDescent="0.25">
      <c r="A5" s="324" t="s">
        <v>92</v>
      </c>
      <c r="B5" s="325"/>
      <c r="C5" s="325"/>
      <c r="D5" s="325"/>
      <c r="E5" s="325"/>
      <c r="F5" s="325"/>
      <c r="G5" s="326"/>
      <c r="H5" s="184"/>
      <c r="I5" s="132"/>
      <c r="J5" s="133"/>
      <c r="K5" s="135"/>
    </row>
    <row r="6" spans="1:11" x14ac:dyDescent="0.25">
      <c r="A6" s="107" t="s">
        <v>93</v>
      </c>
      <c r="B6" s="179"/>
      <c r="C6" s="302" t="s">
        <v>94</v>
      </c>
      <c r="D6" s="303"/>
      <c r="E6" s="113">
        <v>2000</v>
      </c>
      <c r="F6" s="300" t="s">
        <v>95</v>
      </c>
      <c r="G6" s="301"/>
      <c r="H6" s="184"/>
      <c r="I6" s="131"/>
      <c r="J6" s="133"/>
      <c r="K6" s="136"/>
    </row>
    <row r="7" spans="1:11" x14ac:dyDescent="0.25">
      <c r="A7" s="107" t="s">
        <v>96</v>
      </c>
      <c r="B7" s="179"/>
      <c r="C7" s="302"/>
      <c r="D7" s="303"/>
      <c r="E7" s="113"/>
      <c r="F7" s="109" t="s">
        <v>97</v>
      </c>
      <c r="G7" s="112"/>
      <c r="H7" s="184"/>
      <c r="I7" s="184"/>
      <c r="J7" s="184"/>
      <c r="K7" s="184"/>
    </row>
    <row r="8" spans="1:11" x14ac:dyDescent="0.25">
      <c r="A8" s="107" t="s">
        <v>98</v>
      </c>
      <c r="B8" s="179"/>
      <c r="C8" s="199"/>
      <c r="D8" s="200"/>
      <c r="E8" s="113"/>
      <c r="F8" s="109" t="s">
        <v>99</v>
      </c>
      <c r="G8" s="111"/>
      <c r="H8" s="184"/>
      <c r="I8" s="184"/>
      <c r="J8" s="184"/>
      <c r="K8" s="184"/>
    </row>
    <row r="9" spans="1:11" x14ac:dyDescent="0.25">
      <c r="A9" s="107" t="s">
        <v>100</v>
      </c>
      <c r="B9" s="179"/>
      <c r="C9" s="302"/>
      <c r="D9" s="303"/>
      <c r="E9" s="113"/>
      <c r="F9" s="130" t="s">
        <v>101</v>
      </c>
      <c r="G9" s="180">
        <f>0.78*(G7*G8)</f>
        <v>0</v>
      </c>
      <c r="H9" s="184"/>
      <c r="I9" s="184"/>
      <c r="J9" s="184"/>
      <c r="K9" s="184"/>
    </row>
    <row r="10" spans="1:11" x14ac:dyDescent="0.25">
      <c r="A10" s="107"/>
      <c r="B10" s="179"/>
      <c r="C10" s="302"/>
      <c r="D10" s="303"/>
      <c r="E10" s="113"/>
      <c r="F10" s="109" t="s">
        <v>102</v>
      </c>
      <c r="G10" s="123">
        <f>(G7*G8)*30/7</f>
        <v>0</v>
      </c>
      <c r="H10" s="184"/>
      <c r="I10" s="184"/>
      <c r="J10" s="184"/>
      <c r="K10" s="184"/>
    </row>
    <row r="11" spans="1:11" x14ac:dyDescent="0.25">
      <c r="A11" s="327" t="s">
        <v>103</v>
      </c>
      <c r="B11" s="328"/>
      <c r="C11" s="328"/>
      <c r="D11" s="328"/>
      <c r="E11" s="329"/>
      <c r="F11" s="330">
        <f>SUM(B6:B10)+SUM(E6:E10)+G10</f>
        <v>2000</v>
      </c>
      <c r="G11" s="331"/>
      <c r="H11" s="184"/>
      <c r="I11" s="184"/>
      <c r="J11" s="184"/>
      <c r="K11" s="184"/>
    </row>
    <row r="12" spans="1:11" x14ac:dyDescent="0.25">
      <c r="A12" s="327" t="s">
        <v>104</v>
      </c>
      <c r="B12" s="328"/>
      <c r="C12" s="328"/>
      <c r="D12" s="328"/>
      <c r="E12" s="329"/>
      <c r="F12" s="330">
        <f>D21+D27+D35+G19+G35</f>
        <v>2082</v>
      </c>
      <c r="G12" s="331"/>
      <c r="H12" s="184"/>
      <c r="I12" s="184"/>
      <c r="J12" s="184"/>
      <c r="K12" s="184"/>
    </row>
    <row r="13" spans="1:11" x14ac:dyDescent="0.25">
      <c r="A13" s="315" t="s">
        <v>105</v>
      </c>
      <c r="B13" s="315"/>
      <c r="C13" s="315"/>
      <c r="D13" s="315"/>
      <c r="E13" s="315"/>
      <c r="F13" s="315"/>
      <c r="G13" s="315"/>
      <c r="H13" s="184"/>
      <c r="I13" s="184"/>
      <c r="J13" s="184"/>
      <c r="K13" s="184"/>
    </row>
    <row r="14" spans="1:11" x14ac:dyDescent="0.25">
      <c r="A14" s="314" t="s">
        <v>106</v>
      </c>
      <c r="B14" s="314"/>
      <c r="C14" s="314"/>
      <c r="D14" s="314"/>
      <c r="E14" s="316" t="s">
        <v>107</v>
      </c>
      <c r="F14" s="316"/>
      <c r="G14" s="317"/>
      <c r="H14" s="184"/>
      <c r="I14" s="184"/>
      <c r="J14" s="184"/>
      <c r="K14" s="184"/>
    </row>
    <row r="15" spans="1:11" x14ac:dyDescent="0.25">
      <c r="A15" s="318"/>
      <c r="B15" s="319"/>
      <c r="C15" s="178" t="s">
        <v>108</v>
      </c>
      <c r="D15" s="181" t="s">
        <v>109</v>
      </c>
      <c r="E15" s="182"/>
      <c r="F15" s="183" t="s">
        <v>108</v>
      </c>
      <c r="G15" s="181" t="s">
        <v>109</v>
      </c>
      <c r="H15" s="184"/>
      <c r="I15" s="184"/>
      <c r="J15" s="184"/>
      <c r="K15" s="184"/>
    </row>
    <row r="16" spans="1:11" x14ac:dyDescent="0.25">
      <c r="A16" s="320" t="s">
        <v>110</v>
      </c>
      <c r="B16" s="321"/>
      <c r="C16" s="103"/>
      <c r="D16" s="115">
        <f>_xlfn.IFS(B4=1, 345, B4=2, 612, B4=3, 737, B4=4, 845, B4&gt;4, 845+((B4-4)*172.86))</f>
        <v>345</v>
      </c>
      <c r="E16" s="182" t="s">
        <v>111</v>
      </c>
      <c r="F16" s="178"/>
      <c r="G16" s="104"/>
      <c r="H16" s="184"/>
      <c r="I16" s="184"/>
      <c r="J16" s="184"/>
      <c r="K16" s="184"/>
    </row>
    <row r="17" spans="1:7" x14ac:dyDescent="0.25">
      <c r="A17" s="310" t="s">
        <v>112</v>
      </c>
      <c r="B17" s="311"/>
      <c r="C17" s="103"/>
      <c r="D17" s="115">
        <f>_xlfn.IFS(B4=1, 32, B4=2, 65, B4=3, 66, B4=4, 65, B4&gt;4, 65+((B4-4)*15.83))</f>
        <v>32</v>
      </c>
      <c r="E17" s="182" t="s">
        <v>113</v>
      </c>
      <c r="F17" s="178"/>
      <c r="G17" s="115">
        <f>IF('BASIC INFO'!B3&gt;'BASIC INFO'!B6+(65*365), 114, 55)</f>
        <v>55</v>
      </c>
    </row>
    <row r="18" spans="1:7" x14ac:dyDescent="0.25">
      <c r="A18" s="310" t="s">
        <v>114</v>
      </c>
      <c r="B18" s="311"/>
      <c r="C18" s="103"/>
      <c r="D18" s="115">
        <f>_xlfn.IFS(B4=1, 83, B4=2, 138, B4=3, 193, B4=4, 293, B4&gt;4, 293+((B4-4)*46.27))</f>
        <v>83</v>
      </c>
      <c r="E18" s="182" t="s">
        <v>115</v>
      </c>
      <c r="F18" s="178"/>
      <c r="G18" s="104"/>
    </row>
    <row r="19" spans="1:7" x14ac:dyDescent="0.25">
      <c r="A19" s="310" t="s">
        <v>116</v>
      </c>
      <c r="B19" s="311"/>
      <c r="C19" s="103"/>
      <c r="D19" s="115">
        <f>_xlfn.IFS(B4=1, 36, B4=2, 63, B4=3, 73, B4=4, 77, B4&gt;4, 77+((B4-4)*17.2))</f>
        <v>36</v>
      </c>
      <c r="E19" s="95" t="s">
        <v>117</v>
      </c>
      <c r="F19" s="121">
        <f>SUM(F16:F18)</f>
        <v>0</v>
      </c>
      <c r="G19" s="115">
        <f>SUM(G16:G18)</f>
        <v>55</v>
      </c>
    </row>
    <row r="20" spans="1:7" x14ac:dyDescent="0.25">
      <c r="A20" s="310" t="s">
        <v>118</v>
      </c>
      <c r="B20" s="311"/>
      <c r="C20" s="103"/>
      <c r="D20" s="115">
        <f>_xlfn.IFS(B4=1, 143, B4=2, 254, B4=3, 309, B4=4, 370, B4&gt;4, 370+((B4-4)*72.85))</f>
        <v>143</v>
      </c>
      <c r="E20" s="316" t="s">
        <v>119</v>
      </c>
      <c r="F20" s="316"/>
      <c r="G20" s="317"/>
    </row>
    <row r="21" spans="1:7" x14ac:dyDescent="0.25">
      <c r="A21" s="312" t="s">
        <v>117</v>
      </c>
      <c r="B21" s="313"/>
      <c r="C21" s="103"/>
      <c r="D21" s="115">
        <f>SUM(D16:D20)</f>
        <v>639</v>
      </c>
      <c r="E21" s="182"/>
      <c r="F21" s="183" t="s">
        <v>108</v>
      </c>
      <c r="G21" s="181" t="s">
        <v>109</v>
      </c>
    </row>
    <row r="22" spans="1:7" x14ac:dyDescent="0.25">
      <c r="A22" s="314" t="s">
        <v>120</v>
      </c>
      <c r="B22" s="314"/>
      <c r="C22" s="314"/>
      <c r="D22" s="314"/>
      <c r="E22" s="182" t="s">
        <v>121</v>
      </c>
      <c r="F22" s="103"/>
      <c r="G22" s="104"/>
    </row>
    <row r="23" spans="1:7" x14ac:dyDescent="0.25">
      <c r="A23" s="318"/>
      <c r="B23" s="319"/>
      <c r="C23" s="178" t="s">
        <v>108</v>
      </c>
      <c r="D23" s="181" t="s">
        <v>109</v>
      </c>
      <c r="E23" s="182" t="s">
        <v>122</v>
      </c>
      <c r="F23" s="103"/>
      <c r="G23" s="104"/>
    </row>
    <row r="24" spans="1:7" x14ac:dyDescent="0.25">
      <c r="A24" s="310" t="s">
        <v>253</v>
      </c>
      <c r="B24" s="311"/>
      <c r="C24" s="178"/>
      <c r="D24" s="104">
        <f>_xlfn.IFS(E4=1,191,E4&gt;1,382,E4&lt;1,0)</f>
        <v>191</v>
      </c>
      <c r="E24" s="182" t="s">
        <v>123</v>
      </c>
      <c r="F24" s="103"/>
      <c r="G24" s="104"/>
    </row>
    <row r="25" spans="1:7" x14ac:dyDescent="0.25">
      <c r="A25" s="310" t="s">
        <v>254</v>
      </c>
      <c r="B25" s="311"/>
      <c r="C25" s="178"/>
      <c r="D25" s="104"/>
      <c r="E25" s="182" t="s">
        <v>124</v>
      </c>
      <c r="F25" s="103"/>
      <c r="G25" s="104"/>
    </row>
    <row r="26" spans="1:7" x14ac:dyDescent="0.25">
      <c r="A26" s="310" t="s">
        <v>125</v>
      </c>
      <c r="B26" s="311"/>
      <c r="C26" s="178"/>
      <c r="D26" s="115">
        <f>IF(E4=0,217,0)</f>
        <v>0</v>
      </c>
      <c r="E26" s="182" t="s">
        <v>126</v>
      </c>
      <c r="F26" s="103"/>
      <c r="G26" s="104"/>
    </row>
    <row r="27" spans="1:7" x14ac:dyDescent="0.25">
      <c r="A27" s="312" t="s">
        <v>117</v>
      </c>
      <c r="B27" s="313"/>
      <c r="C27" s="115">
        <f>SUM(C24:C26)</f>
        <v>0</v>
      </c>
      <c r="D27" s="115">
        <f>SUM(D24:D26)</f>
        <v>191</v>
      </c>
      <c r="E27" s="182" t="s">
        <v>127</v>
      </c>
      <c r="F27" s="103"/>
      <c r="G27" s="104"/>
    </row>
    <row r="28" spans="1:7" x14ac:dyDescent="0.25">
      <c r="A28" s="314" t="s">
        <v>128</v>
      </c>
      <c r="B28" s="314"/>
      <c r="C28" s="314"/>
      <c r="D28" s="314"/>
      <c r="E28" s="182" t="s">
        <v>129</v>
      </c>
      <c r="F28" s="103"/>
      <c r="G28" s="104"/>
    </row>
    <row r="29" spans="1:7" x14ac:dyDescent="0.25">
      <c r="A29" s="332"/>
      <c r="B29" s="333"/>
      <c r="C29" s="178" t="s">
        <v>108</v>
      </c>
      <c r="D29" s="181" t="s">
        <v>109</v>
      </c>
      <c r="E29" s="182" t="s">
        <v>130</v>
      </c>
      <c r="F29" s="103"/>
      <c r="G29" s="104"/>
    </row>
    <row r="30" spans="1:7" x14ac:dyDescent="0.25">
      <c r="A30" s="310" t="s">
        <v>131</v>
      </c>
      <c r="B30" s="311"/>
      <c r="C30" s="178"/>
      <c r="D30" s="104"/>
      <c r="E30" s="182" t="s">
        <v>132</v>
      </c>
      <c r="F30" s="103"/>
      <c r="G30" s="104"/>
    </row>
    <row r="31" spans="1:7" x14ac:dyDescent="0.25">
      <c r="A31" s="310" t="s">
        <v>133</v>
      </c>
      <c r="B31" s="311"/>
      <c r="C31" s="178"/>
      <c r="D31" s="104"/>
      <c r="E31" s="182" t="s">
        <v>134</v>
      </c>
      <c r="F31" s="103"/>
      <c r="G31" s="104"/>
    </row>
    <row r="32" spans="1:7" x14ac:dyDescent="0.25">
      <c r="A32" s="310" t="s">
        <v>135</v>
      </c>
      <c r="B32" s="311"/>
      <c r="C32" s="178"/>
      <c r="D32" s="104"/>
      <c r="E32" s="182" t="s">
        <v>136</v>
      </c>
      <c r="F32" s="103"/>
      <c r="G32" s="104"/>
    </row>
    <row r="33" spans="1:7" x14ac:dyDescent="0.25">
      <c r="A33" s="310" t="s">
        <v>137</v>
      </c>
      <c r="B33" s="311"/>
      <c r="C33" s="178"/>
      <c r="D33" s="104"/>
      <c r="E33" s="182" t="s">
        <v>138</v>
      </c>
      <c r="F33" s="103"/>
      <c r="G33" s="104"/>
    </row>
    <row r="34" spans="1:7" x14ac:dyDescent="0.25">
      <c r="A34" s="310" t="s">
        <v>139</v>
      </c>
      <c r="B34" s="311"/>
      <c r="C34" s="178"/>
      <c r="D34" s="104"/>
      <c r="E34" s="182" t="s">
        <v>140</v>
      </c>
      <c r="F34" s="103"/>
      <c r="G34" s="104"/>
    </row>
    <row r="35" spans="1:7" x14ac:dyDescent="0.25">
      <c r="A35" s="322" t="s">
        <v>117</v>
      </c>
      <c r="B35" s="323"/>
      <c r="C35" s="120">
        <f>SUM(C30:C34)</f>
        <v>0</v>
      </c>
      <c r="D35" s="120">
        <f>_xlfn.IFS(E3="Adair",_xlfn.IFS(B4=1,TABLES!B2,B4=2,TABLES!C2,B4=3,TABLES!D2,B4=4,TABLES!E2,B4=5,TABLES!F2),E3="Adams",_xlfn.IFS(B4=1,TABLES!B3,B4=2,TABLES!C3,B4=3,TABLES!D3,B4=4,TABLES!E3,B4=5,TABLES!F3),E3="Allamakee",_xlfn.IFS(B4=1,TABLES!B4,B4=2,TABLES!C4,B4=3,TABLES!D4,B4=4,TABLES!E4,B4=5,TABLES!F4),E3="Appanoose",_xlfn.IFS(B4=1,TABLES!B5,B4=2,TABLES!C5,B4=3,TABLES!D5,B4=4,TABLES!E5,B4=5,TABLES!F5),E3="Audubon",_xlfn.IFS(B4=1,TABLES!B6,B4=2,TABLES!C6,B4=3,TABLES!D6,B4=4,TABLES!E6,B4=5,TABLES!F6),E3="Benton",_xlfn.IFS(B4=1,TABLES!B7,B4=2,TABLES!C7,B4=3,TABLES!D7,B4=4,TABLES!E7,B4=5,TABLES!F7),E3="Black Hawk", _xlfn.IFS(B4=1,TABLES!B8,B4=2,TABLES!C8,B4=3,TABLES!D8,B4=4,TABLES!E8,B4=5,TABLES!F8),E3="Boone",_xlfn.IFS(B4=1,TABLES!B9,B4=2,TABLES!C9,B4=3,TABLES!D9,B4=4,TABLES!E9,B4=5,TABLES!F9),E3="Bremer",_xlfn.IFS(B4=1,TABLES!B10,B4=2,TABLES!C10,B4=3,TABLES!D10,B4=4,TABLES!E10,B4=5,TABLES!F10),E3="Buchanan",_xlfn.IFS(B4=1,TABLES!B11,B4=2,TABLES!C11,B4=3,TABLES!D11,B4=4,TABLES!E11,B4=5,TABLES!F11),E3="Buena Vista",_xlfn.IFS(B4=1,TABLES!B12,B4=2,TABLES!C12,B4=3,TABLES!D12,B4=4,TABLES!E12,B4=5,TABLES!F12),E3="Butler",_xlfn.IFS(B4=1,TABLES!B13,B4=2,TABLES!C13,B4=3,TABLES!D13,B4=4,TABLES!E13,B4=5,[2]ardinTABLES!F13),E3="Calhoun",_xlfn.IFS(B4=1,TABLES!B14,B4=2,TABLES!C14,B4=3,TABLES!D14,B4=4,TABLES!E14,B4=5,TABLES!F14),E3="Carroll",_xlfn.IFS(B4=1,TABLES!B15,B4=2,TABLES!C15,B4=3,TABLES!D15,B4=4,TABLES!E15,B4=5,TABLES!F15),E3="Cass",_xlfn.IFS(B4=1,TABLES!B16,B4=2,TABLES!C16,B4=3,TABLES!D16,B4=4,TABLES!E16,B4=5,TABLES!F16),E3="Cedar",_xlfn.IFS(B4=1,TABLES!B17,B4=2,TABLES!C17,B4=3,TABLES!D17,B4=4,TABLES!E17,B4=5,TABLES!F17),E3="Cerro Gordo",_xlfn.IFS(B4=1,TABLES!B18,B4=2,TABLES!C18,B4=3,TABLES!D18,B4=4,TABLES!E18,B4=5,TABLES!F18),E3="Cherokee",_xlfn.IFS(B4=1,TABLES!B19,B4=2,TABLES!C19,B4=3,TABLES!D19,B4=4,TABLES!E19,B4=5,TABLES!F19),E3="Chickasaw",_xlfn.IFS(B4=1,TABLES!B20,B4=2,TABLES!C20,B4=3,TABLES!D20,B4=4,TABLES!E20,B4=5,TABLES!F20),E3="Clarke",_xlfn.IFS(B4=1,TABLES!B21,B4=2,TABLES!C21,B4=3,TABLES!D21,B4=4,TABLES!E21,B4=5,TABLES!F21),E3="Clay",_xlfn.IFS(B4=1,TABLES!B22,B4=2,TABLES!C22,B4=3,TABLES!D22,B4=4,TABLES!E22,B4=5,TABLES!F22),E3="Clayton",_xlfn.IFS(B4=1,TABLES!B23,B4=2,TABLES!C23,B4=3,TABLES!D23,B4=4,TABLES!E23,B4=5,TABLES!F23),E3="Clinton",_xlfn.IFS(B4=1,TABLES!B24,B4=2,TABLES!C24,B4=3,TABLES!D24,B4=4,TABLES!E24,B4=5,TABLES!F24),E3="Crawford",_xlfn.IFS(B4=1,TABLES!B25,B4=2,TABLES!C25,B4=3,TABLES!D25,B4=4,TABLES!E25,B4=5,TABLES!F25),E3="Dallas",_xlfn.IFS(B4=1,TABLES!B26,B4=2,TABLES!C26,B4=3,TABLES!D26,B4=4,TABLES!E26,B4=5,TABLES!F26),E3="Davis",_xlfn.IFS(B4=1,TABLES!B27,B4=2,TABLES!C27,B4=3,TABLES!D27,B4=4,TABLES!E27,B4=5,TABLES!F27),E3="Decatur",_xlfn.IFS(B4=1,TABLES!B28,B4=2,TABLES!C28,B4=3,TABLES!D28,B4=4,TABLES!E28,B4=5,TABLES!F28),E3="Delaware",_xlfn.IFS(B4=1,TABLES!B29,B4=2,TABLES!C29,B4=3,TABLES!D29,B4=4,TABLES!E29,B4=5,TABLES!F29),E3="Des Moines",_xlfn.IFS(B4=1,TABLES!B30,B4=2,TABLES!C30,B4=3,TABLES!D30,B4=4,TABLES!E30,B4=5,TABLES!F30),E3="Dickinson",_xlfn.IFS(B4=1,TABLES!B31,B4=2,TABLES!C31,B4=3,TABLES!D31,B4=4,TABLES!E31,B4=5,TABLES!F31),E3="Dubuque",_xlfn.IFS(B4=1,TABLES!B32,B4=2,TABLES!C32,B4=3,TABLES!D32,B4=4,TABLES!E32,B4t5=5,TABLES!F32),E3="Emmet",_xlfn.IFS(B4=1,TABLES!B33,B4=2,TABLES!C33,B4=3,TABLES!D33,B4=4,TABLES!E33,B4=5,TABLES!F33),E3="Fayette",_xlfn.IFS(B4=1,TABLES!B34,B4=2,TABLES!C34,B4=3,TABLES!D34,B4=4,TABLES!E34,B4=5,TABLES!F34),E3="Floyd",_xlfn.IFS(B4=1,TABLES!B35,B4=2,TABLES!C35,B4=3,TABLES!D35,B4=4,TABLES!E35,B4=5,TABLES!F35),E3="Franklin",_xlfn.IFS(B4=1,TABLES!B36,B4=2,TABLES!C36,B4=3,TABLES!D36,B4=4,TABLES!E36,B4=5,TABLES!F36),E3="Fremont",_xlfn.IFS(B4=1,TABLES!B37,B4=2,TABLES!C37,B4=3,TABLES!D37,B4=4,TABLES!E37,B4=5,TABLES!F37),E3="Greene",_xlfn.IFS(B4=1,TABLES!B38,B4=2,TABLES!C38,B4=3,TABLES!D38,B4=4,TABLES!E38,B4=5,TABLES!F38),E3="Grundy",_xlfn.IFS(B4=1,TABLES!B39,B4=2,TABLES!C39,B4=3,TABLES!D39,B4=4,TABLES!E39,B4=5,TABLES!F39),E3="Guthrie",_xlfn.IFS(B4=1,TABLES!B40,B4=2,TABLES!C40,B4=3,TABLES!D40,B4=4,TABLES!E40,B4=5,TABLES!F40),E3="Hamilton",_xlfn.IFS(B4=1,TABLES!B41,B4=2,TABLES!C41,B4=3,TABLES!D41,B4=4,TABLES!E41,B4=5,TABLES!F41),E3="Hancock",_xlfn.IFS(B4=1,TABLES!B42,B4=2,TABLES!C42,B4=3,TABLES!D42,B4=4,TABLES!E42,B4=5,TABLES!F42),E3="Hardin",_xlfn.IFS(B4=1,TABLES!B43,B4=2,TABLES!C43,B4=3,TABLES!D43,B4=4,TABLES!E43,B4=5,TABLES!F43),E3="Harrison",_xlfn.IFS(B4=1,TABLES!B44,B4=2,TABLES!C44,B4=3,TABLES!D44,B4=4,TABLES!E44,B4=5,TABLES!F44),E3="Henry",_xlfn.IFS(B4=1,TABLES!B45,B4=2,TABLES!C45,B4=3,TABLES!D45,B4=4,TABLES!E45,B4=5,TABLES!F45),E3="Howard",_xlfn.IFS(B4=1,TABLES!B46,B4=2,TABLES!C46,B4=3,TABLES!D46,B4=4,TABLES!E46,B4=5,TABLES!F46),E3="Humboldt",_xlfn.IFS(B4=1,TABLES!B47,B4=2,TABLES!C47,B4=3,TABLES!D47,B4=4,TABLES!E47,B4=5,TABLES!F47),E3="Ida",_xlfn.IFS(B4=1,TABLES!B48,B4=2,TABLES!C48,B4=3,TABLES!D48,B4=4,TABLES!E48,B4=5,TABLES!F48),E3="Iowa",_xlfn.IFS(B4=1,TABLES!B49,B4=2,TABLES!C49,B4=3,TABLES!D49,B4=4,TABLES!E49,B4=5,TABLES!F49),E3="Jackson",_xlfn.IFS(B4=1,TABLES!B50,B4=2,TABLES!C50,B4=3,TABLES!D50,B4=4,TABLES!E50,B4=5,TABLES!F50),E3="Jasper",_xlfn.IFS(B4=1,TABLES!B51,B4=2,TABLES!C51,B4=3,TABLES!D51,B4=4,TABLES!E51,B4=5,TABLES!F51),E3="Jefferson",_xlfn.IFS(B4=1,TABLES!B52,B4=2,TABLES!C52,B4=3,TABLES!D52,B4=4,TABLES!E52,B4=5,TABLES!F52),E3="Johnson",_xlfn.IFS(B4=1,TABLES!B53,B4=2,TABLES!C53,B4=3,TABLES!D53,B4=4,TABLES!E53,B4=5,TABLES!F53),E3="Jones",_xlfn.IFS(B4=1,TABLES!B54,B4=2,TABLES!C54,B4=3,TABLES!D54,B4=4,TABLES!E54,B4=5,TABLES!F54),E3="Keokuk",_xlfn.IFS(B4=1,TABLES!B55,B4=2,TABLES!C55,B4=3,TABLES!D55,B4=4,TABLES!E55,B4=5,TABLES!F55),E3="Kossuth",_xlfn.IFS(B4=1,TABLES!B56,B4=2,TABLES!C56,B4=3,TABLES!D56,B4=4,TABLES!E56,B4=5,TABLES!F56),E3="Lee",_xlfn.IFS(B4=1,TABLES!B57,4=2,TABLES!C57,B4=3,TABLES!D57,B4=4,TABLES!E57,B4=5,TABLES!F57),E3="Linn",_xlfn.IFS(B4=1,TABLES!B58,B4=2,TABLES!C58,B4=3,TABLES!D58,B4=4,TABLES!E58,B4=5,TABLES!F58),E3="Louisa",_xlfn.IFS(B4=1,TABLES!B59,B4=2,TABLES!C59,B4=3,TABLES!D59,B4=4,TABLES!E59,B4=5,TABLES!F59),E3="Lucas",_xlfn.IFS(B4=1,TABLES!B60,B4=2,TABLES!C60,B4=3,TABLES!D60,B4=4,TABLES!E60,B4=5,TABLES!F60),E3="Harrison",_xlfn.IFS(B4=1,TABLES!B44,B4=2,TABLES!C44,B4=3,TABLES!D44,B4=4,TABLES!E44,B4=5,TABLES!F44),E3="Lyon",_xlfn.IFS(B4=1,TABLES!B61,B4=2,TABLES!C61,B4=3,TABLES!D61,B4=4,TABLES!E61,B4=5,TABLES!F61),E3="Madison",_xlfn.IFS(B4=1,TABLES!B62,B4=2,TABLES!C62,B4=3,TABLES!D62,B4=4,TABLES!E62,B4=5,TABLES!F62),E3="Mahaska",_xlfn.IFS(B4=1,TABLES!B63,B4=2,TABLES!C63,B4=3,TABLES!D63,B4=4,TABLES!E63,B4=5,TABLES!F63),E3="Marion",_xlfn.IFS(B4=1,TABLES!B64,B4=2,TABLES!C64,B4=3,TABLES!D64,B4=4,TABLES!E64,B4=5,TABLES!F64),E3="Marshall",_xlfn.IFS(B4=1,TABLES!B65,B4=2,TABLES!C65,B4=3,TABLES!D65,B4=4,TABLES!E65,B4=5,TABLES!F65),E3="Mills",_xlfn.IFS(B4=1,TABLES!B66,B4=2,TABLES!C66,B4=3,TABLES!D66,B4=4,TABLES!E66,B4=5,TABLES!F66),E3="Mitchell",_xlfn.IFS(B4=1,TABLES!B67,B4=2,TABLES!C67,B4=3,TABLES!D67,B4=4,TABLES!E67,B4=5,TABLES!F67),E3="Monona",_xlfn.IFS(B4=1,TABLES!B68,B4=2,TABLES!C68,B4=3,TABLES!D68,B4=4,TABLES!E68,B4=5,TABLES!F68),E3="Monroe",_xlfn.IFS(B4=1,TABLES!B69,B4=2,TABLES!C69,B4=3,TABLES!D69,B4=4,TABLES!E69,B4=5,TABLES!F69),E3="Montgomery",_xlfn.IFS(B4=1,TABLES!B70,B4=2,TABLES!C70,B4=3,TABLES!D70,B4=4,TABLES!E70,B4=5,TABLES!F70),E3="Muscatine",_xlfn.IFS(B4=1,TABLES!B71,B4=2,TABLES!C71,B4=3,TABLES!D71,B4=4,TABLES!E71,B4=5,TABLES!F71),E3="O'Brien",_xlfn.IFS(B4=1,TABLES!B72,B4=2,TABLES!C72,B4=3,TABLES!D72,B4=4,TABLES!E72,B4=5,TABLES!F72))</f>
        <v>1197</v>
      </c>
      <c r="E35" s="96" t="s">
        <v>117</v>
      </c>
      <c r="F35" s="121">
        <f>SUM(F22:F34)</f>
        <v>0</v>
      </c>
      <c r="G35" s="120">
        <f>SUM(G22:G34)</f>
        <v>0</v>
      </c>
    </row>
  </sheetData>
  <mergeCells count="41">
    <mergeCell ref="A35:B35"/>
    <mergeCell ref="A5:G5"/>
    <mergeCell ref="C6:D6"/>
    <mergeCell ref="A12:E12"/>
    <mergeCell ref="F12:G12"/>
    <mergeCell ref="A28:D28"/>
    <mergeCell ref="A29:B29"/>
    <mergeCell ref="A30:B30"/>
    <mergeCell ref="A11:E11"/>
    <mergeCell ref="F11:G11"/>
    <mergeCell ref="A22:D22"/>
    <mergeCell ref="A23:B23"/>
    <mergeCell ref="A24:B24"/>
    <mergeCell ref="A25:B25"/>
    <mergeCell ref="A26:B26"/>
    <mergeCell ref="A27:B27"/>
    <mergeCell ref="C10:D10"/>
    <mergeCell ref="A31:B31"/>
    <mergeCell ref="A32:B32"/>
    <mergeCell ref="A33:B33"/>
    <mergeCell ref="A34:B34"/>
    <mergeCell ref="A17:B17"/>
    <mergeCell ref="A18:B18"/>
    <mergeCell ref="A19:B19"/>
    <mergeCell ref="A20:B20"/>
    <mergeCell ref="A21:B21"/>
    <mergeCell ref="A14:D14"/>
    <mergeCell ref="A13:G13"/>
    <mergeCell ref="E14:G14"/>
    <mergeCell ref="E20:G20"/>
    <mergeCell ref="A15:B15"/>
    <mergeCell ref="A16:B16"/>
    <mergeCell ref="B1:C1"/>
    <mergeCell ref="F1:G1"/>
    <mergeCell ref="F6:G6"/>
    <mergeCell ref="C7:D7"/>
    <mergeCell ref="C9:D9"/>
    <mergeCell ref="B3:C3"/>
    <mergeCell ref="A2:G2"/>
    <mergeCell ref="C4:D4"/>
    <mergeCell ref="D1:E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690A392CC5AA4BABC3877CA0EB14C6" ma:contentTypeVersion="6" ma:contentTypeDescription="Create a new document." ma:contentTypeScope="" ma:versionID="d730c3285a47833e1fcb5f38bd995186">
  <xsd:schema xmlns:xsd="http://www.w3.org/2001/XMLSchema" xmlns:xs="http://www.w3.org/2001/XMLSchema" xmlns:p="http://schemas.microsoft.com/office/2006/metadata/properties" xmlns:ns2="0ab2ec72-e6ac-4859-ac9f-c30835d5e81c" xmlns:ns3="c37ae76d-1b8d-40fa-a108-99c13d9897a2" targetNamespace="http://schemas.microsoft.com/office/2006/metadata/properties" ma:root="true" ma:fieldsID="b9662c4c707f0d8c083d74984da29b76" ns2:_="" ns3:_="">
    <xsd:import namespace="0ab2ec72-e6ac-4859-ac9f-c30835d5e81c"/>
    <xsd:import namespace="c37ae76d-1b8d-40fa-a108-99c13d9897a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2ec72-e6ac-4859-ac9f-c30835d5e81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7ae76d-1b8d-40fa-a108-99c13d9897a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00526D-E7E6-428E-891A-1F25DEA11000}">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c37ae76d-1b8d-40fa-a108-99c13d9897a2"/>
    <ds:schemaRef ds:uri="http://schemas.microsoft.com/office/2006/metadata/properties"/>
    <ds:schemaRef ds:uri="http://purl.org/dc/elements/1.1/"/>
    <ds:schemaRef ds:uri="0ab2ec72-e6ac-4859-ac9f-c30835d5e81c"/>
    <ds:schemaRef ds:uri="http://www.w3.org/XML/1998/namespace"/>
    <ds:schemaRef ds:uri="http://purl.org/dc/dcmitype/"/>
  </ds:schemaRefs>
</ds:datastoreItem>
</file>

<file path=customXml/itemProps2.xml><?xml version="1.0" encoding="utf-8"?>
<ds:datastoreItem xmlns:ds="http://schemas.openxmlformats.org/officeDocument/2006/customXml" ds:itemID="{A17B25EE-6569-4816-819D-2B59EC483F87}">
  <ds:schemaRefs>
    <ds:schemaRef ds:uri="http://schemas.microsoft.com/sharepoint/v3/contenttype/forms"/>
  </ds:schemaRefs>
</ds:datastoreItem>
</file>

<file path=customXml/itemProps3.xml><?xml version="1.0" encoding="utf-8"?>
<ds:datastoreItem xmlns:ds="http://schemas.openxmlformats.org/officeDocument/2006/customXml" ds:itemID="{5D91F72C-3610-4D11-B2D2-ECA1A66CC5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2ec72-e6ac-4859-ac9f-c30835d5e81c"/>
    <ds:schemaRef ds:uri="c37ae76d-1b8d-40fa-a108-99c13d9897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BASIC INFO</vt:lpstr>
      <vt:lpstr>CASE DATA</vt:lpstr>
      <vt:lpstr>EXPUNGEMENT</vt:lpstr>
      <vt:lpstr>BANKRUPTCY</vt:lpstr>
      <vt:lpstr>LICENSE-REGIS</vt:lpstr>
      <vt:lpstr>EXEMPTIONS</vt:lpstr>
      <vt:lpstr>SOL</vt:lpstr>
      <vt:lpstr>PRINTOUT</vt:lpstr>
      <vt:lpstr>RAP #1</vt:lpstr>
      <vt:lpstr>RAP #2</vt:lpstr>
      <vt:lpstr>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Kornya</dc:creator>
  <cp:keywords/>
  <dc:description/>
  <cp:lastModifiedBy>Ben Schoenfeld</cp:lastModifiedBy>
  <cp:revision/>
  <dcterms:created xsi:type="dcterms:W3CDTF">2017-01-04T22:59:04Z</dcterms:created>
  <dcterms:modified xsi:type="dcterms:W3CDTF">2020-04-15T14:16:11Z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0x01010021690A392CC5AA4BABC3877CA0EB14C6</vt:lpwstr>
  </property>
</Properties>
</file>