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ryan\Downloads\"/>
    </mc:Choice>
  </mc:AlternateContent>
  <xr:revisionPtr revIDLastSave="0" documentId="13_ncr:1_{C88D11C7-2B08-497C-9F41-D17618BECF83}" xr6:coauthVersionLast="45" xr6:coauthVersionMax="47" xr10:uidLastSave="{00000000-0000-0000-0000-000000000000}"/>
  <bookViews>
    <workbookView xWindow="3240" yWindow="5145" windowWidth="8025" windowHeight="6000" xr2:uid="{3ACEC66D-37FB-455F-B0E3-43AAA541834A}"/>
  </bookViews>
  <sheets>
    <sheet name="COMIDA" sheetId="1" r:id="rId1"/>
    <sheet name="SNACKS" sheetId="2" r:id="rId2"/>
    <sheet name="MEDICINA" sheetId="3" r:id="rId3"/>
    <sheet name="BALANCEADO" sheetId="4" r:id="rId4"/>
    <sheet name="MEDICINA MAYORES" sheetId="5" r:id="rId5"/>
    <sheet name="OTROS" sheetId="6" r:id="rId6"/>
    <sheet name="PETSHOP" sheetId="7" r:id="rId7"/>
  </sheets>
  <definedNames>
    <definedName name="_xlnm._FilterDatabase" localSheetId="3" hidden="1">BALANCEADO!$C$2:$C$37</definedName>
    <definedName name="_xlnm._FilterDatabase" localSheetId="0" hidden="1">COMIDA!$C$2:$C$60</definedName>
    <definedName name="_xlnm._FilterDatabase" localSheetId="5" hidden="1">OTROS!$C$2:$C$50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G4" i="7" l="1"/>
  <c r="L60" i="1" l="1"/>
  <c r="G38" i="7"/>
  <c r="H38" i="7" s="1"/>
  <c r="G37" i="7"/>
  <c r="H37" i="7" s="1"/>
  <c r="G39" i="7"/>
  <c r="K39" i="7" s="1"/>
  <c r="G19" i="7"/>
  <c r="H19" i="7" s="1"/>
  <c r="G20" i="7"/>
  <c r="H20" i="7" s="1"/>
  <c r="G33" i="7"/>
  <c r="K33" i="7" s="1"/>
  <c r="H33" i="7"/>
  <c r="G31" i="7"/>
  <c r="K31" i="7" s="1"/>
  <c r="G32" i="7"/>
  <c r="K32" i="7" s="1"/>
  <c r="G28" i="7"/>
  <c r="K28" i="7" s="1"/>
  <c r="G21" i="7"/>
  <c r="K21" i="7" s="1"/>
  <c r="G6" i="7"/>
  <c r="K6" i="7" s="1"/>
  <c r="G22" i="7"/>
  <c r="K22" i="7" s="1"/>
  <c r="G9" i="7"/>
  <c r="K9" i="7" s="1"/>
  <c r="G7" i="7"/>
  <c r="K7" i="7" s="1"/>
  <c r="H7" i="7"/>
  <c r="G13" i="7"/>
  <c r="K13" i="7" s="1"/>
  <c r="G15" i="7"/>
  <c r="K15" i="7" s="1"/>
  <c r="G25" i="7"/>
  <c r="K25" i="7" s="1"/>
  <c r="G24" i="7"/>
  <c r="K24" i="7" s="1"/>
  <c r="G42" i="7"/>
  <c r="K42" i="7" s="1"/>
  <c r="G41" i="7"/>
  <c r="K41" i="7" s="1"/>
  <c r="G43" i="7"/>
  <c r="K43" i="7" s="1"/>
  <c r="H4" i="7"/>
  <c r="G5" i="7"/>
  <c r="H5" i="7" s="1"/>
  <c r="G44" i="7"/>
  <c r="G45" i="7"/>
  <c r="E61" i="1"/>
  <c r="G60" i="1"/>
  <c r="I60" i="1" s="1"/>
  <c r="H60" i="1"/>
  <c r="G61" i="1"/>
  <c r="I61" i="1" s="1"/>
  <c r="H61" i="1"/>
  <c r="I22" i="4"/>
  <c r="G22" i="4"/>
  <c r="I32" i="1"/>
  <c r="I30" i="1"/>
  <c r="E24" i="4"/>
  <c r="G24" i="4" s="1"/>
  <c r="I24" i="4" s="1"/>
  <c r="N4" i="5"/>
  <c r="G10" i="7"/>
  <c r="H10" i="7" s="1"/>
  <c r="K16" i="6"/>
  <c r="N27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G23" i="4"/>
  <c r="G25" i="4"/>
  <c r="K23" i="4"/>
  <c r="K24" i="4"/>
  <c r="K25" i="4"/>
  <c r="M25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4" i="3"/>
  <c r="L51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4" i="2"/>
  <c r="L58" i="1"/>
  <c r="L56" i="1"/>
  <c r="L54" i="1"/>
  <c r="L52" i="1"/>
  <c r="L50" i="1"/>
  <c r="L48" i="1"/>
  <c r="L46" i="1"/>
  <c r="L44" i="1"/>
  <c r="L42" i="1"/>
  <c r="L40" i="1"/>
  <c r="L39" i="1"/>
  <c r="L37" i="1"/>
  <c r="L36" i="1"/>
  <c r="L34" i="1"/>
  <c r="L32" i="1"/>
  <c r="L30" i="1"/>
  <c r="L29" i="1"/>
  <c r="L28" i="1"/>
  <c r="L27" i="1"/>
  <c r="L26" i="1"/>
  <c r="L24" i="1"/>
  <c r="L22" i="1"/>
  <c r="L20" i="1"/>
  <c r="L18" i="1"/>
  <c r="L16" i="1"/>
  <c r="L14" i="1"/>
  <c r="L12" i="1"/>
  <c r="L10" i="1"/>
  <c r="L8" i="1"/>
  <c r="L6" i="1"/>
  <c r="L4" i="1"/>
  <c r="I23" i="4"/>
  <c r="H23" i="4"/>
  <c r="H13" i="3"/>
  <c r="G8" i="7"/>
  <c r="E13" i="4"/>
  <c r="G13" i="4" s="1"/>
  <c r="E11" i="4"/>
  <c r="G11" i="4" s="1"/>
  <c r="K11" i="4" s="1"/>
  <c r="G12" i="4"/>
  <c r="K12" i="4" s="1"/>
  <c r="G10" i="4"/>
  <c r="K10" i="4" s="1"/>
  <c r="E32" i="4"/>
  <c r="E5" i="4"/>
  <c r="G5" i="4"/>
  <c r="G31" i="4"/>
  <c r="K31" i="4" s="1"/>
  <c r="I31" i="4"/>
  <c r="H31" i="4" s="1"/>
  <c r="G32" i="4"/>
  <c r="G4" i="4"/>
  <c r="I17" i="5"/>
  <c r="J17" i="5" s="1"/>
  <c r="I16" i="5"/>
  <c r="I4" i="5"/>
  <c r="I5" i="5"/>
  <c r="I6" i="5"/>
  <c r="J16" i="5"/>
  <c r="I19" i="5"/>
  <c r="J19" i="5"/>
  <c r="I15" i="5"/>
  <c r="J15" i="5" s="1"/>
  <c r="I8" i="5"/>
  <c r="J8" i="5" s="1"/>
  <c r="I7" i="5"/>
  <c r="J7" i="5" s="1"/>
  <c r="I10" i="5"/>
  <c r="J10" i="5" s="1"/>
  <c r="I27" i="5"/>
  <c r="J27" i="5" s="1"/>
  <c r="I28" i="5"/>
  <c r="J28" i="5" s="1"/>
  <c r="I29" i="5"/>
  <c r="J29" i="5" s="1"/>
  <c r="I30" i="5"/>
  <c r="J30" i="5" s="1"/>
  <c r="I26" i="5"/>
  <c r="J26" i="5"/>
  <c r="I25" i="5"/>
  <c r="J25" i="5"/>
  <c r="I24" i="5"/>
  <c r="J24" i="5"/>
  <c r="G15" i="6"/>
  <c r="G14" i="6"/>
  <c r="G13" i="6"/>
  <c r="G12" i="6"/>
  <c r="I18" i="5"/>
  <c r="J18" i="5"/>
  <c r="G11" i="7"/>
  <c r="K11" i="7" s="1"/>
  <c r="G12" i="7"/>
  <c r="G18" i="7"/>
  <c r="K18" i="7" s="1"/>
  <c r="G14" i="7"/>
  <c r="K14" i="7" s="1"/>
  <c r="G17" i="7"/>
  <c r="K17" i="7" s="1"/>
  <c r="G16" i="7"/>
  <c r="K16" i="7" s="1"/>
  <c r="G36" i="7"/>
  <c r="K36" i="7" s="1"/>
  <c r="G34" i="7"/>
  <c r="K34" i="7" s="1"/>
  <c r="G35" i="7"/>
  <c r="K35" i="7" s="1"/>
  <c r="G27" i="7"/>
  <c r="K27" i="7" s="1"/>
  <c r="G23" i="7"/>
  <c r="K23" i="7" s="1"/>
  <c r="G26" i="7"/>
  <c r="K26" i="7" s="1"/>
  <c r="G40" i="7"/>
  <c r="K40" i="7" s="1"/>
  <c r="G30" i="7"/>
  <c r="K30" i="7" s="1"/>
  <c r="G29" i="7"/>
  <c r="K29" i="7" s="1"/>
  <c r="G11" i="6"/>
  <c r="G10" i="6"/>
  <c r="G8" i="6"/>
  <c r="G9" i="6"/>
  <c r="K9" i="6" s="1"/>
  <c r="H9" i="6"/>
  <c r="E5" i="6"/>
  <c r="G5" i="6"/>
  <c r="K5" i="6" s="1"/>
  <c r="H5" i="6"/>
  <c r="G7" i="6"/>
  <c r="K7" i="6" s="1"/>
  <c r="G4" i="6"/>
  <c r="K4" i="6" s="1"/>
  <c r="G6" i="6"/>
  <c r="K6" i="6" s="1"/>
  <c r="H4" i="6"/>
  <c r="H7" i="6"/>
  <c r="H6" i="6"/>
  <c r="I23" i="5"/>
  <c r="J23" i="5" s="1"/>
  <c r="J5" i="5"/>
  <c r="I22" i="5"/>
  <c r="J22" i="5" s="1"/>
  <c r="I9" i="5"/>
  <c r="J9" i="5"/>
  <c r="J4" i="5"/>
  <c r="I21" i="5"/>
  <c r="J21" i="5"/>
  <c r="I14" i="5"/>
  <c r="J14" i="5"/>
  <c r="G48" i="1"/>
  <c r="I48" i="1" s="1"/>
  <c r="G46" i="1"/>
  <c r="I46" i="1" s="1"/>
  <c r="G9" i="4"/>
  <c r="G8" i="4"/>
  <c r="K8" i="4" s="1"/>
  <c r="E15" i="4"/>
  <c r="G15" i="4" s="1"/>
  <c r="K15" i="4" s="1"/>
  <c r="E17" i="4"/>
  <c r="G17" i="4" s="1"/>
  <c r="K17" i="4" s="1"/>
  <c r="G16" i="4"/>
  <c r="K16" i="4" s="1"/>
  <c r="I16" i="4"/>
  <c r="H16" i="4" s="1"/>
  <c r="G14" i="4"/>
  <c r="K14" i="4" s="1"/>
  <c r="I14" i="4"/>
  <c r="H14" i="4" s="1"/>
  <c r="E26" i="4"/>
  <c r="I25" i="4"/>
  <c r="H25" i="4"/>
  <c r="I13" i="5"/>
  <c r="J13" i="5" s="1"/>
  <c r="I20" i="5"/>
  <c r="J20" i="5" s="1"/>
  <c r="I12" i="5"/>
  <c r="J12" i="5" s="1"/>
  <c r="I11" i="5"/>
  <c r="J11" i="5" s="1"/>
  <c r="J6" i="5"/>
  <c r="J35" i="2"/>
  <c r="J34" i="2"/>
  <c r="J11" i="2"/>
  <c r="J10" i="2"/>
  <c r="J9" i="2"/>
  <c r="J7" i="2"/>
  <c r="J6" i="2"/>
  <c r="J5" i="2"/>
  <c r="J4" i="2"/>
  <c r="J8" i="3"/>
  <c r="J7" i="3"/>
  <c r="J6" i="3"/>
  <c r="J5" i="3"/>
  <c r="J19" i="3"/>
  <c r="J18" i="3"/>
  <c r="J17" i="3"/>
  <c r="J16" i="3"/>
  <c r="J15" i="3"/>
  <c r="J14" i="3"/>
  <c r="J12" i="3"/>
  <c r="J11" i="3"/>
  <c r="J10" i="3"/>
  <c r="J9" i="3"/>
  <c r="J22" i="3"/>
  <c r="J21" i="3"/>
  <c r="J20" i="3"/>
  <c r="J24" i="3"/>
  <c r="J4" i="3"/>
  <c r="J23" i="3"/>
  <c r="E19" i="4"/>
  <c r="G18" i="4"/>
  <c r="G19" i="4"/>
  <c r="K19" i="4" s="1"/>
  <c r="E7" i="1"/>
  <c r="E5" i="1"/>
  <c r="G4" i="1"/>
  <c r="I4" i="1" s="1"/>
  <c r="H4" i="1"/>
  <c r="G5" i="1"/>
  <c r="I5" i="1" s="1"/>
  <c r="H5" i="1"/>
  <c r="G6" i="1"/>
  <c r="I6" i="1" s="1"/>
  <c r="H6" i="1"/>
  <c r="G7" i="1"/>
  <c r="I7" i="1" s="1"/>
  <c r="H7" i="1"/>
  <c r="E7" i="4"/>
  <c r="E30" i="4"/>
  <c r="E28" i="4"/>
  <c r="E21" i="4"/>
  <c r="G7" i="4"/>
  <c r="K7" i="4" s="1"/>
  <c r="G30" i="4"/>
  <c r="G6" i="4"/>
  <c r="K6" i="4" s="1"/>
  <c r="G10" i="1"/>
  <c r="I10" i="1" s="1"/>
  <c r="G12" i="1"/>
  <c r="I12" i="1" s="1"/>
  <c r="G14" i="1"/>
  <c r="I14" i="1" s="1"/>
  <c r="G16" i="1"/>
  <c r="G18" i="1"/>
  <c r="I18" i="1" s="1"/>
  <c r="G20" i="1"/>
  <c r="I20" i="1" s="1"/>
  <c r="G22" i="1"/>
  <c r="I22" i="1" s="1"/>
  <c r="G24" i="1"/>
  <c r="I24" i="1" s="1"/>
  <c r="G26" i="1"/>
  <c r="I26" i="1" s="1"/>
  <c r="G27" i="1"/>
  <c r="I27" i="1" s="1"/>
  <c r="G28" i="1"/>
  <c r="I28" i="1" s="1"/>
  <c r="G29" i="1"/>
  <c r="I29" i="1" s="1"/>
  <c r="G30" i="1"/>
  <c r="G32" i="1"/>
  <c r="G34" i="1"/>
  <c r="I34" i="1" s="1"/>
  <c r="G36" i="1"/>
  <c r="I36" i="1" s="1"/>
  <c r="G37" i="1"/>
  <c r="I37" i="1" s="1"/>
  <c r="G39" i="1"/>
  <c r="I39" i="1" s="1"/>
  <c r="G40" i="1"/>
  <c r="I40" i="1" s="1"/>
  <c r="G42" i="1"/>
  <c r="I42" i="1" s="1"/>
  <c r="G44" i="1"/>
  <c r="I44" i="1" s="1"/>
  <c r="G50" i="1"/>
  <c r="I50" i="1" s="1"/>
  <c r="G52" i="1"/>
  <c r="I52" i="1" s="1"/>
  <c r="G54" i="1"/>
  <c r="I54" i="1" s="1"/>
  <c r="G56" i="1"/>
  <c r="I56" i="1" s="1"/>
  <c r="G58" i="1"/>
  <c r="G28" i="4"/>
  <c r="G21" i="4"/>
  <c r="G27" i="4"/>
  <c r="G29" i="4"/>
  <c r="G20" i="4"/>
  <c r="H20" i="3"/>
  <c r="H10" i="3"/>
  <c r="H9" i="3"/>
  <c r="H19" i="3"/>
  <c r="H21" i="3"/>
  <c r="H22" i="3"/>
  <c r="H14" i="3"/>
  <c r="H16" i="3"/>
  <c r="H17" i="3"/>
  <c r="H15" i="3"/>
  <c r="H23" i="3"/>
  <c r="H24" i="3"/>
  <c r="H4" i="3"/>
  <c r="H12" i="3"/>
  <c r="H11" i="3"/>
  <c r="H6" i="3"/>
  <c r="H7" i="3"/>
  <c r="H8" i="3"/>
  <c r="H5" i="3"/>
  <c r="H18" i="3"/>
  <c r="F27" i="2"/>
  <c r="F26" i="2"/>
  <c r="G20" i="2"/>
  <c r="J20" i="2" s="1"/>
  <c r="H20" i="2" s="1"/>
  <c r="G21" i="2"/>
  <c r="J21" i="2" s="1"/>
  <c r="H21" i="2" s="1"/>
  <c r="G22" i="2"/>
  <c r="G23" i="2"/>
  <c r="J23" i="2" s="1"/>
  <c r="H23" i="2" s="1"/>
  <c r="G24" i="2"/>
  <c r="J24" i="2" s="1"/>
  <c r="H24" i="2" s="1"/>
  <c r="G25" i="2"/>
  <c r="G26" i="2"/>
  <c r="G27" i="2"/>
  <c r="G28" i="2"/>
  <c r="J28" i="2" s="1"/>
  <c r="H28" i="2" s="1"/>
  <c r="G29" i="2"/>
  <c r="J29" i="2" s="1"/>
  <c r="H29" i="2" s="1"/>
  <c r="G30" i="2"/>
  <c r="J30" i="2" s="1"/>
  <c r="H30" i="2" s="1"/>
  <c r="G31" i="2"/>
  <c r="J31" i="2" s="1"/>
  <c r="H31" i="2" s="1"/>
  <c r="G43" i="2"/>
  <c r="G39" i="2"/>
  <c r="J39" i="2" s="1"/>
  <c r="G40" i="2"/>
  <c r="G41" i="2"/>
  <c r="G42" i="2"/>
  <c r="G44" i="2"/>
  <c r="G45" i="2"/>
  <c r="J45" i="2" s="1"/>
  <c r="G46" i="2"/>
  <c r="J46" i="2" s="1"/>
  <c r="G47" i="2"/>
  <c r="J47" i="2" s="1"/>
  <c r="G48" i="2"/>
  <c r="J48" i="2" s="1"/>
  <c r="G49" i="2"/>
  <c r="J49" i="2" s="1"/>
  <c r="G50" i="2"/>
  <c r="J50" i="2" s="1"/>
  <c r="F33" i="2"/>
  <c r="G33" i="2" s="1"/>
  <c r="J33" i="2" s="1"/>
  <c r="H33" i="2" s="1"/>
  <c r="F34" i="2"/>
  <c r="G34" i="2" s="1"/>
  <c r="H34" i="2" s="1"/>
  <c r="F35" i="2"/>
  <c r="G35" i="2" s="1"/>
  <c r="H35" i="2" s="1"/>
  <c r="F36" i="2"/>
  <c r="G36" i="2" s="1"/>
  <c r="J36" i="2" s="1"/>
  <c r="H36" i="2" s="1"/>
  <c r="F37" i="2"/>
  <c r="G37" i="2" s="1"/>
  <c r="F38" i="2"/>
  <c r="G38" i="2" s="1"/>
  <c r="F32" i="2"/>
  <c r="G32" i="2" s="1"/>
  <c r="J32" i="2" s="1"/>
  <c r="H32" i="2" s="1"/>
  <c r="F19" i="2"/>
  <c r="G19" i="2" s="1"/>
  <c r="J19" i="2" s="1"/>
  <c r="H19" i="2" s="1"/>
  <c r="F18" i="2"/>
  <c r="G18" i="2" s="1"/>
  <c r="J18" i="2" s="1"/>
  <c r="H18" i="2" s="1"/>
  <c r="F17" i="2"/>
  <c r="G17" i="2" s="1"/>
  <c r="J17" i="2" s="1"/>
  <c r="H17" i="2" s="1"/>
  <c r="F6" i="2"/>
  <c r="G6" i="2" s="1"/>
  <c r="H6" i="2" s="1"/>
  <c r="F7" i="2"/>
  <c r="G7" i="2" s="1"/>
  <c r="H7" i="2" s="1"/>
  <c r="F9" i="2"/>
  <c r="G9" i="2" s="1"/>
  <c r="H9" i="2" s="1"/>
  <c r="F10" i="2"/>
  <c r="G10" i="2" s="1"/>
  <c r="H10" i="2" s="1"/>
  <c r="F8" i="2"/>
  <c r="G8" i="2" s="1"/>
  <c r="J8" i="2" s="1"/>
  <c r="H8" i="2" s="1"/>
  <c r="F11" i="2"/>
  <c r="G11" i="2" s="1"/>
  <c r="H11" i="2" s="1"/>
  <c r="F12" i="2"/>
  <c r="G12" i="2" s="1"/>
  <c r="J12" i="2" s="1"/>
  <c r="H12" i="2" s="1"/>
  <c r="F13" i="2"/>
  <c r="G13" i="2" s="1"/>
  <c r="J13" i="2" s="1"/>
  <c r="H13" i="2" s="1"/>
  <c r="F14" i="2"/>
  <c r="G14" i="2" s="1"/>
  <c r="J14" i="2" s="1"/>
  <c r="H14" i="2" s="1"/>
  <c r="F15" i="2"/>
  <c r="G15" i="2" s="1"/>
  <c r="J15" i="2" s="1"/>
  <c r="H15" i="2" s="1"/>
  <c r="F16" i="2"/>
  <c r="G16" i="2" s="1"/>
  <c r="F5" i="2"/>
  <c r="G5" i="2"/>
  <c r="H5" i="2" s="1"/>
  <c r="F4" i="2"/>
  <c r="G4" i="2" s="1"/>
  <c r="H26" i="1"/>
  <c r="H27" i="1"/>
  <c r="H28" i="1"/>
  <c r="H29" i="1"/>
  <c r="H36" i="1"/>
  <c r="H39" i="1"/>
  <c r="G8" i="1"/>
  <c r="I8" i="1" s="1"/>
  <c r="H21" i="7" l="1"/>
  <c r="K20" i="7"/>
  <c r="H24" i="7"/>
  <c r="K19" i="7"/>
  <c r="H42" i="7"/>
  <c r="H13" i="7"/>
  <c r="H6" i="7"/>
  <c r="H31" i="7"/>
  <c r="H39" i="7"/>
  <c r="H43" i="7"/>
  <c r="H25" i="7"/>
  <c r="H9" i="7"/>
  <c r="H28" i="7"/>
  <c r="K5" i="7"/>
  <c r="H41" i="7"/>
  <c r="H15" i="7"/>
  <c r="H22" i="7"/>
  <c r="H32" i="7"/>
  <c r="K4" i="7"/>
  <c r="K10" i="7"/>
  <c r="K38" i="7"/>
  <c r="K37" i="7"/>
  <c r="K22" i="4"/>
  <c r="H22" i="4"/>
  <c r="H24" i="4"/>
  <c r="H29" i="7"/>
  <c r="H30" i="7"/>
  <c r="H40" i="7"/>
  <c r="H26" i="7"/>
  <c r="H23" i="7"/>
  <c r="H27" i="7"/>
  <c r="H35" i="7"/>
  <c r="H34" i="7"/>
  <c r="H36" i="7"/>
  <c r="H16" i="7"/>
  <c r="H17" i="7"/>
  <c r="H14" i="7"/>
  <c r="H18" i="7"/>
  <c r="H12" i="7"/>
  <c r="K12" i="7"/>
  <c r="H11" i="7"/>
  <c r="K8" i="7"/>
  <c r="H8" i="7"/>
  <c r="H8" i="6"/>
  <c r="K8" i="6"/>
  <c r="H10" i="6"/>
  <c r="K10" i="6"/>
  <c r="H11" i="6"/>
  <c r="K11" i="6"/>
  <c r="K12" i="6"/>
  <c r="H12" i="6"/>
  <c r="K13" i="6"/>
  <c r="H13" i="6"/>
  <c r="K14" i="6"/>
  <c r="H14" i="6"/>
  <c r="K15" i="6"/>
  <c r="H15" i="6"/>
  <c r="I20" i="4"/>
  <c r="H20" i="4" s="1"/>
  <c r="K20" i="4"/>
  <c r="I29" i="4"/>
  <c r="H29" i="4" s="1"/>
  <c r="K29" i="4"/>
  <c r="I27" i="4"/>
  <c r="H27" i="4" s="1"/>
  <c r="K27" i="4"/>
  <c r="I21" i="4"/>
  <c r="H21" i="4" s="1"/>
  <c r="K21" i="4"/>
  <c r="I28" i="4"/>
  <c r="H28" i="4" s="1"/>
  <c r="K28" i="4"/>
  <c r="I30" i="4"/>
  <c r="H30" i="4" s="1"/>
  <c r="K30" i="4"/>
  <c r="I18" i="4"/>
  <c r="H18" i="4" s="1"/>
  <c r="K18" i="4"/>
  <c r="G26" i="4"/>
  <c r="I9" i="4"/>
  <c r="K9" i="4"/>
  <c r="I4" i="4"/>
  <c r="H4" i="4" s="1"/>
  <c r="K4" i="4"/>
  <c r="I32" i="4"/>
  <c r="H32" i="4" s="1"/>
  <c r="K32" i="4"/>
  <c r="I5" i="4"/>
  <c r="H5" i="4" s="1"/>
  <c r="K5" i="4"/>
  <c r="I13" i="4"/>
  <c r="H13" i="4" s="1"/>
  <c r="K13" i="4"/>
  <c r="I6" i="4"/>
  <c r="H6" i="4" s="1"/>
  <c r="I7" i="4"/>
  <c r="H7" i="4" s="1"/>
  <c r="I17" i="4"/>
  <c r="H17" i="4" s="1"/>
  <c r="I15" i="4"/>
  <c r="H15" i="4" s="1"/>
  <c r="I10" i="4"/>
  <c r="H10" i="4" s="1"/>
  <c r="I12" i="4"/>
  <c r="H12" i="4" s="1"/>
  <c r="I11" i="4"/>
  <c r="H11" i="4" s="1"/>
  <c r="E47" i="1"/>
  <c r="G47" i="1" s="1"/>
  <c r="H46" i="1"/>
  <c r="E49" i="1"/>
  <c r="G49" i="1" s="1"/>
  <c r="H48" i="1"/>
  <c r="I16" i="1"/>
  <c r="H16" i="1" s="1"/>
  <c r="I8" i="4"/>
  <c r="H8" i="4" s="1"/>
  <c r="H9" i="4"/>
  <c r="I19" i="4"/>
  <c r="H19" i="4" s="1"/>
  <c r="E41" i="1"/>
  <c r="G41" i="1" s="1"/>
  <c r="H40" i="1"/>
  <c r="E38" i="1"/>
  <c r="G38" i="1" s="1"/>
  <c r="I38" i="1" s="1"/>
  <c r="H37" i="1"/>
  <c r="E31" i="1"/>
  <c r="G31" i="1" s="1"/>
  <c r="I31" i="1" s="1"/>
  <c r="H30" i="1"/>
  <c r="H4" i="2"/>
  <c r="J16" i="2"/>
  <c r="H16" i="2" s="1"/>
  <c r="J38" i="2"/>
  <c r="H38" i="2" s="1"/>
  <c r="J37" i="2"/>
  <c r="H37" i="2" s="1"/>
  <c r="J25" i="2"/>
  <c r="H25" i="2" s="1"/>
  <c r="J22" i="2"/>
  <c r="H22" i="2" s="1"/>
  <c r="J42" i="2"/>
  <c r="H42" i="2" s="1"/>
  <c r="J41" i="2"/>
  <c r="H41" i="2" s="1"/>
  <c r="J40" i="2"/>
  <c r="H40" i="2" s="1"/>
  <c r="J43" i="2"/>
  <c r="H43" i="2" s="1"/>
  <c r="J44" i="2"/>
  <c r="H44" i="2" s="1"/>
  <c r="H47" i="2"/>
  <c r="H50" i="2"/>
  <c r="H49" i="2"/>
  <c r="H48" i="2"/>
  <c r="H39" i="2"/>
  <c r="H45" i="2"/>
  <c r="H46" i="2"/>
  <c r="H8" i="1"/>
  <c r="E9" i="1"/>
  <c r="G9" i="1" s="1"/>
  <c r="I9" i="1" s="1"/>
  <c r="E59" i="1"/>
  <c r="G59" i="1" s="1"/>
  <c r="I59" i="1" s="1"/>
  <c r="I58" i="1"/>
  <c r="H58" i="1" s="1"/>
  <c r="E57" i="1"/>
  <c r="G57" i="1" s="1"/>
  <c r="H56" i="1"/>
  <c r="E55" i="1"/>
  <c r="G55" i="1" s="1"/>
  <c r="H54" i="1"/>
  <c r="E53" i="1"/>
  <c r="G53" i="1" s="1"/>
  <c r="H52" i="1"/>
  <c r="E51" i="1"/>
  <c r="G51" i="1" s="1"/>
  <c r="I51" i="1" s="1"/>
  <c r="H50" i="1"/>
  <c r="E45" i="1"/>
  <c r="G45" i="1" s="1"/>
  <c r="I45" i="1" s="1"/>
  <c r="H44" i="1"/>
  <c r="E43" i="1"/>
  <c r="G43" i="1" s="1"/>
  <c r="I43" i="1" s="1"/>
  <c r="H42" i="1"/>
  <c r="I41" i="1"/>
  <c r="H41" i="1" s="1"/>
  <c r="H38" i="1"/>
  <c r="E35" i="1"/>
  <c r="G35" i="1" s="1"/>
  <c r="I35" i="1" s="1"/>
  <c r="H34" i="1"/>
  <c r="E33" i="1"/>
  <c r="G33" i="1" s="1"/>
  <c r="I33" i="1" s="1"/>
  <c r="H32" i="1"/>
  <c r="H31" i="1"/>
  <c r="E25" i="1"/>
  <c r="G25" i="1" s="1"/>
  <c r="I25" i="1" s="1"/>
  <c r="H24" i="1"/>
  <c r="H22" i="1"/>
  <c r="E23" i="1"/>
  <c r="G23" i="1" s="1"/>
  <c r="E21" i="1"/>
  <c r="G21" i="1" s="1"/>
  <c r="I21" i="1" s="1"/>
  <c r="H20" i="1"/>
  <c r="E19" i="1"/>
  <c r="G19" i="1" s="1"/>
  <c r="I19" i="1" s="1"/>
  <c r="H18" i="1"/>
  <c r="E17" i="1"/>
  <c r="G17" i="1" s="1"/>
  <c r="I17" i="1" s="1"/>
  <c r="E15" i="1"/>
  <c r="G15" i="1" s="1"/>
  <c r="I15" i="1" s="1"/>
  <c r="H14" i="1"/>
  <c r="E13" i="1"/>
  <c r="G13" i="1" s="1"/>
  <c r="I13" i="1" s="1"/>
  <c r="H12" i="1"/>
  <c r="E11" i="1"/>
  <c r="G11" i="1" s="1"/>
  <c r="I11" i="1" s="1"/>
  <c r="H10" i="1"/>
  <c r="J27" i="2"/>
  <c r="H27" i="2" s="1"/>
  <c r="J26" i="2"/>
  <c r="H26" i="2" s="1"/>
  <c r="K46" i="7" l="1"/>
  <c r="K26" i="4"/>
  <c r="K33" i="4" s="1"/>
  <c r="I26" i="4"/>
  <c r="H26" i="4" s="1"/>
  <c r="I49" i="1"/>
  <c r="H49" i="1" s="1"/>
  <c r="I47" i="1"/>
  <c r="H47" i="1" s="1"/>
  <c r="H11" i="1"/>
  <c r="H13" i="1"/>
  <c r="H15" i="1"/>
  <c r="H17" i="1"/>
  <c r="H19" i="1"/>
  <c r="H21" i="1"/>
  <c r="H23" i="1"/>
  <c r="H25" i="1"/>
  <c r="H33" i="1"/>
  <c r="H35" i="1"/>
  <c r="H43" i="1"/>
  <c r="H45" i="1"/>
  <c r="H51" i="1"/>
  <c r="H53" i="1"/>
  <c r="I55" i="1"/>
  <c r="H55" i="1" s="1"/>
  <c r="I57" i="1"/>
  <c r="H57" i="1" s="1"/>
  <c r="H59" i="1"/>
  <c r="H9" i="1"/>
</calcChain>
</file>

<file path=xl/sharedStrings.xml><?xml version="1.0" encoding="utf-8"?>
<sst xmlns="http://schemas.openxmlformats.org/spreadsheetml/2006/main" count="612" uniqueCount="296">
  <si>
    <t xml:space="preserve">AGROPET CENTER </t>
  </si>
  <si>
    <t>N°</t>
  </si>
  <si>
    <t>NOMBRE</t>
  </si>
  <si>
    <t>CANTIDAD</t>
  </si>
  <si>
    <t>IVA</t>
  </si>
  <si>
    <t>PVP</t>
  </si>
  <si>
    <t>CANI ADULTO RMG</t>
  </si>
  <si>
    <t>25KG</t>
  </si>
  <si>
    <t>GANANCIA</t>
  </si>
  <si>
    <t>CANI CACHOORO RMG</t>
  </si>
  <si>
    <t>MAMBO ADULTO</t>
  </si>
  <si>
    <t>MAMBO CACHORRO</t>
  </si>
  <si>
    <t>30KG</t>
  </si>
  <si>
    <t>CANI PRIME ADULTO POLLO</t>
  </si>
  <si>
    <t>31KG</t>
  </si>
  <si>
    <t>CANI PRIME CACHORRO</t>
  </si>
  <si>
    <t>GATUCO</t>
  </si>
  <si>
    <t>18KG</t>
  </si>
  <si>
    <t>500GR</t>
  </si>
  <si>
    <t>475GR</t>
  </si>
  <si>
    <t>DOG CHOW ADULTO RP</t>
  </si>
  <si>
    <t>DOG CHOW ADULTO RMG</t>
  </si>
  <si>
    <t>DOG CHOW CACHORRO RMG</t>
  </si>
  <si>
    <t>DOG CHOW CACHORRO RP</t>
  </si>
  <si>
    <t>PROCAN ADULTO VEGETALES</t>
  </si>
  <si>
    <t>PROCAN ADULTO POLLO</t>
  </si>
  <si>
    <t>PROCAN CACHORRO RMG</t>
  </si>
  <si>
    <t>COMPA ADULTO</t>
  </si>
  <si>
    <t>COMPA CACHORRO</t>
  </si>
  <si>
    <t>CHIKY POLLO</t>
  </si>
  <si>
    <t>DOGY ADULTO</t>
  </si>
  <si>
    <t>DOGY CACHORROS</t>
  </si>
  <si>
    <t>BUEN CAN ADULTO RMG POLLO</t>
  </si>
  <si>
    <t>BUEN CAN ADULTO RMG CARNE</t>
  </si>
  <si>
    <t>GRAN CAN ADULTO RMG</t>
  </si>
  <si>
    <t>GRAN CAN CACHORRO RMG</t>
  </si>
  <si>
    <t>PEPAS DOG</t>
  </si>
  <si>
    <t>PAL PERRO ADULTO</t>
  </si>
  <si>
    <t>28KG</t>
  </si>
  <si>
    <t>450GR</t>
  </si>
  <si>
    <t>FELIX POUCH ATUN</t>
  </si>
  <si>
    <t>85GR</t>
  </si>
  <si>
    <t>FELIX POUCH PAVO</t>
  </si>
  <si>
    <t>FELIX POUCH SALMÓN</t>
  </si>
  <si>
    <t>FELIX POUCH PESCADO BLANCO</t>
  </si>
  <si>
    <t>DOGYURT CARNITAS</t>
  </si>
  <si>
    <t>DOGYURT HUESITOS</t>
  </si>
  <si>
    <t>NUTRAPRO DELIBITES GATO- POLLO</t>
  </si>
  <si>
    <t>100G</t>
  </si>
  <si>
    <t>NUTRAPRO DELIBITES GATO- DEL MAR</t>
  </si>
  <si>
    <t>CARNITAS DOG CARNE</t>
  </si>
  <si>
    <t>30GR</t>
  </si>
  <si>
    <t>CARNITAS DOG POLLO</t>
  </si>
  <si>
    <t>80GR</t>
  </si>
  <si>
    <t>HUESITOS PEQUEÑOS</t>
  </si>
  <si>
    <t>HUESITOS GRANDES</t>
  </si>
  <si>
    <t>HUESO 6-7 CARNE (6106)</t>
  </si>
  <si>
    <t>2 HUESOS 4-5 CARNE (6124)</t>
  </si>
  <si>
    <t>2 HUESOS 4-5 POLLO (6124)</t>
  </si>
  <si>
    <t>1 HUESO 5-6 CARNE (6105)</t>
  </si>
  <si>
    <t>1 HUESO 5-6 POLLO (6105)</t>
  </si>
  <si>
    <t>1 HUESO 8-9 CARNE (6108)</t>
  </si>
  <si>
    <t>1 HUESO 8-9 POLLO (6108)</t>
  </si>
  <si>
    <t>1 HUESO 10-11 POLLO (6110)</t>
  </si>
  <si>
    <t>1 HUESO 10-11 AHUMADO(6110)</t>
  </si>
  <si>
    <t>20 BARRAS MULTISABOR (6920)</t>
  </si>
  <si>
    <t>10 BARRAS</t>
  </si>
  <si>
    <t>HUESO 3-4 GRANEL (6003)</t>
  </si>
  <si>
    <t>CARNITAS POUCH PERRO- CARNE</t>
  </si>
  <si>
    <t>100GR</t>
  </si>
  <si>
    <t>CARNITAS POUCH PERRO- CERDO</t>
  </si>
  <si>
    <t>CARNITAS POUCH PERRO- CORDERO</t>
  </si>
  <si>
    <t>CARNITAS POUCH PERRO- PAVO TERNERA</t>
  </si>
  <si>
    <t>CARNITAS POUCH GATO PAVO SALMON</t>
  </si>
  <si>
    <t>85G</t>
  </si>
  <si>
    <t>CARNITAS POUCH GATOPOLLO CERDO</t>
  </si>
  <si>
    <t>CARNITAS DOG COMPLETE EMBUTIDOS CORDERO</t>
  </si>
  <si>
    <t>300GR</t>
  </si>
  <si>
    <t>CARNITAS DOG COMPLETE EMBUTIDOS COSTILLA</t>
  </si>
  <si>
    <t>PURE NATURE GATOS- ATUN CAMARON</t>
  </si>
  <si>
    <t>PURE NATURE GATOS- ATUN PEZCA BLANCA</t>
  </si>
  <si>
    <t>PURE NATURE GATOS- ATUN POLLO</t>
  </si>
  <si>
    <t>PURE NATURE GATOS- ATUN PREMIUM</t>
  </si>
  <si>
    <t>PURE NATURE GATOS- HIGADO DE POLLO</t>
  </si>
  <si>
    <t>PURE NATURE PERRO- CERDO VEGETALES</t>
  </si>
  <si>
    <t>PURE NATURE PERRO- HIGADO VEGETALES</t>
  </si>
  <si>
    <t>PURE NATURE PERRO- CARNE VEGETALES</t>
  </si>
  <si>
    <t xml:space="preserve">PURE NATURE PERRO- CORDERO VEGETALES </t>
  </si>
  <si>
    <t xml:space="preserve">PURE NATURE PERRO- PAVO VEGETALES </t>
  </si>
  <si>
    <t>RAYO DOG PERROS GRANDES 1 CAJA X 2 TABLETAS</t>
  </si>
  <si>
    <t>RAYO DOG PERROS PQ Y MED 1 CAJA X 4 TABLETAS</t>
  </si>
  <si>
    <t>2ML</t>
  </si>
  <si>
    <t>5ML</t>
  </si>
  <si>
    <t>10ML</t>
  </si>
  <si>
    <t>0.5ML</t>
  </si>
  <si>
    <t>0.68ML</t>
  </si>
  <si>
    <t>1.34ML</t>
  </si>
  <si>
    <t>2.68ML</t>
  </si>
  <si>
    <t>SANO CAN JABON MEDICADO</t>
  </si>
  <si>
    <t>SANO CAN SHAMPOO MEDICADO SACHET</t>
  </si>
  <si>
    <t>40ML</t>
  </si>
  <si>
    <t>ASUNTOL JABON</t>
  </si>
  <si>
    <t>DOMINAL COLLAR GATO</t>
  </si>
  <si>
    <t>DOMINAL COLLAR CACHORRO</t>
  </si>
  <si>
    <t>DOMINAL COLLAR PERROS MEDIANOS</t>
  </si>
  <si>
    <t>DOMINAL COLLAR PERROS GRANDES</t>
  </si>
  <si>
    <t>400MG</t>
  </si>
  <si>
    <t>BLINKER PLUS 1 TAB. RAZAS GRANDES (20 A 40KG)</t>
  </si>
  <si>
    <t>BLINKER PLUS 1 TAB. RAZAS MEDIANAS (10 A 20KG)</t>
  </si>
  <si>
    <t>200MG</t>
  </si>
  <si>
    <t>BLINKER PLUS 1 TAB. RAZAS PEQUEÑAS (4.5 A 10KG)</t>
  </si>
  <si>
    <t>100MG</t>
  </si>
  <si>
    <t>0,9ML</t>
  </si>
  <si>
    <t>BLINKER CAT JERINGA (2.8 A 6,25 KG) PIPETA</t>
  </si>
  <si>
    <t>LIBRA</t>
  </si>
  <si>
    <t>UNIDAD</t>
  </si>
  <si>
    <t>1 HUESO 6-7 CARNE (6106)</t>
  </si>
  <si>
    <t>12 STIX PALITOS</t>
  </si>
  <si>
    <r>
      <t xml:space="preserve">PULGA KILL </t>
    </r>
    <r>
      <rPr>
        <b/>
        <sz val="11"/>
        <color theme="1"/>
        <rFont val="Aptos Narrow"/>
        <family val="2"/>
        <scheme val="minor"/>
      </rPr>
      <t xml:space="preserve">GATOS </t>
    </r>
    <r>
      <rPr>
        <sz val="11"/>
        <color theme="1"/>
        <rFont val="Aptos Narrow"/>
        <family val="2"/>
        <scheme val="minor"/>
      </rPr>
      <t>PIPETA</t>
    </r>
  </si>
  <si>
    <t>PULGA KILL PERROS (HASTA 10KG) PIPETA</t>
  </si>
  <si>
    <t>PULGA KILL PERROS (HASTA 20KG) PIPETA</t>
  </si>
  <si>
    <t>PULGA KILL PERRO (DESDE 20KG) PIPETA</t>
  </si>
  <si>
    <t>1,20 c/u</t>
  </si>
  <si>
    <t>3 c/u</t>
  </si>
  <si>
    <t>MOROCHILLO ENTERO</t>
  </si>
  <si>
    <t>MOROCHILLO ZARANDEADO</t>
  </si>
  <si>
    <t>MOYUELO</t>
  </si>
  <si>
    <t>40KG</t>
  </si>
  <si>
    <t>COSTO</t>
  </si>
  <si>
    <t>COSTO TOTAL</t>
  </si>
  <si>
    <t>PRECIO 2</t>
  </si>
  <si>
    <t>PAQUETE</t>
  </si>
  <si>
    <t>PURE NATURE GATOS- ATUN SARDINA</t>
  </si>
  <si>
    <t>PRECIO MARCADO</t>
  </si>
  <si>
    <t>CAJA</t>
  </si>
  <si>
    <t>GRAN AVE ECO ENGORDE PELLET</t>
  </si>
  <si>
    <t>AVANT ADULTO RMG</t>
  </si>
  <si>
    <t>AVANTCACHORRO RP</t>
  </si>
  <si>
    <t>PURE NATURE PERRO- POLLO VEGETALES</t>
  </si>
  <si>
    <t>RELAMPAGO  VÍA ORAL (HASTA 10KG)</t>
  </si>
  <si>
    <t xml:space="preserve">RELAMPAGO VÍA ORAL (HASTA 25KG) </t>
  </si>
  <si>
    <t>RELAMPAGO VÍA ORAL (HASTA 50KG)</t>
  </si>
  <si>
    <t>ENROVET ORAL 10% GOTERO</t>
  </si>
  <si>
    <t>TRATAMIENTO</t>
  </si>
  <si>
    <t>PIPERAZINA 53%  SOBRE</t>
  </si>
  <si>
    <t>10G</t>
  </si>
  <si>
    <t>MAXIN FRASCO</t>
  </si>
  <si>
    <t>20ML</t>
  </si>
  <si>
    <t>INTOXICACIONES</t>
  </si>
  <si>
    <t>ANTIPARASITARIO POLLOS, CERDOS, CONEJOS</t>
  </si>
  <si>
    <t xml:space="preserve">BENDACUR FRASCO </t>
  </si>
  <si>
    <t>100ML</t>
  </si>
  <si>
    <t>1ml x 28 lb</t>
  </si>
  <si>
    <t>2 a 5ml</t>
  </si>
  <si>
    <t>2$</t>
  </si>
  <si>
    <t xml:space="preserve">ANTIPARASITARIO (ESPECIES MAYORES) </t>
  </si>
  <si>
    <t>5ml x 22lb</t>
  </si>
  <si>
    <t>RADEK</t>
  </si>
  <si>
    <t>1L</t>
  </si>
  <si>
    <t>2$ ml</t>
  </si>
  <si>
    <t>5$ menores 7$ mayores (dosis)</t>
  </si>
  <si>
    <t xml:space="preserve">ANTIPARASITARIO (ESPECIES MAYORES Y MENORES) </t>
  </si>
  <si>
    <t>BALVIT POLLOS INICIAL- CRECIMIENTO</t>
  </si>
  <si>
    <t>MOROCHILLO VITAMINIZADO</t>
  </si>
  <si>
    <t>CUY CONEJO ENGORDE</t>
  </si>
  <si>
    <t>CUY CONEJO CRECIMIENTO</t>
  </si>
  <si>
    <t>BEBEDERO 2LT</t>
  </si>
  <si>
    <t>BEBEDERO 4LT</t>
  </si>
  <si>
    <t>NUTRA PRO ADULTO RP</t>
  </si>
  <si>
    <t>7.5KG</t>
  </si>
  <si>
    <t>NUTRA PRO GATOS Y GATITOS</t>
  </si>
  <si>
    <t>ANTIMICROBIANO- ANTIINFLAMATORIO</t>
  </si>
  <si>
    <t>VETERGENTA GOTERO</t>
  </si>
  <si>
    <t>ANALGÉSICO- ANTIINFLAMATORIO</t>
  </si>
  <si>
    <t>MELOXI- FLASH GOTERO</t>
  </si>
  <si>
    <t>MULTIVITAMÍNICO</t>
  </si>
  <si>
    <t>30ML</t>
  </si>
  <si>
    <t>20gotasx1kg</t>
  </si>
  <si>
    <t>16gotas x 16,5lb</t>
  </si>
  <si>
    <t>ojo: 2gotas c/3          oído: 5gotas c/3</t>
  </si>
  <si>
    <t>FLUMEZONA</t>
  </si>
  <si>
    <t>1ml x animal</t>
  </si>
  <si>
    <t>20G</t>
  </si>
  <si>
    <t>FORTALIZADOR AVÍCOLA SOBRE</t>
  </si>
  <si>
    <t>ANTIANÉMICO Y VIGORIZANTE</t>
  </si>
  <si>
    <t>APETOVIT GOTERO</t>
  </si>
  <si>
    <t>VACUNA</t>
  </si>
  <si>
    <t>NEWCASTLE BRONQUITIS X 25 DOSIS</t>
  </si>
  <si>
    <t>JERINGA  X 100 UNIDADES</t>
  </si>
  <si>
    <t>1ML</t>
  </si>
  <si>
    <t>3ML</t>
  </si>
  <si>
    <t>ARENA NUTRA PRO LAVANDA</t>
  </si>
  <si>
    <t>4KG</t>
  </si>
  <si>
    <t>ARENA NUTRA PRO MANZANA</t>
  </si>
  <si>
    <t>ARENA AMERICALITTER</t>
  </si>
  <si>
    <t>7KG</t>
  </si>
  <si>
    <t xml:space="preserve">PAÑALES FEMALE DOG TALLA S </t>
  </si>
  <si>
    <t>ARENA NUTRITEC LAVANDA</t>
  </si>
  <si>
    <t>ANTISTAMÍNICO- ANTIPIRÉTICO- ANTIINFLAMATORIO</t>
  </si>
  <si>
    <t>PAÑAL TAPETE</t>
  </si>
  <si>
    <t>PAÑAL TAPETE PAQUETE</t>
  </si>
  <si>
    <t>FUNDA PARA RECOGER DESECHOS X6</t>
  </si>
  <si>
    <t>PALA PYG  2043</t>
  </si>
  <si>
    <t>PALA PYG  2049</t>
  </si>
  <si>
    <t>PLATO PBY 621</t>
  </si>
  <si>
    <t>JUGUETE POLLO PYD 003</t>
  </si>
  <si>
    <t>JUGUETE PYB 688</t>
  </si>
  <si>
    <t>PELOTA PYB 865</t>
  </si>
  <si>
    <t>PELOTA PYB 860</t>
  </si>
  <si>
    <t>PESCADO PYG 987</t>
  </si>
  <si>
    <t>CORREA PYG 1075A</t>
  </si>
  <si>
    <t>CORREA PYG 1091</t>
  </si>
  <si>
    <t>CORREA PYB 535</t>
  </si>
  <si>
    <t>CORREA PYG 1144</t>
  </si>
  <si>
    <t>CORREA PECHERA PYG 1145</t>
  </si>
  <si>
    <t>CORREA LAZO PYG 811</t>
  </si>
  <si>
    <t>ANTIBIOTICO DE ALTO ESPECTRO</t>
  </si>
  <si>
    <t>COMPLEJO B</t>
  </si>
  <si>
    <t>COMPLEXIGEME</t>
  </si>
  <si>
    <t>VIA DE ADMINISTRACIÓN</t>
  </si>
  <si>
    <t>ORAL</t>
  </si>
  <si>
    <t>TOPICA</t>
  </si>
  <si>
    <t>IM</t>
  </si>
  <si>
    <t>IM/IV</t>
  </si>
  <si>
    <t>GANADOR GOTERO</t>
  </si>
  <si>
    <t>TERMÓMETRO TIPO B SUAVE</t>
  </si>
  <si>
    <t>IM/SC</t>
  </si>
  <si>
    <t>SC</t>
  </si>
  <si>
    <t>VANGUARD PLUS</t>
  </si>
  <si>
    <t>RABIA</t>
  </si>
  <si>
    <t>TRIPLE FELINA</t>
  </si>
  <si>
    <t>según animal</t>
  </si>
  <si>
    <t>3$</t>
  </si>
  <si>
    <t>BACTERICIDA- CICATRIZANTE</t>
  </si>
  <si>
    <t xml:space="preserve">YODOTOPIC </t>
  </si>
  <si>
    <t>DESINFECTANTE- ANTISÉPTICO</t>
  </si>
  <si>
    <t>INPEL PLATA</t>
  </si>
  <si>
    <t>250ML</t>
  </si>
  <si>
    <t>BACTERICIDA- ANTIINFLAMATORIO</t>
  </si>
  <si>
    <t>FARBIODERM</t>
  </si>
  <si>
    <t>30G</t>
  </si>
  <si>
    <t>ANTIEMÉTICO- ANTIFLATULENTO</t>
  </si>
  <si>
    <t>DIGESTAL</t>
  </si>
  <si>
    <t>0,5MG</t>
  </si>
  <si>
    <t>DOXIM PET (DOXICICLINA)</t>
  </si>
  <si>
    <t>50MG</t>
  </si>
  <si>
    <t>ANTIPARASITARIO</t>
  </si>
  <si>
    <t>AMECTIN FORTE (IVERMECTINA 1,2%)</t>
  </si>
  <si>
    <t>ALPISTE</t>
  </si>
  <si>
    <t>11KG</t>
  </si>
  <si>
    <t>SAL EN GRANO</t>
  </si>
  <si>
    <t>CERDO CRECEDOR</t>
  </si>
  <si>
    <t>22KG</t>
  </si>
  <si>
    <t>CERDO ENGORDE</t>
  </si>
  <si>
    <t>CEPILLO PARA BAÑO</t>
  </si>
  <si>
    <t>LEVA CAN SHAMPOO MEDICADO+ TALCO</t>
  </si>
  <si>
    <t>MOROCHILLO PARTIDO</t>
  </si>
  <si>
    <t xml:space="preserve">TOTAL </t>
  </si>
  <si>
    <t>TOTAL</t>
  </si>
  <si>
    <t>43KG</t>
  </si>
  <si>
    <t>COLLARES ISABELINOS PYG 117</t>
  </si>
  <si>
    <t>DECTOMAX</t>
  </si>
  <si>
    <t>1ml</t>
  </si>
  <si>
    <t>1$</t>
  </si>
  <si>
    <t>PLAGUICIDA</t>
  </si>
  <si>
    <t>RATIFIN</t>
  </si>
  <si>
    <t>25G</t>
  </si>
  <si>
    <t>VO</t>
  </si>
  <si>
    <t>22LB</t>
  </si>
  <si>
    <t>MOROCHILLO ENTERO @</t>
  </si>
  <si>
    <t xml:space="preserve">PROCAT </t>
  </si>
  <si>
    <t>15KG</t>
  </si>
  <si>
    <t>PLACA PYB596</t>
  </si>
  <si>
    <t>PLACA PYB595</t>
  </si>
  <si>
    <t xml:space="preserve">UNIDAD </t>
  </si>
  <si>
    <t>PLACA PYG2089</t>
  </si>
  <si>
    <t>CORREA PYG1083</t>
  </si>
  <si>
    <t>CORREA PYG1086</t>
  </si>
  <si>
    <t>PAÑUELO PYG907</t>
  </si>
  <si>
    <t>PAÑUELO PYG1066</t>
  </si>
  <si>
    <t>PAÑUELO PYG1067</t>
  </si>
  <si>
    <t>JUGUETE PYG1154</t>
  </si>
  <si>
    <t>CORREA PYG778</t>
  </si>
  <si>
    <t>BINCHA PYB784</t>
  </si>
  <si>
    <t>CORTAUÑAS PYG1202</t>
  </si>
  <si>
    <t>CEPILLO PYG017</t>
  </si>
  <si>
    <t>CEPILLO DE BAÑO PYE032</t>
  </si>
  <si>
    <t>CORREA PYA072</t>
  </si>
  <si>
    <t>CORREA PYB937</t>
  </si>
  <si>
    <t>GLOBO GLA250</t>
  </si>
  <si>
    <t xml:space="preserve">GLOBO DE NUMERO </t>
  </si>
  <si>
    <t>PLATO PYB753</t>
  </si>
  <si>
    <t>PLATO PYB622</t>
  </si>
  <si>
    <t>PLATO PYB883</t>
  </si>
  <si>
    <t>ARENERO PYB728</t>
  </si>
  <si>
    <t>ARENERO PYB729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</si>
</sst>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&quot;$&quot;* #,##0.0_ ;_ &quot;$&quot;* \-#,##0.0_ ;_ &quot;$&quot;* &quot;-&quot;??_ ;_ @_ "/>
  </numFmts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0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2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  <xf numFmtId="9" fontId="2" fillId="0" borderId="0" xfId="2" applyFont="1" applyAlignment="1">
      <alignment horizontal="center" vertical="center"/>
    </xf>
    <xf numFmtId="0" fontId="2" fillId="0" borderId="0" xfId="0" applyFont="1"/>
    <xf numFmtId="44" fontId="0" fillId="0" borderId="0" xfId="0" applyNumberFormat="1" applyAlignment="1">
      <alignment horizontal="center" vertical="center"/>
    </xf>
    <xf numFmtId="44" fontId="2" fillId="0" borderId="0" xfId="0" applyNumberFormat="1" applyFont="1" applyAlignment="1">
      <alignment horizontal="center" vertical="center"/>
    </xf>
    <xf numFmtId="44" fontId="0" fillId="0" borderId="0" xfId="1" applyNumberFormat="1" applyFont="1" applyAlignment="1">
      <alignment horizontal="center" vertical="center"/>
    </xf>
    <xf numFmtId="44" fontId="0" fillId="0" borderId="0" xfId="1" applyNumberFormat="1" applyFont="1"/>
    <xf numFmtId="44" fontId="0" fillId="0" borderId="0" xfId="0" applyNumberForma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3" fillId="0" borderId="0" xfId="0" applyNumberFormat="1" applyFont="1" applyAlignment="1">
      <alignment horizontal="center" vertical="center"/>
    </xf>
    <xf numFmtId="44" fontId="0" fillId="2" borderId="0" xfId="1" applyNumberFormat="1" applyFont="1" applyFill="1"/>
    <xf numFmtId="44" fontId="3" fillId="0" borderId="0" xfId="2" applyNumberFormat="1" applyFont="1" applyAlignment="1">
      <alignment horizontal="center" vertical="center"/>
    </xf>
    <xf numFmtId="44" fontId="0" fillId="3" borderId="0" xfId="0" applyNumberFormat="1" applyFill="1"/>
    <xf numFmtId="44" fontId="3" fillId="0" borderId="0" xfId="1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44" fontId="0" fillId="3" borderId="0" xfId="1" applyNumberFormat="1" applyFont="1" applyFill="1"/>
    <xf numFmtId="0" fontId="0" fillId="4" borderId="0" xfId="0" applyFill="1" applyAlignment="1">
      <alignment horizontal="center" vertical="center"/>
    </xf>
    <xf numFmtId="44" fontId="0" fillId="4" borderId="0" xfId="0" applyNumberFormat="1" applyFill="1" applyAlignment="1">
      <alignment horizontal="center" vertical="center"/>
    </xf>
    <xf numFmtId="43" fontId="0" fillId="4" borderId="0" xfId="1" applyFont="1" applyFill="1" applyAlignment="1">
      <alignment horizontal="center" vertical="center"/>
    </xf>
    <xf numFmtId="44" fontId="3" fillId="4" borderId="0" xfId="0" applyNumberFormat="1" applyFont="1" applyFill="1" applyAlignment="1">
      <alignment horizontal="center" vertical="center"/>
    </xf>
    <xf numFmtId="44" fontId="0" fillId="4" borderId="0" xfId="1" applyNumberFormat="1" applyFont="1" applyFill="1" applyAlignment="1">
      <alignment horizontal="center" vertical="center"/>
    </xf>
    <xf numFmtId="44" fontId="0" fillId="4" borderId="0" xfId="1" applyNumberFormat="1" applyFont="1" applyFill="1"/>
    <xf numFmtId="44" fontId="0" fillId="4" borderId="0" xfId="0" applyNumberFormat="1" applyFill="1"/>
    <xf numFmtId="0" fontId="0" fillId="0" borderId="0" xfId="0" applyFont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3" borderId="0" xfId="0" applyFont="1" applyFill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44" fontId="0" fillId="6" borderId="0" xfId="1" applyNumberFormat="1" applyFont="1" applyFill="1" applyAlignment="1">
      <alignment horizontal="center" vertical="center"/>
    </xf>
    <xf numFmtId="44" fontId="2" fillId="3" borderId="0" xfId="0" applyNumberFormat="1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/>
    </xf>
    <xf numFmtId="44" fontId="0" fillId="0" borderId="0" xfId="1" applyNumberFormat="1" applyFont="1" applyAlignment="1">
      <alignment horizontal="left" vertical="top"/>
    </xf>
    <xf numFmtId="44" fontId="3" fillId="0" borderId="0" xfId="1" applyNumberFormat="1" applyFont="1" applyAlignment="1">
      <alignment horizontal="left" vertical="top"/>
    </xf>
    <xf numFmtId="44" fontId="0" fillId="3" borderId="0" xfId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44" fontId="0" fillId="5" borderId="0" xfId="0" applyNumberFormat="1" applyFill="1" applyAlignment="1">
      <alignment horizontal="center" vertical="center"/>
    </xf>
    <xf numFmtId="44" fontId="0" fillId="5" borderId="0" xfId="1" applyNumberFormat="1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4" fontId="0" fillId="3" borderId="0" xfId="1" applyNumberFormat="1" applyFont="1" applyFill="1" applyAlignment="1">
      <alignment vertical="center"/>
    </xf>
    <xf numFmtId="44" fontId="0" fillId="3" borderId="0" xfId="1" quotePrefix="1" applyNumberFormat="1" applyFont="1" applyFill="1"/>
    <xf numFmtId="0" fontId="2" fillId="7" borderId="0" xfId="0" applyFont="1" applyFill="1" applyAlignment="1">
      <alignment horizontal="center" vertical="center"/>
    </xf>
    <xf numFmtId="44" fontId="0" fillId="7" borderId="0" xfId="1" applyNumberFormat="1" applyFont="1" applyFill="1" applyAlignment="1">
      <alignment horizontal="center" vertical="center"/>
    </xf>
    <xf numFmtId="0" fontId="0" fillId="7" borderId="0" xfId="0" applyFill="1"/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44" fontId="0" fillId="0" borderId="0" xfId="0" applyNumberFormat="1" applyFill="1" applyAlignment="1">
      <alignment horizontal="center" vertical="center"/>
    </xf>
    <xf numFmtId="44" fontId="0" fillId="0" borderId="0" xfId="1" applyNumberFormat="1" applyFont="1" applyFill="1" applyAlignment="1">
      <alignment horizontal="center" vertical="center"/>
    </xf>
    <xf numFmtId="0" fontId="4" fillId="0" borderId="0" xfId="0" applyFont="1"/>
    <xf numFmtId="44" fontId="3" fillId="0" borderId="0" xfId="1" applyNumberFormat="1" applyFont="1" applyFill="1"/>
    <xf numFmtId="44" fontId="3" fillId="5" borderId="0" xfId="1" applyNumberFormat="1" applyFont="1" applyFill="1"/>
    <xf numFmtId="44" fontId="3" fillId="0" borderId="0" xfId="1" applyNumberFormat="1" applyFont="1"/>
    <xf numFmtId="0" fontId="0" fillId="7" borderId="0" xfId="0" applyFill="1" applyAlignment="1">
      <alignment horizontal="center" vertical="center"/>
    </xf>
    <xf numFmtId="44" fontId="0" fillId="7" borderId="0" xfId="0" applyNumberFormat="1" applyFill="1" applyAlignment="1">
      <alignment horizontal="center" vertical="center"/>
    </xf>
    <xf numFmtId="44" fontId="3" fillId="7" borderId="0" xfId="1" applyNumberFormat="1" applyFont="1" applyFill="1"/>
    <xf numFmtId="43" fontId="0" fillId="7" borderId="0" xfId="1" applyFont="1" applyFill="1"/>
    <xf numFmtId="44" fontId="0" fillId="8" borderId="0" xfId="0" applyNumberFormat="1" applyFill="1"/>
    <xf numFmtId="44" fontId="0" fillId="8" borderId="0" xfId="1" applyNumberFormat="1" applyFont="1" applyFill="1" applyAlignment="1">
      <alignment horizontal="center" vertical="center"/>
    </xf>
    <xf numFmtId="44" fontId="0" fillId="7" borderId="0" xfId="3" applyFont="1" applyFill="1" applyAlignment="1">
      <alignment horizontal="center" vertical="center"/>
    </xf>
    <xf numFmtId="0" fontId="0" fillId="4" borderId="0" xfId="0" applyFill="1"/>
    <xf numFmtId="44" fontId="3" fillId="0" borderId="0" xfId="0" applyNumberFormat="1" applyFont="1" applyFill="1" applyAlignment="1">
      <alignment horizontal="center" vertical="center"/>
    </xf>
    <xf numFmtId="44" fontId="0" fillId="7" borderId="0" xfId="0" applyNumberFormat="1" applyFill="1"/>
    <xf numFmtId="0" fontId="5" fillId="2" borderId="0" xfId="0" applyFont="1" applyFill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0F65B-F1FF-4C54-A25B-B371E9125AB6}">
  <dimension ref="A2:L61"/>
  <sheetViews>
    <sheetView tabSelected="1" workbookViewId="0">
      <selection activeCell="E60" sqref="E60"/>
    </sheetView>
  </sheetViews>
  <sheetFormatPr defaultColWidth="11" defaultRowHeight="14.25"/>
  <cols>
    <col min="1" max="1" width="6" customWidth="1"/>
    <col min="2" max="2" width="28.875" style="35" customWidth="1"/>
    <col min="3" max="4" width="11.375" style="3"/>
    <col min="5" max="5" width="11.375" style="10"/>
    <col min="6" max="6" width="6" style="3" customWidth="1"/>
    <col min="7" max="7" width="14" style="15" customWidth="1"/>
    <col min="8" max="8" width="10" style="3" customWidth="1"/>
    <col min="9" max="9" width="11.375" style="3"/>
    <col min="10" max="11" width="11.375" style="14"/>
  </cols>
  <sheetData>
    <row r="2" spans="1:12" ht="25.5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66"/>
    </row>
    <row r="3" spans="1:12" ht="15">
      <c r="A3" s="1" t="s">
        <v>1</v>
      </c>
      <c r="B3" s="2" t="s">
        <v>2</v>
      </c>
      <c r="C3" s="2" t="s">
        <v>115</v>
      </c>
      <c r="D3" s="2" t="s">
        <v>3</v>
      </c>
      <c r="E3" s="11" t="s">
        <v>128</v>
      </c>
      <c r="F3" s="2" t="s">
        <v>4</v>
      </c>
      <c r="G3" s="16" t="s">
        <v>129</v>
      </c>
      <c r="H3" s="2" t="s">
        <v>8</v>
      </c>
      <c r="I3" s="2" t="s">
        <v>5</v>
      </c>
      <c r="J3" s="11" t="s">
        <v>130</v>
      </c>
      <c r="K3" s="11"/>
      <c r="L3" s="2" t="s">
        <v>257</v>
      </c>
    </row>
    <row r="4" spans="1:12" ht="15">
      <c r="A4" s="1">
        <v>1</v>
      </c>
      <c r="B4" s="33" t="s">
        <v>136</v>
      </c>
      <c r="C4" s="31" t="s">
        <v>17</v>
      </c>
      <c r="D4" s="31">
        <v>1</v>
      </c>
      <c r="E4" s="10">
        <v>56.35</v>
      </c>
      <c r="F4" s="6">
        <v>0</v>
      </c>
      <c r="G4" s="17">
        <f t="shared" ref="G4:G7" si="0">(E4+F4)</f>
        <v>56.35</v>
      </c>
      <c r="H4" s="10">
        <f t="shared" ref="H4:H35" si="1">(I4-G4)</f>
        <v>2.8175000000000026</v>
      </c>
      <c r="I4" s="38">
        <f>(G4*1.05)</f>
        <v>59.167500000000004</v>
      </c>
      <c r="J4" s="23">
        <v>58</v>
      </c>
      <c r="K4" s="23"/>
      <c r="L4" s="14">
        <f>(E4*D4)</f>
        <v>56.35</v>
      </c>
    </row>
    <row r="5" spans="1:12" ht="15">
      <c r="A5" s="1">
        <v>2</v>
      </c>
      <c r="B5" s="34" t="s">
        <v>136</v>
      </c>
      <c r="C5" s="32" t="s">
        <v>114</v>
      </c>
      <c r="D5" s="32">
        <v>39.6</v>
      </c>
      <c r="E5" s="25">
        <f>(E4/D5)</f>
        <v>1.422979797979798</v>
      </c>
      <c r="F5" s="26">
        <v>0</v>
      </c>
      <c r="G5" s="27">
        <f t="shared" si="0"/>
        <v>1.422979797979798</v>
      </c>
      <c r="H5" s="25">
        <f t="shared" si="1"/>
        <v>0.12806818181818191</v>
      </c>
      <c r="I5" s="28">
        <f>(G5*1.09)</f>
        <v>1.5510479797979799</v>
      </c>
      <c r="J5" s="29"/>
      <c r="K5" s="29"/>
    </row>
    <row r="6" spans="1:12" ht="15">
      <c r="A6" s="1">
        <v>3</v>
      </c>
      <c r="B6" s="33" t="s">
        <v>137</v>
      </c>
      <c r="C6" s="31" t="s">
        <v>17</v>
      </c>
      <c r="D6" s="31">
        <v>1</v>
      </c>
      <c r="E6" s="10">
        <v>57.33</v>
      </c>
      <c r="F6" s="6">
        <v>0</v>
      </c>
      <c r="G6" s="17">
        <f t="shared" si="0"/>
        <v>57.33</v>
      </c>
      <c r="H6" s="10">
        <f t="shared" si="1"/>
        <v>2.866500000000002</v>
      </c>
      <c r="I6" s="38">
        <f>(G6*1.05)</f>
        <v>60.1965</v>
      </c>
      <c r="J6" s="23">
        <v>59.5</v>
      </c>
      <c r="K6" s="23"/>
      <c r="L6" s="14">
        <f>(E6*D6)</f>
        <v>57.33</v>
      </c>
    </row>
    <row r="7" spans="1:12" ht="15">
      <c r="A7" s="1">
        <v>4</v>
      </c>
      <c r="B7" s="34" t="s">
        <v>137</v>
      </c>
      <c r="C7" s="32" t="s">
        <v>114</v>
      </c>
      <c r="D7" s="32">
        <v>39.6</v>
      </c>
      <c r="E7" s="25">
        <f>(E6/D7)</f>
        <v>1.4477272727272725</v>
      </c>
      <c r="F7" s="26">
        <v>0</v>
      </c>
      <c r="G7" s="27">
        <f t="shared" si="0"/>
        <v>1.4477272727272725</v>
      </c>
      <c r="H7" s="25">
        <f t="shared" si="1"/>
        <v>0.20268181818181796</v>
      </c>
      <c r="I7" s="28">
        <f>(G7*1.14)</f>
        <v>1.6504090909090905</v>
      </c>
      <c r="J7" s="29"/>
      <c r="K7" s="29"/>
    </row>
    <row r="8" spans="1:12" ht="15">
      <c r="A8" s="1">
        <v>5</v>
      </c>
      <c r="B8" s="35" t="s">
        <v>33</v>
      </c>
      <c r="C8" s="3" t="s">
        <v>12</v>
      </c>
      <c r="D8" s="3">
        <v>1</v>
      </c>
      <c r="E8" s="10">
        <v>39.200000000000003</v>
      </c>
      <c r="F8" s="6">
        <v>0</v>
      </c>
      <c r="G8" s="17">
        <f>(E8+F8)</f>
        <v>39.200000000000003</v>
      </c>
      <c r="H8" s="10">
        <f t="shared" si="1"/>
        <v>3.8023999999999987</v>
      </c>
      <c r="I8" s="38">
        <f>(G8*1.097)</f>
        <v>43.002400000000002</v>
      </c>
      <c r="J8" s="13">
        <v>44</v>
      </c>
      <c r="K8" s="13"/>
      <c r="L8" s="14">
        <f>(E8*D8)</f>
        <v>39.200000000000003</v>
      </c>
    </row>
    <row r="9" spans="1:12" ht="15">
      <c r="A9" s="1">
        <v>6</v>
      </c>
      <c r="B9" s="36" t="s">
        <v>33</v>
      </c>
      <c r="C9" s="24" t="s">
        <v>114</v>
      </c>
      <c r="D9" s="24">
        <v>66</v>
      </c>
      <c r="E9" s="25">
        <f>(G8/D9)</f>
        <v>0.59393939393939399</v>
      </c>
      <c r="F9" s="26">
        <v>0</v>
      </c>
      <c r="G9" s="27">
        <f t="shared" ref="G9:G59" si="2">(E9+F9)</f>
        <v>0.59393939393939399</v>
      </c>
      <c r="H9" s="25">
        <f t="shared" si="1"/>
        <v>0.15442424242424246</v>
      </c>
      <c r="I9" s="28">
        <f>(G9*1.26)</f>
        <v>0.74836363636363645</v>
      </c>
      <c r="J9" s="29"/>
      <c r="K9" s="29"/>
    </row>
    <row r="10" spans="1:12" ht="15">
      <c r="A10" s="1">
        <v>7</v>
      </c>
      <c r="B10" s="35" t="s">
        <v>32</v>
      </c>
      <c r="C10" s="3" t="s">
        <v>12</v>
      </c>
      <c r="D10" s="3">
        <v>4</v>
      </c>
      <c r="E10" s="10">
        <v>40.18</v>
      </c>
      <c r="F10" s="6">
        <v>0</v>
      </c>
      <c r="G10" s="17">
        <f t="shared" si="2"/>
        <v>40.18</v>
      </c>
      <c r="H10" s="10">
        <f t="shared" si="1"/>
        <v>3.8572800000000029</v>
      </c>
      <c r="I10" s="38">
        <f>(G10*1.096)</f>
        <v>44.037280000000003</v>
      </c>
      <c r="J10" s="13">
        <v>45</v>
      </c>
      <c r="K10" s="13"/>
      <c r="L10" s="14">
        <f>(E10*D10)</f>
        <v>160.72</v>
      </c>
    </row>
    <row r="11" spans="1:12" ht="15">
      <c r="A11" s="1">
        <v>8</v>
      </c>
      <c r="B11" s="36" t="s">
        <v>32</v>
      </c>
      <c r="C11" s="24" t="s">
        <v>114</v>
      </c>
      <c r="D11" s="24">
        <v>66</v>
      </c>
      <c r="E11" s="25">
        <f>(G10/D11)</f>
        <v>0.60878787878787877</v>
      </c>
      <c r="F11" s="26">
        <v>0</v>
      </c>
      <c r="G11" s="27">
        <f t="shared" si="2"/>
        <v>0.60878787878787877</v>
      </c>
      <c r="H11" s="25">
        <f t="shared" si="1"/>
        <v>0.1400212121212121</v>
      </c>
      <c r="I11" s="28">
        <f>(G11*1.23)</f>
        <v>0.74880909090909087</v>
      </c>
      <c r="J11" s="29"/>
      <c r="K11" s="29"/>
    </row>
    <row r="12" spans="1:12" ht="15">
      <c r="A12" s="1">
        <v>9</v>
      </c>
      <c r="B12" s="35" t="s">
        <v>6</v>
      </c>
      <c r="C12" s="3" t="s">
        <v>7</v>
      </c>
      <c r="D12" s="3">
        <v>3</v>
      </c>
      <c r="E12" s="10">
        <v>48</v>
      </c>
      <c r="F12" s="6">
        <v>0</v>
      </c>
      <c r="G12" s="17">
        <f t="shared" si="2"/>
        <v>48</v>
      </c>
      <c r="H12" s="10">
        <f t="shared" si="1"/>
        <v>1.9679999999999964</v>
      </c>
      <c r="I12" s="38">
        <f>(G12*1.041)</f>
        <v>49.967999999999996</v>
      </c>
      <c r="J12" s="13">
        <v>51</v>
      </c>
      <c r="K12" s="13"/>
      <c r="L12" s="14">
        <f>(E12*D12)</f>
        <v>144</v>
      </c>
    </row>
    <row r="13" spans="1:12" ht="15">
      <c r="A13" s="1">
        <v>10</v>
      </c>
      <c r="B13" s="36" t="s">
        <v>6</v>
      </c>
      <c r="C13" s="24" t="s">
        <v>114</v>
      </c>
      <c r="D13" s="24">
        <v>55</v>
      </c>
      <c r="E13" s="25">
        <f>(G12/D13)</f>
        <v>0.87272727272727268</v>
      </c>
      <c r="F13" s="26">
        <v>0</v>
      </c>
      <c r="G13" s="27">
        <f t="shared" si="2"/>
        <v>0.87272727272727268</v>
      </c>
      <c r="H13" s="25">
        <f t="shared" si="1"/>
        <v>0.22690909090909084</v>
      </c>
      <c r="I13" s="28">
        <f>(G13*1.26)</f>
        <v>1.0996363636363635</v>
      </c>
      <c r="J13" s="29"/>
      <c r="K13" s="29"/>
    </row>
    <row r="14" spans="1:12" ht="15">
      <c r="A14" s="1">
        <v>11</v>
      </c>
      <c r="B14" s="35" t="s">
        <v>9</v>
      </c>
      <c r="C14" s="3" t="s">
        <v>7</v>
      </c>
      <c r="D14" s="3">
        <v>1</v>
      </c>
      <c r="E14" s="10">
        <v>53.14</v>
      </c>
      <c r="F14" s="6">
        <v>0</v>
      </c>
      <c r="G14" s="17">
        <f t="shared" si="2"/>
        <v>53.14</v>
      </c>
      <c r="H14" s="10">
        <f t="shared" si="1"/>
        <v>2.391299999999994</v>
      </c>
      <c r="I14" s="38">
        <f>(G14*1.045)</f>
        <v>55.531299999999995</v>
      </c>
      <c r="J14" s="13">
        <v>55.5</v>
      </c>
      <c r="K14" s="13"/>
      <c r="L14" s="14">
        <f>(E14*D14)</f>
        <v>53.14</v>
      </c>
    </row>
    <row r="15" spans="1:12" ht="15">
      <c r="A15" s="1">
        <v>12</v>
      </c>
      <c r="B15" s="36" t="s">
        <v>9</v>
      </c>
      <c r="C15" s="24" t="s">
        <v>114</v>
      </c>
      <c r="D15" s="24">
        <v>55</v>
      </c>
      <c r="E15" s="25">
        <f>(G14/D15)</f>
        <v>0.96618181818181814</v>
      </c>
      <c r="F15" s="26">
        <v>0</v>
      </c>
      <c r="G15" s="27">
        <f t="shared" si="2"/>
        <v>0.96618181818181814</v>
      </c>
      <c r="H15" s="25">
        <f t="shared" si="1"/>
        <v>0.2318836363636364</v>
      </c>
      <c r="I15" s="28">
        <f>(G15*1.24)</f>
        <v>1.1980654545454545</v>
      </c>
      <c r="J15" s="29"/>
      <c r="K15" s="29"/>
    </row>
    <row r="16" spans="1:12" ht="15">
      <c r="A16" s="1">
        <v>13</v>
      </c>
      <c r="B16" s="35" t="s">
        <v>13</v>
      </c>
      <c r="C16" s="3" t="s">
        <v>14</v>
      </c>
      <c r="D16" s="3">
        <v>3</v>
      </c>
      <c r="E16" s="10">
        <v>32.340000000000003</v>
      </c>
      <c r="F16" s="6">
        <v>0</v>
      </c>
      <c r="G16" s="17">
        <f t="shared" si="2"/>
        <v>32.340000000000003</v>
      </c>
      <c r="H16" s="10">
        <f t="shared" si="1"/>
        <v>3.1369800000000012</v>
      </c>
      <c r="I16" s="38">
        <f>(G16*1.097)</f>
        <v>35.476980000000005</v>
      </c>
      <c r="J16" s="13">
        <v>34.5</v>
      </c>
      <c r="K16" s="13"/>
      <c r="L16" s="14">
        <f>(E16*D16)</f>
        <v>97.02000000000001</v>
      </c>
    </row>
    <row r="17" spans="1:12" ht="15">
      <c r="A17" s="1">
        <v>14</v>
      </c>
      <c r="B17" s="36" t="s">
        <v>13</v>
      </c>
      <c r="C17" s="24" t="s">
        <v>114</v>
      </c>
      <c r="D17" s="24">
        <v>68.2</v>
      </c>
      <c r="E17" s="25">
        <f>(G16/D17)</f>
        <v>0.47419354838709682</v>
      </c>
      <c r="F17" s="26">
        <v>0</v>
      </c>
      <c r="G17" s="27">
        <f t="shared" si="2"/>
        <v>0.47419354838709682</v>
      </c>
      <c r="H17" s="25">
        <f t="shared" si="1"/>
        <v>0.12803225806451612</v>
      </c>
      <c r="I17" s="28">
        <f>(G17*1.27)</f>
        <v>0.60222580645161294</v>
      </c>
      <c r="J17" s="29"/>
      <c r="K17" s="29"/>
    </row>
    <row r="18" spans="1:12" ht="15">
      <c r="A18" s="1">
        <v>15</v>
      </c>
      <c r="B18" s="35" t="s">
        <v>15</v>
      </c>
      <c r="C18" s="3" t="s">
        <v>14</v>
      </c>
      <c r="D18" s="3">
        <v>1</v>
      </c>
      <c r="E18" s="10">
        <v>37.24</v>
      </c>
      <c r="F18" s="6">
        <v>0</v>
      </c>
      <c r="G18" s="17">
        <f t="shared" si="2"/>
        <v>37.24</v>
      </c>
      <c r="H18" s="10">
        <f t="shared" si="1"/>
        <v>1.7502799999999965</v>
      </c>
      <c r="I18" s="38">
        <f>(G18*1.047)</f>
        <v>38.990279999999998</v>
      </c>
      <c r="J18" s="13">
        <v>40</v>
      </c>
      <c r="K18" s="13"/>
      <c r="L18" s="14">
        <f>(E18*D18)</f>
        <v>37.24</v>
      </c>
    </row>
    <row r="19" spans="1:12" ht="15">
      <c r="A19" s="1">
        <v>16</v>
      </c>
      <c r="B19" s="36" t="s">
        <v>15</v>
      </c>
      <c r="C19" s="24" t="s">
        <v>114</v>
      </c>
      <c r="D19" s="24">
        <v>68.2</v>
      </c>
      <c r="E19" s="25">
        <f>(G18/D19)</f>
        <v>0.54604105571847505</v>
      </c>
      <c r="F19" s="26">
        <v>0</v>
      </c>
      <c r="G19" s="27">
        <f t="shared" si="2"/>
        <v>0.54604105571847505</v>
      </c>
      <c r="H19" s="25">
        <f t="shared" si="1"/>
        <v>0.15289149560117299</v>
      </c>
      <c r="I19" s="28">
        <f>(G19*1.28)</f>
        <v>0.69893255131964804</v>
      </c>
      <c r="J19" s="29"/>
      <c r="K19" s="29"/>
    </row>
    <row r="20" spans="1:12" ht="15">
      <c r="A20" s="1">
        <v>17</v>
      </c>
      <c r="B20" s="35" t="s">
        <v>29</v>
      </c>
      <c r="C20" s="3" t="s">
        <v>17</v>
      </c>
      <c r="D20" s="3">
        <v>2</v>
      </c>
      <c r="E20" s="10">
        <v>30.87</v>
      </c>
      <c r="F20" s="6">
        <v>0</v>
      </c>
      <c r="G20" s="17">
        <f t="shared" si="2"/>
        <v>30.87</v>
      </c>
      <c r="H20" s="10">
        <f t="shared" si="1"/>
        <v>2.1609000000000016</v>
      </c>
      <c r="I20" s="38">
        <f>(G20*1.07)</f>
        <v>33.030900000000003</v>
      </c>
      <c r="J20" s="13">
        <v>33</v>
      </c>
      <c r="K20" s="13"/>
      <c r="L20" s="14">
        <f>(E20*D20)</f>
        <v>61.74</v>
      </c>
    </row>
    <row r="21" spans="1:12" ht="15">
      <c r="A21" s="1">
        <v>18</v>
      </c>
      <c r="B21" s="36" t="s">
        <v>29</v>
      </c>
      <c r="C21" s="24" t="s">
        <v>114</v>
      </c>
      <c r="D21" s="24">
        <v>39.6</v>
      </c>
      <c r="E21" s="25">
        <f>(G20/D21)</f>
        <v>0.77954545454545454</v>
      </c>
      <c r="F21" s="26">
        <v>0</v>
      </c>
      <c r="G21" s="27">
        <f t="shared" si="2"/>
        <v>0.77954545454545454</v>
      </c>
      <c r="H21" s="25">
        <f t="shared" si="1"/>
        <v>0.21827272727272728</v>
      </c>
      <c r="I21" s="28">
        <f>(G21*1.28)</f>
        <v>0.99781818181818183</v>
      </c>
      <c r="J21" s="29"/>
      <c r="K21" s="29"/>
    </row>
    <row r="22" spans="1:12" ht="15">
      <c r="A22" s="1">
        <v>19</v>
      </c>
      <c r="B22" s="35" t="s">
        <v>27</v>
      </c>
      <c r="C22" s="3" t="s">
        <v>12</v>
      </c>
      <c r="D22" s="3">
        <v>3</v>
      </c>
      <c r="E22" s="10">
        <v>29.89</v>
      </c>
      <c r="F22" s="6">
        <v>0</v>
      </c>
      <c r="G22" s="17">
        <f t="shared" si="2"/>
        <v>29.89</v>
      </c>
      <c r="H22" s="10">
        <f t="shared" si="1"/>
        <v>4.1248199999999997</v>
      </c>
      <c r="I22" s="38">
        <f>(G22*1.138)</f>
        <v>34.01482</v>
      </c>
      <c r="J22" s="13">
        <v>33</v>
      </c>
      <c r="K22" s="13"/>
      <c r="L22" s="14">
        <f>(E22*D22)</f>
        <v>89.67</v>
      </c>
    </row>
    <row r="23" spans="1:12" ht="15">
      <c r="A23" s="1">
        <v>20</v>
      </c>
      <c r="B23" s="36" t="s">
        <v>27</v>
      </c>
      <c r="C23" s="24" t="s">
        <v>114</v>
      </c>
      <c r="D23" s="24">
        <v>66</v>
      </c>
      <c r="E23" s="25">
        <f>(G22/D23)</f>
        <v>0.45287878787878788</v>
      </c>
      <c r="F23" s="26">
        <v>0</v>
      </c>
      <c r="G23" s="27">
        <f t="shared" si="2"/>
        <v>0.45287878787878788</v>
      </c>
      <c r="H23" s="25">
        <f t="shared" si="1"/>
        <v>9.7121212121212164E-2</v>
      </c>
      <c r="I23" s="28">
        <v>0.55000000000000004</v>
      </c>
      <c r="J23" s="29"/>
      <c r="K23" s="29"/>
    </row>
    <row r="24" spans="1:12" ht="15">
      <c r="A24" s="1">
        <v>21</v>
      </c>
      <c r="B24" s="35" t="s">
        <v>28</v>
      </c>
      <c r="C24" s="3" t="s">
        <v>12</v>
      </c>
      <c r="D24" s="3">
        <v>1</v>
      </c>
      <c r="E24" s="10">
        <v>33.32</v>
      </c>
      <c r="F24" s="6">
        <v>0</v>
      </c>
      <c r="G24" s="17">
        <f t="shared" si="2"/>
        <v>33.32</v>
      </c>
      <c r="H24" s="10">
        <f t="shared" si="1"/>
        <v>2.6656000000000049</v>
      </c>
      <c r="I24" s="38">
        <f>(G24*1.08)</f>
        <v>35.985600000000005</v>
      </c>
      <c r="J24" s="13">
        <v>36</v>
      </c>
      <c r="K24" s="13"/>
      <c r="L24" s="14">
        <f>(E24*D24)</f>
        <v>33.32</v>
      </c>
    </row>
    <row r="25" spans="1:12" ht="15">
      <c r="A25" s="1">
        <v>22</v>
      </c>
      <c r="B25" s="36" t="s">
        <v>28</v>
      </c>
      <c r="C25" s="24" t="s">
        <v>114</v>
      </c>
      <c r="D25" s="24">
        <v>66</v>
      </c>
      <c r="E25" s="25">
        <f>(G24/D25)</f>
        <v>0.50484848484848488</v>
      </c>
      <c r="F25" s="26">
        <v>0</v>
      </c>
      <c r="G25" s="27">
        <f t="shared" si="2"/>
        <v>0.50484848484848488</v>
      </c>
      <c r="H25" s="25">
        <f t="shared" si="1"/>
        <v>0.14135757575757579</v>
      </c>
      <c r="I25" s="28">
        <f>(G25*1.28)</f>
        <v>0.64620606060606067</v>
      </c>
      <c r="J25" s="29"/>
      <c r="K25" s="29"/>
    </row>
    <row r="26" spans="1:12" ht="15">
      <c r="A26" s="1">
        <v>23</v>
      </c>
      <c r="B26" s="35" t="s">
        <v>21</v>
      </c>
      <c r="C26" s="3" t="s">
        <v>19</v>
      </c>
      <c r="D26" s="3">
        <v>4</v>
      </c>
      <c r="E26" s="10">
        <v>1.64</v>
      </c>
      <c r="F26" s="6">
        <v>0</v>
      </c>
      <c r="G26" s="17">
        <f t="shared" si="2"/>
        <v>1.64</v>
      </c>
      <c r="H26" s="10">
        <f t="shared" si="1"/>
        <v>0.36080000000000001</v>
      </c>
      <c r="I26" s="12">
        <f>(G26*1.22)</f>
        <v>2.0007999999999999</v>
      </c>
      <c r="J26" s="13">
        <v>2</v>
      </c>
      <c r="K26" s="13"/>
      <c r="L26" s="14">
        <f t="shared" ref="L26:L30" si="3">(E26*D26)</f>
        <v>6.56</v>
      </c>
    </row>
    <row r="27" spans="1:12" ht="15">
      <c r="A27" s="1">
        <v>24</v>
      </c>
      <c r="B27" s="35" t="s">
        <v>20</v>
      </c>
      <c r="C27" s="3" t="s">
        <v>19</v>
      </c>
      <c r="D27" s="3">
        <v>4</v>
      </c>
      <c r="E27" s="10">
        <v>1.64</v>
      </c>
      <c r="F27" s="6">
        <v>0</v>
      </c>
      <c r="G27" s="17">
        <f t="shared" si="2"/>
        <v>1.64</v>
      </c>
      <c r="H27" s="10">
        <f t="shared" si="1"/>
        <v>0.36080000000000001</v>
      </c>
      <c r="I27" s="12">
        <f>(G27*1.22)</f>
        <v>2.0007999999999999</v>
      </c>
      <c r="J27" s="13">
        <v>2</v>
      </c>
      <c r="K27" s="13"/>
      <c r="L27" s="14">
        <f t="shared" si="3"/>
        <v>6.56</v>
      </c>
    </row>
    <row r="28" spans="1:12" ht="15">
      <c r="A28" s="1">
        <v>25</v>
      </c>
      <c r="B28" s="35" t="s">
        <v>22</v>
      </c>
      <c r="C28" s="3" t="s">
        <v>19</v>
      </c>
      <c r="D28" s="3">
        <v>4</v>
      </c>
      <c r="E28" s="10">
        <v>1.64</v>
      </c>
      <c r="F28" s="6">
        <v>0</v>
      </c>
      <c r="G28" s="17">
        <f t="shared" si="2"/>
        <v>1.64</v>
      </c>
      <c r="H28" s="10">
        <f t="shared" si="1"/>
        <v>0.36080000000000001</v>
      </c>
      <c r="I28" s="12">
        <f>(G28*1.22)</f>
        <v>2.0007999999999999</v>
      </c>
      <c r="J28" s="13">
        <v>2</v>
      </c>
      <c r="K28" s="13"/>
      <c r="L28" s="14">
        <f t="shared" si="3"/>
        <v>6.56</v>
      </c>
    </row>
    <row r="29" spans="1:12" ht="15">
      <c r="A29" s="1">
        <v>26</v>
      </c>
      <c r="B29" s="35" t="s">
        <v>23</v>
      </c>
      <c r="C29" s="3" t="s">
        <v>19</v>
      </c>
      <c r="D29" s="3">
        <v>4</v>
      </c>
      <c r="E29" s="10">
        <v>1.24</v>
      </c>
      <c r="F29" s="6">
        <v>0</v>
      </c>
      <c r="G29" s="17">
        <f t="shared" si="2"/>
        <v>1.24</v>
      </c>
      <c r="H29" s="10">
        <f t="shared" si="1"/>
        <v>0.37200000000000011</v>
      </c>
      <c r="I29" s="12">
        <f>(G29*1.3)</f>
        <v>1.6120000000000001</v>
      </c>
      <c r="J29" s="13">
        <v>1.6</v>
      </c>
      <c r="K29" s="13"/>
      <c r="L29" s="14">
        <f t="shared" si="3"/>
        <v>4.96</v>
      </c>
    </row>
    <row r="30" spans="1:12" ht="15">
      <c r="A30" s="1">
        <v>27</v>
      </c>
      <c r="B30" s="35" t="s">
        <v>30</v>
      </c>
      <c r="C30" s="3" t="s">
        <v>12</v>
      </c>
      <c r="D30" s="3">
        <v>3</v>
      </c>
      <c r="E30" s="10">
        <v>27.17</v>
      </c>
      <c r="F30" s="6">
        <v>0</v>
      </c>
      <c r="G30" s="17">
        <f t="shared" si="2"/>
        <v>27.17</v>
      </c>
      <c r="H30" s="10">
        <f t="shared" si="1"/>
        <v>5.4339999999999975</v>
      </c>
      <c r="I30" s="38">
        <f>(G30*1.2)</f>
        <v>32.603999999999999</v>
      </c>
      <c r="J30" s="13">
        <v>35</v>
      </c>
      <c r="K30" s="13"/>
      <c r="L30" s="14">
        <f t="shared" si="3"/>
        <v>81.510000000000005</v>
      </c>
    </row>
    <row r="31" spans="1:12" ht="15">
      <c r="A31" s="1">
        <v>28</v>
      </c>
      <c r="B31" s="36" t="s">
        <v>30</v>
      </c>
      <c r="C31" s="24" t="s">
        <v>114</v>
      </c>
      <c r="D31" s="24">
        <v>66</v>
      </c>
      <c r="E31" s="25">
        <f>(G30/D31)</f>
        <v>0.41166666666666668</v>
      </c>
      <c r="F31" s="26">
        <v>0</v>
      </c>
      <c r="G31" s="27">
        <f t="shared" si="2"/>
        <v>0.41166666666666668</v>
      </c>
      <c r="H31" s="25">
        <f t="shared" si="1"/>
        <v>0.13585000000000008</v>
      </c>
      <c r="I31" s="28">
        <f>(G31*1.33)</f>
        <v>0.54751666666666676</v>
      </c>
      <c r="J31" s="29"/>
      <c r="K31" s="29"/>
    </row>
    <row r="32" spans="1:12" ht="15">
      <c r="A32" s="1">
        <v>29</v>
      </c>
      <c r="B32" s="35" t="s">
        <v>31</v>
      </c>
      <c r="C32" s="3" t="s">
        <v>12</v>
      </c>
      <c r="D32" s="3">
        <v>1</v>
      </c>
      <c r="E32" s="10">
        <v>29.35</v>
      </c>
      <c r="F32" s="6">
        <v>0</v>
      </c>
      <c r="G32" s="17">
        <f t="shared" si="2"/>
        <v>29.35</v>
      </c>
      <c r="H32" s="10">
        <f t="shared" si="1"/>
        <v>4.9894999999999996</v>
      </c>
      <c r="I32" s="38">
        <f>(G32*1.17)</f>
        <v>34.339500000000001</v>
      </c>
      <c r="J32" s="13">
        <v>36</v>
      </c>
      <c r="K32" s="13"/>
      <c r="L32" s="14">
        <f>(E32*D32)</f>
        <v>29.35</v>
      </c>
    </row>
    <row r="33" spans="1:12" ht="15">
      <c r="A33" s="1">
        <v>30</v>
      </c>
      <c r="B33" s="36" t="s">
        <v>31</v>
      </c>
      <c r="C33" s="24" t="s">
        <v>114</v>
      </c>
      <c r="D33" s="24">
        <v>66</v>
      </c>
      <c r="E33" s="25">
        <f>(G32/D33)</f>
        <v>0.4446969696969697</v>
      </c>
      <c r="F33" s="26">
        <v>0</v>
      </c>
      <c r="G33" s="27">
        <f t="shared" si="2"/>
        <v>0.4446969696969697</v>
      </c>
      <c r="H33" s="25">
        <f t="shared" si="1"/>
        <v>0.15564393939393939</v>
      </c>
      <c r="I33" s="28">
        <f>(G33*1.35)</f>
        <v>0.60034090909090909</v>
      </c>
      <c r="J33" s="29"/>
      <c r="K33" s="29"/>
    </row>
    <row r="34" spans="1:12" ht="15">
      <c r="A34" s="1">
        <v>31</v>
      </c>
      <c r="B34" s="35" t="s">
        <v>16</v>
      </c>
      <c r="C34" s="3" t="s">
        <v>17</v>
      </c>
      <c r="D34" s="3">
        <v>2</v>
      </c>
      <c r="E34" s="10">
        <v>28.42</v>
      </c>
      <c r="F34" s="6">
        <v>0</v>
      </c>
      <c r="G34" s="17">
        <f t="shared" si="2"/>
        <v>28.42</v>
      </c>
      <c r="H34" s="10">
        <f t="shared" si="1"/>
        <v>3.6093400000000031</v>
      </c>
      <c r="I34" s="38">
        <f>(G34*1.127)</f>
        <v>32.029340000000005</v>
      </c>
      <c r="J34" s="13">
        <v>31</v>
      </c>
      <c r="K34" s="13"/>
      <c r="L34" s="14">
        <f>(E34*D34)</f>
        <v>56.84</v>
      </c>
    </row>
    <row r="35" spans="1:12" ht="15">
      <c r="A35" s="1">
        <v>32</v>
      </c>
      <c r="B35" s="36" t="s">
        <v>16</v>
      </c>
      <c r="C35" s="24" t="s">
        <v>114</v>
      </c>
      <c r="D35" s="24">
        <v>39.6</v>
      </c>
      <c r="E35" s="25">
        <f>(G34/D35)</f>
        <v>0.71767676767676769</v>
      </c>
      <c r="F35" s="26">
        <v>0</v>
      </c>
      <c r="G35" s="27">
        <f t="shared" si="2"/>
        <v>0.71767676767676769</v>
      </c>
      <c r="H35" s="25">
        <f t="shared" si="1"/>
        <v>0.28707070707070703</v>
      </c>
      <c r="I35" s="28">
        <f>(G35*1.4)</f>
        <v>1.0047474747474747</v>
      </c>
      <c r="J35" s="29"/>
      <c r="K35" s="29"/>
    </row>
    <row r="36" spans="1:12" ht="15">
      <c r="A36" s="1">
        <v>33</v>
      </c>
      <c r="B36" s="35" t="s">
        <v>16</v>
      </c>
      <c r="C36" s="3" t="s">
        <v>18</v>
      </c>
      <c r="D36" s="3">
        <v>2</v>
      </c>
      <c r="E36" s="10">
        <v>1.4</v>
      </c>
      <c r="F36" s="6">
        <v>0</v>
      </c>
      <c r="G36" s="17">
        <f t="shared" si="2"/>
        <v>1.4</v>
      </c>
      <c r="H36" s="10">
        <f t="shared" ref="H36:H59" si="4">(I36-G36)</f>
        <v>0.40459999999999985</v>
      </c>
      <c r="I36" s="12">
        <f>(G36*1.289)</f>
        <v>1.8045999999999998</v>
      </c>
      <c r="J36" s="18">
        <v>1.7</v>
      </c>
      <c r="K36" s="18"/>
      <c r="L36" s="14">
        <f t="shared" ref="L36:L37" si="5">(E36*D36)</f>
        <v>2.8</v>
      </c>
    </row>
    <row r="37" spans="1:12" ht="15">
      <c r="A37" s="1">
        <v>34</v>
      </c>
      <c r="B37" s="35" t="s">
        <v>34</v>
      </c>
      <c r="C37" s="3" t="s">
        <v>12</v>
      </c>
      <c r="D37" s="3">
        <v>1</v>
      </c>
      <c r="E37" s="10">
        <v>30.05</v>
      </c>
      <c r="F37" s="6">
        <v>0</v>
      </c>
      <c r="G37" s="17">
        <f t="shared" si="2"/>
        <v>30.05</v>
      </c>
      <c r="H37" s="10">
        <f t="shared" si="4"/>
        <v>2.9148499999999977</v>
      </c>
      <c r="I37" s="38">
        <f>(G37*1.097)</f>
        <v>32.964849999999998</v>
      </c>
      <c r="J37" s="13">
        <v>32.5</v>
      </c>
      <c r="K37" s="13"/>
      <c r="L37" s="14">
        <f t="shared" si="5"/>
        <v>30.05</v>
      </c>
    </row>
    <row r="38" spans="1:12" ht="15">
      <c r="A38" s="1">
        <v>35</v>
      </c>
      <c r="B38" s="36" t="s">
        <v>34</v>
      </c>
      <c r="C38" s="24" t="s">
        <v>114</v>
      </c>
      <c r="D38" s="24">
        <v>66</v>
      </c>
      <c r="E38" s="25">
        <f>(G37/D38)</f>
        <v>0.45530303030303032</v>
      </c>
      <c r="F38" s="26">
        <v>0</v>
      </c>
      <c r="G38" s="27">
        <f t="shared" si="2"/>
        <v>0.45530303030303032</v>
      </c>
      <c r="H38" s="25">
        <f t="shared" si="4"/>
        <v>0.14569696969696977</v>
      </c>
      <c r="I38" s="28">
        <f>(G38*1.32)</f>
        <v>0.60100000000000009</v>
      </c>
      <c r="J38" s="29"/>
      <c r="K38" s="29"/>
    </row>
    <row r="39" spans="1:12" ht="15">
      <c r="A39" s="1">
        <v>36</v>
      </c>
      <c r="B39" s="35" t="s">
        <v>34</v>
      </c>
      <c r="C39" s="3" t="s">
        <v>39</v>
      </c>
      <c r="D39" s="3">
        <v>9</v>
      </c>
      <c r="E39" s="10">
        <v>0.8</v>
      </c>
      <c r="F39" s="6">
        <v>0</v>
      </c>
      <c r="G39" s="17">
        <f t="shared" si="2"/>
        <v>0.8</v>
      </c>
      <c r="H39" s="10">
        <f t="shared" si="4"/>
        <v>0.19999999999999996</v>
      </c>
      <c r="I39" s="12">
        <f>(G39*1.25)</f>
        <v>1</v>
      </c>
      <c r="J39" s="13"/>
      <c r="K39" s="13"/>
      <c r="L39" s="14">
        <f t="shared" ref="L39:L40" si="6">(E39*D39)</f>
        <v>7.2</v>
      </c>
    </row>
    <row r="40" spans="1:12" ht="15">
      <c r="A40" s="1">
        <v>37</v>
      </c>
      <c r="B40" s="35" t="s">
        <v>35</v>
      </c>
      <c r="C40" s="3" t="s">
        <v>12</v>
      </c>
      <c r="D40" s="3">
        <v>1</v>
      </c>
      <c r="E40" s="10">
        <v>35.51</v>
      </c>
      <c r="F40" s="6">
        <v>0</v>
      </c>
      <c r="G40" s="17">
        <f t="shared" si="2"/>
        <v>35.51</v>
      </c>
      <c r="H40" s="10">
        <f t="shared" si="4"/>
        <v>3.4799800000000047</v>
      </c>
      <c r="I40" s="38">
        <f>(G40*1.098)</f>
        <v>38.989980000000003</v>
      </c>
      <c r="J40" s="13">
        <v>38</v>
      </c>
      <c r="K40" s="13"/>
      <c r="L40" s="14">
        <f t="shared" si="6"/>
        <v>35.51</v>
      </c>
    </row>
    <row r="41" spans="1:12" ht="15">
      <c r="A41" s="1">
        <v>38</v>
      </c>
      <c r="B41" s="36" t="s">
        <v>35</v>
      </c>
      <c r="C41" s="24" t="s">
        <v>114</v>
      </c>
      <c r="D41" s="24">
        <v>66</v>
      </c>
      <c r="E41" s="25">
        <f>(G40/D41)</f>
        <v>0.53803030303030297</v>
      </c>
      <c r="F41" s="26">
        <v>0</v>
      </c>
      <c r="G41" s="27">
        <f t="shared" si="2"/>
        <v>0.53803030303030297</v>
      </c>
      <c r="H41" s="25">
        <f t="shared" si="4"/>
        <v>0.16140909090909095</v>
      </c>
      <c r="I41" s="28">
        <f>(G41*1.3)</f>
        <v>0.69943939393939392</v>
      </c>
      <c r="J41" s="29"/>
      <c r="K41" s="29"/>
    </row>
    <row r="42" spans="1:12" ht="15">
      <c r="A42" s="1">
        <v>39</v>
      </c>
      <c r="B42" s="35" t="s">
        <v>10</v>
      </c>
      <c r="C42" s="3" t="s">
        <v>12</v>
      </c>
      <c r="D42" s="3">
        <v>3</v>
      </c>
      <c r="E42" s="10">
        <v>27.58</v>
      </c>
      <c r="F42" s="6">
        <v>0</v>
      </c>
      <c r="G42" s="17">
        <f t="shared" si="2"/>
        <v>27.58</v>
      </c>
      <c r="H42" s="10">
        <f t="shared" si="4"/>
        <v>4.4127999999999972</v>
      </c>
      <c r="I42" s="38">
        <f>(G42*1.16)</f>
        <v>31.992799999999995</v>
      </c>
      <c r="J42" s="13">
        <v>32</v>
      </c>
      <c r="K42" s="13"/>
      <c r="L42" s="14">
        <f>(E42*D42)</f>
        <v>82.74</v>
      </c>
    </row>
    <row r="43" spans="1:12" ht="15">
      <c r="A43" s="1">
        <v>40</v>
      </c>
      <c r="B43" s="36" t="s">
        <v>10</v>
      </c>
      <c r="C43" s="24" t="s">
        <v>114</v>
      </c>
      <c r="D43" s="24">
        <v>66</v>
      </c>
      <c r="E43" s="25">
        <f>(G42/D43)</f>
        <v>0.41787878787878785</v>
      </c>
      <c r="F43" s="26">
        <v>0</v>
      </c>
      <c r="G43" s="27">
        <f t="shared" si="2"/>
        <v>0.41787878787878785</v>
      </c>
      <c r="H43" s="25">
        <f t="shared" si="4"/>
        <v>0.13372121212121213</v>
      </c>
      <c r="I43" s="28">
        <f>(G43*1.32)</f>
        <v>0.55159999999999998</v>
      </c>
      <c r="J43" s="29"/>
      <c r="K43" s="29"/>
    </row>
    <row r="44" spans="1:12" ht="15">
      <c r="A44" s="1">
        <v>41</v>
      </c>
      <c r="B44" s="35" t="s">
        <v>11</v>
      </c>
      <c r="C44" s="3" t="s">
        <v>12</v>
      </c>
      <c r="D44" s="3">
        <v>1</v>
      </c>
      <c r="E44" s="10">
        <v>31.36</v>
      </c>
      <c r="F44" s="6">
        <v>0</v>
      </c>
      <c r="G44" s="17">
        <f t="shared" si="2"/>
        <v>31.36</v>
      </c>
      <c r="H44" s="10">
        <f t="shared" si="4"/>
        <v>3.6064000000000007</v>
      </c>
      <c r="I44" s="38">
        <f>(G44*1.115)</f>
        <v>34.9664</v>
      </c>
      <c r="J44" s="13">
        <v>35</v>
      </c>
      <c r="K44" s="13"/>
      <c r="L44" s="14">
        <f>(E44*D44)</f>
        <v>31.36</v>
      </c>
    </row>
    <row r="45" spans="1:12" ht="15">
      <c r="A45" s="1">
        <v>42</v>
      </c>
      <c r="B45" s="36" t="s">
        <v>11</v>
      </c>
      <c r="C45" s="24" t="s">
        <v>114</v>
      </c>
      <c r="D45" s="24">
        <v>66</v>
      </c>
      <c r="E45" s="25">
        <f>(G44/D45)</f>
        <v>0.47515151515151516</v>
      </c>
      <c r="F45" s="26">
        <v>0</v>
      </c>
      <c r="G45" s="27">
        <f t="shared" si="2"/>
        <v>0.47515151515151516</v>
      </c>
      <c r="H45" s="25">
        <f t="shared" si="4"/>
        <v>0.12353939393939389</v>
      </c>
      <c r="I45" s="28">
        <f>(G45*1.26)</f>
        <v>0.59869090909090905</v>
      </c>
      <c r="J45" s="29"/>
      <c r="K45" s="29"/>
    </row>
    <row r="46" spans="1:12" ht="15">
      <c r="A46" s="1">
        <v>43</v>
      </c>
      <c r="B46" s="35" t="s">
        <v>168</v>
      </c>
      <c r="C46" s="3" t="s">
        <v>169</v>
      </c>
      <c r="D46" s="3">
        <v>1</v>
      </c>
      <c r="E46" s="10">
        <v>25.5</v>
      </c>
      <c r="F46" s="6">
        <v>0</v>
      </c>
      <c r="G46" s="17">
        <f t="shared" ref="G46:G49" si="7">(E46+F46)</f>
        <v>25.5</v>
      </c>
      <c r="H46" s="10">
        <f t="shared" si="4"/>
        <v>2.5244999999999997</v>
      </c>
      <c r="I46" s="38">
        <f>(G46*1.099)</f>
        <v>28.0245</v>
      </c>
      <c r="J46" s="13">
        <v>29</v>
      </c>
      <c r="K46" s="13"/>
      <c r="L46" s="14">
        <f>(E46*D46)</f>
        <v>25.5</v>
      </c>
    </row>
    <row r="47" spans="1:12" ht="15">
      <c r="A47" s="1">
        <v>44</v>
      </c>
      <c r="B47" s="35" t="s">
        <v>168</v>
      </c>
      <c r="C47" s="24" t="s">
        <v>114</v>
      </c>
      <c r="D47" s="24">
        <v>16.5</v>
      </c>
      <c r="E47" s="25">
        <f>(G46/D47)</f>
        <v>1.5454545454545454</v>
      </c>
      <c r="F47" s="26">
        <v>0</v>
      </c>
      <c r="G47" s="27">
        <f t="shared" si="7"/>
        <v>1.5454545454545454</v>
      </c>
      <c r="H47" s="25">
        <f t="shared" si="4"/>
        <v>0.10818181818181838</v>
      </c>
      <c r="I47" s="28">
        <f>(G47*1.07)</f>
        <v>1.6536363636363638</v>
      </c>
      <c r="J47" s="29"/>
      <c r="K47" s="29"/>
    </row>
    <row r="48" spans="1:12" ht="15">
      <c r="A48" s="1">
        <v>45</v>
      </c>
      <c r="B48" s="35" t="s">
        <v>170</v>
      </c>
      <c r="C48" s="3" t="s">
        <v>169</v>
      </c>
      <c r="D48" s="3">
        <v>2</v>
      </c>
      <c r="E48" s="10">
        <v>27</v>
      </c>
      <c r="F48" s="6">
        <v>0</v>
      </c>
      <c r="G48" s="17">
        <f t="shared" si="7"/>
        <v>27</v>
      </c>
      <c r="H48" s="10">
        <f t="shared" si="4"/>
        <v>2.5380000000000038</v>
      </c>
      <c r="I48" s="38">
        <f>(G48*1.094)</f>
        <v>29.538000000000004</v>
      </c>
      <c r="J48" s="13">
        <v>30</v>
      </c>
      <c r="K48" s="13"/>
      <c r="L48" s="14">
        <f>(E48*D48)</f>
        <v>54</v>
      </c>
    </row>
    <row r="49" spans="1:12" ht="15">
      <c r="A49" s="1">
        <v>46</v>
      </c>
      <c r="B49" s="36" t="s">
        <v>170</v>
      </c>
      <c r="C49" s="24" t="s">
        <v>114</v>
      </c>
      <c r="D49" s="24">
        <v>16.5</v>
      </c>
      <c r="E49" s="25">
        <f>(G48/D49)</f>
        <v>1.6363636363636365</v>
      </c>
      <c r="F49" s="26">
        <v>0</v>
      </c>
      <c r="G49" s="27">
        <f t="shared" si="7"/>
        <v>1.6363636363636365</v>
      </c>
      <c r="H49" s="25">
        <f t="shared" si="4"/>
        <v>0.11454545454545473</v>
      </c>
      <c r="I49" s="28">
        <f>(G49*1.07)</f>
        <v>1.7509090909090912</v>
      </c>
      <c r="J49" s="29"/>
      <c r="K49" s="29"/>
    </row>
    <row r="50" spans="1:12" ht="15">
      <c r="A50" s="1">
        <v>47</v>
      </c>
      <c r="B50" s="35" t="s">
        <v>37</v>
      </c>
      <c r="C50" s="3" t="s">
        <v>38</v>
      </c>
      <c r="D50" s="3">
        <v>3</v>
      </c>
      <c r="E50" s="10">
        <v>22.54</v>
      </c>
      <c r="F50" s="6">
        <v>0</v>
      </c>
      <c r="G50" s="17">
        <f t="shared" si="2"/>
        <v>22.54</v>
      </c>
      <c r="H50" s="10">
        <f t="shared" si="4"/>
        <v>7.4607399999999977</v>
      </c>
      <c r="I50" s="12">
        <f>(G50*1.331)</f>
        <v>30.000739999999997</v>
      </c>
      <c r="J50" s="13">
        <v>29</v>
      </c>
      <c r="K50" s="13"/>
      <c r="L50" s="14">
        <f>(E50*D50)</f>
        <v>67.62</v>
      </c>
    </row>
    <row r="51" spans="1:12" ht="15">
      <c r="A51" s="1">
        <v>48</v>
      </c>
      <c r="B51" s="36" t="s">
        <v>37</v>
      </c>
      <c r="C51" s="24" t="s">
        <v>114</v>
      </c>
      <c r="D51" s="24">
        <v>61.6</v>
      </c>
      <c r="E51" s="25">
        <f>(G50/D51)</f>
        <v>0.36590909090909091</v>
      </c>
      <c r="F51" s="26">
        <v>0</v>
      </c>
      <c r="G51" s="27">
        <f t="shared" si="2"/>
        <v>0.36590909090909091</v>
      </c>
      <c r="H51" s="25">
        <f t="shared" si="4"/>
        <v>0.13172727272727275</v>
      </c>
      <c r="I51" s="28">
        <f>(G51*1.36)</f>
        <v>0.49763636363636365</v>
      </c>
      <c r="J51" s="29"/>
      <c r="K51" s="29"/>
    </row>
    <row r="52" spans="1:12" ht="15">
      <c r="A52" s="1">
        <v>49</v>
      </c>
      <c r="B52" s="35" t="s">
        <v>36</v>
      </c>
      <c r="C52" s="3" t="s">
        <v>12</v>
      </c>
      <c r="D52" s="3">
        <v>3</v>
      </c>
      <c r="E52" s="10">
        <v>25.77</v>
      </c>
      <c r="F52" s="6">
        <v>0</v>
      </c>
      <c r="G52" s="17">
        <f t="shared" si="2"/>
        <v>25.77</v>
      </c>
      <c r="H52" s="10">
        <f t="shared" si="4"/>
        <v>4.2262799999999991</v>
      </c>
      <c r="I52" s="38">
        <f>(G52*1.164)</f>
        <v>29.996279999999999</v>
      </c>
      <c r="J52" s="13">
        <v>31</v>
      </c>
      <c r="K52" s="13"/>
      <c r="L52" s="14">
        <f>(E52*D52)</f>
        <v>77.31</v>
      </c>
    </row>
    <row r="53" spans="1:12" ht="15">
      <c r="A53" s="1">
        <v>50</v>
      </c>
      <c r="B53" s="36" t="s">
        <v>36</v>
      </c>
      <c r="C53" s="24" t="s">
        <v>114</v>
      </c>
      <c r="D53" s="24">
        <v>66</v>
      </c>
      <c r="E53" s="25">
        <f>(G52/D53)</f>
        <v>0.39045454545454544</v>
      </c>
      <c r="F53" s="26">
        <v>0</v>
      </c>
      <c r="G53" s="27">
        <f t="shared" si="2"/>
        <v>0.39045454545454544</v>
      </c>
      <c r="H53" s="25">
        <f t="shared" si="4"/>
        <v>0.1595454545454546</v>
      </c>
      <c r="I53" s="28">
        <v>0.55000000000000004</v>
      </c>
      <c r="J53" s="29"/>
      <c r="K53" s="29"/>
    </row>
    <row r="54" spans="1:12" ht="15">
      <c r="A54" s="1">
        <v>51</v>
      </c>
      <c r="B54" s="35" t="s">
        <v>25</v>
      </c>
      <c r="C54" s="3" t="s">
        <v>12</v>
      </c>
      <c r="D54" s="3">
        <v>4</v>
      </c>
      <c r="E54" s="10">
        <v>38.22</v>
      </c>
      <c r="F54" s="6">
        <v>0</v>
      </c>
      <c r="G54" s="17">
        <f t="shared" si="2"/>
        <v>38.22</v>
      </c>
      <c r="H54" s="10">
        <f t="shared" si="4"/>
        <v>2.2931999999999988</v>
      </c>
      <c r="I54" s="38">
        <f>(G54*1.06)</f>
        <v>40.513199999999998</v>
      </c>
      <c r="J54" s="13">
        <v>42</v>
      </c>
      <c r="K54" s="13"/>
      <c r="L54" s="14">
        <f>(E54*D54)</f>
        <v>152.88</v>
      </c>
    </row>
    <row r="55" spans="1:12" ht="15">
      <c r="A55" s="1">
        <v>52</v>
      </c>
      <c r="B55" s="36" t="s">
        <v>25</v>
      </c>
      <c r="C55" s="24" t="s">
        <v>114</v>
      </c>
      <c r="D55" s="24">
        <v>66</v>
      </c>
      <c r="E55" s="25">
        <f>(G54/D55)</f>
        <v>0.5790909090909091</v>
      </c>
      <c r="F55" s="26">
        <v>0</v>
      </c>
      <c r="G55" s="27">
        <f t="shared" si="2"/>
        <v>0.5790909090909091</v>
      </c>
      <c r="H55" s="25">
        <f t="shared" si="4"/>
        <v>0.17372727272727273</v>
      </c>
      <c r="I55" s="28">
        <f>(G55*1.3)</f>
        <v>0.75281818181818183</v>
      </c>
      <c r="J55" s="29"/>
      <c r="K55" s="29"/>
    </row>
    <row r="56" spans="1:12" ht="15">
      <c r="A56" s="1">
        <v>53</v>
      </c>
      <c r="B56" s="35" t="s">
        <v>24</v>
      </c>
      <c r="C56" s="3" t="s">
        <v>12</v>
      </c>
      <c r="D56" s="3">
        <v>2</v>
      </c>
      <c r="E56" s="10">
        <v>38.22</v>
      </c>
      <c r="F56" s="6">
        <v>0</v>
      </c>
      <c r="G56" s="17">
        <f t="shared" si="2"/>
        <v>38.22</v>
      </c>
      <c r="H56" s="10">
        <f t="shared" si="4"/>
        <v>2.2931999999999988</v>
      </c>
      <c r="I56" s="38">
        <f>(G56*1.06)</f>
        <v>40.513199999999998</v>
      </c>
      <c r="J56" s="13">
        <v>42</v>
      </c>
      <c r="K56" s="13"/>
      <c r="L56" s="14">
        <f>(E56*D56)</f>
        <v>76.44</v>
      </c>
    </row>
    <row r="57" spans="1:12" ht="15">
      <c r="A57" s="1">
        <v>54</v>
      </c>
      <c r="B57" s="36" t="s">
        <v>24</v>
      </c>
      <c r="C57" s="24" t="s">
        <v>114</v>
      </c>
      <c r="D57" s="24">
        <v>66</v>
      </c>
      <c r="E57" s="25">
        <f>(G56/D57)</f>
        <v>0.5790909090909091</v>
      </c>
      <c r="F57" s="26">
        <v>0</v>
      </c>
      <c r="G57" s="27">
        <f t="shared" si="2"/>
        <v>0.5790909090909091</v>
      </c>
      <c r="H57" s="25">
        <f t="shared" si="4"/>
        <v>0.17372727272727273</v>
      </c>
      <c r="I57" s="28">
        <f>(G57*1.3)</f>
        <v>0.75281818181818183</v>
      </c>
      <c r="J57" s="29"/>
      <c r="K57" s="29"/>
    </row>
    <row r="58" spans="1:12" ht="15">
      <c r="A58" s="1">
        <v>55</v>
      </c>
      <c r="B58" s="35" t="s">
        <v>26</v>
      </c>
      <c r="C58" s="3" t="s">
        <v>12</v>
      </c>
      <c r="D58" s="3">
        <v>1</v>
      </c>
      <c r="E58" s="10">
        <v>47.04</v>
      </c>
      <c r="F58" s="6">
        <v>0</v>
      </c>
      <c r="G58" s="17">
        <f t="shared" si="2"/>
        <v>47.04</v>
      </c>
      <c r="H58" s="10">
        <f t="shared" si="4"/>
        <v>2.3520000000000039</v>
      </c>
      <c r="I58" s="38">
        <f t="shared" ref="I58" si="8">(G58*1.05)</f>
        <v>49.392000000000003</v>
      </c>
      <c r="J58" s="13">
        <v>50</v>
      </c>
      <c r="K58" s="13"/>
      <c r="L58" s="14">
        <f>(E58*D58)</f>
        <v>47.04</v>
      </c>
    </row>
    <row r="59" spans="1:12" ht="15">
      <c r="A59" s="1">
        <v>56</v>
      </c>
      <c r="B59" s="36" t="s">
        <v>26</v>
      </c>
      <c r="C59" s="24" t="s">
        <v>114</v>
      </c>
      <c r="D59" s="24">
        <v>66</v>
      </c>
      <c r="E59" s="25">
        <f>(G58/D59)</f>
        <v>0.71272727272727276</v>
      </c>
      <c r="F59" s="26">
        <v>0</v>
      </c>
      <c r="G59" s="27">
        <f t="shared" si="2"/>
        <v>0.71272727272727276</v>
      </c>
      <c r="H59" s="25">
        <f t="shared" si="4"/>
        <v>0.13541818181818177</v>
      </c>
      <c r="I59" s="28">
        <f>(G59*1.19)</f>
        <v>0.84814545454545454</v>
      </c>
      <c r="J59" s="30"/>
      <c r="K59" s="30"/>
    </row>
    <row r="60" spans="1:12" ht="15">
      <c r="A60" s="1">
        <v>57</v>
      </c>
      <c r="B60" s="35" t="s">
        <v>270</v>
      </c>
      <c r="C60" s="3" t="s">
        <v>271</v>
      </c>
      <c r="D60" s="3">
        <v>1</v>
      </c>
      <c r="E60" s="10">
        <v>42</v>
      </c>
      <c r="F60" s="26">
        <v>0</v>
      </c>
      <c r="G60" s="81">
        <f t="shared" ref="G60:G61" si="9">(E60+F60)</f>
        <v>42</v>
      </c>
      <c r="H60" s="67">
        <f t="shared" ref="H60:H61" si="10">(I60-G60)</f>
        <v>3.3599999999999994</v>
      </c>
      <c r="I60" s="68">
        <f>(G60*1.08)</f>
        <v>45.36</v>
      </c>
      <c r="L60" s="14">
        <f>(E60*D60)</f>
        <v>42</v>
      </c>
    </row>
    <row r="61" spans="1:12" ht="15">
      <c r="A61" s="1">
        <v>58</v>
      </c>
      <c r="B61" s="36" t="s">
        <v>270</v>
      </c>
      <c r="C61" s="24" t="s">
        <v>114</v>
      </c>
      <c r="D61" s="24">
        <v>33</v>
      </c>
      <c r="E61" s="25">
        <f>(E60/D61)</f>
        <v>1.2727272727272727</v>
      </c>
      <c r="F61" s="26">
        <v>0</v>
      </c>
      <c r="G61" s="27">
        <f t="shared" si="9"/>
        <v>1.2727272727272727</v>
      </c>
      <c r="H61" s="25">
        <f t="shared" si="10"/>
        <v>0.12727272727272743</v>
      </c>
      <c r="I61" s="28">
        <f>(G61*1.1)</f>
        <v>1.4000000000000001</v>
      </c>
      <c r="J61" s="30"/>
      <c r="K61" s="30"/>
      <c r="L61" s="80"/>
    </row>
  </sheetData>
  <autoFilter ref="C2:C60" xr:uid="{9540F65B-F1FF-4C54-A25B-B371E9125AB6}"/>
  <sortState xmlns:xlrd2="http://schemas.microsoft.com/office/spreadsheetml/2017/richdata2" ref="B8:J58">
    <sortCondition ref="B8:B58"/>
  </sortState>
  <mergeCells count="1">
    <mergeCell ref="A2:J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9F1-06FE-43CB-94AF-68C290DF0802}">
  <dimension ref="A2:L51"/>
  <sheetViews>
    <sheetView topLeftCell="A23" workbookViewId="0">
      <selection activeCell="J41" sqref="J41"/>
    </sheetView>
  </sheetViews>
  <sheetFormatPr defaultColWidth="11" defaultRowHeight="14.25"/>
  <cols>
    <col min="1" max="1" width="6" customWidth="1"/>
    <col min="2" max="2" width="44.375" customWidth="1"/>
    <col min="3" max="5" width="11.375" style="3"/>
    <col min="6" max="6" width="9.375" style="5" customWidth="1"/>
    <col min="7" max="7" width="16.375" style="15" customWidth="1"/>
    <col min="8" max="8" width="11.625" style="3" customWidth="1"/>
    <col min="9" max="9" width="15.625" style="14" customWidth="1"/>
    <col min="10" max="11" width="11.375" style="3"/>
  </cols>
  <sheetData>
    <row r="2" spans="1:12" ht="25.5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2" ht="30">
      <c r="A3" s="2" t="s">
        <v>1</v>
      </c>
      <c r="B3" s="2" t="s">
        <v>2</v>
      </c>
      <c r="C3" s="2" t="s">
        <v>115</v>
      </c>
      <c r="D3" s="2" t="s">
        <v>3</v>
      </c>
      <c r="E3" s="2" t="s">
        <v>128</v>
      </c>
      <c r="F3" s="8" t="s">
        <v>4</v>
      </c>
      <c r="G3" s="16" t="s">
        <v>129</v>
      </c>
      <c r="H3" s="2" t="s">
        <v>8</v>
      </c>
      <c r="I3" s="42" t="s">
        <v>133</v>
      </c>
      <c r="J3" s="2" t="s">
        <v>5</v>
      </c>
      <c r="K3" s="2"/>
      <c r="L3" s="9" t="s">
        <v>258</v>
      </c>
    </row>
    <row r="4" spans="1:12" ht="15">
      <c r="A4" s="2">
        <v>1</v>
      </c>
      <c r="B4" t="s">
        <v>64</v>
      </c>
      <c r="C4" s="3" t="s">
        <v>115</v>
      </c>
      <c r="D4" s="3">
        <v>1</v>
      </c>
      <c r="E4" s="10">
        <v>3.08</v>
      </c>
      <c r="F4" s="12">
        <f t="shared" ref="F4:F16" si="0">(E4*15%)</f>
        <v>0.46199999999999997</v>
      </c>
      <c r="G4" s="19">
        <f t="shared" ref="G4:G50" si="1">(E4+F4)</f>
        <v>3.5419999999999998</v>
      </c>
      <c r="H4" s="10">
        <f t="shared" ref="H4:H50" si="2">(J4-G4)</f>
        <v>1.2751200000000003</v>
      </c>
      <c r="I4" s="20">
        <v>4.84</v>
      </c>
      <c r="J4" s="43">
        <f>(G4*1.36)</f>
        <v>4.8171200000000001</v>
      </c>
      <c r="K4" s="10"/>
      <c r="L4" s="14">
        <f>(G4*D4)</f>
        <v>3.5419999999999998</v>
      </c>
    </row>
    <row r="5" spans="1:12" ht="15">
      <c r="A5" s="2">
        <v>2</v>
      </c>
      <c r="B5" t="s">
        <v>63</v>
      </c>
      <c r="C5" s="3" t="s">
        <v>115</v>
      </c>
      <c r="D5" s="3">
        <v>1</v>
      </c>
      <c r="E5" s="10">
        <v>3.08</v>
      </c>
      <c r="F5" s="12">
        <f t="shared" si="0"/>
        <v>0.46199999999999997</v>
      </c>
      <c r="G5" s="19">
        <f t="shared" si="1"/>
        <v>3.5419999999999998</v>
      </c>
      <c r="H5" s="10">
        <f t="shared" si="2"/>
        <v>1.2751200000000003</v>
      </c>
      <c r="I5" s="20">
        <v>4.84</v>
      </c>
      <c r="J5" s="43">
        <f>(G5*1.36)</f>
        <v>4.8171200000000001</v>
      </c>
      <c r="K5" s="10"/>
      <c r="L5" s="14">
        <f t="shared" ref="L5:L50" si="3">(G5*D5)</f>
        <v>3.5419999999999998</v>
      </c>
    </row>
    <row r="6" spans="1:12" ht="15">
      <c r="A6" s="2">
        <v>3</v>
      </c>
      <c r="B6" t="s">
        <v>59</v>
      </c>
      <c r="C6" s="3" t="s">
        <v>115</v>
      </c>
      <c r="D6" s="3">
        <v>1</v>
      </c>
      <c r="E6" s="10">
        <v>1</v>
      </c>
      <c r="F6" s="12">
        <f t="shared" si="0"/>
        <v>0.15</v>
      </c>
      <c r="G6" s="19">
        <f t="shared" si="1"/>
        <v>1.1499999999999999</v>
      </c>
      <c r="H6" s="10">
        <f t="shared" si="2"/>
        <v>0.39100000000000001</v>
      </c>
      <c r="I6" s="20">
        <v>1.57</v>
      </c>
      <c r="J6" s="43">
        <f>(G6*1.34)</f>
        <v>1.5409999999999999</v>
      </c>
      <c r="K6" s="10"/>
      <c r="L6" s="14">
        <f t="shared" si="3"/>
        <v>1.1499999999999999</v>
      </c>
    </row>
    <row r="7" spans="1:12" ht="15">
      <c r="A7" s="2">
        <v>4</v>
      </c>
      <c r="B7" t="s">
        <v>60</v>
      </c>
      <c r="C7" s="3" t="s">
        <v>115</v>
      </c>
      <c r="D7" s="3">
        <v>1</v>
      </c>
      <c r="E7" s="10">
        <v>1</v>
      </c>
      <c r="F7" s="12">
        <f t="shared" si="0"/>
        <v>0.15</v>
      </c>
      <c r="G7" s="19">
        <f t="shared" si="1"/>
        <v>1.1499999999999999</v>
      </c>
      <c r="H7" s="10">
        <f t="shared" si="2"/>
        <v>0.41400000000000015</v>
      </c>
      <c r="I7" s="20">
        <v>1.57</v>
      </c>
      <c r="J7" s="43">
        <f>(G7*1.36)</f>
        <v>1.5640000000000001</v>
      </c>
      <c r="K7" s="10"/>
      <c r="L7" s="14">
        <f t="shared" si="3"/>
        <v>1.1499999999999999</v>
      </c>
    </row>
    <row r="8" spans="1:12" ht="15">
      <c r="A8" s="2">
        <v>5</v>
      </c>
      <c r="B8" t="s">
        <v>116</v>
      </c>
      <c r="C8" s="3" t="s">
        <v>115</v>
      </c>
      <c r="D8" s="3">
        <v>1</v>
      </c>
      <c r="E8" s="10">
        <v>1.36</v>
      </c>
      <c r="F8" s="12">
        <f t="shared" si="0"/>
        <v>0.20400000000000001</v>
      </c>
      <c r="G8" s="19">
        <f t="shared" si="1"/>
        <v>1.5640000000000001</v>
      </c>
      <c r="H8" s="10">
        <f t="shared" si="2"/>
        <v>0.57868000000000031</v>
      </c>
      <c r="I8" s="20">
        <v>2.14</v>
      </c>
      <c r="J8" s="43">
        <f t="shared" ref="J8:J14" si="4">(G8*1.37)</f>
        <v>2.1426800000000004</v>
      </c>
      <c r="K8" s="10"/>
      <c r="L8" s="14">
        <f t="shared" si="3"/>
        <v>1.5640000000000001</v>
      </c>
    </row>
    <row r="9" spans="1:12" ht="15">
      <c r="A9" s="2">
        <v>6</v>
      </c>
      <c r="B9" t="s">
        <v>61</v>
      </c>
      <c r="C9" s="3" t="s">
        <v>115</v>
      </c>
      <c r="D9" s="3">
        <v>1</v>
      </c>
      <c r="E9" s="10">
        <v>2.14</v>
      </c>
      <c r="F9" s="12">
        <f t="shared" si="0"/>
        <v>0.32100000000000001</v>
      </c>
      <c r="G9" s="19">
        <f t="shared" si="1"/>
        <v>2.4610000000000003</v>
      </c>
      <c r="H9" s="10">
        <f t="shared" si="2"/>
        <v>0.8859600000000003</v>
      </c>
      <c r="I9" s="20">
        <v>3.36</v>
      </c>
      <c r="J9" s="43">
        <f>(G9*1.36)</f>
        <v>3.3469600000000006</v>
      </c>
      <c r="K9" s="10"/>
      <c r="L9" s="14">
        <f t="shared" si="3"/>
        <v>2.4610000000000003</v>
      </c>
    </row>
    <row r="10" spans="1:12" ht="15">
      <c r="A10" s="2">
        <v>7</v>
      </c>
      <c r="B10" t="s">
        <v>62</v>
      </c>
      <c r="C10" s="3" t="s">
        <v>115</v>
      </c>
      <c r="D10" s="3">
        <v>1</v>
      </c>
      <c r="E10" s="10">
        <v>2.14</v>
      </c>
      <c r="F10" s="12">
        <f t="shared" si="0"/>
        <v>0.32100000000000001</v>
      </c>
      <c r="G10" s="19">
        <f t="shared" si="1"/>
        <v>2.4610000000000003</v>
      </c>
      <c r="H10" s="10">
        <f t="shared" si="2"/>
        <v>0.8859600000000003</v>
      </c>
      <c r="I10" s="20">
        <v>3.36</v>
      </c>
      <c r="J10" s="43">
        <f>(G10*1.36)</f>
        <v>3.3469600000000006</v>
      </c>
      <c r="K10" s="10"/>
      <c r="L10" s="14">
        <f t="shared" si="3"/>
        <v>2.4610000000000003</v>
      </c>
    </row>
    <row r="11" spans="1:12" ht="15">
      <c r="A11" s="2">
        <v>8</v>
      </c>
      <c r="B11" t="s">
        <v>66</v>
      </c>
      <c r="C11" s="3" t="s">
        <v>131</v>
      </c>
      <c r="D11" s="3">
        <v>3</v>
      </c>
      <c r="E11" s="10">
        <v>1.56</v>
      </c>
      <c r="F11" s="12">
        <f t="shared" si="0"/>
        <v>0.23399999999999999</v>
      </c>
      <c r="G11" s="19">
        <f t="shared" si="1"/>
        <v>1.794</v>
      </c>
      <c r="H11" s="10">
        <f t="shared" si="2"/>
        <v>0.64584000000000019</v>
      </c>
      <c r="I11" s="20">
        <v>2.46</v>
      </c>
      <c r="J11" s="43">
        <f>(G11*1.36)</f>
        <v>2.4398400000000002</v>
      </c>
      <c r="K11" s="10"/>
      <c r="L11" s="14">
        <f t="shared" si="3"/>
        <v>5.3819999999999997</v>
      </c>
    </row>
    <row r="12" spans="1:12" ht="15">
      <c r="A12" s="2">
        <v>9</v>
      </c>
      <c r="B12" t="s">
        <v>117</v>
      </c>
      <c r="C12" s="3" t="s">
        <v>131</v>
      </c>
      <c r="D12" s="3">
        <v>3</v>
      </c>
      <c r="E12" s="10">
        <v>1.38</v>
      </c>
      <c r="F12" s="12">
        <f t="shared" si="0"/>
        <v>0.20699999999999999</v>
      </c>
      <c r="G12" s="19">
        <f t="shared" si="1"/>
        <v>1.587</v>
      </c>
      <c r="H12" s="10">
        <f t="shared" si="2"/>
        <v>0.58719000000000032</v>
      </c>
      <c r="I12" s="20">
        <v>2.17</v>
      </c>
      <c r="J12" s="43">
        <f t="shared" si="4"/>
        <v>2.1741900000000003</v>
      </c>
      <c r="K12" s="10"/>
      <c r="L12" s="14">
        <f t="shared" si="3"/>
        <v>4.7610000000000001</v>
      </c>
    </row>
    <row r="13" spans="1:12" ht="15">
      <c r="A13" s="2">
        <v>10</v>
      </c>
      <c r="B13" t="s">
        <v>57</v>
      </c>
      <c r="C13" s="3" t="s">
        <v>115</v>
      </c>
      <c r="D13" s="3">
        <v>1</v>
      </c>
      <c r="E13" s="10">
        <v>1.43</v>
      </c>
      <c r="F13" s="12">
        <f t="shared" si="0"/>
        <v>0.2145</v>
      </c>
      <c r="G13" s="19">
        <f t="shared" si="1"/>
        <v>1.6444999999999999</v>
      </c>
      <c r="H13" s="10">
        <f t="shared" si="2"/>
        <v>0.60846500000000026</v>
      </c>
      <c r="I13" s="20">
        <v>2.25</v>
      </c>
      <c r="J13" s="43">
        <f t="shared" si="4"/>
        <v>2.2529650000000001</v>
      </c>
      <c r="K13" s="10"/>
      <c r="L13" s="14">
        <f t="shared" si="3"/>
        <v>1.6444999999999999</v>
      </c>
    </row>
    <row r="14" spans="1:12" ht="15">
      <c r="A14" s="2">
        <v>11</v>
      </c>
      <c r="B14" t="s">
        <v>58</v>
      </c>
      <c r="C14" s="3" t="s">
        <v>115</v>
      </c>
      <c r="D14" s="3">
        <v>1</v>
      </c>
      <c r="E14" s="10">
        <v>1.43</v>
      </c>
      <c r="F14" s="12">
        <f t="shared" si="0"/>
        <v>0.2145</v>
      </c>
      <c r="G14" s="19">
        <f t="shared" si="1"/>
        <v>1.6444999999999999</v>
      </c>
      <c r="H14" s="10">
        <f t="shared" si="2"/>
        <v>0.60846500000000026</v>
      </c>
      <c r="I14" s="20">
        <v>2.25</v>
      </c>
      <c r="J14" s="43">
        <f t="shared" si="4"/>
        <v>2.2529650000000001</v>
      </c>
      <c r="K14" s="10"/>
      <c r="L14" s="14">
        <f t="shared" si="3"/>
        <v>1.6444999999999999</v>
      </c>
    </row>
    <row r="15" spans="1:12" ht="15">
      <c r="A15" s="2">
        <v>12</v>
      </c>
      <c r="B15" t="s">
        <v>65</v>
      </c>
      <c r="C15" s="3" t="s">
        <v>115</v>
      </c>
      <c r="D15" s="3">
        <v>1</v>
      </c>
      <c r="E15" s="10">
        <v>0.15</v>
      </c>
      <c r="F15" s="12">
        <f t="shared" si="0"/>
        <v>2.2499999999999999E-2</v>
      </c>
      <c r="G15" s="19">
        <f t="shared" si="1"/>
        <v>0.17249999999999999</v>
      </c>
      <c r="H15" s="10">
        <f t="shared" si="2"/>
        <v>0.17249999999999999</v>
      </c>
      <c r="I15" s="20">
        <v>0.35</v>
      </c>
      <c r="J15" s="43">
        <f>(G15*2)</f>
        <v>0.34499999999999997</v>
      </c>
      <c r="K15" s="10"/>
      <c r="L15" s="14">
        <f t="shared" si="3"/>
        <v>0.17249999999999999</v>
      </c>
    </row>
    <row r="16" spans="1:12" ht="15">
      <c r="A16" s="2">
        <v>13</v>
      </c>
      <c r="B16" t="s">
        <v>50</v>
      </c>
      <c r="C16" s="3" t="s">
        <v>51</v>
      </c>
      <c r="D16" s="3">
        <v>4</v>
      </c>
      <c r="E16" s="10">
        <v>0.78</v>
      </c>
      <c r="F16" s="12">
        <f t="shared" si="0"/>
        <v>0.11699999999999999</v>
      </c>
      <c r="G16" s="19">
        <f t="shared" si="1"/>
        <v>0.89700000000000002</v>
      </c>
      <c r="H16" s="10">
        <f t="shared" si="2"/>
        <v>0.60098999999999991</v>
      </c>
      <c r="I16" s="20">
        <v>1.52</v>
      </c>
      <c r="J16" s="43">
        <f>(G16*1.67)</f>
        <v>1.4979899999999999</v>
      </c>
      <c r="K16" s="10"/>
      <c r="L16" s="14">
        <f t="shared" si="3"/>
        <v>3.5880000000000001</v>
      </c>
    </row>
    <row r="17" spans="1:12" ht="15">
      <c r="A17" s="2">
        <v>14</v>
      </c>
      <c r="B17" t="s">
        <v>76</v>
      </c>
      <c r="C17" s="3" t="s">
        <v>77</v>
      </c>
      <c r="D17" s="3">
        <v>2</v>
      </c>
      <c r="E17" s="10">
        <v>1.6</v>
      </c>
      <c r="F17" s="12">
        <f>(E17*0%)</f>
        <v>0</v>
      </c>
      <c r="G17" s="19">
        <f t="shared" si="1"/>
        <v>1.6</v>
      </c>
      <c r="H17" s="10">
        <f t="shared" si="2"/>
        <v>0.39999999999999991</v>
      </c>
      <c r="I17" s="20">
        <v>2</v>
      </c>
      <c r="J17" s="43">
        <f>(G17*1.25)</f>
        <v>2</v>
      </c>
      <c r="K17" s="10"/>
      <c r="L17" s="14">
        <f t="shared" si="3"/>
        <v>3.2</v>
      </c>
    </row>
    <row r="18" spans="1:12" ht="15">
      <c r="A18" s="2">
        <v>15</v>
      </c>
      <c r="B18" t="s">
        <v>78</v>
      </c>
      <c r="C18" s="3" t="s">
        <v>77</v>
      </c>
      <c r="D18" s="3">
        <v>2</v>
      </c>
      <c r="E18" s="10">
        <v>1.6</v>
      </c>
      <c r="F18" s="12">
        <f>(E18*0%)</f>
        <v>0</v>
      </c>
      <c r="G18" s="19">
        <f t="shared" si="1"/>
        <v>1.6</v>
      </c>
      <c r="H18" s="10">
        <f t="shared" si="2"/>
        <v>0.39999999999999991</v>
      </c>
      <c r="I18" s="20">
        <v>2</v>
      </c>
      <c r="J18" s="43">
        <f>(G18*1.25)</f>
        <v>2</v>
      </c>
      <c r="K18" s="10"/>
      <c r="L18" s="14">
        <f t="shared" si="3"/>
        <v>3.2</v>
      </c>
    </row>
    <row r="19" spans="1:12" ht="15">
      <c r="A19" s="2">
        <v>16</v>
      </c>
      <c r="B19" t="s">
        <v>52</v>
      </c>
      <c r="C19" s="3" t="s">
        <v>51</v>
      </c>
      <c r="D19" s="3">
        <v>3</v>
      </c>
      <c r="E19" s="10">
        <v>1.04</v>
      </c>
      <c r="F19" s="12">
        <f>(E19*15%)</f>
        <v>0.156</v>
      </c>
      <c r="G19" s="19">
        <f t="shared" si="1"/>
        <v>1.196</v>
      </c>
      <c r="H19" s="10">
        <f t="shared" si="2"/>
        <v>0.29899999999999993</v>
      </c>
      <c r="I19" s="20">
        <v>1.52</v>
      </c>
      <c r="J19" s="43">
        <f>(G19*1.25)</f>
        <v>1.4949999999999999</v>
      </c>
      <c r="K19" s="10"/>
      <c r="L19" s="14">
        <f t="shared" si="3"/>
        <v>3.5880000000000001</v>
      </c>
    </row>
    <row r="20" spans="1:12" ht="15">
      <c r="A20" s="2">
        <v>17</v>
      </c>
      <c r="B20" t="s">
        <v>73</v>
      </c>
      <c r="C20" s="3" t="s">
        <v>74</v>
      </c>
      <c r="D20" s="3">
        <v>7</v>
      </c>
      <c r="E20" s="10">
        <v>0.83</v>
      </c>
      <c r="F20" s="12">
        <v>0</v>
      </c>
      <c r="G20" s="19">
        <f t="shared" si="1"/>
        <v>0.83</v>
      </c>
      <c r="H20" s="10">
        <f t="shared" si="2"/>
        <v>0.41499999999999992</v>
      </c>
      <c r="I20" s="20">
        <v>1.25</v>
      </c>
      <c r="J20" s="43">
        <f>(G20*1.5)</f>
        <v>1.2449999999999999</v>
      </c>
      <c r="K20" s="10"/>
      <c r="L20" s="14">
        <f t="shared" si="3"/>
        <v>5.81</v>
      </c>
    </row>
    <row r="21" spans="1:12" ht="15">
      <c r="A21" s="2">
        <v>18</v>
      </c>
      <c r="B21" t="s">
        <v>75</v>
      </c>
      <c r="C21" s="3" t="s">
        <v>74</v>
      </c>
      <c r="D21" s="3">
        <v>7</v>
      </c>
      <c r="E21" s="10">
        <v>0.83</v>
      </c>
      <c r="F21" s="12">
        <v>0</v>
      </c>
      <c r="G21" s="19">
        <f t="shared" si="1"/>
        <v>0.83</v>
      </c>
      <c r="H21" s="10">
        <f t="shared" si="2"/>
        <v>0.41499999999999992</v>
      </c>
      <c r="I21" s="20">
        <v>1.25</v>
      </c>
      <c r="J21" s="43">
        <f>(G21*1.5)</f>
        <v>1.2449999999999999</v>
      </c>
      <c r="K21" s="10"/>
      <c r="L21" s="14">
        <f t="shared" si="3"/>
        <v>5.81</v>
      </c>
    </row>
    <row r="22" spans="1:12" ht="15">
      <c r="A22" s="2">
        <v>19</v>
      </c>
      <c r="B22" t="s">
        <v>68</v>
      </c>
      <c r="C22" s="3" t="s">
        <v>69</v>
      </c>
      <c r="D22" s="3">
        <v>4</v>
      </c>
      <c r="E22" s="10">
        <v>0.94</v>
      </c>
      <c r="F22" s="12">
        <v>0</v>
      </c>
      <c r="G22" s="19">
        <f t="shared" si="1"/>
        <v>0.94</v>
      </c>
      <c r="H22" s="10">
        <f t="shared" si="2"/>
        <v>0.2632000000000001</v>
      </c>
      <c r="I22" s="20">
        <v>1.2</v>
      </c>
      <c r="J22" s="43">
        <f>(G22*1.28)</f>
        <v>1.2032</v>
      </c>
      <c r="K22" s="10"/>
      <c r="L22" s="14">
        <f t="shared" si="3"/>
        <v>3.76</v>
      </c>
    </row>
    <row r="23" spans="1:12" ht="15">
      <c r="A23" s="2">
        <v>20</v>
      </c>
      <c r="B23" t="s">
        <v>70</v>
      </c>
      <c r="C23" s="3" t="s">
        <v>69</v>
      </c>
      <c r="D23" s="3">
        <v>4</v>
      </c>
      <c r="E23" s="10">
        <v>0.94</v>
      </c>
      <c r="F23" s="12">
        <v>0</v>
      </c>
      <c r="G23" s="19">
        <f t="shared" si="1"/>
        <v>0.94</v>
      </c>
      <c r="H23" s="10">
        <f t="shared" si="2"/>
        <v>0.2632000000000001</v>
      </c>
      <c r="I23" s="20">
        <v>1.2</v>
      </c>
      <c r="J23" s="43">
        <f>(G23*1.28)</f>
        <v>1.2032</v>
      </c>
      <c r="K23" s="10"/>
      <c r="L23" s="14">
        <f t="shared" si="3"/>
        <v>3.76</v>
      </c>
    </row>
    <row r="24" spans="1:12" ht="15">
      <c r="A24" s="2">
        <v>21</v>
      </c>
      <c r="B24" t="s">
        <v>71</v>
      </c>
      <c r="C24" s="3" t="s">
        <v>69</v>
      </c>
      <c r="D24" s="3">
        <v>4</v>
      </c>
      <c r="E24" s="10">
        <v>0.94</v>
      </c>
      <c r="F24" s="12">
        <v>0</v>
      </c>
      <c r="G24" s="19">
        <f t="shared" si="1"/>
        <v>0.94</v>
      </c>
      <c r="H24" s="10">
        <f t="shared" si="2"/>
        <v>0.2632000000000001</v>
      </c>
      <c r="I24" s="20">
        <v>1.2</v>
      </c>
      <c r="J24" s="43">
        <f>(G24*1.28)</f>
        <v>1.2032</v>
      </c>
      <c r="K24" s="10"/>
      <c r="L24" s="14">
        <f t="shared" si="3"/>
        <v>3.76</v>
      </c>
    </row>
    <row r="25" spans="1:12" ht="15">
      <c r="A25" s="2">
        <v>22</v>
      </c>
      <c r="B25" t="s">
        <v>72</v>
      </c>
      <c r="C25" s="3" t="s">
        <v>69</v>
      </c>
      <c r="D25" s="3">
        <v>2</v>
      </c>
      <c r="E25" s="10">
        <v>0.96</v>
      </c>
      <c r="F25" s="12">
        <v>0</v>
      </c>
      <c r="G25" s="19">
        <f t="shared" si="1"/>
        <v>0.96</v>
      </c>
      <c r="H25" s="10">
        <f t="shared" si="2"/>
        <v>0.24</v>
      </c>
      <c r="I25" s="20">
        <v>1.2</v>
      </c>
      <c r="J25" s="43">
        <f>(G25*1.25)</f>
        <v>1.2</v>
      </c>
      <c r="K25" s="10"/>
      <c r="L25" s="14">
        <f t="shared" si="3"/>
        <v>1.92</v>
      </c>
    </row>
    <row r="26" spans="1:12" ht="15">
      <c r="A26" s="2">
        <v>23</v>
      </c>
      <c r="B26" t="s">
        <v>45</v>
      </c>
      <c r="C26" s="3" t="s">
        <v>115</v>
      </c>
      <c r="D26" s="3">
        <v>2</v>
      </c>
      <c r="E26" s="10">
        <v>2.33</v>
      </c>
      <c r="F26" s="12">
        <f>(E26*15%)</f>
        <v>0.34949999999999998</v>
      </c>
      <c r="G26" s="19">
        <f t="shared" si="1"/>
        <v>2.6795</v>
      </c>
      <c r="H26" s="10">
        <f t="shared" si="2"/>
        <v>0.66987500000000022</v>
      </c>
      <c r="I26" s="20">
        <v>3.35</v>
      </c>
      <c r="J26" s="43">
        <f>(G26*1.25)</f>
        <v>3.3493750000000002</v>
      </c>
      <c r="K26" s="10"/>
      <c r="L26" s="14">
        <f t="shared" si="3"/>
        <v>5.359</v>
      </c>
    </row>
    <row r="27" spans="1:12" ht="15">
      <c r="A27" s="2">
        <v>24</v>
      </c>
      <c r="B27" t="s">
        <v>46</v>
      </c>
      <c r="C27" s="3" t="s">
        <v>115</v>
      </c>
      <c r="D27" s="3">
        <v>2</v>
      </c>
      <c r="E27" s="10">
        <v>2.33</v>
      </c>
      <c r="F27" s="12">
        <f>(E27*15%)</f>
        <v>0.34949999999999998</v>
      </c>
      <c r="G27" s="19">
        <f t="shared" si="1"/>
        <v>2.6795</v>
      </c>
      <c r="H27" s="10">
        <f t="shared" si="2"/>
        <v>0.66987500000000022</v>
      </c>
      <c r="I27" s="20">
        <v>3.35</v>
      </c>
      <c r="J27" s="43">
        <f>(G27*1.25)</f>
        <v>3.3493750000000002</v>
      </c>
      <c r="K27" s="10"/>
      <c r="L27" s="14">
        <f t="shared" si="3"/>
        <v>5.359</v>
      </c>
    </row>
    <row r="28" spans="1:12" ht="15">
      <c r="A28" s="2">
        <v>25</v>
      </c>
      <c r="B28" t="s">
        <v>40</v>
      </c>
      <c r="C28" s="3" t="s">
        <v>41</v>
      </c>
      <c r="D28" s="3">
        <v>4</v>
      </c>
      <c r="E28" s="10">
        <v>1.1599999999999999</v>
      </c>
      <c r="F28" s="12">
        <v>0</v>
      </c>
      <c r="G28" s="19">
        <f t="shared" si="1"/>
        <v>1.1599999999999999</v>
      </c>
      <c r="H28" s="10">
        <f t="shared" si="2"/>
        <v>0.33640000000000003</v>
      </c>
      <c r="I28" s="20">
        <v>1.49</v>
      </c>
      <c r="J28" s="43">
        <f>(G28*1.29)</f>
        <v>1.4964</v>
      </c>
      <c r="K28" s="10"/>
      <c r="L28" s="14">
        <f t="shared" si="3"/>
        <v>4.6399999999999997</v>
      </c>
    </row>
    <row r="29" spans="1:12" ht="15">
      <c r="A29" s="2">
        <v>26</v>
      </c>
      <c r="B29" t="s">
        <v>42</v>
      </c>
      <c r="C29" s="3" t="s">
        <v>41</v>
      </c>
      <c r="D29" s="3">
        <v>4</v>
      </c>
      <c r="E29" s="10">
        <v>1.1599999999999999</v>
      </c>
      <c r="F29" s="12">
        <v>0</v>
      </c>
      <c r="G29" s="19">
        <f t="shared" si="1"/>
        <v>1.1599999999999999</v>
      </c>
      <c r="H29" s="10">
        <f t="shared" si="2"/>
        <v>0.33640000000000003</v>
      </c>
      <c r="I29" s="20">
        <v>1.49</v>
      </c>
      <c r="J29" s="43">
        <f>(G29*1.29)</f>
        <v>1.4964</v>
      </c>
      <c r="K29" s="10"/>
      <c r="L29" s="14">
        <f t="shared" si="3"/>
        <v>4.6399999999999997</v>
      </c>
    </row>
    <row r="30" spans="1:12" ht="15">
      <c r="A30" s="2">
        <v>27</v>
      </c>
      <c r="B30" t="s">
        <v>44</v>
      </c>
      <c r="C30" s="3" t="s">
        <v>41</v>
      </c>
      <c r="D30" s="3">
        <v>4</v>
      </c>
      <c r="E30" s="10">
        <v>0.87</v>
      </c>
      <c r="F30" s="12">
        <v>0</v>
      </c>
      <c r="G30" s="19">
        <f t="shared" si="1"/>
        <v>0.87</v>
      </c>
      <c r="H30" s="10">
        <f t="shared" si="2"/>
        <v>0.62639999999999996</v>
      </c>
      <c r="I30" s="20">
        <v>1.49</v>
      </c>
      <c r="J30" s="43">
        <f>(G30*1.72)</f>
        <v>1.4964</v>
      </c>
      <c r="K30" s="10"/>
      <c r="L30" s="14">
        <f t="shared" si="3"/>
        <v>3.48</v>
      </c>
    </row>
    <row r="31" spans="1:12" ht="15">
      <c r="A31" s="2">
        <v>28</v>
      </c>
      <c r="B31" t="s">
        <v>43</v>
      </c>
      <c r="C31" s="3" t="s">
        <v>41</v>
      </c>
      <c r="D31" s="3">
        <v>4</v>
      </c>
      <c r="E31" s="10">
        <v>1.1599999999999999</v>
      </c>
      <c r="F31" s="12">
        <v>0</v>
      </c>
      <c r="G31" s="19">
        <f t="shared" si="1"/>
        <v>1.1599999999999999</v>
      </c>
      <c r="H31" s="10">
        <f t="shared" si="2"/>
        <v>0.34800000000000009</v>
      </c>
      <c r="I31" s="20">
        <v>1.49</v>
      </c>
      <c r="J31" s="43">
        <f>(G31*1.3)</f>
        <v>1.508</v>
      </c>
      <c r="K31" s="10"/>
      <c r="L31" s="14">
        <f t="shared" si="3"/>
        <v>4.6399999999999997</v>
      </c>
    </row>
    <row r="32" spans="1:12" ht="15">
      <c r="A32" s="2">
        <v>29</v>
      </c>
      <c r="B32" t="s">
        <v>55</v>
      </c>
      <c r="C32" s="3" t="s">
        <v>18</v>
      </c>
      <c r="D32" s="3">
        <v>4</v>
      </c>
      <c r="E32" s="10">
        <v>2.2200000000000002</v>
      </c>
      <c r="F32" s="12">
        <f t="shared" ref="F32:F38" si="5">(E32*15%)</f>
        <v>0.33300000000000002</v>
      </c>
      <c r="G32" s="19">
        <f t="shared" si="1"/>
        <v>2.5530000000000004</v>
      </c>
      <c r="H32" s="10">
        <f t="shared" si="2"/>
        <v>1.7871000000000001</v>
      </c>
      <c r="I32" s="20">
        <v>4.34</v>
      </c>
      <c r="J32" s="43">
        <f>(G32*1.7)</f>
        <v>4.3401000000000005</v>
      </c>
      <c r="K32" s="10"/>
      <c r="L32" s="14">
        <f t="shared" si="3"/>
        <v>10.212000000000002</v>
      </c>
    </row>
    <row r="33" spans="1:12" ht="15">
      <c r="A33" s="2">
        <v>30</v>
      </c>
      <c r="B33" t="s">
        <v>54</v>
      </c>
      <c r="C33" s="3" t="s">
        <v>53</v>
      </c>
      <c r="D33" s="3">
        <v>7</v>
      </c>
      <c r="E33" s="10">
        <v>0.6</v>
      </c>
      <c r="F33" s="12">
        <f t="shared" si="5"/>
        <v>0.09</v>
      </c>
      <c r="G33" s="19">
        <f t="shared" si="1"/>
        <v>0.69</v>
      </c>
      <c r="H33" s="10">
        <f t="shared" si="2"/>
        <v>0.34499999999999997</v>
      </c>
      <c r="I33" s="20">
        <v>1.03</v>
      </c>
      <c r="J33" s="43">
        <f>(G33*1.5)</f>
        <v>1.0349999999999999</v>
      </c>
      <c r="K33" s="10"/>
      <c r="L33" s="14">
        <f t="shared" si="3"/>
        <v>4.83</v>
      </c>
    </row>
    <row r="34" spans="1:12" ht="15">
      <c r="A34" s="2">
        <v>31</v>
      </c>
      <c r="B34" t="s">
        <v>54</v>
      </c>
      <c r="C34" s="3" t="s">
        <v>18</v>
      </c>
      <c r="D34" s="3">
        <v>3</v>
      </c>
      <c r="E34" s="10">
        <v>2.96</v>
      </c>
      <c r="F34" s="12">
        <f t="shared" si="5"/>
        <v>0.44400000000000001</v>
      </c>
      <c r="G34" s="19">
        <f t="shared" si="1"/>
        <v>3.4039999999999999</v>
      </c>
      <c r="H34" s="10">
        <f t="shared" si="2"/>
        <v>0.91908000000000012</v>
      </c>
      <c r="I34" s="20">
        <v>4.34</v>
      </c>
      <c r="J34" s="43">
        <f>(G34*1.27)</f>
        <v>4.32308</v>
      </c>
      <c r="K34" s="10"/>
      <c r="L34" s="14">
        <f t="shared" si="3"/>
        <v>10.212</v>
      </c>
    </row>
    <row r="35" spans="1:12" ht="15">
      <c r="A35" s="2">
        <v>32</v>
      </c>
      <c r="B35" t="s">
        <v>67</v>
      </c>
      <c r="C35" s="3" t="s">
        <v>115</v>
      </c>
      <c r="D35" s="3">
        <v>35</v>
      </c>
      <c r="E35" s="10">
        <v>0.42</v>
      </c>
      <c r="F35" s="12">
        <f t="shared" si="5"/>
        <v>6.3E-2</v>
      </c>
      <c r="G35" s="19">
        <f t="shared" si="1"/>
        <v>0.48299999999999998</v>
      </c>
      <c r="H35" s="10">
        <f t="shared" si="2"/>
        <v>0.16905000000000003</v>
      </c>
      <c r="I35" s="20">
        <v>0.65</v>
      </c>
      <c r="J35" s="43">
        <f>(G35*1.35)</f>
        <v>0.65205000000000002</v>
      </c>
      <c r="K35" s="10"/>
      <c r="L35" s="14">
        <f t="shared" si="3"/>
        <v>16.905000000000001</v>
      </c>
    </row>
    <row r="36" spans="1:12" ht="15">
      <c r="A36" s="2">
        <v>33</v>
      </c>
      <c r="B36" t="s">
        <v>56</v>
      </c>
      <c r="C36" s="3" t="s">
        <v>115</v>
      </c>
      <c r="D36" s="3">
        <v>1</v>
      </c>
      <c r="E36" s="10">
        <v>1.36</v>
      </c>
      <c r="F36" s="12">
        <f t="shared" si="5"/>
        <v>0.20400000000000001</v>
      </c>
      <c r="G36" s="19">
        <f t="shared" si="1"/>
        <v>1.5640000000000001</v>
      </c>
      <c r="H36" s="10">
        <f t="shared" si="2"/>
        <v>0.57868000000000031</v>
      </c>
      <c r="I36" s="20">
        <v>2.14</v>
      </c>
      <c r="J36" s="43">
        <f>(G36*1.37)</f>
        <v>2.1426800000000004</v>
      </c>
      <c r="K36" s="10"/>
      <c r="L36" s="14">
        <f t="shared" si="3"/>
        <v>1.5640000000000001</v>
      </c>
    </row>
    <row r="37" spans="1:12" ht="15">
      <c r="A37" s="2">
        <v>34</v>
      </c>
      <c r="B37" t="s">
        <v>49</v>
      </c>
      <c r="C37" s="3" t="s">
        <v>48</v>
      </c>
      <c r="D37" s="3">
        <v>3</v>
      </c>
      <c r="E37" s="10">
        <v>1.02</v>
      </c>
      <c r="F37" s="12">
        <f t="shared" si="5"/>
        <v>0.153</v>
      </c>
      <c r="G37" s="19">
        <f t="shared" si="1"/>
        <v>1.173</v>
      </c>
      <c r="H37" s="10">
        <f t="shared" si="2"/>
        <v>0.32844000000000007</v>
      </c>
      <c r="I37" s="20">
        <v>1.5</v>
      </c>
      <c r="J37" s="43">
        <f>(G37*1.28)</f>
        <v>1.5014400000000001</v>
      </c>
      <c r="K37" s="10"/>
      <c r="L37" s="14">
        <f t="shared" si="3"/>
        <v>3.5190000000000001</v>
      </c>
    </row>
    <row r="38" spans="1:12" ht="15">
      <c r="A38" s="2">
        <v>35</v>
      </c>
      <c r="B38" t="s">
        <v>47</v>
      </c>
      <c r="C38" s="3" t="s">
        <v>48</v>
      </c>
      <c r="D38" s="3">
        <v>3</v>
      </c>
      <c r="E38" s="10">
        <v>1.02</v>
      </c>
      <c r="F38" s="12">
        <f t="shared" si="5"/>
        <v>0.153</v>
      </c>
      <c r="G38" s="19">
        <f t="shared" si="1"/>
        <v>1.173</v>
      </c>
      <c r="H38" s="10">
        <f t="shared" si="2"/>
        <v>0.32844000000000007</v>
      </c>
      <c r="I38" s="20">
        <v>1.5</v>
      </c>
      <c r="J38" s="43">
        <f>(G38*1.28)</f>
        <v>1.5014400000000001</v>
      </c>
      <c r="K38" s="10"/>
      <c r="L38" s="14">
        <f t="shared" si="3"/>
        <v>3.5190000000000001</v>
      </c>
    </row>
    <row r="39" spans="1:12" ht="15">
      <c r="A39" s="2">
        <v>36</v>
      </c>
      <c r="B39" t="s">
        <v>79</v>
      </c>
      <c r="C39" s="3" t="s">
        <v>41</v>
      </c>
      <c r="D39" s="3">
        <v>2</v>
      </c>
      <c r="E39" s="10">
        <v>0.77</v>
      </c>
      <c r="F39" s="12">
        <v>0</v>
      </c>
      <c r="G39" s="19">
        <f t="shared" si="1"/>
        <v>0.77</v>
      </c>
      <c r="H39" s="10">
        <f t="shared" si="2"/>
        <v>0.23100000000000009</v>
      </c>
      <c r="I39" s="20">
        <v>0.99</v>
      </c>
      <c r="J39" s="43">
        <f>(G39*1.3)</f>
        <v>1.0010000000000001</v>
      </c>
      <c r="K39" s="10"/>
      <c r="L39" s="14">
        <f t="shared" si="3"/>
        <v>1.54</v>
      </c>
    </row>
    <row r="40" spans="1:12" ht="15">
      <c r="A40" s="2">
        <v>37</v>
      </c>
      <c r="B40" t="s">
        <v>80</v>
      </c>
      <c r="C40" s="3" t="s">
        <v>41</v>
      </c>
      <c r="D40" s="3">
        <v>2</v>
      </c>
      <c r="E40" s="10">
        <v>0.77</v>
      </c>
      <c r="F40" s="12">
        <v>0</v>
      </c>
      <c r="G40" s="19">
        <f t="shared" si="1"/>
        <v>0.77</v>
      </c>
      <c r="H40" s="10">
        <f t="shared" si="2"/>
        <v>0.23100000000000009</v>
      </c>
      <c r="I40" s="20">
        <v>0.99</v>
      </c>
      <c r="J40" s="43">
        <f>(G40*1.3)</f>
        <v>1.0010000000000001</v>
      </c>
      <c r="K40" s="10"/>
      <c r="L40" s="14">
        <f t="shared" si="3"/>
        <v>1.54</v>
      </c>
    </row>
    <row r="41" spans="1:12" ht="15">
      <c r="A41" s="2">
        <v>38</v>
      </c>
      <c r="B41" t="s">
        <v>81</v>
      </c>
      <c r="C41" s="3" t="s">
        <v>41</v>
      </c>
      <c r="D41" s="3">
        <v>2</v>
      </c>
      <c r="E41" s="10">
        <v>0.77</v>
      </c>
      <c r="F41" s="12">
        <v>0</v>
      </c>
      <c r="G41" s="19">
        <f t="shared" si="1"/>
        <v>0.77</v>
      </c>
      <c r="H41" s="10">
        <f t="shared" si="2"/>
        <v>0.23100000000000009</v>
      </c>
      <c r="I41" s="20">
        <v>0.99</v>
      </c>
      <c r="J41" s="43">
        <f>(G41*1.3)</f>
        <v>1.0010000000000001</v>
      </c>
      <c r="K41" s="10"/>
      <c r="L41" s="14">
        <f t="shared" si="3"/>
        <v>1.54</v>
      </c>
    </row>
    <row r="42" spans="1:12" ht="15">
      <c r="A42" s="2">
        <v>39</v>
      </c>
      <c r="B42" t="s">
        <v>82</v>
      </c>
      <c r="C42" s="3" t="s">
        <v>41</v>
      </c>
      <c r="D42" s="3">
        <v>2</v>
      </c>
      <c r="E42" s="10">
        <v>0.77</v>
      </c>
      <c r="F42" s="12">
        <v>0</v>
      </c>
      <c r="G42" s="19">
        <f t="shared" si="1"/>
        <v>0.77</v>
      </c>
      <c r="H42" s="10">
        <f t="shared" si="2"/>
        <v>0.23100000000000009</v>
      </c>
      <c r="I42" s="20">
        <v>0.99</v>
      </c>
      <c r="J42" s="43">
        <f>(G42*1.3)</f>
        <v>1.0010000000000001</v>
      </c>
      <c r="K42" s="10"/>
      <c r="L42" s="14">
        <f t="shared" si="3"/>
        <v>1.54</v>
      </c>
    </row>
    <row r="43" spans="1:12" ht="15">
      <c r="A43" s="2">
        <v>40</v>
      </c>
      <c r="B43" t="s">
        <v>132</v>
      </c>
      <c r="C43" s="3" t="s">
        <v>41</v>
      </c>
      <c r="D43" s="3">
        <v>2</v>
      </c>
      <c r="E43" s="10">
        <v>0.77</v>
      </c>
      <c r="F43" s="12">
        <v>0</v>
      </c>
      <c r="G43" s="19">
        <f t="shared" si="1"/>
        <v>0.77</v>
      </c>
      <c r="H43" s="10">
        <f t="shared" si="2"/>
        <v>0.23100000000000009</v>
      </c>
      <c r="I43" s="20">
        <v>0.99</v>
      </c>
      <c r="J43" s="43">
        <f>(G43*1.3)</f>
        <v>1.0010000000000001</v>
      </c>
      <c r="K43" s="10"/>
      <c r="L43" s="14">
        <f t="shared" si="3"/>
        <v>1.54</v>
      </c>
    </row>
    <row r="44" spans="1:12" ht="15">
      <c r="A44" s="2">
        <v>41</v>
      </c>
      <c r="B44" t="s">
        <v>83</v>
      </c>
      <c r="C44" s="3" t="s">
        <v>41</v>
      </c>
      <c r="D44" s="3">
        <v>3</v>
      </c>
      <c r="E44" s="10">
        <v>0.52</v>
      </c>
      <c r="F44" s="12">
        <v>0</v>
      </c>
      <c r="G44" s="19">
        <f t="shared" si="1"/>
        <v>0.52</v>
      </c>
      <c r="H44" s="10">
        <f t="shared" si="2"/>
        <v>0.49399999999999999</v>
      </c>
      <c r="I44" s="20">
        <v>0.99</v>
      </c>
      <c r="J44" s="43">
        <f>(G44*1.95)</f>
        <v>1.014</v>
      </c>
      <c r="K44" s="10"/>
      <c r="L44" s="14">
        <f t="shared" si="3"/>
        <v>1.56</v>
      </c>
    </row>
    <row r="45" spans="1:12" ht="15">
      <c r="A45" s="2">
        <v>42</v>
      </c>
      <c r="B45" t="s">
        <v>86</v>
      </c>
      <c r="C45" s="3" t="s">
        <v>41</v>
      </c>
      <c r="D45" s="3">
        <v>3</v>
      </c>
      <c r="E45" s="10">
        <v>0.46</v>
      </c>
      <c r="F45" s="12">
        <v>0</v>
      </c>
      <c r="G45" s="19">
        <f t="shared" si="1"/>
        <v>0.46</v>
      </c>
      <c r="H45" s="10">
        <f t="shared" si="2"/>
        <v>0.437</v>
      </c>
      <c r="I45" s="20">
        <v>0.88</v>
      </c>
      <c r="J45" s="43">
        <f>(G45*1.95)</f>
        <v>0.89700000000000002</v>
      </c>
      <c r="K45" s="10"/>
      <c r="L45" s="14">
        <f t="shared" si="3"/>
        <v>1.3800000000000001</v>
      </c>
    </row>
    <row r="46" spans="1:12" ht="15">
      <c r="A46" s="2">
        <v>43</v>
      </c>
      <c r="B46" t="s">
        <v>84</v>
      </c>
      <c r="C46" s="3" t="s">
        <v>41</v>
      </c>
      <c r="D46" s="3">
        <v>2</v>
      </c>
      <c r="E46" s="10">
        <v>0.69</v>
      </c>
      <c r="F46" s="12">
        <v>0</v>
      </c>
      <c r="G46" s="19">
        <f t="shared" si="1"/>
        <v>0.69</v>
      </c>
      <c r="H46" s="10">
        <f t="shared" si="2"/>
        <v>0.32430000000000003</v>
      </c>
      <c r="I46" s="20">
        <v>1.02</v>
      </c>
      <c r="J46" s="43">
        <f>(G46*1.47)</f>
        <v>1.0143</v>
      </c>
      <c r="K46" s="10"/>
      <c r="L46" s="14">
        <f t="shared" si="3"/>
        <v>1.38</v>
      </c>
    </row>
    <row r="47" spans="1:12" ht="15">
      <c r="A47" s="2">
        <v>44</v>
      </c>
      <c r="B47" t="s">
        <v>87</v>
      </c>
      <c r="C47" s="3" t="s">
        <v>41</v>
      </c>
      <c r="D47" s="3">
        <v>2</v>
      </c>
      <c r="E47" s="10">
        <v>0.69</v>
      </c>
      <c r="F47" s="12">
        <v>0</v>
      </c>
      <c r="G47" s="19">
        <f t="shared" si="1"/>
        <v>0.69</v>
      </c>
      <c r="H47" s="10">
        <f t="shared" si="2"/>
        <v>0.20699999999999996</v>
      </c>
      <c r="I47" s="20">
        <v>0.88</v>
      </c>
      <c r="J47" s="43">
        <f>(G47*1.3)</f>
        <v>0.89699999999999991</v>
      </c>
      <c r="K47" s="10"/>
      <c r="L47" s="14">
        <f t="shared" si="3"/>
        <v>1.38</v>
      </c>
    </row>
    <row r="48" spans="1:12" ht="15">
      <c r="A48" s="2">
        <v>45</v>
      </c>
      <c r="B48" t="s">
        <v>85</v>
      </c>
      <c r="C48" s="3" t="s">
        <v>41</v>
      </c>
      <c r="D48" s="3">
        <v>2</v>
      </c>
      <c r="E48" s="10">
        <v>0.69</v>
      </c>
      <c r="F48" s="12">
        <v>0</v>
      </c>
      <c r="G48" s="19">
        <f t="shared" si="1"/>
        <v>0.69</v>
      </c>
      <c r="H48" s="10">
        <f t="shared" si="2"/>
        <v>0.20699999999999996</v>
      </c>
      <c r="I48" s="20">
        <v>0.88</v>
      </c>
      <c r="J48" s="43">
        <f>(G48*1.3)</f>
        <v>0.89699999999999991</v>
      </c>
      <c r="K48" s="10"/>
      <c r="L48" s="14">
        <f t="shared" si="3"/>
        <v>1.38</v>
      </c>
    </row>
    <row r="49" spans="1:12" ht="15">
      <c r="A49" s="2">
        <v>46</v>
      </c>
      <c r="B49" t="s">
        <v>88</v>
      </c>
      <c r="C49" s="3" t="s">
        <v>41</v>
      </c>
      <c r="D49" s="3">
        <v>2</v>
      </c>
      <c r="E49" s="10">
        <v>0.69</v>
      </c>
      <c r="F49" s="12">
        <v>0</v>
      </c>
      <c r="G49" s="19">
        <f t="shared" si="1"/>
        <v>0.69</v>
      </c>
      <c r="H49" s="10">
        <f t="shared" si="2"/>
        <v>0.20699999999999996</v>
      </c>
      <c r="I49" s="20">
        <v>0.88</v>
      </c>
      <c r="J49" s="43">
        <f>(G49*1.3)</f>
        <v>0.89699999999999991</v>
      </c>
      <c r="K49" s="10"/>
      <c r="L49" s="14">
        <f t="shared" si="3"/>
        <v>1.38</v>
      </c>
    </row>
    <row r="50" spans="1:12" ht="15">
      <c r="A50" s="2">
        <v>47</v>
      </c>
      <c r="B50" t="s">
        <v>138</v>
      </c>
      <c r="C50" s="3" t="s">
        <v>41</v>
      </c>
      <c r="D50" s="3">
        <v>2</v>
      </c>
      <c r="E50" s="10">
        <v>0.69</v>
      </c>
      <c r="F50" s="12">
        <v>0</v>
      </c>
      <c r="G50" s="19">
        <f t="shared" si="1"/>
        <v>0.69</v>
      </c>
      <c r="H50" s="10">
        <f t="shared" si="2"/>
        <v>0.20699999999999996</v>
      </c>
      <c r="I50" s="20">
        <v>0.88</v>
      </c>
      <c r="J50" s="43">
        <f>(G50*1.3)</f>
        <v>0.89699999999999991</v>
      </c>
      <c r="K50" s="10"/>
      <c r="L50" s="14">
        <f t="shared" si="3"/>
        <v>1.38</v>
      </c>
    </row>
    <row r="51" spans="1:12">
      <c r="L51" s="77">
        <f>SUM(L4:L50)</f>
        <v>164.28949999999995</v>
      </c>
    </row>
  </sheetData>
  <sortState xmlns:xlrd2="http://schemas.microsoft.com/office/spreadsheetml/2017/richdata2" ref="B4:K50">
    <sortCondition ref="B4:B50"/>
  </sortState>
  <mergeCells count="1">
    <mergeCell ref="A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270F-179E-46A9-BB4B-394CA4462728}">
  <dimension ref="A2:M50"/>
  <sheetViews>
    <sheetView workbookViewId="0">
      <selection activeCell="A37" sqref="A37"/>
    </sheetView>
  </sheetViews>
  <sheetFormatPr defaultColWidth="11" defaultRowHeight="14.25"/>
  <cols>
    <col min="1" max="1" width="6" customWidth="1"/>
    <col min="2" max="2" width="44.375" customWidth="1"/>
    <col min="3" max="5" width="11.375" style="3"/>
    <col min="6" max="6" width="7" style="3" customWidth="1"/>
    <col min="7" max="7" width="13" style="15" customWidth="1"/>
    <col min="8" max="8" width="11.375" style="3"/>
    <col min="9" max="9" width="14.125" customWidth="1"/>
    <col min="10" max="10" width="11.375" style="3"/>
  </cols>
  <sheetData>
    <row r="2" spans="1:13" ht="25.5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3" s="3" customFormat="1" ht="30">
      <c r="A3" s="2" t="s">
        <v>1</v>
      </c>
      <c r="B3" s="2" t="s">
        <v>2</v>
      </c>
      <c r="C3" s="2" t="s">
        <v>115</v>
      </c>
      <c r="D3" s="2" t="s">
        <v>3</v>
      </c>
      <c r="E3" s="2" t="s">
        <v>128</v>
      </c>
      <c r="F3" s="2" t="s">
        <v>4</v>
      </c>
      <c r="G3" s="16" t="s">
        <v>129</v>
      </c>
      <c r="H3" s="2" t="s">
        <v>8</v>
      </c>
      <c r="I3" s="37" t="s">
        <v>133</v>
      </c>
      <c r="J3" s="2" t="s">
        <v>5</v>
      </c>
      <c r="K3" s="2" t="s">
        <v>130</v>
      </c>
      <c r="M3" s="2" t="s">
        <v>258</v>
      </c>
    </row>
    <row r="4" spans="1:13" ht="15">
      <c r="A4" s="2">
        <v>1</v>
      </c>
      <c r="B4" t="s">
        <v>101</v>
      </c>
      <c r="C4" s="3" t="s">
        <v>69</v>
      </c>
      <c r="D4" s="3">
        <v>13</v>
      </c>
      <c r="E4" s="12">
        <v>3.67</v>
      </c>
      <c r="F4" s="12">
        <v>0</v>
      </c>
      <c r="G4" s="21">
        <v>3.67</v>
      </c>
      <c r="H4" s="12">
        <f t="shared" ref="H4:H24" si="0">(J4-G4)</f>
        <v>1.3285400000000003</v>
      </c>
      <c r="I4" s="23">
        <v>5.07</v>
      </c>
      <c r="J4" s="12">
        <f>(G4*1.362)</f>
        <v>4.9985400000000002</v>
      </c>
      <c r="K4" s="12"/>
      <c r="M4" s="14">
        <f>(G4*D4)</f>
        <v>47.71</v>
      </c>
    </row>
    <row r="5" spans="1:13" ht="15">
      <c r="A5" s="2">
        <v>2</v>
      </c>
      <c r="B5" t="s">
        <v>113</v>
      </c>
      <c r="C5" s="3" t="s">
        <v>112</v>
      </c>
      <c r="D5" s="3">
        <v>2</v>
      </c>
      <c r="E5" s="12">
        <v>9.26</v>
      </c>
      <c r="F5" s="12">
        <v>0</v>
      </c>
      <c r="G5" s="21">
        <v>9.26</v>
      </c>
      <c r="H5" s="12">
        <f t="shared" si="0"/>
        <v>6.7598000000000003</v>
      </c>
      <c r="I5" s="23">
        <v>18.899999999999999</v>
      </c>
      <c r="J5" s="12">
        <f>(G5*1.73)</f>
        <v>16.0198</v>
      </c>
      <c r="K5" s="41">
        <v>15</v>
      </c>
      <c r="M5" s="14">
        <f t="shared" ref="M5:M24" si="1">(G5*D5)</f>
        <v>18.52</v>
      </c>
    </row>
    <row r="6" spans="1:13" ht="15">
      <c r="A6" s="2">
        <v>3</v>
      </c>
      <c r="B6" t="s">
        <v>107</v>
      </c>
      <c r="C6" s="3" t="s">
        <v>106</v>
      </c>
      <c r="D6" s="3">
        <v>2</v>
      </c>
      <c r="E6" s="12">
        <v>11.68</v>
      </c>
      <c r="F6" s="12">
        <v>0</v>
      </c>
      <c r="G6" s="21">
        <v>11.68</v>
      </c>
      <c r="H6" s="12">
        <f t="shared" si="0"/>
        <v>8.6432000000000002</v>
      </c>
      <c r="I6" s="23">
        <v>23.85</v>
      </c>
      <c r="J6" s="12">
        <f>(G6*1.74)</f>
        <v>20.3232</v>
      </c>
      <c r="K6" s="41">
        <v>19</v>
      </c>
      <c r="M6" s="14">
        <f t="shared" si="1"/>
        <v>23.36</v>
      </c>
    </row>
    <row r="7" spans="1:13" ht="15">
      <c r="A7" s="2">
        <v>4</v>
      </c>
      <c r="B7" t="s">
        <v>108</v>
      </c>
      <c r="C7" s="3" t="s">
        <v>109</v>
      </c>
      <c r="D7" s="3">
        <v>2</v>
      </c>
      <c r="E7" s="12">
        <v>11.15</v>
      </c>
      <c r="F7" s="12">
        <v>0</v>
      </c>
      <c r="G7" s="21">
        <v>11.15</v>
      </c>
      <c r="H7" s="12">
        <f t="shared" si="0"/>
        <v>8.0280000000000005</v>
      </c>
      <c r="I7" s="23">
        <v>22.75</v>
      </c>
      <c r="J7" s="12">
        <f>(G7*1.72)</f>
        <v>19.178000000000001</v>
      </c>
      <c r="K7" s="41">
        <v>18</v>
      </c>
      <c r="L7">
        <v>16</v>
      </c>
      <c r="M7" s="14">
        <f t="shared" si="1"/>
        <v>22.3</v>
      </c>
    </row>
    <row r="8" spans="1:13" ht="15">
      <c r="A8" s="2">
        <v>5</v>
      </c>
      <c r="B8" t="s">
        <v>110</v>
      </c>
      <c r="C8" s="3" t="s">
        <v>111</v>
      </c>
      <c r="D8" s="3">
        <v>2</v>
      </c>
      <c r="E8" s="12">
        <v>10.51</v>
      </c>
      <c r="F8" s="12">
        <v>0</v>
      </c>
      <c r="G8" s="21">
        <v>10.51</v>
      </c>
      <c r="H8" s="12">
        <f t="shared" si="0"/>
        <v>7.6722999999999981</v>
      </c>
      <c r="I8" s="23">
        <v>21.45</v>
      </c>
      <c r="J8" s="12">
        <f>(G8*1.73)</f>
        <v>18.182299999999998</v>
      </c>
      <c r="K8" s="41">
        <v>17</v>
      </c>
      <c r="M8" s="14">
        <f t="shared" si="1"/>
        <v>21.02</v>
      </c>
    </row>
    <row r="9" spans="1:13" ht="15">
      <c r="A9" s="2">
        <v>6</v>
      </c>
      <c r="B9" t="s">
        <v>103</v>
      </c>
      <c r="C9" s="3" t="s">
        <v>115</v>
      </c>
      <c r="D9" s="3">
        <v>3</v>
      </c>
      <c r="E9" s="12">
        <v>5.41</v>
      </c>
      <c r="F9" s="12">
        <v>0</v>
      </c>
      <c r="G9" s="21">
        <v>5.41</v>
      </c>
      <c r="H9" s="12">
        <f t="shared" si="0"/>
        <v>0.99002999999999997</v>
      </c>
      <c r="I9" s="23">
        <v>6.42</v>
      </c>
      <c r="J9" s="12">
        <f>(G9*1.183)</f>
        <v>6.4000300000000001</v>
      </c>
      <c r="K9" s="12"/>
      <c r="M9" s="14">
        <f t="shared" si="1"/>
        <v>16.23</v>
      </c>
    </row>
    <row r="10" spans="1:13" ht="15">
      <c r="A10" s="2">
        <v>7</v>
      </c>
      <c r="B10" t="s">
        <v>102</v>
      </c>
      <c r="C10" s="3" t="s">
        <v>115</v>
      </c>
      <c r="D10" s="3">
        <v>4</v>
      </c>
      <c r="E10" s="12">
        <v>4.05</v>
      </c>
      <c r="F10" s="12">
        <v>0</v>
      </c>
      <c r="G10" s="21">
        <v>4.05</v>
      </c>
      <c r="H10" s="12">
        <f t="shared" si="0"/>
        <v>1.9520999999999997</v>
      </c>
      <c r="I10" s="23">
        <v>6.9</v>
      </c>
      <c r="J10" s="12">
        <f>(G10*1.482)</f>
        <v>6.0020999999999995</v>
      </c>
      <c r="K10" s="12"/>
      <c r="M10" s="14">
        <f t="shared" si="1"/>
        <v>16.2</v>
      </c>
    </row>
    <row r="11" spans="1:13" ht="15">
      <c r="A11" s="2">
        <v>8</v>
      </c>
      <c r="B11" t="s">
        <v>105</v>
      </c>
      <c r="C11" s="3" t="s">
        <v>115</v>
      </c>
      <c r="D11" s="3">
        <v>3</v>
      </c>
      <c r="E11" s="12">
        <v>7.21</v>
      </c>
      <c r="F11" s="12">
        <v>0</v>
      </c>
      <c r="G11" s="21">
        <v>7.21</v>
      </c>
      <c r="H11" s="12">
        <f t="shared" si="0"/>
        <v>1.7880799999999999</v>
      </c>
      <c r="I11" s="23">
        <v>9.1999999999999993</v>
      </c>
      <c r="J11" s="12">
        <f>(G11*1.248)</f>
        <v>8.9980799999999999</v>
      </c>
      <c r="K11" s="12">
        <v>8.8000000000000007</v>
      </c>
      <c r="M11" s="14">
        <f t="shared" si="1"/>
        <v>21.63</v>
      </c>
    </row>
    <row r="12" spans="1:13" ht="15">
      <c r="A12" s="2">
        <v>9</v>
      </c>
      <c r="B12" t="s">
        <v>104</v>
      </c>
      <c r="C12" s="3" t="s">
        <v>115</v>
      </c>
      <c r="D12" s="3">
        <v>3</v>
      </c>
      <c r="E12" s="12">
        <v>6.43</v>
      </c>
      <c r="F12" s="12">
        <v>0</v>
      </c>
      <c r="G12" s="21">
        <v>6.43</v>
      </c>
      <c r="H12" s="12">
        <f t="shared" si="0"/>
        <v>1.5689200000000003</v>
      </c>
      <c r="I12" s="23">
        <v>8.1999999999999993</v>
      </c>
      <c r="J12" s="12">
        <f>(G12*1.244)</f>
        <v>7.99892</v>
      </c>
      <c r="K12" s="12">
        <v>7.9</v>
      </c>
      <c r="M12" s="14">
        <f t="shared" si="1"/>
        <v>19.29</v>
      </c>
    </row>
    <row r="13" spans="1:13" ht="15">
      <c r="A13" s="2">
        <v>10</v>
      </c>
      <c r="B13" t="s">
        <v>255</v>
      </c>
      <c r="D13" s="3">
        <v>1</v>
      </c>
      <c r="E13" s="12">
        <v>0</v>
      </c>
      <c r="F13" s="12">
        <v>0</v>
      </c>
      <c r="G13" s="21">
        <v>0</v>
      </c>
      <c r="H13" s="12">
        <f t="shared" si="0"/>
        <v>3.5</v>
      </c>
      <c r="I13" s="23">
        <v>0</v>
      </c>
      <c r="J13" s="12">
        <v>3.5</v>
      </c>
      <c r="M13" s="14">
        <f t="shared" si="1"/>
        <v>0</v>
      </c>
    </row>
    <row r="14" spans="1:13" ht="15">
      <c r="A14" s="2">
        <v>11</v>
      </c>
      <c r="B14" t="s">
        <v>118</v>
      </c>
      <c r="C14" s="3" t="s">
        <v>94</v>
      </c>
      <c r="D14" s="3">
        <v>5</v>
      </c>
      <c r="E14" s="12">
        <v>2.98</v>
      </c>
      <c r="F14" s="12">
        <v>0</v>
      </c>
      <c r="G14" s="21">
        <v>2.98</v>
      </c>
      <c r="H14" s="12">
        <f t="shared" si="0"/>
        <v>1.5197999999999996</v>
      </c>
      <c r="I14" s="23">
        <v>4.75</v>
      </c>
      <c r="J14" s="12">
        <f>(G14*1.51)</f>
        <v>4.4997999999999996</v>
      </c>
      <c r="K14" s="12"/>
      <c r="M14" s="14">
        <f t="shared" si="1"/>
        <v>14.9</v>
      </c>
    </row>
    <row r="15" spans="1:13" ht="15">
      <c r="A15" s="2">
        <v>12</v>
      </c>
      <c r="B15" t="s">
        <v>121</v>
      </c>
      <c r="C15" s="3" t="s">
        <v>97</v>
      </c>
      <c r="D15" s="3">
        <v>2</v>
      </c>
      <c r="E15" s="12">
        <v>6.11</v>
      </c>
      <c r="F15" s="12">
        <v>0</v>
      </c>
      <c r="G15" s="21">
        <v>6.11</v>
      </c>
      <c r="H15" s="12">
        <f t="shared" si="0"/>
        <v>1.53972</v>
      </c>
      <c r="I15" s="23">
        <v>7.8</v>
      </c>
      <c r="J15" s="12">
        <f>(G15*1.252)</f>
        <v>7.6497200000000003</v>
      </c>
      <c r="K15" s="12">
        <v>7.6</v>
      </c>
      <c r="M15" s="14">
        <f t="shared" si="1"/>
        <v>12.22</v>
      </c>
    </row>
    <row r="16" spans="1:13" ht="15">
      <c r="A16" s="2">
        <v>13</v>
      </c>
      <c r="B16" t="s">
        <v>119</v>
      </c>
      <c r="C16" s="3" t="s">
        <v>95</v>
      </c>
      <c r="D16" s="3">
        <v>3</v>
      </c>
      <c r="E16" s="12">
        <v>4.1900000000000004</v>
      </c>
      <c r="F16" s="12">
        <v>0</v>
      </c>
      <c r="G16" s="21">
        <v>4.1900000000000004</v>
      </c>
      <c r="H16" s="12">
        <f t="shared" si="0"/>
        <v>1.1732000000000005</v>
      </c>
      <c r="I16" s="23">
        <v>5.35</v>
      </c>
      <c r="J16" s="12">
        <f>(G16*1.28)</f>
        <v>5.3632000000000009</v>
      </c>
      <c r="K16" s="12"/>
      <c r="M16" s="14">
        <f t="shared" si="1"/>
        <v>12.57</v>
      </c>
    </row>
    <row r="17" spans="1:13" ht="15">
      <c r="A17" s="2">
        <v>14</v>
      </c>
      <c r="B17" t="s">
        <v>120</v>
      </c>
      <c r="C17" s="3" t="s">
        <v>96</v>
      </c>
      <c r="D17" s="3">
        <v>3</v>
      </c>
      <c r="E17" s="12">
        <v>4.9400000000000004</v>
      </c>
      <c r="F17" s="12">
        <v>0</v>
      </c>
      <c r="G17" s="21">
        <v>4.9400000000000004</v>
      </c>
      <c r="H17" s="12">
        <f t="shared" si="0"/>
        <v>1.1559600000000003</v>
      </c>
      <c r="I17" s="23">
        <v>6.3</v>
      </c>
      <c r="J17" s="12">
        <f>(G17*1.234)</f>
        <v>6.0959600000000007</v>
      </c>
      <c r="K17" s="12"/>
      <c r="M17" s="14">
        <f t="shared" si="1"/>
        <v>14.82</v>
      </c>
    </row>
    <row r="18" spans="1:13" ht="15">
      <c r="A18" s="2">
        <v>15</v>
      </c>
      <c r="B18" t="s">
        <v>89</v>
      </c>
      <c r="C18" s="3" t="s">
        <v>134</v>
      </c>
      <c r="D18" s="3">
        <v>4</v>
      </c>
      <c r="E18" s="12">
        <v>4.66</v>
      </c>
      <c r="F18" s="12">
        <v>0</v>
      </c>
      <c r="G18" s="21">
        <v>4.66</v>
      </c>
      <c r="H18" s="12">
        <f t="shared" si="0"/>
        <v>1.2442199999999994</v>
      </c>
      <c r="I18" s="23">
        <v>5.95</v>
      </c>
      <c r="J18" s="12">
        <f>(G18*1.267)</f>
        <v>5.9042199999999996</v>
      </c>
      <c r="K18" s="12">
        <v>5.75</v>
      </c>
      <c r="L18" t="s">
        <v>123</v>
      </c>
      <c r="M18" s="14">
        <f t="shared" si="1"/>
        <v>18.64</v>
      </c>
    </row>
    <row r="19" spans="1:13" ht="15">
      <c r="A19" s="2">
        <v>16</v>
      </c>
      <c r="B19" t="s">
        <v>90</v>
      </c>
      <c r="C19" s="3" t="s">
        <v>134</v>
      </c>
      <c r="D19" s="3">
        <v>4</v>
      </c>
      <c r="E19" s="12">
        <v>3.72</v>
      </c>
      <c r="F19" s="12">
        <v>0</v>
      </c>
      <c r="G19" s="21">
        <v>3.72</v>
      </c>
      <c r="H19" s="12">
        <f t="shared" si="0"/>
        <v>1.03044</v>
      </c>
      <c r="I19" s="23">
        <v>4.75</v>
      </c>
      <c r="J19" s="12">
        <f>(G19*1.277)</f>
        <v>4.7504400000000002</v>
      </c>
      <c r="K19" s="12"/>
      <c r="L19" t="s">
        <v>122</v>
      </c>
      <c r="M19" s="14">
        <f t="shared" si="1"/>
        <v>14.88</v>
      </c>
    </row>
    <row r="20" spans="1:13" ht="15">
      <c r="A20" s="2">
        <v>17</v>
      </c>
      <c r="B20" t="s">
        <v>139</v>
      </c>
      <c r="C20" s="3" t="s">
        <v>91</v>
      </c>
      <c r="D20" s="3">
        <v>5</v>
      </c>
      <c r="E20" s="12">
        <v>1.22</v>
      </c>
      <c r="F20" s="12">
        <v>0</v>
      </c>
      <c r="G20" s="21">
        <v>1.22</v>
      </c>
      <c r="H20" s="12">
        <f t="shared" si="0"/>
        <v>0.73199999999999998</v>
      </c>
      <c r="I20" s="23">
        <v>1.95</v>
      </c>
      <c r="J20" s="12">
        <f>(G20*1.6)</f>
        <v>1.952</v>
      </c>
      <c r="K20" s="68"/>
      <c r="M20" s="14">
        <f t="shared" si="1"/>
        <v>6.1</v>
      </c>
    </row>
    <row r="21" spans="1:13" ht="15">
      <c r="A21" s="2">
        <v>18</v>
      </c>
      <c r="B21" t="s">
        <v>140</v>
      </c>
      <c r="C21" s="3" t="s">
        <v>92</v>
      </c>
      <c r="D21" s="3">
        <v>4</v>
      </c>
      <c r="E21" s="12">
        <v>2.19</v>
      </c>
      <c r="F21" s="12">
        <v>0</v>
      </c>
      <c r="G21" s="21">
        <v>2.19</v>
      </c>
      <c r="H21" s="12">
        <f t="shared" si="0"/>
        <v>0.61319999999999997</v>
      </c>
      <c r="I21" s="23">
        <v>2.8</v>
      </c>
      <c r="J21" s="12">
        <f>(G21*1.28)</f>
        <v>2.8031999999999999</v>
      </c>
      <c r="K21" s="68"/>
      <c r="M21" s="14">
        <f t="shared" si="1"/>
        <v>8.76</v>
      </c>
    </row>
    <row r="22" spans="1:13" ht="15">
      <c r="A22" s="2">
        <v>19</v>
      </c>
      <c r="B22" t="s">
        <v>141</v>
      </c>
      <c r="C22" s="3" t="s">
        <v>93</v>
      </c>
      <c r="D22" s="3">
        <v>4</v>
      </c>
      <c r="E22" s="12">
        <v>2.74</v>
      </c>
      <c r="F22" s="12">
        <v>0</v>
      </c>
      <c r="G22" s="21">
        <v>2.74</v>
      </c>
      <c r="H22" s="12">
        <f t="shared" si="0"/>
        <v>0.76720000000000033</v>
      </c>
      <c r="I22" s="23">
        <v>3.5</v>
      </c>
      <c r="J22" s="12">
        <f>(G22*1.28)</f>
        <v>3.5072000000000005</v>
      </c>
      <c r="K22" s="68"/>
      <c r="M22" s="14">
        <f t="shared" si="1"/>
        <v>10.96</v>
      </c>
    </row>
    <row r="23" spans="1:13" ht="15">
      <c r="A23" s="2">
        <v>20</v>
      </c>
      <c r="B23" t="s">
        <v>98</v>
      </c>
      <c r="C23" s="3" t="s">
        <v>53</v>
      </c>
      <c r="D23" s="3">
        <v>3</v>
      </c>
      <c r="E23" s="12">
        <v>3.21</v>
      </c>
      <c r="F23" s="12">
        <v>0</v>
      </c>
      <c r="G23" s="21">
        <v>3.21</v>
      </c>
      <c r="H23" s="12">
        <f t="shared" si="0"/>
        <v>0.89238000000000017</v>
      </c>
      <c r="I23" s="23">
        <v>4.0999999999999996</v>
      </c>
      <c r="J23" s="12">
        <f>(G23*1.278)</f>
        <v>4.1023800000000001</v>
      </c>
      <c r="K23" s="12"/>
      <c r="M23" s="14">
        <f t="shared" si="1"/>
        <v>9.629999999999999</v>
      </c>
    </row>
    <row r="24" spans="1:13" ht="15">
      <c r="A24" s="2">
        <v>21</v>
      </c>
      <c r="B24" t="s">
        <v>99</v>
      </c>
      <c r="C24" s="3" t="s">
        <v>100</v>
      </c>
      <c r="D24" s="3">
        <v>13</v>
      </c>
      <c r="E24" s="12">
        <v>1.08</v>
      </c>
      <c r="F24" s="12">
        <v>0</v>
      </c>
      <c r="G24" s="21">
        <v>1.08</v>
      </c>
      <c r="H24" s="12">
        <f t="shared" si="0"/>
        <v>0.42120000000000002</v>
      </c>
      <c r="I24" s="23">
        <v>1.65</v>
      </c>
      <c r="J24" s="12">
        <f>(G24*1.39)</f>
        <v>1.5012000000000001</v>
      </c>
      <c r="K24" s="12"/>
      <c r="M24" s="14">
        <f t="shared" si="1"/>
        <v>14.040000000000001</v>
      </c>
    </row>
    <row r="25" spans="1:13" ht="15">
      <c r="A25" s="2"/>
      <c r="F25" s="5"/>
      <c r="G25" s="22"/>
      <c r="M25" s="77">
        <f>SUM(M4:M24)</f>
        <v>343.78</v>
      </c>
    </row>
    <row r="26" spans="1:13" ht="15">
      <c r="A26" s="2"/>
      <c r="F26" s="5"/>
      <c r="G26" s="22"/>
    </row>
    <row r="27" spans="1:13" ht="15">
      <c r="A27" s="2"/>
      <c r="F27" s="5"/>
      <c r="G27" s="22"/>
    </row>
    <row r="28" spans="1:13" ht="15">
      <c r="A28" s="2"/>
      <c r="F28" s="5"/>
      <c r="G28" s="22"/>
    </row>
    <row r="29" spans="1:13" ht="15">
      <c r="A29" s="2"/>
      <c r="F29" s="5"/>
      <c r="G29" s="22"/>
    </row>
    <row r="30" spans="1:13" ht="15">
      <c r="A30" s="2"/>
      <c r="F30" s="5"/>
      <c r="G30" s="22"/>
    </row>
    <row r="31" spans="1:13" ht="15">
      <c r="A31" s="2"/>
    </row>
    <row r="32" spans="1:13" ht="15">
      <c r="A32" s="2"/>
    </row>
    <row r="33" spans="1:1" ht="15">
      <c r="A33" s="2"/>
    </row>
    <row r="34" spans="1:1" ht="15">
      <c r="A34" s="2"/>
    </row>
    <row r="35" spans="1:1" ht="15">
      <c r="A35" s="2"/>
    </row>
    <row r="36" spans="1:1" ht="15">
      <c r="A36" s="2"/>
    </row>
    <row r="37" spans="1:1" ht="15">
      <c r="A37" s="2"/>
    </row>
    <row r="38" spans="1:1" ht="15">
      <c r="A38" s="2"/>
    </row>
    <row r="39" spans="1:1" ht="15">
      <c r="A39" s="2"/>
    </row>
    <row r="40" spans="1:1" ht="15">
      <c r="A40" s="2"/>
    </row>
    <row r="41" spans="1:1" ht="15">
      <c r="A41" s="2"/>
    </row>
    <row r="42" spans="1:1" ht="15">
      <c r="A42" s="2"/>
    </row>
    <row r="43" spans="1:1" ht="15">
      <c r="A43" s="2"/>
    </row>
    <row r="44" spans="1:1" ht="15">
      <c r="A44" s="2"/>
    </row>
    <row r="45" spans="1:1" ht="15">
      <c r="A45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0" spans="1:1" ht="15">
      <c r="A50" s="2"/>
    </row>
  </sheetData>
  <sortState xmlns:xlrd2="http://schemas.microsoft.com/office/spreadsheetml/2017/richdata2" ref="B4:L24">
    <sortCondition ref="B4:B24"/>
  </sortState>
  <mergeCells count="1">
    <mergeCell ref="A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C904-F7D3-40DF-A7EE-64AB3E279FA7}">
  <dimension ref="A2:K36"/>
  <sheetViews>
    <sheetView topLeftCell="A18" workbookViewId="0">
      <selection activeCell="B22" sqref="B22"/>
    </sheetView>
  </sheetViews>
  <sheetFormatPr defaultColWidth="11" defaultRowHeight="14.25"/>
  <cols>
    <col min="1" max="1" width="6" customWidth="1"/>
    <col min="2" max="2" width="39.875" customWidth="1"/>
    <col min="3" max="3" width="11.75" style="3" customWidth="1"/>
    <col min="4" max="5" width="11.375" style="3"/>
    <col min="6" max="6" width="8" style="3" customWidth="1"/>
    <col min="7" max="7" width="14.125" customWidth="1"/>
    <col min="8" max="9" width="11.375" style="3"/>
  </cols>
  <sheetData>
    <row r="2" spans="1:11" ht="25.5">
      <c r="A2" s="83" t="s">
        <v>0</v>
      </c>
      <c r="B2" s="83"/>
      <c r="C2" s="83"/>
      <c r="D2" s="83"/>
      <c r="E2" s="83"/>
      <c r="F2" s="83"/>
      <c r="G2" s="83"/>
      <c r="H2" s="83"/>
      <c r="I2" s="83"/>
    </row>
    <row r="3" spans="1:11" ht="15">
      <c r="A3" s="1" t="s">
        <v>1</v>
      </c>
      <c r="B3" s="1" t="s">
        <v>2</v>
      </c>
      <c r="C3" s="2" t="s">
        <v>115</v>
      </c>
      <c r="D3" s="2" t="s">
        <v>3</v>
      </c>
      <c r="E3" s="2" t="s">
        <v>128</v>
      </c>
      <c r="F3" s="2" t="s">
        <v>4</v>
      </c>
      <c r="G3" s="69" t="s">
        <v>129</v>
      </c>
      <c r="H3" s="2" t="s">
        <v>8</v>
      </c>
      <c r="I3" s="2" t="s">
        <v>5</v>
      </c>
      <c r="J3" s="2"/>
      <c r="K3" s="9" t="s">
        <v>258</v>
      </c>
    </row>
    <row r="4" spans="1:11" ht="15">
      <c r="A4" s="2">
        <v>1</v>
      </c>
      <c r="B4" t="s">
        <v>248</v>
      </c>
      <c r="C4" s="3" t="s">
        <v>249</v>
      </c>
      <c r="D4" s="3">
        <v>1</v>
      </c>
      <c r="E4" s="67">
        <v>15.65</v>
      </c>
      <c r="F4" s="68">
        <v>0</v>
      </c>
      <c r="G4" s="70">
        <f t="shared" ref="G4:G32" si="0">(E4-F4)</f>
        <v>15.65</v>
      </c>
      <c r="H4" s="67">
        <f t="shared" ref="H4:H32" si="1">(I4-G4)</f>
        <v>3.9124999999999996</v>
      </c>
      <c r="I4" s="68">
        <f>(G4*1.25)</f>
        <v>19.5625</v>
      </c>
      <c r="J4" s="7"/>
      <c r="K4" s="14">
        <f>(G4*D4)</f>
        <v>15.65</v>
      </c>
    </row>
    <row r="5" spans="1:11" ht="15">
      <c r="A5" s="2">
        <v>2</v>
      </c>
      <c r="B5" s="39" t="s">
        <v>248</v>
      </c>
      <c r="C5" s="40" t="s">
        <v>114</v>
      </c>
      <c r="D5" s="40">
        <v>25</v>
      </c>
      <c r="E5" s="51">
        <f>(E4/D5)</f>
        <v>0.626</v>
      </c>
      <c r="F5" s="52">
        <v>0</v>
      </c>
      <c r="G5" s="71">
        <f t="shared" si="0"/>
        <v>0.626</v>
      </c>
      <c r="H5" s="51">
        <f t="shared" si="1"/>
        <v>0.27544000000000002</v>
      </c>
      <c r="I5" s="52">
        <f>(G5*1.44)</f>
        <v>0.90144000000000002</v>
      </c>
      <c r="J5" s="7"/>
      <c r="K5" s="14">
        <f t="shared" ref="K5:K32" si="2">(G5*D5)</f>
        <v>15.65</v>
      </c>
    </row>
    <row r="6" spans="1:11" ht="15">
      <c r="A6" s="2">
        <v>3</v>
      </c>
      <c r="B6" t="s">
        <v>162</v>
      </c>
      <c r="C6" s="3" t="s">
        <v>127</v>
      </c>
      <c r="D6" s="3">
        <v>1</v>
      </c>
      <c r="E6" s="10">
        <v>25.4</v>
      </c>
      <c r="F6" s="12">
        <v>0</v>
      </c>
      <c r="G6" s="72">
        <f t="shared" si="0"/>
        <v>25.4</v>
      </c>
      <c r="H6" s="10">
        <f t="shared" si="1"/>
        <v>2.1082000000000001</v>
      </c>
      <c r="I6" s="12">
        <f>(G6*1.083)</f>
        <v>27.508199999999999</v>
      </c>
      <c r="J6" s="7"/>
      <c r="K6" s="14">
        <f t="shared" si="2"/>
        <v>25.4</v>
      </c>
    </row>
    <row r="7" spans="1:11" ht="15">
      <c r="A7" s="2">
        <v>4</v>
      </c>
      <c r="B7" s="39" t="s">
        <v>162</v>
      </c>
      <c r="C7" s="40" t="s">
        <v>114</v>
      </c>
      <c r="D7" s="40">
        <v>88</v>
      </c>
      <c r="E7" s="51">
        <f>(E6/D7)</f>
        <v>0.28863636363636364</v>
      </c>
      <c r="F7" s="52">
        <v>0</v>
      </c>
      <c r="G7" s="71">
        <f t="shared" si="0"/>
        <v>0.28863636363636364</v>
      </c>
      <c r="H7" s="51">
        <f t="shared" si="1"/>
        <v>9.5250000000000001E-2</v>
      </c>
      <c r="I7" s="52">
        <f>(G7*1.33)</f>
        <v>0.38388636363636364</v>
      </c>
      <c r="J7" s="7"/>
      <c r="K7" s="14">
        <f t="shared" si="2"/>
        <v>25.4</v>
      </c>
    </row>
    <row r="8" spans="1:11" ht="15">
      <c r="A8" s="2">
        <v>5</v>
      </c>
      <c r="B8" t="s">
        <v>166</v>
      </c>
      <c r="C8" s="3" t="s">
        <v>115</v>
      </c>
      <c r="D8" s="3">
        <v>2</v>
      </c>
      <c r="E8" s="10">
        <v>2.5</v>
      </c>
      <c r="F8" s="10">
        <v>0</v>
      </c>
      <c r="G8" s="72">
        <f t="shared" si="0"/>
        <v>2.5</v>
      </c>
      <c r="H8" s="10">
        <f t="shared" si="1"/>
        <v>1.25</v>
      </c>
      <c r="I8" s="12">
        <f>(G8*1.5)</f>
        <v>3.75</v>
      </c>
      <c r="J8" s="7"/>
      <c r="K8" s="14">
        <f t="shared" si="2"/>
        <v>5</v>
      </c>
    </row>
    <row r="9" spans="1:11" s="62" customFormat="1" ht="15">
      <c r="A9" s="60">
        <v>6</v>
      </c>
      <c r="B9" s="62" t="s">
        <v>167</v>
      </c>
      <c r="C9" s="73" t="s">
        <v>115</v>
      </c>
      <c r="D9" s="73">
        <v>2</v>
      </c>
      <c r="E9" s="74">
        <v>4</v>
      </c>
      <c r="F9" s="61">
        <v>0</v>
      </c>
      <c r="G9" s="75">
        <f t="shared" si="0"/>
        <v>4</v>
      </c>
      <c r="H9" s="74">
        <f t="shared" si="1"/>
        <v>1</v>
      </c>
      <c r="I9" s="61">
        <f>(G9*1.25)</f>
        <v>5</v>
      </c>
      <c r="J9" s="76"/>
      <c r="K9" s="14">
        <f t="shared" si="2"/>
        <v>8</v>
      </c>
    </row>
    <row r="10" spans="1:11" ht="15">
      <c r="A10" s="2">
        <v>7</v>
      </c>
      <c r="B10" t="s">
        <v>251</v>
      </c>
      <c r="C10" s="3" t="s">
        <v>127</v>
      </c>
      <c r="D10" s="3">
        <v>1</v>
      </c>
      <c r="E10" s="67">
        <v>25</v>
      </c>
      <c r="F10" s="68">
        <v>0</v>
      </c>
      <c r="G10" s="70">
        <f t="shared" si="0"/>
        <v>25</v>
      </c>
      <c r="H10" s="67">
        <f t="shared" si="1"/>
        <v>5</v>
      </c>
      <c r="I10" s="68">
        <f>(G10*1.2)</f>
        <v>30</v>
      </c>
      <c r="J10" s="7"/>
      <c r="K10" s="14">
        <f t="shared" si="2"/>
        <v>25</v>
      </c>
    </row>
    <row r="11" spans="1:11" ht="15">
      <c r="A11" s="2">
        <v>8</v>
      </c>
      <c r="B11" s="39" t="s">
        <v>251</v>
      </c>
      <c r="C11" s="40" t="s">
        <v>114</v>
      </c>
      <c r="D11" s="40">
        <v>88</v>
      </c>
      <c r="E11" s="51">
        <f>(E10/D11)</f>
        <v>0.28409090909090912</v>
      </c>
      <c r="F11" s="52">
        <v>0</v>
      </c>
      <c r="G11" s="71">
        <f t="shared" si="0"/>
        <v>0.28409090909090912</v>
      </c>
      <c r="H11" s="51">
        <f t="shared" si="1"/>
        <v>6.8181818181818177E-2</v>
      </c>
      <c r="I11" s="52">
        <f>(G11*1.24)</f>
        <v>0.35227272727272729</v>
      </c>
      <c r="J11" s="7"/>
      <c r="K11" s="14">
        <f t="shared" si="2"/>
        <v>25.000000000000004</v>
      </c>
    </row>
    <row r="12" spans="1:11" ht="15">
      <c r="A12" s="2">
        <v>9</v>
      </c>
      <c r="B12" t="s">
        <v>253</v>
      </c>
      <c r="C12" s="3" t="s">
        <v>127</v>
      </c>
      <c r="D12" s="3">
        <v>1</v>
      </c>
      <c r="E12" s="67">
        <v>28.5</v>
      </c>
      <c r="F12" s="68">
        <v>0</v>
      </c>
      <c r="G12" s="70">
        <f t="shared" si="0"/>
        <v>28.5</v>
      </c>
      <c r="H12" s="67">
        <f t="shared" si="1"/>
        <v>5.6999999999999957</v>
      </c>
      <c r="I12" s="68">
        <f>(G12*1.2)</f>
        <v>34.199999999999996</v>
      </c>
      <c r="J12" s="7"/>
      <c r="K12" s="14">
        <f t="shared" si="2"/>
        <v>28.5</v>
      </c>
    </row>
    <row r="13" spans="1:11" ht="15">
      <c r="A13" s="2">
        <v>10</v>
      </c>
      <c r="B13" s="39" t="s">
        <v>253</v>
      </c>
      <c r="C13" s="40" t="s">
        <v>114</v>
      </c>
      <c r="D13" s="40">
        <v>88</v>
      </c>
      <c r="E13" s="51">
        <f>(E12/D13)</f>
        <v>0.32386363636363635</v>
      </c>
      <c r="F13" s="52">
        <v>0</v>
      </c>
      <c r="G13" s="71">
        <f t="shared" si="0"/>
        <v>0.32386363636363635</v>
      </c>
      <c r="H13" s="51">
        <f t="shared" si="1"/>
        <v>9.7159090909090917E-2</v>
      </c>
      <c r="I13" s="52">
        <f>(G13*1.3)</f>
        <v>0.42102272727272727</v>
      </c>
      <c r="J13" s="7"/>
      <c r="K13" s="14">
        <f t="shared" si="2"/>
        <v>28.5</v>
      </c>
    </row>
    <row r="14" spans="1:11" ht="15">
      <c r="A14" s="2">
        <v>11</v>
      </c>
      <c r="B14" t="s">
        <v>165</v>
      </c>
      <c r="C14" s="3" t="s">
        <v>127</v>
      </c>
      <c r="D14" s="3">
        <v>1</v>
      </c>
      <c r="E14" s="10">
        <v>23.5</v>
      </c>
      <c r="F14" s="10">
        <v>0</v>
      </c>
      <c r="G14" s="72">
        <f t="shared" si="0"/>
        <v>23.5</v>
      </c>
      <c r="H14" s="10">
        <f t="shared" si="1"/>
        <v>2.0961999999999996</v>
      </c>
      <c r="I14" s="12">
        <f>(G14*1.0892)</f>
        <v>25.5962</v>
      </c>
      <c r="J14" s="7"/>
      <c r="K14" s="14">
        <f t="shared" si="2"/>
        <v>23.5</v>
      </c>
    </row>
    <row r="15" spans="1:11" ht="15">
      <c r="A15" s="2">
        <v>12</v>
      </c>
      <c r="B15" s="39" t="s">
        <v>165</v>
      </c>
      <c r="C15" s="40" t="s">
        <v>114</v>
      </c>
      <c r="D15" s="40">
        <v>88</v>
      </c>
      <c r="E15" s="51">
        <f>(E14/D15)</f>
        <v>0.26704545454545453</v>
      </c>
      <c r="F15" s="52">
        <v>0</v>
      </c>
      <c r="G15" s="71">
        <f t="shared" si="0"/>
        <v>0.26704545454545453</v>
      </c>
      <c r="H15" s="51">
        <f t="shared" si="1"/>
        <v>8.0113636363636387E-2</v>
      </c>
      <c r="I15" s="52">
        <f>(G15*1.3)</f>
        <v>0.34715909090909092</v>
      </c>
      <c r="J15" s="7"/>
      <c r="K15" s="14">
        <f t="shared" si="2"/>
        <v>23.5</v>
      </c>
    </row>
    <row r="16" spans="1:11" ht="15">
      <c r="A16" s="2">
        <v>13</v>
      </c>
      <c r="B16" t="s">
        <v>164</v>
      </c>
      <c r="C16" s="3" t="s">
        <v>127</v>
      </c>
      <c r="D16" s="3">
        <v>1</v>
      </c>
      <c r="E16" s="10">
        <v>23.5</v>
      </c>
      <c r="F16" s="10">
        <v>0</v>
      </c>
      <c r="G16" s="72">
        <f t="shared" si="0"/>
        <v>23.5</v>
      </c>
      <c r="H16" s="10">
        <f t="shared" si="1"/>
        <v>2.0961999999999996</v>
      </c>
      <c r="I16" s="12">
        <f>(G16*1.0892)</f>
        <v>25.5962</v>
      </c>
      <c r="J16" s="7"/>
      <c r="K16" s="14">
        <f t="shared" si="2"/>
        <v>23.5</v>
      </c>
    </row>
    <row r="17" spans="1:11" ht="15">
      <c r="A17" s="2">
        <v>14</v>
      </c>
      <c r="B17" s="39" t="s">
        <v>164</v>
      </c>
      <c r="C17" s="40" t="s">
        <v>114</v>
      </c>
      <c r="D17" s="40">
        <v>88</v>
      </c>
      <c r="E17" s="51">
        <f>(E16/D17)</f>
        <v>0.26704545454545453</v>
      </c>
      <c r="F17" s="52">
        <v>0</v>
      </c>
      <c r="G17" s="71">
        <f t="shared" si="0"/>
        <v>0.26704545454545453</v>
      </c>
      <c r="H17" s="51">
        <f t="shared" si="1"/>
        <v>8.0113636363636387E-2</v>
      </c>
      <c r="I17" s="52">
        <f>(G17*1.3)</f>
        <v>0.34715909090909092</v>
      </c>
      <c r="J17" s="7"/>
      <c r="K17" s="14">
        <f t="shared" si="2"/>
        <v>23.5</v>
      </c>
    </row>
    <row r="18" spans="1:11" ht="15">
      <c r="A18" s="2">
        <v>15</v>
      </c>
      <c r="B18" t="s">
        <v>135</v>
      </c>
      <c r="C18" s="3" t="s">
        <v>127</v>
      </c>
      <c r="D18" s="3">
        <v>2</v>
      </c>
      <c r="E18" s="10">
        <v>27.5</v>
      </c>
      <c r="F18" s="12">
        <v>0</v>
      </c>
      <c r="G18" s="72">
        <f t="shared" si="0"/>
        <v>27.5</v>
      </c>
      <c r="H18" s="10">
        <f t="shared" si="1"/>
        <v>2.7500000000000036</v>
      </c>
      <c r="I18" s="12">
        <f>(G18*1.1)</f>
        <v>30.250000000000004</v>
      </c>
      <c r="J18" s="7"/>
      <c r="K18" s="14">
        <f t="shared" si="2"/>
        <v>55</v>
      </c>
    </row>
    <row r="19" spans="1:11" ht="15">
      <c r="A19" s="2">
        <v>16</v>
      </c>
      <c r="B19" s="39" t="s">
        <v>135</v>
      </c>
      <c r="C19" s="40" t="s">
        <v>114</v>
      </c>
      <c r="D19" s="40">
        <v>88</v>
      </c>
      <c r="E19" s="51">
        <f>(E18/D19)</f>
        <v>0.3125</v>
      </c>
      <c r="F19" s="52">
        <v>0</v>
      </c>
      <c r="G19" s="71">
        <f t="shared" si="0"/>
        <v>0.3125</v>
      </c>
      <c r="H19" s="51">
        <f t="shared" si="1"/>
        <v>6.25E-2</v>
      </c>
      <c r="I19" s="52">
        <f>(G19*1.2)</f>
        <v>0.375</v>
      </c>
      <c r="J19" s="7"/>
      <c r="K19" s="14">
        <f t="shared" si="2"/>
        <v>27.5</v>
      </c>
    </row>
    <row r="20" spans="1:11" ht="15">
      <c r="A20" s="2">
        <v>17</v>
      </c>
      <c r="B20" t="s">
        <v>124</v>
      </c>
      <c r="C20" s="3" t="s">
        <v>259</v>
      </c>
      <c r="D20" s="3">
        <v>1</v>
      </c>
      <c r="E20" s="10">
        <v>21</v>
      </c>
      <c r="F20" s="12">
        <v>0</v>
      </c>
      <c r="G20" s="72">
        <f t="shared" si="0"/>
        <v>21</v>
      </c>
      <c r="H20" s="10">
        <f t="shared" si="1"/>
        <v>2.1000000000000014</v>
      </c>
      <c r="I20" s="12">
        <f>(G20*1.1)</f>
        <v>23.1</v>
      </c>
      <c r="J20" s="7"/>
      <c r="K20" s="14">
        <f t="shared" si="2"/>
        <v>21</v>
      </c>
    </row>
    <row r="21" spans="1:11" ht="15">
      <c r="A21" s="2">
        <v>18</v>
      </c>
      <c r="B21" s="39" t="s">
        <v>124</v>
      </c>
      <c r="C21" s="40" t="s">
        <v>114</v>
      </c>
      <c r="D21" s="40">
        <v>95</v>
      </c>
      <c r="E21" s="51">
        <f>(E20/D21)</f>
        <v>0.22105263157894736</v>
      </c>
      <c r="F21" s="52">
        <v>0</v>
      </c>
      <c r="G21" s="71">
        <f t="shared" si="0"/>
        <v>0.22105263157894736</v>
      </c>
      <c r="H21" s="51">
        <f t="shared" si="1"/>
        <v>4.200000000000001E-2</v>
      </c>
      <c r="I21" s="52">
        <f>(G21*1.19)</f>
        <v>0.26305263157894737</v>
      </c>
      <c r="J21" s="7"/>
      <c r="K21" s="14">
        <f t="shared" si="2"/>
        <v>21</v>
      </c>
    </row>
    <row r="22" spans="1:11" ht="15">
      <c r="A22" s="2">
        <v>18</v>
      </c>
      <c r="B22" s="39" t="s">
        <v>269</v>
      </c>
      <c r="C22" s="40" t="s">
        <v>268</v>
      </c>
      <c r="D22" s="40">
        <v>5</v>
      </c>
      <c r="E22" s="51">
        <v>5.38</v>
      </c>
      <c r="F22" s="52">
        <v>0</v>
      </c>
      <c r="G22" s="71">
        <f t="shared" ref="G22" si="3">(E22-F22)</f>
        <v>5.38</v>
      </c>
      <c r="H22" s="51">
        <f t="shared" ref="H22" si="4">(I22-G22)</f>
        <v>0.87155999999999967</v>
      </c>
      <c r="I22" s="52">
        <f>(G22*1.162)</f>
        <v>6.2515599999999996</v>
      </c>
      <c r="J22" s="7"/>
      <c r="K22" s="14">
        <f t="shared" ref="K22" si="5">(G22*D22)</f>
        <v>26.9</v>
      </c>
    </row>
    <row r="23" spans="1:11" s="62" customFormat="1" ht="15">
      <c r="A23" s="2">
        <v>19</v>
      </c>
      <c r="B23" s="62" t="s">
        <v>256</v>
      </c>
      <c r="C23" s="73" t="s">
        <v>259</v>
      </c>
      <c r="D23" s="73">
        <v>1</v>
      </c>
      <c r="E23" s="74">
        <v>21.7</v>
      </c>
      <c r="F23" s="61">
        <v>0</v>
      </c>
      <c r="G23" s="75">
        <f t="shared" si="0"/>
        <v>21.7</v>
      </c>
      <c r="H23" s="10">
        <f t="shared" si="1"/>
        <v>2.1700000000000017</v>
      </c>
      <c r="I23" s="12">
        <f>(G23*1.1)</f>
        <v>23.87</v>
      </c>
      <c r="J23" s="76"/>
      <c r="K23" s="14">
        <f t="shared" si="2"/>
        <v>21.7</v>
      </c>
    </row>
    <row r="24" spans="1:11" ht="15">
      <c r="A24" s="2">
        <v>20</v>
      </c>
      <c r="B24" s="39" t="s">
        <v>256</v>
      </c>
      <c r="C24" s="40" t="s">
        <v>114</v>
      </c>
      <c r="D24" s="40">
        <v>95</v>
      </c>
      <c r="E24" s="51">
        <f>(E23/D24)</f>
        <v>0.22842105263157894</v>
      </c>
      <c r="F24" s="52">
        <v>0</v>
      </c>
      <c r="G24" s="71">
        <f t="shared" ref="G24" si="6">(E24-F24)</f>
        <v>0.22842105263157894</v>
      </c>
      <c r="H24" s="51">
        <f t="shared" ref="H24" si="7">(I24-G24)</f>
        <v>6.8526315789473685E-2</v>
      </c>
      <c r="I24" s="52">
        <f>(G24*1.3)</f>
        <v>0.29694736842105263</v>
      </c>
      <c r="J24" s="7"/>
      <c r="K24" s="14">
        <f t="shared" si="2"/>
        <v>21.7</v>
      </c>
    </row>
    <row r="25" spans="1:11" ht="15">
      <c r="A25" s="2">
        <v>21</v>
      </c>
      <c r="B25" t="s">
        <v>163</v>
      </c>
      <c r="C25" s="3" t="s">
        <v>127</v>
      </c>
      <c r="D25" s="3">
        <v>1</v>
      </c>
      <c r="E25" s="10">
        <v>23.5</v>
      </c>
      <c r="F25" s="10">
        <v>0</v>
      </c>
      <c r="G25" s="75">
        <f t="shared" si="0"/>
        <v>23.5</v>
      </c>
      <c r="H25" s="10">
        <f t="shared" si="1"/>
        <v>2.0961999999999996</v>
      </c>
      <c r="I25" s="12">
        <f>(G25*1.0892)</f>
        <v>25.5962</v>
      </c>
      <c r="J25" s="7"/>
      <c r="K25" s="14">
        <f t="shared" si="2"/>
        <v>23.5</v>
      </c>
    </row>
    <row r="26" spans="1:11" ht="15">
      <c r="A26" s="2">
        <v>22</v>
      </c>
      <c r="B26" s="39" t="s">
        <v>163</v>
      </c>
      <c r="C26" s="40" t="s">
        <v>114</v>
      </c>
      <c r="D26" s="40">
        <v>88</v>
      </c>
      <c r="E26" s="51">
        <f>(E25/D26)</f>
        <v>0.26704545454545453</v>
      </c>
      <c r="F26" s="52">
        <v>0</v>
      </c>
      <c r="G26" s="71">
        <f t="shared" si="0"/>
        <v>0.26704545454545453</v>
      </c>
      <c r="H26" s="51">
        <f t="shared" si="1"/>
        <v>5.3409090909090906E-2</v>
      </c>
      <c r="I26" s="52">
        <f>(G26*1.2)</f>
        <v>0.32045454545454544</v>
      </c>
      <c r="J26" s="7"/>
      <c r="K26" s="14">
        <f t="shared" si="2"/>
        <v>23.5</v>
      </c>
    </row>
    <row r="27" spans="1:11" ht="15">
      <c r="A27" s="2">
        <v>23</v>
      </c>
      <c r="B27" t="s">
        <v>125</v>
      </c>
      <c r="C27" s="3" t="s">
        <v>259</v>
      </c>
      <c r="D27" s="3">
        <v>1</v>
      </c>
      <c r="E27" s="10">
        <v>23.5</v>
      </c>
      <c r="F27" s="12">
        <v>0</v>
      </c>
      <c r="G27" s="72">
        <f t="shared" si="0"/>
        <v>23.5</v>
      </c>
      <c r="H27" s="10">
        <f t="shared" si="1"/>
        <v>2.3500000000000014</v>
      </c>
      <c r="I27" s="12">
        <f>(G27*1.1)</f>
        <v>25.85</v>
      </c>
      <c r="J27" s="7"/>
      <c r="K27" s="14">
        <f t="shared" si="2"/>
        <v>23.5</v>
      </c>
    </row>
    <row r="28" spans="1:11" ht="15">
      <c r="A28" s="2">
        <v>24</v>
      </c>
      <c r="B28" s="39" t="s">
        <v>125</v>
      </c>
      <c r="C28" s="40" t="s">
        <v>114</v>
      </c>
      <c r="D28" s="40">
        <v>94</v>
      </c>
      <c r="E28" s="51">
        <f>(E27/D28)</f>
        <v>0.25</v>
      </c>
      <c r="F28" s="52">
        <v>0</v>
      </c>
      <c r="G28" s="71">
        <f t="shared" si="0"/>
        <v>0.25</v>
      </c>
      <c r="H28" s="51">
        <f t="shared" si="1"/>
        <v>4.7499999999999987E-2</v>
      </c>
      <c r="I28" s="52">
        <f>(G28*1.19)</f>
        <v>0.29749999999999999</v>
      </c>
      <c r="J28" s="7"/>
      <c r="K28" s="14">
        <f t="shared" si="2"/>
        <v>23.5</v>
      </c>
    </row>
    <row r="29" spans="1:11" ht="15">
      <c r="A29" s="2">
        <v>25</v>
      </c>
      <c r="B29" t="s">
        <v>126</v>
      </c>
      <c r="C29" s="3" t="s">
        <v>127</v>
      </c>
      <c r="D29" s="3">
        <v>2</v>
      </c>
      <c r="E29" s="10">
        <v>19.5</v>
      </c>
      <c r="F29" s="12">
        <v>0</v>
      </c>
      <c r="G29" s="72">
        <f t="shared" si="0"/>
        <v>19.5</v>
      </c>
      <c r="H29" s="10">
        <f t="shared" si="1"/>
        <v>1.9890000000000008</v>
      </c>
      <c r="I29" s="12">
        <f>(G29*1.102)</f>
        <v>21.489000000000001</v>
      </c>
      <c r="J29" s="7"/>
      <c r="K29" s="14">
        <f t="shared" si="2"/>
        <v>39</v>
      </c>
    </row>
    <row r="30" spans="1:11" ht="15">
      <c r="A30" s="2">
        <v>26</v>
      </c>
      <c r="B30" s="39" t="s">
        <v>126</v>
      </c>
      <c r="C30" s="40" t="s">
        <v>114</v>
      </c>
      <c r="D30" s="40">
        <v>88</v>
      </c>
      <c r="E30" s="51">
        <f>(E29/D30)</f>
        <v>0.22159090909090909</v>
      </c>
      <c r="F30" s="52">
        <v>0</v>
      </c>
      <c r="G30" s="71">
        <f t="shared" si="0"/>
        <v>0.22159090909090909</v>
      </c>
      <c r="H30" s="51">
        <f t="shared" si="1"/>
        <v>7.5340909090909097E-2</v>
      </c>
      <c r="I30" s="52">
        <f>(G30*1.34)</f>
        <v>0.29693181818181819</v>
      </c>
      <c r="J30" s="7"/>
      <c r="K30" s="14">
        <f t="shared" si="2"/>
        <v>19.5</v>
      </c>
    </row>
    <row r="31" spans="1:11" ht="15">
      <c r="A31" s="2">
        <v>27</v>
      </c>
      <c r="B31" t="s">
        <v>250</v>
      </c>
      <c r="C31" s="3" t="s">
        <v>252</v>
      </c>
      <c r="D31" s="3">
        <v>1</v>
      </c>
      <c r="E31" s="67">
        <v>6</v>
      </c>
      <c r="F31" s="68">
        <v>0</v>
      </c>
      <c r="G31" s="70">
        <f t="shared" si="0"/>
        <v>6</v>
      </c>
      <c r="H31" s="67">
        <f t="shared" si="1"/>
        <v>1.5</v>
      </c>
      <c r="I31" s="68">
        <f>(G31*1.25)</f>
        <v>7.5</v>
      </c>
      <c r="J31" s="7"/>
      <c r="K31" s="14">
        <f t="shared" si="2"/>
        <v>6</v>
      </c>
    </row>
    <row r="32" spans="1:11" ht="15">
      <c r="A32" s="2">
        <v>28</v>
      </c>
      <c r="B32" s="39" t="s">
        <v>250</v>
      </c>
      <c r="C32" s="40" t="s">
        <v>114</v>
      </c>
      <c r="D32" s="40">
        <v>50</v>
      </c>
      <c r="E32" s="51">
        <f>(E31/D32)</f>
        <v>0.12</v>
      </c>
      <c r="F32" s="52">
        <v>0</v>
      </c>
      <c r="G32" s="71">
        <f t="shared" si="0"/>
        <v>0.12</v>
      </c>
      <c r="H32" s="51">
        <f t="shared" si="1"/>
        <v>0.18</v>
      </c>
      <c r="I32" s="52">
        <f>(G32*2.5)</f>
        <v>0.3</v>
      </c>
      <c r="J32" s="7"/>
      <c r="K32" s="14">
        <f t="shared" si="2"/>
        <v>6</v>
      </c>
    </row>
    <row r="33" spans="1:11" ht="15">
      <c r="A33" s="2"/>
      <c r="E33" s="4"/>
      <c r="F33" s="5"/>
      <c r="H33" s="4"/>
      <c r="I33" s="6"/>
      <c r="J33" s="7"/>
      <c r="K33" s="77">
        <f>SUBTOTAL(9,K4:K31)</f>
        <v>649.4</v>
      </c>
    </row>
    <row r="34" spans="1:11" ht="15">
      <c r="A34" s="2"/>
      <c r="E34" s="4"/>
      <c r="F34" s="5"/>
      <c r="H34" s="4"/>
      <c r="I34" s="6"/>
      <c r="J34" s="7"/>
    </row>
    <row r="35" spans="1:11" ht="15">
      <c r="A35" s="2"/>
      <c r="E35" s="4"/>
      <c r="F35" s="5"/>
      <c r="H35" s="4"/>
      <c r="I35" s="6"/>
      <c r="J35" s="7"/>
    </row>
    <row r="36" spans="1:11" ht="15">
      <c r="A36" s="2"/>
      <c r="E36" s="4"/>
      <c r="F36" s="5"/>
      <c r="H36" s="4"/>
      <c r="I36" s="6"/>
      <c r="J36" s="7"/>
    </row>
  </sheetData>
  <autoFilter ref="C2:C37" xr:uid="{9E1FC904-F7D3-40DF-A7EE-64AB3E279FA7}"/>
  <sortState xmlns:xlrd2="http://schemas.microsoft.com/office/spreadsheetml/2017/richdata2" ref="B4:I32">
    <sortCondition ref="B4:B32"/>
  </sortState>
  <mergeCells count="1">
    <mergeCell ref="A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C728-2347-4259-B669-668DAF72A1E7}">
  <dimension ref="A2:N50"/>
  <sheetViews>
    <sheetView workbookViewId="0">
      <selection activeCell="A29" sqref="A29"/>
    </sheetView>
  </sheetViews>
  <sheetFormatPr defaultColWidth="11" defaultRowHeight="14.25"/>
  <cols>
    <col min="1" max="1" width="6" customWidth="1"/>
    <col min="2" max="2" width="26" style="53" customWidth="1"/>
    <col min="3" max="3" width="29.375" style="49" customWidth="1"/>
    <col min="4" max="4" width="9.875" style="3" customWidth="1"/>
    <col min="5" max="5" width="14.375" style="3" customWidth="1"/>
    <col min="6" max="7" width="11.375" style="3"/>
    <col min="8" max="8" width="7" style="3" customWidth="1"/>
    <col min="9" max="9" width="11.125" style="15" customWidth="1"/>
    <col min="10" max="10" width="11.375" style="3"/>
    <col min="11" max="11" width="14.125" customWidth="1"/>
    <col min="12" max="12" width="15.125" style="53" customWidth="1"/>
    <col min="13" max="13" width="18.25" customWidth="1"/>
  </cols>
  <sheetData>
    <row r="2" spans="1:14" ht="25.5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4" s="3" customFormat="1" ht="30">
      <c r="A3" s="2" t="s">
        <v>1</v>
      </c>
      <c r="B3" s="50" t="s">
        <v>143</v>
      </c>
      <c r="C3" s="54" t="s">
        <v>2</v>
      </c>
      <c r="D3" s="2" t="s">
        <v>115</v>
      </c>
      <c r="E3" s="63" t="s">
        <v>219</v>
      </c>
      <c r="F3" s="2" t="s">
        <v>3</v>
      </c>
      <c r="G3" s="2" t="s">
        <v>128</v>
      </c>
      <c r="H3" s="2" t="s">
        <v>4</v>
      </c>
      <c r="I3" s="65" t="s">
        <v>129</v>
      </c>
      <c r="J3" s="2" t="s">
        <v>8</v>
      </c>
      <c r="K3" s="37" t="s">
        <v>133</v>
      </c>
      <c r="L3" s="55"/>
      <c r="M3" s="2"/>
      <c r="N3" s="2" t="s">
        <v>258</v>
      </c>
    </row>
    <row r="4" spans="1:14" ht="30">
      <c r="A4" s="2">
        <v>1</v>
      </c>
      <c r="B4" s="50" t="s">
        <v>173</v>
      </c>
      <c r="C4" s="49" t="s">
        <v>174</v>
      </c>
      <c r="D4" s="3" t="s">
        <v>92</v>
      </c>
      <c r="E4" s="3" t="s">
        <v>220</v>
      </c>
      <c r="F4" s="3">
        <v>7</v>
      </c>
      <c r="G4" s="45">
        <v>1.89</v>
      </c>
      <c r="H4" s="45">
        <v>0</v>
      </c>
      <c r="I4" s="46">
        <f t="shared" ref="I4" si="0">(G4+H4)</f>
        <v>1.89</v>
      </c>
      <c r="J4" s="45">
        <f t="shared" ref="J4:J30" si="1">(K4-I4)</f>
        <v>0.8600000000000001</v>
      </c>
      <c r="K4" s="47">
        <v>2.75</v>
      </c>
      <c r="L4" s="56" t="s">
        <v>178</v>
      </c>
      <c r="M4" s="14"/>
      <c r="N4" s="14">
        <f>(I4*F4)</f>
        <v>13.229999999999999</v>
      </c>
    </row>
    <row r="5" spans="1:14" ht="30">
      <c r="A5" s="2">
        <v>2</v>
      </c>
      <c r="B5" s="50" t="s">
        <v>184</v>
      </c>
      <c r="C5" s="49" t="s">
        <v>185</v>
      </c>
      <c r="D5" s="3" t="s">
        <v>147</v>
      </c>
      <c r="E5" s="3" t="s">
        <v>220</v>
      </c>
      <c r="F5" s="3">
        <v>14</v>
      </c>
      <c r="G5" s="12">
        <v>1.37</v>
      </c>
      <c r="H5" s="12">
        <v>0</v>
      </c>
      <c r="I5" s="21">
        <f t="shared" ref="I5:I26" si="2">(G5+H5)</f>
        <v>1.37</v>
      </c>
      <c r="J5" s="12">
        <f t="shared" ref="J5:J26" si="3">(K5-I5)</f>
        <v>0.62999999999999989</v>
      </c>
      <c r="K5" s="58">
        <v>2</v>
      </c>
      <c r="N5" s="14">
        <f t="shared" ref="N5:N26" si="4">(I5*F5)</f>
        <v>19.18</v>
      </c>
    </row>
    <row r="6" spans="1:14" ht="30">
      <c r="A6" s="2">
        <v>3</v>
      </c>
      <c r="B6" s="50" t="s">
        <v>216</v>
      </c>
      <c r="C6" s="49" t="s">
        <v>142</v>
      </c>
      <c r="D6" s="3" t="s">
        <v>93</v>
      </c>
      <c r="E6" s="3" t="s">
        <v>220</v>
      </c>
      <c r="F6" s="3">
        <v>6</v>
      </c>
      <c r="G6" s="12">
        <v>1.45</v>
      </c>
      <c r="H6" s="12">
        <v>0</v>
      </c>
      <c r="I6" s="21">
        <f t="shared" si="2"/>
        <v>1.45</v>
      </c>
      <c r="J6" s="12">
        <f t="shared" si="3"/>
        <v>0.3600000000000001</v>
      </c>
      <c r="K6" s="23">
        <v>1.81</v>
      </c>
      <c r="N6" s="14">
        <f t="shared" si="4"/>
        <v>8.6999999999999993</v>
      </c>
    </row>
    <row r="7" spans="1:14" ht="30">
      <c r="A7" s="2">
        <v>4</v>
      </c>
      <c r="B7" s="50" t="s">
        <v>216</v>
      </c>
      <c r="C7" s="49" t="s">
        <v>244</v>
      </c>
      <c r="D7" s="3" t="s">
        <v>245</v>
      </c>
      <c r="E7" s="3" t="s">
        <v>220</v>
      </c>
      <c r="F7" s="3">
        <v>10</v>
      </c>
      <c r="G7" s="12">
        <v>0.34</v>
      </c>
      <c r="H7" s="12">
        <v>0</v>
      </c>
      <c r="I7" s="21">
        <f t="shared" si="2"/>
        <v>0.34</v>
      </c>
      <c r="J7" s="12">
        <f t="shared" si="3"/>
        <v>0.15999999999999998</v>
      </c>
      <c r="K7" s="23">
        <v>0.5</v>
      </c>
      <c r="N7" s="14">
        <f t="shared" si="4"/>
        <v>3.4000000000000004</v>
      </c>
    </row>
    <row r="8" spans="1:14" s="44" customFormat="1" ht="30">
      <c r="A8" s="2">
        <v>5</v>
      </c>
      <c r="B8" s="50" t="s">
        <v>241</v>
      </c>
      <c r="C8" s="49" t="s">
        <v>242</v>
      </c>
      <c r="D8" s="3" t="s">
        <v>243</v>
      </c>
      <c r="E8" s="3" t="s">
        <v>220</v>
      </c>
      <c r="F8" s="3">
        <v>10</v>
      </c>
      <c r="G8" s="12">
        <v>0.4</v>
      </c>
      <c r="H8" s="12">
        <v>0</v>
      </c>
      <c r="I8" s="21">
        <f t="shared" si="2"/>
        <v>0.4</v>
      </c>
      <c r="J8" s="12">
        <f t="shared" si="3"/>
        <v>0.25</v>
      </c>
      <c r="K8" s="23">
        <v>0.65</v>
      </c>
      <c r="L8" s="53"/>
      <c r="M8"/>
      <c r="N8" s="14">
        <f t="shared" si="4"/>
        <v>4</v>
      </c>
    </row>
    <row r="9" spans="1:14" ht="30">
      <c r="A9" s="2">
        <v>6</v>
      </c>
      <c r="B9" s="50" t="s">
        <v>171</v>
      </c>
      <c r="C9" s="49" t="s">
        <v>172</v>
      </c>
      <c r="D9" s="3" t="s">
        <v>93</v>
      </c>
      <c r="E9" s="3" t="s">
        <v>221</v>
      </c>
      <c r="F9" s="3">
        <v>6</v>
      </c>
      <c r="G9" s="45">
        <v>3.4</v>
      </c>
      <c r="H9" s="45">
        <v>0</v>
      </c>
      <c r="I9" s="46">
        <f t="shared" si="2"/>
        <v>3.4</v>
      </c>
      <c r="J9" s="45">
        <f t="shared" si="3"/>
        <v>0.85000000000000009</v>
      </c>
      <c r="K9" s="47">
        <v>4.25</v>
      </c>
      <c r="L9" s="56" t="s">
        <v>179</v>
      </c>
      <c r="N9" s="14">
        <f t="shared" si="4"/>
        <v>20.399999999999999</v>
      </c>
    </row>
    <row r="10" spans="1:14" ht="28.5">
      <c r="A10" s="2">
        <v>7</v>
      </c>
      <c r="B10" s="50" t="s">
        <v>246</v>
      </c>
      <c r="C10" s="57" t="s">
        <v>247</v>
      </c>
      <c r="D10" s="3" t="s">
        <v>93</v>
      </c>
      <c r="E10" s="3" t="s">
        <v>227</v>
      </c>
      <c r="F10" s="3">
        <v>1</v>
      </c>
      <c r="G10" s="12">
        <v>3.2</v>
      </c>
      <c r="H10" s="12">
        <v>0</v>
      </c>
      <c r="I10" s="21">
        <f t="shared" si="2"/>
        <v>3.2</v>
      </c>
      <c r="J10" s="12">
        <f t="shared" si="3"/>
        <v>0.79999999999999982</v>
      </c>
      <c r="K10" s="23">
        <v>4</v>
      </c>
      <c r="L10" s="53" t="s">
        <v>232</v>
      </c>
      <c r="N10" s="14">
        <f t="shared" si="4"/>
        <v>3.2</v>
      </c>
    </row>
    <row r="11" spans="1:14" ht="45">
      <c r="A11" s="2">
        <v>8</v>
      </c>
      <c r="B11" s="50" t="s">
        <v>161</v>
      </c>
      <c r="C11" s="49" t="s">
        <v>157</v>
      </c>
      <c r="D11" s="3" t="s">
        <v>158</v>
      </c>
      <c r="E11" s="3" t="s">
        <v>220</v>
      </c>
      <c r="F11" s="3">
        <v>1</v>
      </c>
      <c r="G11" s="45">
        <v>0</v>
      </c>
      <c r="H11" s="45">
        <v>0</v>
      </c>
      <c r="I11" s="46">
        <f t="shared" si="2"/>
        <v>0</v>
      </c>
      <c r="J11" s="45">
        <f t="shared" si="3"/>
        <v>40</v>
      </c>
      <c r="K11" s="47">
        <v>40</v>
      </c>
      <c r="L11" s="48" t="s">
        <v>156</v>
      </c>
      <c r="M11" s="57" t="s">
        <v>160</v>
      </c>
      <c r="N11" s="14">
        <f t="shared" si="4"/>
        <v>0</v>
      </c>
    </row>
    <row r="12" spans="1:14" ht="30">
      <c r="A12" s="2">
        <v>9</v>
      </c>
      <c r="B12" s="50" t="s">
        <v>155</v>
      </c>
      <c r="C12" s="49" t="s">
        <v>150</v>
      </c>
      <c r="D12" s="3" t="s">
        <v>151</v>
      </c>
      <c r="E12" s="3" t="s">
        <v>220</v>
      </c>
      <c r="F12" s="3">
        <v>1</v>
      </c>
      <c r="G12" s="12">
        <v>4.6399999999999997</v>
      </c>
      <c r="H12" s="12">
        <v>0</v>
      </c>
      <c r="I12" s="21">
        <f t="shared" si="2"/>
        <v>4.6399999999999997</v>
      </c>
      <c r="J12" s="12">
        <f t="shared" si="3"/>
        <v>1.1600000000000001</v>
      </c>
      <c r="K12" s="23">
        <v>5.8</v>
      </c>
      <c r="L12" s="53" t="s">
        <v>152</v>
      </c>
      <c r="M12" t="s">
        <v>159</v>
      </c>
      <c r="N12" s="14">
        <f t="shared" si="4"/>
        <v>4.6399999999999997</v>
      </c>
    </row>
    <row r="13" spans="1:14" ht="45">
      <c r="A13" s="2">
        <v>10</v>
      </c>
      <c r="B13" s="50" t="s">
        <v>149</v>
      </c>
      <c r="C13" s="49" t="s">
        <v>144</v>
      </c>
      <c r="D13" s="3" t="s">
        <v>145</v>
      </c>
      <c r="E13" s="3" t="s">
        <v>220</v>
      </c>
      <c r="F13" s="3">
        <v>14</v>
      </c>
      <c r="G13" s="12">
        <v>0.45</v>
      </c>
      <c r="H13" s="12">
        <v>0</v>
      </c>
      <c r="I13" s="21">
        <f t="shared" si="2"/>
        <v>0.45</v>
      </c>
      <c r="J13" s="12">
        <f t="shared" si="3"/>
        <v>0.2</v>
      </c>
      <c r="K13" s="23">
        <v>0.65</v>
      </c>
      <c r="N13" s="14">
        <f t="shared" si="4"/>
        <v>6.3</v>
      </c>
    </row>
    <row r="14" spans="1:14" ht="45">
      <c r="A14" s="2">
        <v>11</v>
      </c>
      <c r="B14" s="50" t="s">
        <v>198</v>
      </c>
      <c r="C14" s="49" t="s">
        <v>180</v>
      </c>
      <c r="D14" s="3" t="s">
        <v>93</v>
      </c>
      <c r="E14" s="3" t="s">
        <v>222</v>
      </c>
      <c r="F14" s="3">
        <v>1</v>
      </c>
      <c r="G14" s="45">
        <v>3.48</v>
      </c>
      <c r="H14" s="45">
        <v>0</v>
      </c>
      <c r="I14" s="46">
        <f t="shared" si="2"/>
        <v>3.48</v>
      </c>
      <c r="J14" s="45">
        <f t="shared" si="3"/>
        <v>0.86999999999999966</v>
      </c>
      <c r="K14" s="47">
        <v>4.3499999999999996</v>
      </c>
      <c r="L14" s="53" t="s">
        <v>181</v>
      </c>
      <c r="M14" t="s">
        <v>232</v>
      </c>
      <c r="N14" s="14">
        <f t="shared" si="4"/>
        <v>3.48</v>
      </c>
    </row>
    <row r="15" spans="1:14" ht="30">
      <c r="A15" s="2">
        <v>12</v>
      </c>
      <c r="B15" s="50" t="s">
        <v>238</v>
      </c>
      <c r="C15" s="49" t="s">
        <v>239</v>
      </c>
      <c r="D15" s="3" t="s">
        <v>240</v>
      </c>
      <c r="E15" s="3" t="s">
        <v>221</v>
      </c>
      <c r="F15" s="3">
        <v>4</v>
      </c>
      <c r="G15" s="12">
        <v>4.4800000000000004</v>
      </c>
      <c r="H15" s="12">
        <v>0</v>
      </c>
      <c r="I15" s="21">
        <f t="shared" si="2"/>
        <v>4.4800000000000004</v>
      </c>
      <c r="J15" s="12">
        <f t="shared" si="3"/>
        <v>1.1199999999999992</v>
      </c>
      <c r="K15" s="23">
        <v>5.6</v>
      </c>
      <c r="N15" s="14">
        <f t="shared" si="4"/>
        <v>17.920000000000002</v>
      </c>
    </row>
    <row r="16" spans="1:14" ht="30">
      <c r="A16" s="2">
        <v>13</v>
      </c>
      <c r="B16" s="50" t="s">
        <v>233</v>
      </c>
      <c r="C16" s="49" t="s">
        <v>236</v>
      </c>
      <c r="D16" s="3" t="s">
        <v>151</v>
      </c>
      <c r="E16" s="3" t="s">
        <v>221</v>
      </c>
      <c r="F16" s="3">
        <v>2</v>
      </c>
      <c r="G16" s="12">
        <v>3.2</v>
      </c>
      <c r="H16" s="12">
        <v>0</v>
      </c>
      <c r="I16" s="21">
        <f t="shared" si="2"/>
        <v>3.2</v>
      </c>
      <c r="J16" s="12">
        <f t="shared" si="3"/>
        <v>0.79999999999999982</v>
      </c>
      <c r="K16" s="23">
        <v>4</v>
      </c>
      <c r="N16" s="14">
        <f t="shared" si="4"/>
        <v>6.4</v>
      </c>
    </row>
    <row r="17" spans="1:14" ht="30">
      <c r="A17" s="2">
        <v>14</v>
      </c>
      <c r="B17" s="50" t="s">
        <v>233</v>
      </c>
      <c r="C17" s="49" t="s">
        <v>236</v>
      </c>
      <c r="D17" s="3" t="s">
        <v>237</v>
      </c>
      <c r="E17" s="3" t="s">
        <v>221</v>
      </c>
      <c r="F17" s="3">
        <v>2</v>
      </c>
      <c r="G17" s="12">
        <v>5.2</v>
      </c>
      <c r="H17" s="12">
        <v>0</v>
      </c>
      <c r="I17" s="21">
        <f t="shared" si="2"/>
        <v>5.2</v>
      </c>
      <c r="J17" s="12">
        <f t="shared" si="3"/>
        <v>1.2999999999999998</v>
      </c>
      <c r="K17" s="23">
        <v>6.5</v>
      </c>
      <c r="N17" s="14">
        <f t="shared" si="4"/>
        <v>10.4</v>
      </c>
    </row>
    <row r="18" spans="1:14" ht="15">
      <c r="A18" s="2">
        <v>15</v>
      </c>
      <c r="B18" s="50" t="s">
        <v>217</v>
      </c>
      <c r="C18" s="49" t="s">
        <v>218</v>
      </c>
      <c r="D18" s="3" t="s">
        <v>93</v>
      </c>
      <c r="E18" s="3" t="s">
        <v>226</v>
      </c>
      <c r="F18" s="3">
        <v>5</v>
      </c>
      <c r="G18" s="12">
        <v>3.16</v>
      </c>
      <c r="H18" s="12">
        <v>0</v>
      </c>
      <c r="I18" s="21">
        <f t="shared" si="2"/>
        <v>3.16</v>
      </c>
      <c r="J18" s="12">
        <f t="shared" si="3"/>
        <v>0.83999999999999986</v>
      </c>
      <c r="K18" s="23">
        <v>4</v>
      </c>
      <c r="L18" s="53" t="s">
        <v>231</v>
      </c>
      <c r="M18" t="s">
        <v>232</v>
      </c>
      <c r="N18" s="14">
        <f t="shared" si="4"/>
        <v>15.8</v>
      </c>
    </row>
    <row r="19" spans="1:14" ht="30">
      <c r="A19" s="2">
        <v>16</v>
      </c>
      <c r="B19" s="50" t="s">
        <v>235</v>
      </c>
      <c r="C19" s="49" t="s">
        <v>234</v>
      </c>
      <c r="D19" s="3" t="s">
        <v>151</v>
      </c>
      <c r="E19" s="3" t="s">
        <v>221</v>
      </c>
      <c r="F19" s="3">
        <v>3</v>
      </c>
      <c r="G19" s="12">
        <v>3</v>
      </c>
      <c r="H19" s="12">
        <v>0</v>
      </c>
      <c r="I19" s="21">
        <f t="shared" si="2"/>
        <v>3</v>
      </c>
      <c r="J19" s="12">
        <f t="shared" si="3"/>
        <v>0.5</v>
      </c>
      <c r="K19" s="23">
        <v>3.5</v>
      </c>
      <c r="N19" s="14">
        <f t="shared" si="4"/>
        <v>9</v>
      </c>
    </row>
    <row r="20" spans="1:14" ht="15">
      <c r="A20" s="2">
        <v>17</v>
      </c>
      <c r="B20" s="50" t="s">
        <v>148</v>
      </c>
      <c r="C20" s="49" t="s">
        <v>146</v>
      </c>
      <c r="D20" s="3" t="s">
        <v>147</v>
      </c>
      <c r="E20" s="3" t="s">
        <v>223</v>
      </c>
      <c r="F20" s="3">
        <v>1</v>
      </c>
      <c r="G20" s="12">
        <v>2.46</v>
      </c>
      <c r="H20" s="12">
        <v>0</v>
      </c>
      <c r="I20" s="21">
        <f t="shared" si="2"/>
        <v>2.46</v>
      </c>
      <c r="J20" s="12">
        <f t="shared" si="3"/>
        <v>0.62000000000000011</v>
      </c>
      <c r="K20" s="23">
        <v>3.08</v>
      </c>
      <c r="L20" s="53" t="s">
        <v>153</v>
      </c>
      <c r="M20" t="s">
        <v>154</v>
      </c>
      <c r="N20" s="14">
        <f t="shared" si="4"/>
        <v>2.46</v>
      </c>
    </row>
    <row r="21" spans="1:14" ht="15">
      <c r="A21" s="2">
        <v>18</v>
      </c>
      <c r="B21" s="50" t="s">
        <v>175</v>
      </c>
      <c r="C21" s="49" t="s">
        <v>224</v>
      </c>
      <c r="D21" s="3" t="s">
        <v>176</v>
      </c>
      <c r="E21" s="3" t="s">
        <v>220</v>
      </c>
      <c r="F21" s="3">
        <v>14</v>
      </c>
      <c r="G21" s="45">
        <v>1.58</v>
      </c>
      <c r="H21" s="45">
        <v>0</v>
      </c>
      <c r="I21" s="46">
        <f t="shared" si="2"/>
        <v>1.58</v>
      </c>
      <c r="J21" s="45">
        <f t="shared" si="3"/>
        <v>0.71999999999999975</v>
      </c>
      <c r="K21" s="47">
        <v>2.2999999999999998</v>
      </c>
      <c r="L21" s="53" t="s">
        <v>177</v>
      </c>
      <c r="N21" s="14">
        <f t="shared" si="4"/>
        <v>22.12</v>
      </c>
    </row>
    <row r="22" spans="1:14" ht="15">
      <c r="A22" s="2">
        <v>19</v>
      </c>
      <c r="B22" s="50" t="s">
        <v>175</v>
      </c>
      <c r="C22" s="49" t="s">
        <v>183</v>
      </c>
      <c r="D22" s="3" t="s">
        <v>182</v>
      </c>
      <c r="E22" s="3" t="s">
        <v>220</v>
      </c>
      <c r="F22" s="3">
        <v>14</v>
      </c>
      <c r="G22" s="12">
        <v>1.2</v>
      </c>
      <c r="H22" s="12">
        <v>0</v>
      </c>
      <c r="I22" s="21">
        <f t="shared" si="2"/>
        <v>1.2</v>
      </c>
      <c r="J22" s="12">
        <f t="shared" si="3"/>
        <v>0.60000000000000009</v>
      </c>
      <c r="K22" s="23">
        <v>1.8</v>
      </c>
      <c r="N22" s="14">
        <f t="shared" si="4"/>
        <v>16.8</v>
      </c>
    </row>
    <row r="23" spans="1:14" ht="15">
      <c r="A23" s="2">
        <v>20</v>
      </c>
      <c r="B23" s="50" t="s">
        <v>186</v>
      </c>
      <c r="C23" s="49" t="s">
        <v>187</v>
      </c>
      <c r="E23" s="3" t="s">
        <v>222</v>
      </c>
      <c r="F23" s="3">
        <v>7</v>
      </c>
      <c r="G23" s="12">
        <v>2.06</v>
      </c>
      <c r="H23" s="12">
        <v>0</v>
      </c>
      <c r="I23" s="21">
        <f t="shared" si="2"/>
        <v>2.06</v>
      </c>
      <c r="J23" s="12">
        <f t="shared" si="3"/>
        <v>-2.06</v>
      </c>
      <c r="K23" s="23"/>
      <c r="N23" s="14">
        <f t="shared" si="4"/>
        <v>14.42</v>
      </c>
    </row>
    <row r="24" spans="1:14" ht="15">
      <c r="A24" s="2">
        <v>21</v>
      </c>
      <c r="B24" s="50" t="s">
        <v>186</v>
      </c>
      <c r="C24" s="49" t="s">
        <v>228</v>
      </c>
      <c r="D24" s="3" t="s">
        <v>189</v>
      </c>
      <c r="E24" s="3" t="s">
        <v>227</v>
      </c>
      <c r="F24" s="3">
        <v>15</v>
      </c>
      <c r="G24" s="12">
        <v>4.75</v>
      </c>
      <c r="H24" s="12">
        <v>0</v>
      </c>
      <c r="I24" s="21">
        <f t="shared" si="2"/>
        <v>4.75</v>
      </c>
      <c r="J24" s="12">
        <f t="shared" si="3"/>
        <v>8.25</v>
      </c>
      <c r="K24" s="23">
        <v>13</v>
      </c>
      <c r="N24" s="14">
        <f t="shared" si="4"/>
        <v>71.25</v>
      </c>
    </row>
    <row r="25" spans="1:14" ht="15">
      <c r="A25" s="2">
        <v>22</v>
      </c>
      <c r="B25" s="50" t="s">
        <v>186</v>
      </c>
      <c r="C25" s="49" t="s">
        <v>229</v>
      </c>
      <c r="D25" s="3" t="s">
        <v>189</v>
      </c>
      <c r="E25" s="3" t="s">
        <v>227</v>
      </c>
      <c r="F25" s="3">
        <v>5</v>
      </c>
      <c r="G25" s="12">
        <v>4.75</v>
      </c>
      <c r="H25" s="12">
        <v>0</v>
      </c>
      <c r="I25" s="21">
        <f t="shared" si="2"/>
        <v>4.75</v>
      </c>
      <c r="J25" s="12">
        <f t="shared" si="3"/>
        <v>6.25</v>
      </c>
      <c r="K25" s="23">
        <v>11</v>
      </c>
      <c r="N25" s="14">
        <f t="shared" si="4"/>
        <v>23.75</v>
      </c>
    </row>
    <row r="26" spans="1:14" ht="15">
      <c r="A26" s="2">
        <v>23</v>
      </c>
      <c r="B26" s="50" t="s">
        <v>186</v>
      </c>
      <c r="C26" s="49" t="s">
        <v>230</v>
      </c>
      <c r="D26" s="3" t="s">
        <v>189</v>
      </c>
      <c r="E26" s="3" t="s">
        <v>227</v>
      </c>
      <c r="F26" s="3">
        <v>5</v>
      </c>
      <c r="G26" s="12">
        <v>5</v>
      </c>
      <c r="H26" s="12">
        <v>0</v>
      </c>
      <c r="I26" s="21">
        <f t="shared" si="2"/>
        <v>5</v>
      </c>
      <c r="J26" s="12">
        <f t="shared" si="3"/>
        <v>8</v>
      </c>
      <c r="K26" s="23">
        <v>13</v>
      </c>
      <c r="N26" s="14">
        <f t="shared" si="4"/>
        <v>25</v>
      </c>
    </row>
    <row r="27" spans="1:14" ht="15">
      <c r="A27" s="2">
        <v>24</v>
      </c>
      <c r="B27" s="50" t="s">
        <v>246</v>
      </c>
      <c r="C27" s="49" t="s">
        <v>261</v>
      </c>
      <c r="D27" s="3" t="s">
        <v>147</v>
      </c>
      <c r="E27" s="3" t="s">
        <v>227</v>
      </c>
      <c r="F27" s="3">
        <v>1</v>
      </c>
      <c r="G27" s="12">
        <v>13.36</v>
      </c>
      <c r="H27" s="12">
        <v>0</v>
      </c>
      <c r="I27" s="21">
        <f t="shared" ref="I27:I30" si="5">(G27+H27)</f>
        <v>13.36</v>
      </c>
      <c r="J27" s="12">
        <f t="shared" si="1"/>
        <v>6.6400000000000006</v>
      </c>
      <c r="K27" s="23">
        <v>20</v>
      </c>
      <c r="L27" s="53" t="s">
        <v>262</v>
      </c>
      <c r="M27" t="s">
        <v>263</v>
      </c>
      <c r="N27" s="77">
        <f>SUM(N4:N26)</f>
        <v>321.85000000000002</v>
      </c>
    </row>
    <row r="28" spans="1:14" ht="15">
      <c r="A28" s="2">
        <v>25</v>
      </c>
      <c r="B28" s="50" t="s">
        <v>264</v>
      </c>
      <c r="C28" s="49" t="s">
        <v>265</v>
      </c>
      <c r="D28" s="3" t="s">
        <v>266</v>
      </c>
      <c r="E28" s="3" t="s">
        <v>267</v>
      </c>
      <c r="F28" s="3">
        <v>14</v>
      </c>
      <c r="G28" s="12">
        <v>0.67</v>
      </c>
      <c r="H28" s="12">
        <v>0</v>
      </c>
      <c r="I28" s="21">
        <f t="shared" si="5"/>
        <v>0.67</v>
      </c>
      <c r="J28" s="12">
        <f t="shared" si="1"/>
        <v>0.32999999999999996</v>
      </c>
      <c r="K28" s="23">
        <v>1</v>
      </c>
    </row>
    <row r="29" spans="1:14" ht="15">
      <c r="A29" s="2">
        <v>26</v>
      </c>
      <c r="B29" s="50"/>
      <c r="G29" s="12">
        <v>0</v>
      </c>
      <c r="H29" s="12">
        <v>0</v>
      </c>
      <c r="I29" s="21">
        <f t="shared" si="5"/>
        <v>0</v>
      </c>
      <c r="J29" s="12">
        <f t="shared" si="1"/>
        <v>0</v>
      </c>
      <c r="K29" s="23">
        <v>0</v>
      </c>
    </row>
    <row r="30" spans="1:14" ht="15">
      <c r="A30" s="2">
        <v>27</v>
      </c>
      <c r="B30" s="50"/>
      <c r="G30" s="12">
        <v>0</v>
      </c>
      <c r="H30" s="12">
        <v>0</v>
      </c>
      <c r="I30" s="21">
        <f t="shared" si="5"/>
        <v>0</v>
      </c>
      <c r="J30" s="12">
        <f t="shared" si="1"/>
        <v>0</v>
      </c>
      <c r="K30" s="23">
        <v>0</v>
      </c>
    </row>
    <row r="31" spans="1:14" ht="15">
      <c r="A31" s="2">
        <v>28</v>
      </c>
      <c r="B31" s="50"/>
    </row>
    <row r="32" spans="1:14" ht="15">
      <c r="A32" s="2">
        <v>29</v>
      </c>
      <c r="B32" s="50"/>
    </row>
    <row r="33" spans="1:2" ht="15">
      <c r="A33" s="2"/>
      <c r="B33" s="50"/>
    </row>
    <row r="34" spans="1:2" ht="15">
      <c r="A34" s="2"/>
      <c r="B34" s="50"/>
    </row>
    <row r="35" spans="1:2" ht="15">
      <c r="A35" s="2"/>
      <c r="B35" s="50"/>
    </row>
    <row r="36" spans="1:2" ht="15">
      <c r="A36" s="2"/>
      <c r="B36" s="50"/>
    </row>
    <row r="37" spans="1:2" ht="15">
      <c r="A37" s="2"/>
      <c r="B37" s="50"/>
    </row>
    <row r="38" spans="1:2" ht="15">
      <c r="A38" s="2"/>
      <c r="B38" s="50"/>
    </row>
    <row r="39" spans="1:2" ht="15">
      <c r="A39" s="2"/>
      <c r="B39" s="50"/>
    </row>
    <row r="40" spans="1:2" ht="15">
      <c r="A40" s="2"/>
      <c r="B40" s="50"/>
    </row>
    <row r="41" spans="1:2" ht="15">
      <c r="A41" s="2"/>
      <c r="B41" s="50"/>
    </row>
    <row r="42" spans="1:2" ht="15">
      <c r="A42" s="2"/>
      <c r="B42" s="50"/>
    </row>
    <row r="43" spans="1:2" ht="15">
      <c r="A43" s="2"/>
      <c r="B43" s="50"/>
    </row>
    <row r="44" spans="1:2" ht="15">
      <c r="A44" s="2"/>
      <c r="B44" s="50"/>
    </row>
    <row r="45" spans="1:2" ht="15">
      <c r="A45" s="2"/>
      <c r="B45" s="50"/>
    </row>
    <row r="46" spans="1:2" ht="15">
      <c r="A46" s="2"/>
      <c r="B46" s="50"/>
    </row>
    <row r="47" spans="1:2" ht="15">
      <c r="A47" s="2"/>
      <c r="B47" s="50"/>
    </row>
    <row r="48" spans="1:2" ht="15">
      <c r="A48" s="2"/>
      <c r="B48" s="50"/>
    </row>
    <row r="49" spans="1:2" ht="15">
      <c r="A49" s="2"/>
      <c r="B49" s="50"/>
    </row>
    <row r="50" spans="1:2" ht="15">
      <c r="A50" s="2"/>
      <c r="B50" s="50"/>
    </row>
  </sheetData>
  <sortState xmlns:xlrd2="http://schemas.microsoft.com/office/spreadsheetml/2017/richdata2" ref="B5:M26">
    <sortCondition ref="B4:B26"/>
  </sortState>
  <mergeCells count="1">
    <mergeCell ref="A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E7C1-895E-4F63-B4E4-40CA187496BF}">
  <sheetPr filterMode="1"/>
  <dimension ref="A2:K50"/>
  <sheetViews>
    <sheetView workbookViewId="0">
      <selection activeCell="J6" sqref="J6"/>
    </sheetView>
  </sheetViews>
  <sheetFormatPr defaultColWidth="11" defaultRowHeight="14.25"/>
  <cols>
    <col min="1" max="1" width="6" customWidth="1"/>
    <col min="2" max="2" width="44.375" customWidth="1"/>
    <col min="3" max="5" width="11.375" style="3"/>
    <col min="6" max="6" width="7" style="3" customWidth="1"/>
    <col min="7" max="7" width="13" style="15" customWidth="1"/>
    <col min="8" max="8" width="11.375" style="3"/>
    <col min="9" max="9" width="14.125" customWidth="1"/>
    <col min="10" max="10" width="11.375" style="3"/>
    <col min="11" max="11" width="11.375" style="62"/>
  </cols>
  <sheetData>
    <row r="2" spans="1:11" ht="25.5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s="3" customFormat="1" ht="30">
      <c r="A3" s="2" t="s">
        <v>1</v>
      </c>
      <c r="B3" s="2" t="s">
        <v>2</v>
      </c>
      <c r="C3" s="2" t="s">
        <v>115</v>
      </c>
      <c r="D3" s="2" t="s">
        <v>3</v>
      </c>
      <c r="E3" s="2" t="s">
        <v>128</v>
      </c>
      <c r="F3" s="2" t="s">
        <v>4</v>
      </c>
      <c r="G3" s="16" t="s">
        <v>129</v>
      </c>
      <c r="H3" s="2" t="s">
        <v>8</v>
      </c>
      <c r="I3" s="37" t="s">
        <v>133</v>
      </c>
      <c r="J3" s="2" t="s">
        <v>5</v>
      </c>
      <c r="K3" s="60" t="s">
        <v>258</v>
      </c>
    </row>
    <row r="4" spans="1:11" ht="15">
      <c r="A4" s="2">
        <v>1</v>
      </c>
      <c r="B4" t="s">
        <v>194</v>
      </c>
      <c r="C4" s="3" t="s">
        <v>195</v>
      </c>
      <c r="D4" s="3">
        <v>2</v>
      </c>
      <c r="E4" s="12">
        <v>4</v>
      </c>
      <c r="F4" s="12">
        <v>0</v>
      </c>
      <c r="G4" s="21">
        <f t="shared" ref="G4:G11" si="0">(E4+F4)</f>
        <v>4</v>
      </c>
      <c r="H4" s="12">
        <f t="shared" ref="H4:H15" si="1">(J4-G4)</f>
        <v>5</v>
      </c>
      <c r="I4" s="23">
        <v>13.65</v>
      </c>
      <c r="J4" s="12">
        <v>9</v>
      </c>
      <c r="K4" s="61">
        <f>(G4*D4)</f>
        <v>8</v>
      </c>
    </row>
    <row r="5" spans="1:11" ht="15" hidden="1">
      <c r="A5" s="2">
        <v>2</v>
      </c>
      <c r="B5" t="s">
        <v>194</v>
      </c>
      <c r="C5" s="3" t="s">
        <v>114</v>
      </c>
      <c r="D5" s="3">
        <v>15.4</v>
      </c>
      <c r="E5" s="12">
        <f>(E4/D5)</f>
        <v>0.25974025974025972</v>
      </c>
      <c r="F5" s="12">
        <v>0</v>
      </c>
      <c r="G5" s="21">
        <f t="shared" si="0"/>
        <v>0.25974025974025972</v>
      </c>
      <c r="H5" s="12">
        <f t="shared" si="1"/>
        <v>0.24025974025974028</v>
      </c>
      <c r="I5" s="23">
        <v>4</v>
      </c>
      <c r="J5" s="12">
        <v>0.5</v>
      </c>
      <c r="K5" s="61">
        <f t="shared" ref="K5:K15" si="2">(G5*D5)</f>
        <v>3.9999999999999996</v>
      </c>
    </row>
    <row r="6" spans="1:11" ht="15">
      <c r="A6" s="2">
        <v>3</v>
      </c>
      <c r="B6" t="s">
        <v>191</v>
      </c>
      <c r="C6" s="3" t="s">
        <v>192</v>
      </c>
      <c r="D6" s="3">
        <v>2</v>
      </c>
      <c r="E6" s="12">
        <v>4</v>
      </c>
      <c r="F6" s="12">
        <v>0</v>
      </c>
      <c r="G6" s="21">
        <f t="shared" si="0"/>
        <v>4</v>
      </c>
      <c r="H6" s="12">
        <f t="shared" si="1"/>
        <v>1.5</v>
      </c>
      <c r="I6" s="23">
        <v>6.16</v>
      </c>
      <c r="J6" s="12">
        <v>5.5</v>
      </c>
      <c r="K6" s="61">
        <f t="shared" si="2"/>
        <v>8</v>
      </c>
    </row>
    <row r="7" spans="1:11" ht="15">
      <c r="A7" s="2">
        <v>4</v>
      </c>
      <c r="B7" t="s">
        <v>193</v>
      </c>
      <c r="C7" s="3" t="s">
        <v>192</v>
      </c>
      <c r="D7" s="3">
        <v>1</v>
      </c>
      <c r="E7" s="12">
        <v>4</v>
      </c>
      <c r="F7" s="12">
        <v>0</v>
      </c>
      <c r="G7" s="21">
        <f t="shared" si="0"/>
        <v>4</v>
      </c>
      <c r="H7" s="12">
        <f t="shared" si="1"/>
        <v>1.5</v>
      </c>
      <c r="I7" s="23">
        <v>6.16</v>
      </c>
      <c r="J7" s="12">
        <v>5.5</v>
      </c>
      <c r="K7" s="61">
        <f t="shared" si="2"/>
        <v>4</v>
      </c>
    </row>
    <row r="8" spans="1:11" ht="15">
      <c r="A8" s="2">
        <v>5</v>
      </c>
      <c r="B8" t="s">
        <v>197</v>
      </c>
      <c r="C8" s="3" t="s">
        <v>192</v>
      </c>
      <c r="D8" s="3">
        <v>6</v>
      </c>
      <c r="E8" s="12">
        <v>3.94</v>
      </c>
      <c r="F8" s="12">
        <v>0.59</v>
      </c>
      <c r="G8" s="21">
        <f t="shared" si="0"/>
        <v>4.53</v>
      </c>
      <c r="H8" s="12">
        <f t="shared" si="1"/>
        <v>1.9699999999999998</v>
      </c>
      <c r="I8" s="23">
        <v>7.55</v>
      </c>
      <c r="J8" s="12">
        <v>6.5</v>
      </c>
      <c r="K8" s="61">
        <f t="shared" si="2"/>
        <v>27.18</v>
      </c>
    </row>
    <row r="9" spans="1:11" ht="15">
      <c r="A9" s="2">
        <v>6</v>
      </c>
      <c r="B9" t="s">
        <v>196</v>
      </c>
      <c r="C9" s="3">
        <v>1</v>
      </c>
      <c r="D9" s="3">
        <v>10</v>
      </c>
      <c r="E9" s="12">
        <v>0.56999999999999995</v>
      </c>
      <c r="F9" s="12">
        <v>0</v>
      </c>
      <c r="G9" s="21">
        <f t="shared" si="0"/>
        <v>0.56999999999999995</v>
      </c>
      <c r="H9" s="12">
        <f t="shared" si="1"/>
        <v>8.0000000000000071E-2</v>
      </c>
      <c r="I9" s="23">
        <v>5.75</v>
      </c>
      <c r="J9" s="12">
        <v>0.65</v>
      </c>
      <c r="K9" s="61">
        <f t="shared" si="2"/>
        <v>5.6999999999999993</v>
      </c>
    </row>
    <row r="10" spans="1:11" ht="15">
      <c r="A10" s="2">
        <v>7</v>
      </c>
      <c r="B10" t="s">
        <v>200</v>
      </c>
      <c r="C10" s="3">
        <v>3</v>
      </c>
      <c r="D10" s="3">
        <v>10</v>
      </c>
      <c r="E10" s="12">
        <v>3.1</v>
      </c>
      <c r="F10" s="12">
        <v>0</v>
      </c>
      <c r="G10" s="21">
        <f t="shared" si="0"/>
        <v>3.1</v>
      </c>
      <c r="H10" s="12">
        <f t="shared" si="1"/>
        <v>2.9</v>
      </c>
      <c r="I10" s="23">
        <v>0</v>
      </c>
      <c r="J10" s="12">
        <v>6</v>
      </c>
      <c r="K10" s="61">
        <f t="shared" si="2"/>
        <v>31</v>
      </c>
    </row>
    <row r="11" spans="1:11" ht="15">
      <c r="A11" s="2">
        <v>8</v>
      </c>
      <c r="B11" t="s">
        <v>199</v>
      </c>
      <c r="C11" s="3" t="s">
        <v>115</v>
      </c>
      <c r="D11" s="3">
        <v>30</v>
      </c>
      <c r="E11" s="12">
        <v>0.31</v>
      </c>
      <c r="F11" s="12">
        <v>0</v>
      </c>
      <c r="G11" s="21">
        <f t="shared" si="0"/>
        <v>0.31</v>
      </c>
      <c r="H11" s="12">
        <f t="shared" si="1"/>
        <v>0.19</v>
      </c>
      <c r="I11" s="23">
        <v>0</v>
      </c>
      <c r="J11" s="12">
        <v>0.5</v>
      </c>
      <c r="K11" s="61">
        <f t="shared" si="2"/>
        <v>9.3000000000000007</v>
      </c>
    </row>
    <row r="12" spans="1:11" ht="15">
      <c r="A12" s="2">
        <v>9</v>
      </c>
      <c r="B12" s="49" t="s">
        <v>188</v>
      </c>
      <c r="C12" s="3" t="s">
        <v>189</v>
      </c>
      <c r="D12" s="3">
        <v>1</v>
      </c>
      <c r="E12" s="12">
        <v>0.08</v>
      </c>
      <c r="F12" s="12">
        <v>0</v>
      </c>
      <c r="G12" s="21">
        <f>(E12+F12)</f>
        <v>0.08</v>
      </c>
      <c r="H12" s="12">
        <f t="shared" si="1"/>
        <v>2.0000000000000004E-2</v>
      </c>
      <c r="I12" s="23">
        <v>0</v>
      </c>
      <c r="J12" s="12">
        <v>0.1</v>
      </c>
      <c r="K12" s="61">
        <f t="shared" si="2"/>
        <v>0.08</v>
      </c>
    </row>
    <row r="13" spans="1:11" ht="15">
      <c r="A13" s="2">
        <v>10</v>
      </c>
      <c r="B13" s="49" t="s">
        <v>188</v>
      </c>
      <c r="C13" s="3" t="s">
        <v>190</v>
      </c>
      <c r="D13" s="3">
        <v>1</v>
      </c>
      <c r="E13" s="12">
        <v>0.06</v>
      </c>
      <c r="F13" s="12">
        <v>0</v>
      </c>
      <c r="G13" s="21">
        <f>(E13+F13)</f>
        <v>0.06</v>
      </c>
      <c r="H13" s="12">
        <f t="shared" si="1"/>
        <v>0.09</v>
      </c>
      <c r="I13" s="59">
        <v>0</v>
      </c>
      <c r="J13" s="12">
        <v>0.15</v>
      </c>
      <c r="K13" s="61">
        <f t="shared" si="2"/>
        <v>0.06</v>
      </c>
    </row>
    <row r="14" spans="1:11" ht="15">
      <c r="A14" s="2">
        <v>11</v>
      </c>
      <c r="B14" s="49" t="s">
        <v>188</v>
      </c>
      <c r="C14" s="3" t="s">
        <v>92</v>
      </c>
      <c r="D14" s="3">
        <v>1</v>
      </c>
      <c r="E14" s="12">
        <v>0.08</v>
      </c>
      <c r="F14" s="12">
        <v>0</v>
      </c>
      <c r="G14" s="21">
        <f>(E14+F14)</f>
        <v>0.08</v>
      </c>
      <c r="H14" s="12">
        <f t="shared" si="1"/>
        <v>0.12000000000000001</v>
      </c>
      <c r="I14" s="23">
        <v>0</v>
      </c>
      <c r="J14" s="12">
        <v>0.2</v>
      </c>
      <c r="K14" s="61">
        <f t="shared" si="2"/>
        <v>0.08</v>
      </c>
    </row>
    <row r="15" spans="1:11" ht="15">
      <c r="A15" s="2">
        <v>12</v>
      </c>
      <c r="B15" s="49" t="s">
        <v>225</v>
      </c>
      <c r="C15" s="3">
        <v>1</v>
      </c>
      <c r="D15" s="3">
        <v>1</v>
      </c>
      <c r="E15" s="12">
        <v>4.4000000000000004</v>
      </c>
      <c r="F15" s="12">
        <v>0</v>
      </c>
      <c r="G15" s="21">
        <f>(E15+F15)</f>
        <v>4.4000000000000004</v>
      </c>
      <c r="H15" s="12">
        <f t="shared" si="1"/>
        <v>0.59999999999999964</v>
      </c>
      <c r="I15" s="23">
        <v>0</v>
      </c>
      <c r="J15" s="12">
        <v>5</v>
      </c>
      <c r="K15" s="61">
        <f t="shared" si="2"/>
        <v>4.4000000000000004</v>
      </c>
    </row>
    <row r="16" spans="1:11" ht="15">
      <c r="A16" s="2">
        <v>13</v>
      </c>
      <c r="E16" s="12"/>
      <c r="F16" s="12"/>
      <c r="G16" s="21"/>
      <c r="H16" s="12"/>
      <c r="I16" s="23"/>
      <c r="J16" s="12"/>
      <c r="K16" s="78">
        <f>SUBTOTAL(9,K4:K15)</f>
        <v>97.8</v>
      </c>
    </row>
    <row r="17" spans="1:11" ht="15">
      <c r="A17" s="2">
        <v>14</v>
      </c>
      <c r="E17" s="12"/>
      <c r="F17" s="12"/>
      <c r="G17" s="21"/>
      <c r="H17" s="12"/>
      <c r="I17" s="23"/>
      <c r="J17" s="12"/>
      <c r="K17" s="61"/>
    </row>
    <row r="18" spans="1:11" ht="15">
      <c r="A18" s="2">
        <v>15</v>
      </c>
      <c r="E18" s="12"/>
      <c r="F18" s="12"/>
      <c r="G18" s="21"/>
      <c r="H18" s="12"/>
      <c r="I18" s="23"/>
      <c r="J18" s="12"/>
      <c r="K18" s="61"/>
    </row>
    <row r="19" spans="1:11" ht="15">
      <c r="A19" s="2">
        <v>16</v>
      </c>
      <c r="E19" s="12"/>
      <c r="F19" s="12"/>
      <c r="G19" s="21"/>
      <c r="H19" s="12"/>
      <c r="I19" s="23"/>
      <c r="J19" s="12"/>
      <c r="K19" s="61"/>
    </row>
    <row r="20" spans="1:11" ht="15">
      <c r="A20" s="2">
        <v>17</v>
      </c>
      <c r="E20" s="12"/>
      <c r="F20" s="12"/>
      <c r="G20" s="21"/>
      <c r="H20" s="12"/>
      <c r="I20" s="23"/>
      <c r="J20" s="12"/>
      <c r="K20" s="61"/>
    </row>
    <row r="21" spans="1:11" ht="15">
      <c r="A21" s="2">
        <v>18</v>
      </c>
      <c r="E21" s="12"/>
      <c r="F21" s="12"/>
      <c r="G21" s="21"/>
      <c r="H21" s="12"/>
      <c r="I21" s="23"/>
      <c r="J21" s="12"/>
      <c r="K21" s="61"/>
    </row>
    <row r="22" spans="1:11" ht="15">
      <c r="A22" s="2">
        <v>19</v>
      </c>
      <c r="E22" s="12"/>
      <c r="F22" s="12"/>
      <c r="G22" s="21"/>
      <c r="H22" s="12"/>
      <c r="I22" s="23"/>
      <c r="J22" s="12"/>
      <c r="K22" s="61"/>
    </row>
    <row r="23" spans="1:11" ht="15">
      <c r="A23" s="2">
        <v>20</v>
      </c>
      <c r="E23" s="12"/>
      <c r="F23" s="12"/>
      <c r="G23" s="21"/>
      <c r="H23" s="12"/>
      <c r="I23" s="23"/>
      <c r="J23" s="12"/>
      <c r="K23" s="61"/>
    </row>
    <row r="24" spans="1:11" ht="15">
      <c r="A24" s="2"/>
      <c r="F24" s="5"/>
      <c r="G24" s="22"/>
    </row>
    <row r="25" spans="1:11" ht="15">
      <c r="A25" s="2"/>
      <c r="F25" s="5"/>
      <c r="G25" s="22"/>
    </row>
    <row r="26" spans="1:11" ht="15">
      <c r="A26" s="2"/>
      <c r="F26" s="5"/>
      <c r="G26" s="22"/>
    </row>
    <row r="27" spans="1:11" ht="15">
      <c r="A27" s="2"/>
      <c r="F27" s="5"/>
      <c r="G27" s="22"/>
    </row>
    <row r="28" spans="1:11" ht="15">
      <c r="A28" s="2"/>
      <c r="F28" s="5"/>
      <c r="G28" s="22"/>
    </row>
    <row r="29" spans="1:11" ht="15">
      <c r="A29" s="2"/>
      <c r="F29" s="5"/>
      <c r="G29" s="22"/>
    </row>
    <row r="30" spans="1:11" ht="15">
      <c r="A30" s="2"/>
      <c r="F30" s="5"/>
      <c r="G30" s="22"/>
    </row>
    <row r="31" spans="1:11" ht="15">
      <c r="A31" s="2"/>
    </row>
    <row r="32" spans="1:11" ht="15">
      <c r="A32" s="2"/>
    </row>
    <row r="33" spans="1:1" ht="15">
      <c r="A33" s="2"/>
    </row>
    <row r="34" spans="1:1" ht="15">
      <c r="A34" s="2"/>
    </row>
    <row r="35" spans="1:1" ht="15">
      <c r="A35" s="2"/>
    </row>
    <row r="36" spans="1:1" ht="15">
      <c r="A36" s="2"/>
    </row>
    <row r="37" spans="1:1" ht="15">
      <c r="A37" s="2"/>
    </row>
    <row r="38" spans="1:1" ht="15">
      <c r="A38" s="2"/>
    </row>
    <row r="39" spans="1:1" ht="15">
      <c r="A39" s="2"/>
    </row>
    <row r="40" spans="1:1" ht="15">
      <c r="A40" s="2"/>
    </row>
    <row r="41" spans="1:1" ht="15">
      <c r="A41" s="2"/>
    </row>
    <row r="42" spans="1:1" ht="15">
      <c r="A42" s="2"/>
    </row>
    <row r="43" spans="1:1" ht="15">
      <c r="A43" s="2"/>
    </row>
    <row r="44" spans="1:1" ht="15">
      <c r="A44" s="2"/>
    </row>
    <row r="45" spans="1:1" ht="15">
      <c r="A45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0" spans="1:1" ht="15">
      <c r="A50" s="2"/>
    </row>
  </sheetData>
  <autoFilter ref="C2:C50" xr:uid="{5188E7C1-895E-4F63-B4E4-40CA187496BF}">
    <filterColumn colId="0">
      <filters blank="1">
        <filter val="1"/>
        <filter val="1ML"/>
        <filter val="3"/>
        <filter val="3ML"/>
        <filter val="4KG"/>
        <filter val="5ML"/>
        <filter val="7KG"/>
        <filter val="UNIDAD"/>
      </filters>
    </filterColumn>
  </autoFilter>
  <sortState xmlns:xlrd2="http://schemas.microsoft.com/office/spreadsheetml/2017/richdata2" ref="B4:J9">
    <sortCondition ref="B4:B9"/>
  </sortState>
  <mergeCells count="1">
    <mergeCell ref="A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8EBA-AF90-4971-ACC9-1A678912035C}">
  <dimension ref="A2:K51"/>
  <sheetViews>
    <sheetView zoomScale="80" zoomScaleNormal="80" workbookViewId="0">
      <selection activeCell="F4" sqref="F4"/>
    </sheetView>
  </sheetViews>
  <sheetFormatPr defaultColWidth="11" defaultRowHeight="14.25"/>
  <cols>
    <col min="1" max="1" width="6" customWidth="1"/>
    <col min="2" max="2" width="38.625" customWidth="1"/>
    <col min="3" max="5" width="11.375" style="3"/>
    <col min="6" max="6" width="7" style="3" customWidth="1"/>
    <col min="7" max="7" width="13" style="15" customWidth="1"/>
    <col min="8" max="8" width="11.375" style="3"/>
    <col min="9" max="9" width="11.25" customWidth="1"/>
    <col min="10" max="10" width="11.375" style="3"/>
    <col min="11" max="11" width="11.375" style="62"/>
  </cols>
  <sheetData>
    <row r="2" spans="1:11" ht="25.5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s="3" customFormat="1" ht="24">
      <c r="A3" s="2" t="s">
        <v>1</v>
      </c>
      <c r="B3" s="2" t="s">
        <v>2</v>
      </c>
      <c r="C3" s="2" t="s">
        <v>115</v>
      </c>
      <c r="D3" s="2" t="s">
        <v>3</v>
      </c>
      <c r="E3" s="2" t="s">
        <v>128</v>
      </c>
      <c r="F3" s="2" t="s">
        <v>4</v>
      </c>
      <c r="G3" s="16" t="s">
        <v>129</v>
      </c>
      <c r="H3" s="2" t="s">
        <v>8</v>
      </c>
      <c r="I3" s="64" t="s">
        <v>133</v>
      </c>
      <c r="J3" s="2" t="s">
        <v>5</v>
      </c>
      <c r="K3" s="60" t="s">
        <v>258</v>
      </c>
    </row>
    <row r="4" spans="1:11" ht="15">
      <c r="A4" s="2">
        <v>1</v>
      </c>
      <c r="B4" t="s">
        <v>294</v>
      </c>
      <c r="C4" s="3" t="s">
        <v>115</v>
      </c>
      <c r="D4" s="3">
        <v>2</v>
      </c>
      <c r="E4" s="12">
        <v>6.5</v>
      </c>
      <c r="F4" s="12">
        <v>0</v>
      </c>
      <c r="G4" s="21">
        <f>(E4+F4)</f>
        <v>6.5</v>
      </c>
      <c r="H4" s="12">
        <f>(J4-G4)</f>
        <v>3.5</v>
      </c>
      <c r="I4" s="23">
        <v>0</v>
      </c>
      <c r="J4" s="12">
        <v>10</v>
      </c>
      <c r="K4" s="79">
        <f>(G4*D4)</f>
        <v>13</v>
      </c>
    </row>
    <row r="5" spans="1:11" ht="15">
      <c r="A5" s="2">
        <v>2</v>
      </c>
      <c r="B5" t="s">
        <v>295</v>
      </c>
      <c r="C5" s="3" t="s">
        <v>115</v>
      </c>
      <c r="D5" s="3">
        <v>1</v>
      </c>
      <c r="E5" s="12">
        <v>13</v>
      </c>
      <c r="F5" s="12">
        <v>0</v>
      </c>
      <c r="G5" s="21">
        <f>(E5+F5)</f>
        <v>13</v>
      </c>
      <c r="H5" s="12">
        <f t="shared" ref="H5:H43" si="0">(J5-G5)</f>
        <v>5</v>
      </c>
      <c r="I5" s="23">
        <v>0</v>
      </c>
      <c r="J5" s="12">
        <v>18</v>
      </c>
      <c r="K5" s="79">
        <f>(G5*D5)</f>
        <v>13</v>
      </c>
    </row>
    <row r="6" spans="1:11" ht="15">
      <c r="A6" s="2">
        <v>3</v>
      </c>
      <c r="B6" t="s">
        <v>283</v>
      </c>
      <c r="C6" s="3" t="s">
        <v>115</v>
      </c>
      <c r="D6" s="3">
        <v>3</v>
      </c>
      <c r="E6" s="12">
        <v>0.75</v>
      </c>
      <c r="F6" s="12">
        <v>0</v>
      </c>
      <c r="G6" s="21">
        <f>(E6+F6)</f>
        <v>0.75</v>
      </c>
      <c r="H6" s="12">
        <f t="shared" si="0"/>
        <v>0.5</v>
      </c>
      <c r="I6" s="23">
        <v>0</v>
      </c>
      <c r="J6" s="12">
        <v>1.25</v>
      </c>
      <c r="K6" s="79">
        <f>(G6*D6)</f>
        <v>2.25</v>
      </c>
    </row>
    <row r="7" spans="1:11" ht="15">
      <c r="A7" s="2">
        <v>4</v>
      </c>
      <c r="B7" t="s">
        <v>286</v>
      </c>
      <c r="C7" s="3" t="s">
        <v>115</v>
      </c>
      <c r="D7" s="3">
        <v>3</v>
      </c>
      <c r="E7" s="12">
        <v>0.9</v>
      </c>
      <c r="F7" s="12">
        <v>0</v>
      </c>
      <c r="G7" s="21">
        <f>(E7+F7)</f>
        <v>0.9</v>
      </c>
      <c r="H7" s="12">
        <f t="shared" si="0"/>
        <v>0.6</v>
      </c>
      <c r="I7" s="23">
        <v>0</v>
      </c>
      <c r="J7" s="12">
        <v>1.5</v>
      </c>
      <c r="K7" s="79">
        <f>(G7*D7)</f>
        <v>2.7</v>
      </c>
    </row>
    <row r="8" spans="1:11" ht="15">
      <c r="A8" s="2">
        <v>5</v>
      </c>
      <c r="B8" t="s">
        <v>254</v>
      </c>
      <c r="C8" s="3" t="s">
        <v>115</v>
      </c>
      <c r="D8" s="3">
        <v>2</v>
      </c>
      <c r="E8" s="12">
        <v>1</v>
      </c>
      <c r="F8" s="12">
        <v>0</v>
      </c>
      <c r="G8" s="21">
        <f>(E8+F8)</f>
        <v>1</v>
      </c>
      <c r="H8" s="12">
        <f t="shared" si="0"/>
        <v>1.25</v>
      </c>
      <c r="I8" s="23">
        <v>0</v>
      </c>
      <c r="J8" s="12">
        <v>2.25</v>
      </c>
      <c r="K8" s="79">
        <f>(G8*D8)</f>
        <v>2</v>
      </c>
    </row>
    <row r="9" spans="1:11" ht="15">
      <c r="A9" s="2">
        <v>6</v>
      </c>
      <c r="B9" t="s">
        <v>285</v>
      </c>
      <c r="C9" s="3" t="s">
        <v>115</v>
      </c>
      <c r="D9" s="3">
        <v>3</v>
      </c>
      <c r="E9" s="12">
        <v>1.65</v>
      </c>
      <c r="F9" s="12">
        <v>0</v>
      </c>
      <c r="G9" s="21">
        <f>(E9+F9)</f>
        <v>1.65</v>
      </c>
      <c r="H9" s="12">
        <f t="shared" si="0"/>
        <v>1.35</v>
      </c>
      <c r="I9" s="23">
        <v>0</v>
      </c>
      <c r="J9" s="12">
        <v>3</v>
      </c>
      <c r="K9" s="79">
        <f>(G9*D9)</f>
        <v>4.9499999999999993</v>
      </c>
    </row>
    <row r="10" spans="1:11" ht="15">
      <c r="A10" s="2">
        <v>7</v>
      </c>
      <c r="B10" t="s">
        <v>260</v>
      </c>
      <c r="C10" s="3" t="s">
        <v>131</v>
      </c>
      <c r="D10" s="3">
        <v>1</v>
      </c>
      <c r="E10" s="12">
        <v>15.5</v>
      </c>
      <c r="F10" s="12">
        <v>0</v>
      </c>
      <c r="G10" s="21">
        <f>(E10+F10)</f>
        <v>15.5</v>
      </c>
      <c r="H10" s="12">
        <f t="shared" si="0"/>
        <v>4.5</v>
      </c>
      <c r="I10" s="23">
        <v>0</v>
      </c>
      <c r="J10" s="12">
        <v>20</v>
      </c>
      <c r="K10" s="79">
        <f>(G10*D10)</f>
        <v>15.5</v>
      </c>
    </row>
    <row r="11" spans="1:11" ht="15">
      <c r="A11" s="2">
        <v>8</v>
      </c>
      <c r="B11" t="s">
        <v>215</v>
      </c>
      <c r="C11" s="3" t="s">
        <v>115</v>
      </c>
      <c r="D11" s="3">
        <v>3</v>
      </c>
      <c r="E11" s="12">
        <v>3.4</v>
      </c>
      <c r="F11" s="12">
        <v>0</v>
      </c>
      <c r="G11" s="21">
        <f>(E11+F11)</f>
        <v>3.4</v>
      </c>
      <c r="H11" s="12">
        <f t="shared" si="0"/>
        <v>2.6</v>
      </c>
      <c r="I11" s="23">
        <v>0</v>
      </c>
      <c r="J11" s="12">
        <v>6</v>
      </c>
      <c r="K11" s="79">
        <f>(G11*D11)</f>
        <v>10.199999999999999</v>
      </c>
    </row>
    <row r="12" spans="1:11" ht="15">
      <c r="A12" s="2">
        <v>9</v>
      </c>
      <c r="B12" t="s">
        <v>214</v>
      </c>
      <c r="C12" s="3" t="s">
        <v>115</v>
      </c>
      <c r="D12" s="3">
        <v>3</v>
      </c>
      <c r="E12" s="12">
        <v>5</v>
      </c>
      <c r="F12" s="12">
        <v>0</v>
      </c>
      <c r="G12" s="21">
        <f>(E12+F12)</f>
        <v>5</v>
      </c>
      <c r="H12" s="12">
        <f t="shared" si="0"/>
        <v>3</v>
      </c>
      <c r="I12" s="23">
        <v>0</v>
      </c>
      <c r="J12" s="12">
        <v>8</v>
      </c>
      <c r="K12" s="79">
        <f>(G12*D12)</f>
        <v>15</v>
      </c>
    </row>
    <row r="13" spans="1:11" ht="15">
      <c r="A13" s="2">
        <v>10</v>
      </c>
      <c r="B13" t="s">
        <v>287</v>
      </c>
      <c r="C13" s="3" t="s">
        <v>274</v>
      </c>
      <c r="D13" s="3">
        <v>3</v>
      </c>
      <c r="E13" s="12">
        <v>2</v>
      </c>
      <c r="F13" s="12">
        <v>0</v>
      </c>
      <c r="G13" s="21">
        <f>(E13+F13)</f>
        <v>2</v>
      </c>
      <c r="H13" s="12">
        <f t="shared" si="0"/>
        <v>3</v>
      </c>
      <c r="I13" s="23">
        <v>0</v>
      </c>
      <c r="J13" s="12">
        <v>5</v>
      </c>
      <c r="K13" s="79">
        <f>(G13*D13)</f>
        <v>6</v>
      </c>
    </row>
    <row r="14" spans="1:11" ht="15">
      <c r="A14" s="2">
        <v>11</v>
      </c>
      <c r="B14" t="s">
        <v>212</v>
      </c>
      <c r="C14" s="3" t="s">
        <v>115</v>
      </c>
      <c r="D14" s="3">
        <v>4</v>
      </c>
      <c r="E14" s="12">
        <v>2.6</v>
      </c>
      <c r="F14" s="12">
        <v>0</v>
      </c>
      <c r="G14" s="21">
        <f>(E14+F14)</f>
        <v>2.6</v>
      </c>
      <c r="H14" s="12">
        <f t="shared" si="0"/>
        <v>2.4</v>
      </c>
      <c r="I14" s="23">
        <v>0</v>
      </c>
      <c r="J14" s="12">
        <v>5</v>
      </c>
      <c r="K14" s="79">
        <f>(G14*D14)</f>
        <v>10.4</v>
      </c>
    </row>
    <row r="15" spans="1:11" ht="15">
      <c r="A15" s="2">
        <v>12</v>
      </c>
      <c r="B15" t="s">
        <v>288</v>
      </c>
      <c r="C15" s="3" t="s">
        <v>115</v>
      </c>
      <c r="D15" s="3">
        <v>3</v>
      </c>
      <c r="E15" s="12">
        <v>3.6</v>
      </c>
      <c r="F15" s="12">
        <v>0</v>
      </c>
      <c r="G15" s="21">
        <f>(E15+F15)</f>
        <v>3.6</v>
      </c>
      <c r="H15" s="12">
        <f t="shared" si="0"/>
        <v>3.4</v>
      </c>
      <c r="I15" s="23">
        <v>0</v>
      </c>
      <c r="J15" s="12">
        <v>7</v>
      </c>
      <c r="K15" s="79">
        <f>(G15*D15)</f>
        <v>10.8</v>
      </c>
    </row>
    <row r="16" spans="1:11" ht="15">
      <c r="A16" s="2">
        <v>13</v>
      </c>
      <c r="B16" t="s">
        <v>210</v>
      </c>
      <c r="C16" s="3" t="s">
        <v>115</v>
      </c>
      <c r="D16" s="3">
        <v>12</v>
      </c>
      <c r="E16" s="12">
        <v>0.45</v>
      </c>
      <c r="F16" s="12">
        <v>0</v>
      </c>
      <c r="G16" s="21">
        <f>(E16+F16)</f>
        <v>0.45</v>
      </c>
      <c r="H16" s="12">
        <f t="shared" si="0"/>
        <v>1.05</v>
      </c>
      <c r="I16" s="23">
        <v>0</v>
      </c>
      <c r="J16" s="12">
        <v>1.5</v>
      </c>
      <c r="K16" s="79">
        <f>(G16*D16)</f>
        <v>5.4</v>
      </c>
    </row>
    <row r="17" spans="1:11" ht="15">
      <c r="A17" s="2">
        <v>14</v>
      </c>
      <c r="B17" t="s">
        <v>211</v>
      </c>
      <c r="C17" s="3" t="s">
        <v>115</v>
      </c>
      <c r="D17" s="3">
        <v>12</v>
      </c>
      <c r="E17" s="12">
        <v>0.45</v>
      </c>
      <c r="F17" s="12">
        <v>0</v>
      </c>
      <c r="G17" s="21">
        <f>(E17+F17)</f>
        <v>0.45</v>
      </c>
      <c r="H17" s="12">
        <f t="shared" si="0"/>
        <v>1.05</v>
      </c>
      <c r="I17" s="23">
        <v>0</v>
      </c>
      <c r="J17" s="12">
        <v>1.5</v>
      </c>
      <c r="K17" s="79">
        <f>(G17*D17)</f>
        <v>5.4</v>
      </c>
    </row>
    <row r="18" spans="1:11" ht="15">
      <c r="A18" s="2">
        <v>15</v>
      </c>
      <c r="B18" t="s">
        <v>213</v>
      </c>
      <c r="C18" s="3" t="s">
        <v>115</v>
      </c>
      <c r="D18" s="3">
        <v>3</v>
      </c>
      <c r="E18" s="12">
        <v>4.5999999999999996</v>
      </c>
      <c r="F18" s="12">
        <v>0</v>
      </c>
      <c r="G18" s="21">
        <f>(E18+F18)</f>
        <v>4.5999999999999996</v>
      </c>
      <c r="H18" s="12">
        <f t="shared" si="0"/>
        <v>4.4000000000000004</v>
      </c>
      <c r="I18" s="23">
        <v>0</v>
      </c>
      <c r="J18" s="12">
        <v>9</v>
      </c>
      <c r="K18" s="79">
        <f>(G18*D18)</f>
        <v>13.799999999999999</v>
      </c>
    </row>
    <row r="19" spans="1:11" ht="15">
      <c r="A19" s="2">
        <v>16</v>
      </c>
      <c r="B19" t="s">
        <v>276</v>
      </c>
      <c r="C19" s="3" t="s">
        <v>115</v>
      </c>
      <c r="D19" s="3">
        <v>12</v>
      </c>
      <c r="E19" s="12">
        <v>0.45</v>
      </c>
      <c r="F19" s="12">
        <v>0</v>
      </c>
      <c r="G19" s="21">
        <f>(E19+F19)</f>
        <v>0.45</v>
      </c>
      <c r="H19" s="12">
        <f t="shared" si="0"/>
        <v>1.05</v>
      </c>
      <c r="I19" s="23">
        <v>0</v>
      </c>
      <c r="J19" s="12">
        <v>1.5</v>
      </c>
      <c r="K19" s="79">
        <f>(G19*D19)</f>
        <v>5.4</v>
      </c>
    </row>
    <row r="20" spans="1:11" ht="15">
      <c r="A20" s="2">
        <v>17</v>
      </c>
      <c r="B20" t="s">
        <v>277</v>
      </c>
      <c r="C20" s="3" t="s">
        <v>115</v>
      </c>
      <c r="D20" s="3">
        <v>12</v>
      </c>
      <c r="E20" s="12">
        <v>0.6</v>
      </c>
      <c r="F20" s="12">
        <v>0</v>
      </c>
      <c r="G20" s="21">
        <f>(E20+F20)</f>
        <v>0.6</v>
      </c>
      <c r="H20" s="12">
        <f t="shared" si="0"/>
        <v>1.1499999999999999</v>
      </c>
      <c r="I20" s="23">
        <v>0</v>
      </c>
      <c r="J20" s="12">
        <v>1.75</v>
      </c>
      <c r="K20" s="79">
        <f>(G20*D20)</f>
        <v>7.1999999999999993</v>
      </c>
    </row>
    <row r="21" spans="1:11" ht="15">
      <c r="A21" s="2">
        <v>18</v>
      </c>
      <c r="B21" t="s">
        <v>282</v>
      </c>
      <c r="C21" s="3" t="s">
        <v>115</v>
      </c>
      <c r="D21" s="3">
        <v>3</v>
      </c>
      <c r="E21" s="12">
        <v>2</v>
      </c>
      <c r="F21" s="12">
        <v>0</v>
      </c>
      <c r="G21" s="21">
        <f>(E21+F21)</f>
        <v>2</v>
      </c>
      <c r="H21" s="12">
        <f t="shared" si="0"/>
        <v>1.5</v>
      </c>
      <c r="I21" s="23">
        <v>0</v>
      </c>
      <c r="J21" s="12">
        <v>3.5</v>
      </c>
      <c r="K21" s="79">
        <f>(G21*D21)</f>
        <v>6</v>
      </c>
    </row>
    <row r="22" spans="1:11" ht="15">
      <c r="A22" s="2">
        <v>19</v>
      </c>
      <c r="B22" t="s">
        <v>284</v>
      </c>
      <c r="C22" s="3" t="s">
        <v>115</v>
      </c>
      <c r="D22" s="3">
        <v>3</v>
      </c>
      <c r="E22" s="12">
        <v>1.35</v>
      </c>
      <c r="F22" s="12">
        <v>0</v>
      </c>
      <c r="G22" s="21">
        <f>(E22+F22)</f>
        <v>1.35</v>
      </c>
      <c r="H22" s="12">
        <f t="shared" si="0"/>
        <v>1.65</v>
      </c>
      <c r="I22" s="23">
        <v>0</v>
      </c>
      <c r="J22" s="12">
        <v>3</v>
      </c>
      <c r="K22" s="79">
        <f>(G22*D22)</f>
        <v>4.0500000000000007</v>
      </c>
    </row>
    <row r="23" spans="1:11" ht="15">
      <c r="A23" s="2">
        <v>20</v>
      </c>
      <c r="B23" t="s">
        <v>201</v>
      </c>
      <c r="C23" s="3" t="s">
        <v>131</v>
      </c>
      <c r="D23" s="3">
        <v>3</v>
      </c>
      <c r="E23" s="12">
        <v>1.1000000000000001</v>
      </c>
      <c r="F23" s="12">
        <v>0</v>
      </c>
      <c r="G23" s="21">
        <f>(E23+F23)</f>
        <v>1.1000000000000001</v>
      </c>
      <c r="H23" s="12">
        <f t="shared" si="0"/>
        <v>1.1499999999999999</v>
      </c>
      <c r="I23" s="23">
        <v>0</v>
      </c>
      <c r="J23" s="12">
        <v>2.25</v>
      </c>
      <c r="K23" s="79">
        <f>(G23*D23)</f>
        <v>3.3000000000000003</v>
      </c>
    </row>
    <row r="24" spans="1:11" ht="15">
      <c r="A24" s="2">
        <v>21</v>
      </c>
      <c r="B24" t="s">
        <v>290</v>
      </c>
      <c r="C24" s="3" t="s">
        <v>274</v>
      </c>
      <c r="D24" s="3">
        <v>3</v>
      </c>
      <c r="E24" s="12">
        <v>0.75</v>
      </c>
      <c r="F24" s="12">
        <v>0</v>
      </c>
      <c r="G24" s="21">
        <f>(E24+F24)</f>
        <v>0.75</v>
      </c>
      <c r="H24" s="12">
        <f t="shared" si="0"/>
        <v>1</v>
      </c>
      <c r="I24" s="23">
        <v>0</v>
      </c>
      <c r="J24" s="12">
        <v>1.75</v>
      </c>
      <c r="K24" s="79">
        <f>(G24*D24)</f>
        <v>2.25</v>
      </c>
    </row>
    <row r="25" spans="1:11" ht="15">
      <c r="A25" s="2">
        <v>22</v>
      </c>
      <c r="B25" t="s">
        <v>289</v>
      </c>
      <c r="C25" s="3" t="s">
        <v>274</v>
      </c>
      <c r="D25" s="3">
        <v>3</v>
      </c>
      <c r="E25" s="12">
        <v>1.7</v>
      </c>
      <c r="F25" s="12">
        <v>0</v>
      </c>
      <c r="G25" s="21">
        <f>(E25+F25)</f>
        <v>1.7</v>
      </c>
      <c r="H25" s="12">
        <f t="shared" si="0"/>
        <v>5.0000000000000044E-2</v>
      </c>
      <c r="I25" s="23">
        <v>0</v>
      </c>
      <c r="J25" s="12">
        <v>1.75</v>
      </c>
      <c r="K25" s="79">
        <f>(G25*D25)</f>
        <v>5.0999999999999996</v>
      </c>
    </row>
    <row r="26" spans="1:11" ht="15">
      <c r="A26" s="2">
        <v>23</v>
      </c>
      <c r="B26" t="s">
        <v>205</v>
      </c>
      <c r="C26" s="3" t="s">
        <v>115</v>
      </c>
      <c r="D26" s="3">
        <v>3</v>
      </c>
      <c r="E26" s="12">
        <v>0.7</v>
      </c>
      <c r="F26" s="12">
        <v>0</v>
      </c>
      <c r="G26" s="21">
        <f>(E26+F26)</f>
        <v>0.7</v>
      </c>
      <c r="H26" s="12">
        <f t="shared" si="0"/>
        <v>0.55000000000000004</v>
      </c>
      <c r="I26" s="23">
        <v>0</v>
      </c>
      <c r="J26" s="12">
        <v>1.25</v>
      </c>
      <c r="K26" s="79">
        <f>(G26*D26)</f>
        <v>2.0999999999999996</v>
      </c>
    </row>
    <row r="27" spans="1:11" ht="15">
      <c r="A27" s="2">
        <v>24</v>
      </c>
      <c r="B27" t="s">
        <v>206</v>
      </c>
      <c r="C27" s="3" t="s">
        <v>115</v>
      </c>
      <c r="D27" s="3">
        <v>3</v>
      </c>
      <c r="E27" s="12">
        <v>1.9</v>
      </c>
      <c r="F27" s="12">
        <v>0</v>
      </c>
      <c r="G27" s="21">
        <f>(E27+F27)</f>
        <v>1.9</v>
      </c>
      <c r="H27" s="12">
        <f t="shared" si="0"/>
        <v>0.60000000000000009</v>
      </c>
      <c r="I27" s="23">
        <v>0</v>
      </c>
      <c r="J27" s="12">
        <v>2.5</v>
      </c>
      <c r="K27" s="79">
        <f>(G27*D27)</f>
        <v>5.6999999999999993</v>
      </c>
    </row>
    <row r="28" spans="1:11" ht="15">
      <c r="A28" s="2">
        <v>25</v>
      </c>
      <c r="B28" t="s">
        <v>281</v>
      </c>
      <c r="C28" s="3" t="s">
        <v>115</v>
      </c>
      <c r="D28" s="3">
        <v>3</v>
      </c>
      <c r="E28" s="12">
        <v>0.9</v>
      </c>
      <c r="F28" s="12">
        <v>0</v>
      </c>
      <c r="G28" s="21">
        <f>(E28+F28)</f>
        <v>0.9</v>
      </c>
      <c r="H28" s="12">
        <f t="shared" si="0"/>
        <v>1.1000000000000001</v>
      </c>
      <c r="I28" s="23">
        <v>0</v>
      </c>
      <c r="J28" s="12">
        <v>2</v>
      </c>
      <c r="K28" s="79">
        <f>(G28*D28)</f>
        <v>2.7</v>
      </c>
    </row>
    <row r="29" spans="1:11" ht="15">
      <c r="A29" s="2">
        <v>26</v>
      </c>
      <c r="B29" t="s">
        <v>202</v>
      </c>
      <c r="C29" s="3" t="s">
        <v>115</v>
      </c>
      <c r="D29" s="3">
        <v>3</v>
      </c>
      <c r="E29" s="12">
        <v>0.6</v>
      </c>
      <c r="F29" s="12">
        <v>0</v>
      </c>
      <c r="G29" s="21">
        <f>(E29+F29)</f>
        <v>0.6</v>
      </c>
      <c r="H29" s="12">
        <f t="shared" si="0"/>
        <v>0.65</v>
      </c>
      <c r="I29" s="23">
        <v>0</v>
      </c>
      <c r="J29" s="12">
        <v>1.25</v>
      </c>
      <c r="K29" s="79">
        <f>(G29*D29)</f>
        <v>1.7999999999999998</v>
      </c>
    </row>
    <row r="30" spans="1:11" ht="15">
      <c r="A30" s="2">
        <v>27</v>
      </c>
      <c r="B30" t="s">
        <v>203</v>
      </c>
      <c r="C30" s="3" t="s">
        <v>115</v>
      </c>
      <c r="D30" s="3">
        <v>3</v>
      </c>
      <c r="E30" s="12">
        <v>0.7</v>
      </c>
      <c r="F30" s="12">
        <v>0</v>
      </c>
      <c r="G30" s="21">
        <f>(E30+F30)</f>
        <v>0.7</v>
      </c>
      <c r="H30" s="12">
        <f t="shared" si="0"/>
        <v>0.7</v>
      </c>
      <c r="I30" s="23">
        <v>0</v>
      </c>
      <c r="J30" s="12">
        <v>1.4</v>
      </c>
      <c r="K30" s="79">
        <f>(G30*D30)</f>
        <v>2.0999999999999996</v>
      </c>
    </row>
    <row r="31" spans="1:11" ht="15">
      <c r="A31" s="2">
        <v>28</v>
      </c>
      <c r="B31" t="s">
        <v>279</v>
      </c>
      <c r="C31" s="3" t="s">
        <v>115</v>
      </c>
      <c r="D31" s="3">
        <v>3</v>
      </c>
      <c r="E31" s="12">
        <v>0.8</v>
      </c>
      <c r="F31" s="12">
        <v>0</v>
      </c>
      <c r="G31" s="21">
        <f>(E31+F31)</f>
        <v>0.8</v>
      </c>
      <c r="H31" s="12">
        <f t="shared" si="0"/>
        <v>0.7</v>
      </c>
      <c r="I31" s="23">
        <v>0</v>
      </c>
      <c r="J31" s="12">
        <v>1.5</v>
      </c>
      <c r="K31" s="79">
        <f>(G31*D31)</f>
        <v>2.4000000000000004</v>
      </c>
    </row>
    <row r="32" spans="1:11" ht="15">
      <c r="A32" s="2">
        <v>29</v>
      </c>
      <c r="B32" t="s">
        <v>280</v>
      </c>
      <c r="C32" s="3" t="s">
        <v>115</v>
      </c>
      <c r="D32" s="3">
        <v>3</v>
      </c>
      <c r="E32" s="12">
        <v>1</v>
      </c>
      <c r="F32" s="12">
        <v>0</v>
      </c>
      <c r="G32" s="21">
        <f>(E32+F32)</f>
        <v>1</v>
      </c>
      <c r="H32" s="12">
        <f t="shared" si="0"/>
        <v>1</v>
      </c>
      <c r="I32" s="23">
        <v>0</v>
      </c>
      <c r="J32" s="12">
        <v>2</v>
      </c>
      <c r="K32" s="79">
        <f>(G32*D32)</f>
        <v>3</v>
      </c>
    </row>
    <row r="33" spans="1:11" ht="15">
      <c r="A33" s="2">
        <v>30</v>
      </c>
      <c r="B33" t="s">
        <v>278</v>
      </c>
      <c r="C33" s="3" t="s">
        <v>274</v>
      </c>
      <c r="D33" s="3">
        <v>3</v>
      </c>
      <c r="E33" s="12">
        <v>1.6</v>
      </c>
      <c r="F33" s="12">
        <v>0</v>
      </c>
      <c r="G33" s="21">
        <f>(E33+F33)</f>
        <v>1.6</v>
      </c>
      <c r="H33" s="12">
        <f t="shared" si="0"/>
        <v>1.4</v>
      </c>
      <c r="I33" s="23">
        <v>0</v>
      </c>
      <c r="J33" s="12">
        <v>3</v>
      </c>
      <c r="K33" s="79">
        <f>(G33*D33)</f>
        <v>4.8000000000000007</v>
      </c>
    </row>
    <row r="34" spans="1:11" ht="15">
      <c r="A34" s="2">
        <v>31</v>
      </c>
      <c r="B34" t="s">
        <v>208</v>
      </c>
      <c r="C34" s="3" t="s">
        <v>115</v>
      </c>
      <c r="D34" s="3">
        <v>3</v>
      </c>
      <c r="E34" s="12">
        <v>0.6</v>
      </c>
      <c r="F34" s="12">
        <v>0</v>
      </c>
      <c r="G34" s="21">
        <f>(E34+F34)</f>
        <v>0.6</v>
      </c>
      <c r="H34" s="12">
        <f t="shared" si="0"/>
        <v>0.75000000000000011</v>
      </c>
      <c r="I34" s="23">
        <v>0</v>
      </c>
      <c r="J34" s="12">
        <v>1.35</v>
      </c>
      <c r="K34" s="79">
        <f>(G34*D34)</f>
        <v>1.7999999999999998</v>
      </c>
    </row>
    <row r="35" spans="1:11" ht="15">
      <c r="A35" s="2">
        <v>32</v>
      </c>
      <c r="B35" t="s">
        <v>207</v>
      </c>
      <c r="C35" s="3" t="s">
        <v>115</v>
      </c>
      <c r="D35" s="3">
        <v>3</v>
      </c>
      <c r="E35" s="12">
        <v>0.6</v>
      </c>
      <c r="F35" s="12">
        <v>0</v>
      </c>
      <c r="G35" s="21">
        <f>(E35+F35)</f>
        <v>0.6</v>
      </c>
      <c r="H35" s="12">
        <f t="shared" si="0"/>
        <v>0.65</v>
      </c>
      <c r="I35" s="23">
        <v>0</v>
      </c>
      <c r="J35" s="12">
        <v>1.25</v>
      </c>
      <c r="K35" s="79">
        <f>(G35*D35)</f>
        <v>1.7999999999999998</v>
      </c>
    </row>
    <row r="36" spans="1:11" ht="15">
      <c r="A36" s="2">
        <v>33</v>
      </c>
      <c r="B36" t="s">
        <v>209</v>
      </c>
      <c r="C36" s="3" t="s">
        <v>115</v>
      </c>
      <c r="D36" s="3">
        <v>3</v>
      </c>
      <c r="E36" s="12">
        <v>0.75</v>
      </c>
      <c r="F36" s="12">
        <v>0</v>
      </c>
      <c r="G36" s="21">
        <f>(E36+F36)</f>
        <v>0.75</v>
      </c>
      <c r="H36" s="12">
        <f t="shared" si="0"/>
        <v>0.75</v>
      </c>
      <c r="I36" s="23">
        <v>0</v>
      </c>
      <c r="J36" s="12">
        <v>1.5</v>
      </c>
      <c r="K36" s="79">
        <f>(G36*D36)</f>
        <v>2.25</v>
      </c>
    </row>
    <row r="37" spans="1:11" ht="15">
      <c r="A37" s="2">
        <v>34</v>
      </c>
      <c r="B37" t="s">
        <v>273</v>
      </c>
      <c r="C37" s="3" t="s">
        <v>274</v>
      </c>
      <c r="D37" s="3">
        <v>18</v>
      </c>
      <c r="E37" s="12">
        <v>0.4</v>
      </c>
      <c r="F37" s="12">
        <v>0</v>
      </c>
      <c r="G37" s="21">
        <f>(E37+F37)</f>
        <v>0.4</v>
      </c>
      <c r="H37" s="12">
        <f t="shared" si="0"/>
        <v>0.6</v>
      </c>
      <c r="I37" s="23">
        <v>0</v>
      </c>
      <c r="J37" s="12">
        <v>1</v>
      </c>
      <c r="K37" s="79">
        <f>(G37*D37)</f>
        <v>7.2</v>
      </c>
    </row>
    <row r="38" spans="1:11" ht="15">
      <c r="A38" s="2">
        <v>35</v>
      </c>
      <c r="B38" t="s">
        <v>272</v>
      </c>
      <c r="C38" s="3" t="s">
        <v>115</v>
      </c>
      <c r="D38" s="3">
        <v>18</v>
      </c>
      <c r="E38" s="12">
        <v>0.28000000000000003</v>
      </c>
      <c r="F38" s="12">
        <v>0</v>
      </c>
      <c r="G38" s="21">
        <f>(E38+F38)</f>
        <v>0.28000000000000003</v>
      </c>
      <c r="H38" s="12">
        <f t="shared" si="0"/>
        <v>0.72</v>
      </c>
      <c r="I38" s="23">
        <v>0</v>
      </c>
      <c r="J38" s="12">
        <v>1</v>
      </c>
      <c r="K38" s="79">
        <f>(G38*D38)</f>
        <v>5.0400000000000009</v>
      </c>
    </row>
    <row r="39" spans="1:11" ht="15">
      <c r="A39" s="2">
        <v>36</v>
      </c>
      <c r="B39" t="s">
        <v>275</v>
      </c>
      <c r="C39" s="3" t="s">
        <v>115</v>
      </c>
      <c r="D39" s="3">
        <v>12</v>
      </c>
      <c r="E39" s="12">
        <v>0.35</v>
      </c>
      <c r="F39" s="12">
        <v>0</v>
      </c>
      <c r="G39" s="21">
        <f>(E39+F39)</f>
        <v>0.35</v>
      </c>
      <c r="H39" s="12">
        <f t="shared" si="0"/>
        <v>0.65</v>
      </c>
      <c r="I39" s="23">
        <v>0</v>
      </c>
      <c r="J39" s="12">
        <v>1</v>
      </c>
      <c r="K39" s="79">
        <f>(G39*D39)</f>
        <v>4.1999999999999993</v>
      </c>
    </row>
    <row r="40" spans="1:11" ht="15">
      <c r="A40" s="2">
        <v>37</v>
      </c>
      <c r="B40" t="s">
        <v>204</v>
      </c>
      <c r="C40" s="3" t="s">
        <v>115</v>
      </c>
      <c r="D40" s="3">
        <v>3</v>
      </c>
      <c r="E40" s="12">
        <v>1.7</v>
      </c>
      <c r="F40" s="12">
        <v>0</v>
      </c>
      <c r="G40" s="21">
        <f>(E40+F40)</f>
        <v>1.7</v>
      </c>
      <c r="H40" s="12">
        <f t="shared" si="0"/>
        <v>1.3</v>
      </c>
      <c r="I40" s="23">
        <v>0</v>
      </c>
      <c r="J40" s="12">
        <v>3</v>
      </c>
      <c r="K40" s="79">
        <f>(G40*D40)</f>
        <v>5.0999999999999996</v>
      </c>
    </row>
    <row r="41" spans="1:11" ht="15">
      <c r="A41" s="2">
        <v>38</v>
      </c>
      <c r="B41" t="s">
        <v>292</v>
      </c>
      <c r="C41" s="3" t="s">
        <v>274</v>
      </c>
      <c r="D41" s="3">
        <v>3</v>
      </c>
      <c r="E41" s="12">
        <v>2.4</v>
      </c>
      <c r="F41" s="12">
        <v>0</v>
      </c>
      <c r="G41" s="21">
        <f>(E41+F41)</f>
        <v>2.4</v>
      </c>
      <c r="H41" s="12">
        <f t="shared" si="0"/>
        <v>2.6</v>
      </c>
      <c r="I41" s="23">
        <v>0</v>
      </c>
      <c r="J41" s="12">
        <v>5</v>
      </c>
      <c r="K41" s="79">
        <f>(G41*D41)</f>
        <v>7.1999999999999993</v>
      </c>
    </row>
    <row r="42" spans="1:11" ht="15">
      <c r="A42" s="2">
        <v>39</v>
      </c>
      <c r="B42" t="s">
        <v>291</v>
      </c>
      <c r="C42" s="3" t="s">
        <v>274</v>
      </c>
      <c r="D42" s="3">
        <v>3</v>
      </c>
      <c r="E42" s="12">
        <v>3.5</v>
      </c>
      <c r="F42" s="12">
        <v>0</v>
      </c>
      <c r="G42" s="21">
        <f>(E42+F42)</f>
        <v>3.5</v>
      </c>
      <c r="H42" s="12">
        <f t="shared" si="0"/>
        <v>2.5</v>
      </c>
      <c r="I42" s="23">
        <v>0</v>
      </c>
      <c r="J42" s="12">
        <v>6</v>
      </c>
      <c r="K42" s="79">
        <f>(G42*D42)</f>
        <v>10.5</v>
      </c>
    </row>
    <row r="43" spans="1:11" ht="15">
      <c r="A43" s="2">
        <v>40</v>
      </c>
      <c r="B43" t="s">
        <v>293</v>
      </c>
      <c r="C43" s="3" t="s">
        <v>274</v>
      </c>
      <c r="D43" s="3">
        <v>3</v>
      </c>
      <c r="E43" s="12">
        <v>1.2</v>
      </c>
      <c r="F43" s="12">
        <v>0</v>
      </c>
      <c r="G43" s="21">
        <f>(E43+F43)</f>
        <v>1.2</v>
      </c>
      <c r="H43" s="12">
        <f t="shared" si="0"/>
        <v>1.8</v>
      </c>
      <c r="I43" s="23">
        <v>0</v>
      </c>
      <c r="J43" s="12">
        <v>3</v>
      </c>
      <c r="K43" s="79">
        <f>(G43*D43)</f>
        <v>3.5999999999999996</v>
      </c>
    </row>
    <row r="44" spans="1:11" ht="15">
      <c r="A44" s="2"/>
      <c r="E44" s="12">
        <v>0</v>
      </c>
      <c r="F44" s="12">
        <v>0</v>
      </c>
      <c r="G44" s="21">
        <f>(E44+F44)</f>
        <v>0</v>
      </c>
      <c r="H44" s="12">
        <v>0</v>
      </c>
      <c r="I44" s="23">
        <v>0</v>
      </c>
      <c r="J44" s="12">
        <v>0</v>
      </c>
    </row>
    <row r="45" spans="1:11" ht="15">
      <c r="A45" s="2"/>
      <c r="E45" s="12">
        <v>0</v>
      </c>
      <c r="F45" s="12">
        <v>0</v>
      </c>
      <c r="G45" s="21">
        <f>(E45+F45)</f>
        <v>0</v>
      </c>
      <c r="H45" s="12">
        <v>0</v>
      </c>
      <c r="I45" s="23">
        <v>0</v>
      </c>
      <c r="J45" s="12">
        <v>0</v>
      </c>
    </row>
    <row r="46" spans="1:11" ht="15">
      <c r="A46" s="2"/>
      <c r="K46" s="82">
        <f>SUM(K4:K45)</f>
        <v>236.99</v>
      </c>
    </row>
    <row r="47" spans="1:11" ht="15">
      <c r="A47" s="2"/>
    </row>
    <row r="48" spans="1:11" ht="15">
      <c r="A48" s="2"/>
    </row>
    <row r="49" spans="1:1" ht="15">
      <c r="A49" s="2"/>
    </row>
    <row r="50" spans="1:1" ht="15">
      <c r="A50" s="2"/>
    </row>
    <row r="51" spans="1:1" ht="15">
      <c r="A51" s="2"/>
    </row>
  </sheetData>
  <sortState xmlns:xlrd2="http://schemas.microsoft.com/office/spreadsheetml/2017/richdata2" ref="B4:K45">
    <sortCondition ref="B4:B45"/>
  </sortState>
  <mergeCells count="1">
    <mergeCell ref="A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COMIDA</vt:lpstr>
      <vt:lpstr>SNACKS</vt:lpstr>
      <vt:lpstr>MEDICINA</vt:lpstr>
      <vt:lpstr>BALANCEADO</vt:lpstr>
      <vt:lpstr>MEDICINA MAYORES</vt:lpstr>
      <vt:lpstr>OTROS</vt:lpstr>
      <vt:lpstr>PETSHOP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jimenez</dc:creator>
  <cp:lastModifiedBy>Bryan Gudiño Yépez</cp:lastModifiedBy>
  <dcterms:created xsi:type="dcterms:W3CDTF">2025-09-08T16:58:59Z</dcterms:created>
  <dcterms:modified xsi:type="dcterms:W3CDTF">2025-10-29T00:23:11Z</dcterms:modified>
</cp:coreProperties>
</file>