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D:\Workspaces\On Going Projects\FPGA\FPGA_Pre_Test\calculation\"/>
    </mc:Choice>
  </mc:AlternateContent>
  <xr:revisionPtr revIDLastSave="0" documentId="13_ncr:1_{BD76D05A-31FC-4F4F-9093-C9E7AFFECD9D}" xr6:coauthVersionLast="47" xr6:coauthVersionMax="47" xr10:uidLastSave="{00000000-0000-0000-0000-000000000000}"/>
  <bookViews>
    <workbookView xWindow="4790" yWindow="650" windowWidth="17500" windowHeight="8250" xr2:uid="{00000000-000D-0000-FFFF-FFFF00000000}"/>
  </bookViews>
  <sheets>
    <sheet name="TPS62147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2" l="1"/>
  <c r="AF8" i="1"/>
  <c r="AE8" i="1"/>
  <c r="AD8" i="1"/>
  <c r="AC8" i="1"/>
  <c r="AB8" i="1"/>
  <c r="Z8" i="1"/>
  <c r="Y8" i="1"/>
  <c r="AA8" i="1" s="1"/>
  <c r="W8" i="1"/>
  <c r="V8" i="1"/>
  <c r="T8" i="1"/>
  <c r="AG8" i="1" s="1"/>
  <c r="S8" i="1"/>
  <c r="R8" i="1"/>
  <c r="Q8" i="1"/>
  <c r="P8" i="1"/>
  <c r="O8" i="1"/>
  <c r="X8" i="1" s="1"/>
  <c r="N8" i="1"/>
  <c r="T7" i="1"/>
  <c r="AG7" i="1" s="1"/>
  <c r="AF7" i="1"/>
  <c r="AE7" i="1"/>
  <c r="AD7" i="1"/>
  <c r="AC7" i="1"/>
  <c r="AB7" i="1"/>
  <c r="W7" i="1"/>
  <c r="V7" i="1"/>
  <c r="S7" i="1"/>
  <c r="R7" i="1"/>
  <c r="Q7" i="1"/>
  <c r="P7" i="1"/>
  <c r="O7" i="1"/>
  <c r="X7" i="1" s="1"/>
  <c r="N7" i="1"/>
  <c r="Y7" i="1" s="1"/>
  <c r="AA7" i="1" s="1"/>
  <c r="AG6" i="1"/>
  <c r="AF6" i="1"/>
  <c r="AE6" i="1"/>
  <c r="AD6" i="1"/>
  <c r="AC6" i="1"/>
  <c r="AB6" i="1"/>
  <c r="W6" i="1"/>
  <c r="V6" i="1"/>
  <c r="T6" i="1"/>
  <c r="U6" i="1" s="1"/>
  <c r="S6" i="1"/>
  <c r="R6" i="1"/>
  <c r="Q6" i="1"/>
  <c r="P6" i="1"/>
  <c r="O6" i="1"/>
  <c r="X6" i="1" s="1"/>
  <c r="N6" i="1"/>
  <c r="Y6" i="1" s="1"/>
  <c r="AA6" i="1" s="1"/>
  <c r="N5" i="1"/>
  <c r="Y5" i="1" s="1"/>
  <c r="O5" i="1"/>
  <c r="X5" i="1" s="1"/>
  <c r="P5" i="1"/>
  <c r="Q5" i="1"/>
  <c r="R5" i="1"/>
  <c r="S5" i="1"/>
  <c r="T5" i="1"/>
  <c r="AG5" i="1" s="1"/>
  <c r="V5" i="1"/>
  <c r="W5" i="1"/>
  <c r="AB5" i="1"/>
  <c r="AC5" i="1"/>
  <c r="AD5" i="1"/>
  <c r="AE5" i="1"/>
  <c r="AF5" i="1"/>
  <c r="Q4" i="1"/>
  <c r="P4" i="1"/>
  <c r="AB4" i="1"/>
  <c r="T4" i="1"/>
  <c r="AG4" i="1" s="1"/>
  <c r="W4" i="1"/>
  <c r="V4" i="1"/>
  <c r="O4" i="1"/>
  <c r="X4" i="1" s="1"/>
  <c r="R4" i="1"/>
  <c r="S4" i="1"/>
  <c r="AE4" i="1"/>
  <c r="AF4" i="1"/>
  <c r="AD4" i="1"/>
  <c r="AC4" i="1"/>
  <c r="N4" i="1"/>
  <c r="Y4" i="1" s="1"/>
  <c r="AA4" i="1" s="1"/>
  <c r="U8" i="1" l="1"/>
  <c r="AA5" i="1"/>
  <c r="Z5" i="1"/>
  <c r="U7" i="1"/>
  <c r="Z7" i="1"/>
  <c r="Z6" i="1"/>
  <c r="U5" i="1"/>
  <c r="U4" i="1"/>
  <c r="Z4" i="1"/>
</calcChain>
</file>

<file path=xl/sharedStrings.xml><?xml version="1.0" encoding="utf-8"?>
<sst xmlns="http://schemas.openxmlformats.org/spreadsheetml/2006/main" count="51" uniqueCount="33">
  <si>
    <t>f_sw</t>
    <phoneticPr fontId="2" type="noConversion"/>
  </si>
  <si>
    <t>V_in</t>
    <phoneticPr fontId="2" type="noConversion"/>
  </si>
  <si>
    <t>V_out</t>
    <phoneticPr fontId="2" type="noConversion"/>
  </si>
  <si>
    <t>T_sw</t>
    <phoneticPr fontId="2" type="noConversion"/>
  </si>
  <si>
    <t>PWM</t>
    <phoneticPr fontId="2" type="noConversion"/>
  </si>
  <si>
    <t>PSM</t>
    <phoneticPr fontId="2" type="noConversion"/>
  </si>
  <si>
    <t>L</t>
    <phoneticPr fontId="2" type="noConversion"/>
  </si>
  <si>
    <t>C</t>
    <phoneticPr fontId="2" type="noConversion"/>
  </si>
  <si>
    <t>FSEL</t>
    <phoneticPr fontId="2" type="noConversion"/>
  </si>
  <si>
    <t>LOW</t>
  </si>
  <si>
    <t>R_L(DC)</t>
    <phoneticPr fontId="2" type="noConversion"/>
  </si>
  <si>
    <t>V_in(min)</t>
    <phoneticPr fontId="2" type="noConversion"/>
  </si>
  <si>
    <t>max</t>
    <phoneticPr fontId="2" type="noConversion"/>
  </si>
  <si>
    <t>I_out</t>
    <phoneticPr fontId="2" type="noConversion"/>
  </si>
  <si>
    <t>L_tol</t>
    <phoneticPr fontId="2" type="noConversion"/>
  </si>
  <si>
    <t>I_L(max)</t>
    <phoneticPr fontId="2" type="noConversion"/>
  </si>
  <si>
    <t>ΔI_L(max)</t>
    <phoneticPr fontId="2" type="noConversion"/>
  </si>
  <si>
    <t>C_SS</t>
    <phoneticPr fontId="2" type="noConversion"/>
  </si>
  <si>
    <t>t_SS</t>
    <phoneticPr fontId="2" type="noConversion"/>
  </si>
  <si>
    <t>R1</t>
    <phoneticPr fontId="2" type="noConversion"/>
  </si>
  <si>
    <t>R2</t>
    <phoneticPr fontId="2" type="noConversion"/>
  </si>
  <si>
    <t>f_LC</t>
    <phoneticPr fontId="2" type="noConversion"/>
  </si>
  <si>
    <t>f_zero</t>
    <phoneticPr fontId="2" type="noConversion"/>
  </si>
  <si>
    <t>f_pole</t>
    <phoneticPr fontId="2" type="noConversion"/>
  </si>
  <si>
    <t>No.</t>
    <phoneticPr fontId="2" type="noConversion"/>
  </si>
  <si>
    <t>min</t>
    <phoneticPr fontId="2" type="noConversion"/>
  </si>
  <si>
    <t>T_on</t>
    <phoneticPr fontId="2" type="noConversion"/>
  </si>
  <si>
    <t>I_L_PSM(peak)</t>
    <phoneticPr fontId="2" type="noConversion"/>
  </si>
  <si>
    <t>ΔV_out</t>
    <phoneticPr fontId="2" type="noConversion"/>
  </si>
  <si>
    <t>I_load(PSM)
(max)</t>
    <phoneticPr fontId="2" type="noConversion"/>
  </si>
  <si>
    <t>Common</t>
    <phoneticPr fontId="2" type="noConversion"/>
  </si>
  <si>
    <t>Input Parameters</t>
    <phoneticPr fontId="2" type="noConversion"/>
  </si>
  <si>
    <t>Vout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</si>
</sst>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176" formatCode="0.00\V"/>
    <numFmt numFmtId="177" formatCode="0.00&quot;MHz&quot;"/>
    <numFmt numFmtId="178" formatCode="0.0&quot;μH&quot;"/>
    <numFmt numFmtId="179" formatCode="0.0&quot;μF&quot;"/>
    <numFmt numFmtId="180" formatCode="0.0&quot;ns&quot;"/>
    <numFmt numFmtId="181" formatCode="0.000\A"/>
    <numFmt numFmtId="182" formatCode="0.0&quot;mV&quot;"/>
    <numFmt numFmtId="183" formatCode="0.0&quot;mΩ&quot;"/>
    <numFmt numFmtId="184" formatCode="0.00\A"/>
    <numFmt numFmtId="185" formatCode="0.0&quot;μs&quot;"/>
    <numFmt numFmtId="187" formatCode="0.0&quot;kΩ&quot;"/>
    <numFmt numFmtId="188" formatCode="0.00&quot;kΩ&quot;"/>
    <numFmt numFmtId="192" formatCode="0.00&quot;kHz&quot;"/>
    <numFmt numFmtId="197" formatCode="0.000&quot;uF&quot;"/>
  </numFmts>
  <fonts count="4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theme="1"/>
      <name val="MS Gothic"/>
      <family val="3"/>
      <charset val="128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46">
    <xf numFmtId="0" fontId="0" fillId="0" borderId="0" xfId="0"/>
    <xf numFmtId="0" fontId="3" fillId="0" borderId="0" xfId="0" applyFont="1"/>
    <xf numFmtId="176" fontId="3" fillId="0" borderId="0" xfId="0" applyNumberFormat="1" applyFont="1"/>
    <xf numFmtId="177" fontId="3" fillId="0" borderId="0" xfId="0" applyNumberFormat="1" applyFont="1"/>
    <xf numFmtId="180" fontId="3" fillId="0" borderId="0" xfId="0" applyNumberFormat="1" applyFont="1"/>
    <xf numFmtId="181" fontId="3" fillId="0" borderId="0" xfId="0" applyNumberFormat="1" applyFont="1"/>
    <xf numFmtId="182" fontId="3" fillId="0" borderId="0" xfId="0" applyNumberFormat="1" applyFont="1"/>
    <xf numFmtId="185" fontId="3" fillId="0" borderId="0" xfId="0" applyNumberFormat="1" applyFont="1"/>
    <xf numFmtId="188" fontId="3" fillId="0" borderId="0" xfId="0" applyNumberFormat="1" applyFont="1"/>
    <xf numFmtId="0" fontId="0" fillId="0" borderId="1" xfId="0" applyBorder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176" fontId="3" fillId="0" borderId="0" xfId="0" applyNumberFormat="1" applyFont="1" applyAlignment="1">
      <alignment horizontal="right"/>
    </xf>
    <xf numFmtId="184" fontId="3" fillId="0" borderId="0" xfId="0" applyNumberFormat="1" applyFont="1" applyAlignment="1">
      <alignment horizontal="right"/>
    </xf>
    <xf numFmtId="187" fontId="3" fillId="0" borderId="0" xfId="0" applyNumberFormat="1" applyFont="1" applyAlignment="1">
      <alignment horizontal="right"/>
    </xf>
    <xf numFmtId="178" fontId="3" fillId="0" borderId="0" xfId="0" applyNumberFormat="1" applyFont="1" applyAlignment="1">
      <alignment horizontal="right"/>
    </xf>
    <xf numFmtId="183" fontId="3" fillId="0" borderId="0" xfId="0" applyNumberFormat="1" applyFont="1" applyAlignment="1">
      <alignment horizontal="right"/>
    </xf>
    <xf numFmtId="9" fontId="3" fillId="0" borderId="0" xfId="1" applyFont="1" applyAlignment="1">
      <alignment horizontal="right"/>
    </xf>
    <xf numFmtId="179" fontId="3" fillId="0" borderId="0" xfId="0" applyNumberFormat="1" applyFont="1" applyAlignment="1">
      <alignment horizontal="right"/>
    </xf>
    <xf numFmtId="192" fontId="3" fillId="0" borderId="0" xfId="0" applyNumberFormat="1" applyFont="1"/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181" fontId="3" fillId="0" borderId="1" xfId="0" applyNumberFormat="1" applyFont="1" applyBorder="1"/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0" fillId="0" borderId="0" xfId="0" applyBorder="1"/>
    <xf numFmtId="177" fontId="3" fillId="0" borderId="0" xfId="0" applyNumberFormat="1" applyFont="1" applyBorder="1" applyAlignment="1">
      <alignment horizontal="right"/>
    </xf>
    <xf numFmtId="0" fontId="3" fillId="0" borderId="15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/>
    </xf>
    <xf numFmtId="197" fontId="3" fillId="0" borderId="1" xfId="0" applyNumberFormat="1" applyFont="1" applyBorder="1" applyAlignment="1">
      <alignment horizontal="right"/>
    </xf>
    <xf numFmtId="0" fontId="0" fillId="0" borderId="0" xfId="0" applyBorder="1" applyAlignment="1">
      <alignment horizontal="center"/>
    </xf>
  </cellXfs>
  <cellStyles count="2">
    <cellStyle name="백분율" xfId="1" builtinId="5"/>
    <cellStyle name="표준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8"/>
  <sheetViews>
    <sheetView tabSelected="1" zoomScale="70" zoomScaleNormal="70" workbookViewId="0">
      <selection sqref="A1:A3"/>
    </sheetView>
  </sheetViews>
  <sheetFormatPr defaultRowHeight="17" x14ac:dyDescent="0.45"/>
  <cols>
    <col min="2" max="12" width="9.58203125" customWidth="1"/>
    <col min="13" max="13" width="9.58203125" style="9" customWidth="1"/>
    <col min="14" max="14" width="9.58203125" style="36" customWidth="1"/>
    <col min="15" max="15" width="10.6640625" customWidth="1"/>
    <col min="16" max="16" width="12.08203125" customWidth="1"/>
    <col min="17" max="19" width="9.58203125" customWidth="1"/>
    <col min="20" max="24" width="10.58203125" customWidth="1"/>
    <col min="25" max="32" width="9.58203125" customWidth="1"/>
    <col min="33" max="33" width="12.33203125" style="9" customWidth="1"/>
  </cols>
  <sheetData>
    <row r="1" spans="1:43" ht="20" customHeight="1" x14ac:dyDescent="0.45">
      <c r="A1" s="20" t="s">
        <v>24</v>
      </c>
      <c r="B1" s="30" t="s">
        <v>31</v>
      </c>
      <c r="C1" s="38"/>
      <c r="D1" s="38"/>
      <c r="E1" s="38"/>
      <c r="F1" s="38"/>
      <c r="G1" s="38"/>
      <c r="H1" s="38"/>
      <c r="I1" s="38"/>
      <c r="J1" s="38"/>
      <c r="K1" s="38"/>
      <c r="L1" s="38"/>
      <c r="M1" s="40"/>
      <c r="N1" s="43" t="s">
        <v>30</v>
      </c>
      <c r="O1" s="38"/>
      <c r="P1" s="38"/>
      <c r="Q1" s="38"/>
      <c r="R1" s="38"/>
      <c r="S1" s="38"/>
      <c r="T1" s="38"/>
      <c r="U1" s="38"/>
      <c r="V1" s="38"/>
      <c r="W1" s="38"/>
      <c r="X1" s="39"/>
      <c r="Y1" s="21" t="s">
        <v>4</v>
      </c>
      <c r="Z1" s="21"/>
      <c r="AA1" s="21"/>
      <c r="AB1" s="21" t="s">
        <v>5</v>
      </c>
      <c r="AC1" s="21"/>
      <c r="AD1" s="21"/>
      <c r="AE1" s="21"/>
      <c r="AF1" s="21"/>
      <c r="AG1" s="22"/>
    </row>
    <row r="2" spans="1:43" ht="20" customHeight="1" x14ac:dyDescent="0.45">
      <c r="A2" s="23"/>
      <c r="B2" s="24" t="s">
        <v>1</v>
      </c>
      <c r="C2" s="24"/>
      <c r="D2" s="24" t="s">
        <v>2</v>
      </c>
      <c r="E2" s="24" t="s">
        <v>13</v>
      </c>
      <c r="F2" s="24"/>
      <c r="G2" s="24" t="s">
        <v>8</v>
      </c>
      <c r="H2" s="34" t="s">
        <v>19</v>
      </c>
      <c r="I2" s="34" t="s">
        <v>6</v>
      </c>
      <c r="J2" s="34" t="s">
        <v>10</v>
      </c>
      <c r="K2" s="34" t="s">
        <v>14</v>
      </c>
      <c r="L2" s="34" t="s">
        <v>7</v>
      </c>
      <c r="M2" s="25" t="s">
        <v>17</v>
      </c>
      <c r="N2" s="41" t="s">
        <v>0</v>
      </c>
      <c r="O2" s="23" t="s">
        <v>20</v>
      </c>
      <c r="P2" s="24" t="s">
        <v>18</v>
      </c>
      <c r="Q2" s="34" t="s">
        <v>11</v>
      </c>
      <c r="R2" s="31" t="s">
        <v>28</v>
      </c>
      <c r="S2" s="31"/>
      <c r="T2" s="24" t="s">
        <v>16</v>
      </c>
      <c r="U2" s="24" t="s">
        <v>15</v>
      </c>
      <c r="V2" s="24" t="s">
        <v>21</v>
      </c>
      <c r="W2" s="24" t="s">
        <v>22</v>
      </c>
      <c r="X2" s="24" t="s">
        <v>23</v>
      </c>
      <c r="Y2" s="24" t="s">
        <v>3</v>
      </c>
      <c r="Z2" s="24" t="s">
        <v>26</v>
      </c>
      <c r="AA2" s="24"/>
      <c r="AB2" s="24" t="s">
        <v>3</v>
      </c>
      <c r="AC2" s="24" t="s">
        <v>26</v>
      </c>
      <c r="AD2" s="24"/>
      <c r="AE2" s="24" t="s">
        <v>27</v>
      </c>
      <c r="AF2" s="24"/>
      <c r="AG2" s="32" t="s">
        <v>29</v>
      </c>
      <c r="AH2" s="10"/>
      <c r="AI2" s="11"/>
      <c r="AM2" s="1"/>
      <c r="AN2" s="1"/>
      <c r="AQ2" s="1"/>
    </row>
    <row r="3" spans="1:43" s="36" customFormat="1" ht="20" customHeight="1" thickBot="1" x14ac:dyDescent="0.5">
      <c r="A3" s="26"/>
      <c r="B3" s="27" t="s">
        <v>25</v>
      </c>
      <c r="C3" s="27" t="s">
        <v>12</v>
      </c>
      <c r="D3" s="28"/>
      <c r="E3" s="27" t="s">
        <v>25</v>
      </c>
      <c r="F3" s="27" t="s">
        <v>12</v>
      </c>
      <c r="G3" s="28"/>
      <c r="H3" s="35"/>
      <c r="I3" s="35"/>
      <c r="J3" s="35"/>
      <c r="K3" s="35"/>
      <c r="L3" s="35"/>
      <c r="M3" s="29"/>
      <c r="N3" s="42"/>
      <c r="O3" s="26"/>
      <c r="P3" s="28"/>
      <c r="Q3" s="35"/>
      <c r="R3" s="27" t="s">
        <v>25</v>
      </c>
      <c r="S3" s="27" t="s">
        <v>12</v>
      </c>
      <c r="T3" s="28"/>
      <c r="U3" s="28"/>
      <c r="V3" s="28"/>
      <c r="W3" s="28"/>
      <c r="X3" s="28"/>
      <c r="Y3" s="28"/>
      <c r="Z3" s="27" t="s">
        <v>25</v>
      </c>
      <c r="AA3" s="27" t="s">
        <v>12</v>
      </c>
      <c r="AB3" s="28"/>
      <c r="AC3" s="27" t="s">
        <v>25</v>
      </c>
      <c r="AD3" s="27" t="s">
        <v>12</v>
      </c>
      <c r="AE3" s="27" t="s">
        <v>25</v>
      </c>
      <c r="AF3" s="27" t="s">
        <v>12</v>
      </c>
      <c r="AG3" s="29"/>
      <c r="AH3" s="45"/>
      <c r="AI3" s="45"/>
    </row>
    <row r="4" spans="1:43" x14ac:dyDescent="0.45">
      <c r="A4" s="10">
        <v>1</v>
      </c>
      <c r="B4" s="12">
        <v>8</v>
      </c>
      <c r="C4" s="12">
        <v>14</v>
      </c>
      <c r="D4" s="12">
        <v>1.01</v>
      </c>
      <c r="E4" s="13">
        <v>0</v>
      </c>
      <c r="F4" s="13">
        <v>1.5</v>
      </c>
      <c r="G4" s="10" t="s">
        <v>9</v>
      </c>
      <c r="H4" s="14">
        <v>100</v>
      </c>
      <c r="I4" s="15">
        <v>2.2000000000000002</v>
      </c>
      <c r="J4" s="16">
        <v>60</v>
      </c>
      <c r="K4" s="17">
        <v>0.2</v>
      </c>
      <c r="L4" s="18">
        <v>100</v>
      </c>
      <c r="M4" s="44">
        <v>2.1999999999999999E-2</v>
      </c>
      <c r="N4" s="37">
        <f>IF(G4="LOW",1.25,2.5)</f>
        <v>1.25</v>
      </c>
      <c r="O4" s="8">
        <f>H4/(D4/0.7-1)</f>
        <v>225.80645161290312</v>
      </c>
      <c r="P4" s="7">
        <f>IF(M4*0.7/(2.5*10^(-6))&lt;150, M4*0.7/(2.5*10^(-6)), M4*0.7/(2.5*10^(-6)))</f>
        <v>6160</v>
      </c>
      <c r="Q4" s="2">
        <f>IF(D4+F4*(0.18+0.001*J4)&lt;3,3,D4+F4*(0.1+J4*0.001))</f>
        <v>3</v>
      </c>
      <c r="R4" s="6">
        <f>(I4*10^(-6)*B4^2)/(200*L4*10^(-6))*(1/(B4-D4)+1/D4)*1000</f>
        <v>7.9774501055255733</v>
      </c>
      <c r="S4" s="6">
        <f>(I4*10^(-6)*C4^2)/(200*L4*10^(-6))*(1/(C4-D4)+1/D4)*1000</f>
        <v>23.006272913665502</v>
      </c>
      <c r="T4" s="5">
        <f>IF(G4="LOW",200,100)*10^(-9)*C4/(I4*(1-K4)*10^(-6))</f>
        <v>1.5909090909090911</v>
      </c>
      <c r="U4" s="5">
        <f>F4+T4/2</f>
        <v>2.2954545454545454</v>
      </c>
      <c r="V4" s="19">
        <f>1/(2*PI()*SQRT(I4*10^(-6)*L4*10^(-6)))/10^3</f>
        <v>10.730224074290096</v>
      </c>
      <c r="W4" s="3">
        <f>1/(2*PI()*H4*1000*15*10^(-12))/10^6</f>
        <v>0.10610329539459688</v>
      </c>
      <c r="X4" s="3">
        <f>1/(2*PI()*15*10^(-12))*(1/(H4*1000)+1/(O4*1000))/10^6</f>
        <v>0.15309189764077555</v>
      </c>
      <c r="Y4" s="4">
        <f>1/(N4*10^6)*10^9</f>
        <v>800</v>
      </c>
      <c r="Z4" s="4">
        <f>Y4*D4/C4</f>
        <v>57.714285714285715</v>
      </c>
      <c r="AA4" s="4">
        <f>D4/B4*Y4</f>
        <v>101</v>
      </c>
      <c r="AB4" s="4">
        <f>IF(G4="LOW",200,100)</f>
        <v>200</v>
      </c>
      <c r="AC4" s="4">
        <f>IF(G4="LOW",200,100)*C4/(C4-D4)</f>
        <v>215.55042340261738</v>
      </c>
      <c r="AD4" s="4">
        <f>IF(G4="LOW",200,100)*B4/(B4-D4)</f>
        <v>228.89842632331903</v>
      </c>
      <c r="AE4" s="5">
        <f>IF(G4="LOW",200,100)*B4*10^(-9)/(I4*10^(-6))</f>
        <v>0.72727272727272729</v>
      </c>
      <c r="AF4" s="5">
        <f>IF(G4="LOW",200,100)*C4*10^(-9)/(I4*10^(-6))</f>
        <v>1.2727272727272727</v>
      </c>
      <c r="AG4" s="33">
        <f>T4/2</f>
        <v>0.79545454545454553</v>
      </c>
    </row>
    <row r="5" spans="1:43" x14ac:dyDescent="0.45">
      <c r="A5" s="10">
        <v>2</v>
      </c>
      <c r="B5" s="12">
        <v>8</v>
      </c>
      <c r="C5" s="12">
        <v>14</v>
      </c>
      <c r="D5" s="12">
        <v>1.81</v>
      </c>
      <c r="E5" s="13">
        <v>0</v>
      </c>
      <c r="F5" s="13">
        <v>0.83299999999999996</v>
      </c>
      <c r="G5" s="10" t="s">
        <v>9</v>
      </c>
      <c r="H5" s="14">
        <v>205</v>
      </c>
      <c r="I5" s="15">
        <v>2.2000000000000002</v>
      </c>
      <c r="J5" s="16">
        <v>60</v>
      </c>
      <c r="K5" s="17">
        <v>0.2</v>
      </c>
      <c r="L5" s="18">
        <v>100</v>
      </c>
      <c r="M5" s="44">
        <v>2.1999999999999999E-2</v>
      </c>
      <c r="N5" s="37">
        <f>IF(G5="LOW",1.25,2.5)</f>
        <v>1.25</v>
      </c>
      <c r="O5" s="8">
        <f>H5/(D5/0.7-1)</f>
        <v>129.27927927927928</v>
      </c>
      <c r="P5" s="7">
        <f>IF(M5*0.7/(2.5*10^(-6))&lt;150, M5*0.7/(2.5*10^(-6)), M5*0.7/(2.5*10^(-6)))</f>
        <v>6160</v>
      </c>
      <c r="Q5" s="2">
        <f>IF(D5+F5*(0.18+0.001*J5)&lt;3,3,D5+F5*(0.1+J5*0.001))</f>
        <v>3</v>
      </c>
      <c r="R5" s="6">
        <f>(I5*10^(-6)*B5^2)/(200*L5*10^(-6))*(1/(B5-D5)+1/D5)*1000</f>
        <v>5.0268210176813444</v>
      </c>
      <c r="S5" s="6">
        <f>(I5*10^(-6)*C5^2)/(200*L5*10^(-6))*(1/(C5-D5)+1/D5)*1000</f>
        <v>13.680265048336876</v>
      </c>
      <c r="T5" s="5">
        <f>IF(G5="LOW",200,100)*10^(-9)*C5/(I5*(1-K5)*10^(-6))</f>
        <v>1.5909090909090911</v>
      </c>
      <c r="U5" s="5">
        <f>F5+T5/2</f>
        <v>1.6284545454545456</v>
      </c>
      <c r="V5" s="19">
        <f>1/(2*PI()*SQRT(I5*10^(-6)*L5*10^(-6)))/10^3</f>
        <v>10.730224074290096</v>
      </c>
      <c r="W5" s="3">
        <f>1/(2*PI()*H5*1000*15*10^(-12))/10^6</f>
        <v>5.1757705070535079E-2</v>
      </c>
      <c r="X5" s="3">
        <f>1/(2*PI()*15*10^(-12))*(1/(H5*1000)+1/(O5*1000))/10^6</f>
        <v>0.13383063739666928</v>
      </c>
      <c r="Y5" s="4">
        <f>1/(N5*10^6)*10^9</f>
        <v>800</v>
      </c>
      <c r="Z5" s="4">
        <f>Y5*D5/C5</f>
        <v>103.42857142857143</v>
      </c>
      <c r="AA5" s="4">
        <f>D5/B5*Y5</f>
        <v>181</v>
      </c>
      <c r="AB5" s="4">
        <f>IF(G5="LOW",200,100)</f>
        <v>200</v>
      </c>
      <c r="AC5" s="4">
        <f>IF(G5="LOW",200,100)*C5/(C5-D5)</f>
        <v>229.69647251845777</v>
      </c>
      <c r="AD5" s="4">
        <f>IF(G5="LOW",200,100)*B5/(B5-D5)</f>
        <v>258.4814216478191</v>
      </c>
      <c r="AE5" s="5">
        <f>IF(G5="LOW",200,100)*B5*10^(-9)/(I5*10^(-6))</f>
        <v>0.72727272727272729</v>
      </c>
      <c r="AF5" s="5">
        <f>IF(G5="LOW",200,100)*C5*10^(-9)/(I5*10^(-6))</f>
        <v>1.2727272727272727</v>
      </c>
      <c r="AG5" s="33">
        <f>T5/2</f>
        <v>0.79545454545454553</v>
      </c>
    </row>
    <row r="6" spans="1:43" x14ac:dyDescent="0.45">
      <c r="A6" s="10">
        <v>3</v>
      </c>
      <c r="B6" s="12">
        <v>8</v>
      </c>
      <c r="C6" s="12">
        <v>14</v>
      </c>
      <c r="D6" s="12">
        <v>3.31</v>
      </c>
      <c r="E6" s="13">
        <v>0</v>
      </c>
      <c r="F6" s="13">
        <v>0.45500000000000002</v>
      </c>
      <c r="G6" s="10" t="s">
        <v>9</v>
      </c>
      <c r="H6" s="14">
        <v>505</v>
      </c>
      <c r="I6" s="15">
        <v>2.2000000000000002</v>
      </c>
      <c r="J6" s="16">
        <v>60</v>
      </c>
      <c r="K6" s="17">
        <v>0.2</v>
      </c>
      <c r="L6" s="18">
        <v>100</v>
      </c>
      <c r="M6" s="44">
        <v>2.1999999999999999E-2</v>
      </c>
      <c r="N6" s="37">
        <f>IF(G6="LOW",1.25,2.5)</f>
        <v>1.25</v>
      </c>
      <c r="O6" s="8">
        <f>H6/(D6/0.7-1)</f>
        <v>135.44061302681993</v>
      </c>
      <c r="P6" s="7">
        <f>IF(M6*0.7/(2.5*10^(-6))&lt;150, M6*0.7/(2.5*10^(-6)), M6*0.7/(2.5*10^(-6)))</f>
        <v>6160</v>
      </c>
      <c r="Q6" s="2">
        <f>IF(D6+F6*(0.18+0.001*J6)&lt;3,3,D6+F6*(0.1+J6*0.001))</f>
        <v>3.3828</v>
      </c>
      <c r="R6" s="6">
        <f>(I6*10^(-6)*B6^2)/(200*L6*10^(-6))*(1/(B6-D6)+1/D6)*1000</f>
        <v>3.6279543156036822</v>
      </c>
      <c r="S6" s="6">
        <f>(I6*10^(-6)*C6^2)/(200*L6*10^(-6))*(1/(C6-D6)+1/D6)*1000</f>
        <v>8.5304333326738995</v>
      </c>
      <c r="T6" s="5">
        <f>IF(G6="LOW",200,100)*10^(-9)*C6/(I6*(1-K6)*10^(-6))</f>
        <v>1.5909090909090911</v>
      </c>
      <c r="U6" s="5">
        <f>F6+T6/2</f>
        <v>1.2504545454545455</v>
      </c>
      <c r="V6" s="19">
        <f>1/(2*PI()*SQRT(I6*10^(-6)*L6*10^(-6)))/10^3</f>
        <v>10.730224074290096</v>
      </c>
      <c r="W6" s="3">
        <f>1/(2*PI()*H6*1000*15*10^(-12))/10^6</f>
        <v>2.1010553543484533E-2</v>
      </c>
      <c r="X6" s="3">
        <f>1/(2*PI()*15*10^(-12))*(1/(H6*1000)+1/(O6*1000))/10^6</f>
        <v>9.9349903184191166E-2</v>
      </c>
      <c r="Y6" s="4">
        <f>1/(N6*10^6)*10^9</f>
        <v>800</v>
      </c>
      <c r="Z6" s="4">
        <f>Y6*D6/C6</f>
        <v>189.14285714285714</v>
      </c>
      <c r="AA6" s="4">
        <f>D6/B6*Y6</f>
        <v>331</v>
      </c>
      <c r="AB6" s="4">
        <f>IF(G6="LOW",200,100)</f>
        <v>200</v>
      </c>
      <c r="AC6" s="4">
        <f>IF(G6="LOW",200,100)*C6/(C6-D6)</f>
        <v>261.92703461178672</v>
      </c>
      <c r="AD6" s="4">
        <f>IF(G6="LOW",200,100)*B6/(B6-D6)</f>
        <v>341.15138592750537</v>
      </c>
      <c r="AE6" s="5">
        <f>IF(G6="LOW",200,100)*B6*10^(-9)/(I6*10^(-6))</f>
        <v>0.72727272727272729</v>
      </c>
      <c r="AF6" s="5">
        <f>IF(G6="LOW",200,100)*C6*10^(-9)/(I6*10^(-6))</f>
        <v>1.2727272727272727</v>
      </c>
      <c r="AG6" s="33">
        <f>T6/2</f>
        <v>0.79545454545454553</v>
      </c>
    </row>
    <row r="7" spans="1:43" x14ac:dyDescent="0.45">
      <c r="A7" s="10">
        <v>4</v>
      </c>
      <c r="B7" s="12">
        <v>8</v>
      </c>
      <c r="C7" s="12">
        <v>14</v>
      </c>
      <c r="D7" s="12">
        <v>5.01</v>
      </c>
      <c r="E7" s="13">
        <v>0</v>
      </c>
      <c r="F7" s="13">
        <v>0.3</v>
      </c>
      <c r="G7" s="10" t="s">
        <v>9</v>
      </c>
      <c r="H7" s="14">
        <v>634</v>
      </c>
      <c r="I7" s="15">
        <v>2.2000000000000002</v>
      </c>
      <c r="J7" s="16">
        <v>60</v>
      </c>
      <c r="K7" s="17">
        <v>0.2</v>
      </c>
      <c r="L7" s="18">
        <v>100</v>
      </c>
      <c r="M7" s="44">
        <v>2.1999999999999999E-2</v>
      </c>
      <c r="N7" s="37">
        <f>IF(G7="LOW",1.25,2.5)</f>
        <v>1.25</v>
      </c>
      <c r="O7" s="8">
        <f>H7/(D7/0.7-1)</f>
        <v>102.96983758700695</v>
      </c>
      <c r="P7" s="7">
        <f>IF(M7*0.7/(2.5*10^(-6))&lt;150, M7*0.7/(2.5*10^(-6)), M7*0.7/(2.5*10^(-6)))</f>
        <v>6160</v>
      </c>
      <c r="Q7" s="2">
        <f>IF(D7+F7*(0.18+0.001*J7)&lt;3,3,D7+F7*(0.1+J7*0.001))</f>
        <v>5.0579999999999998</v>
      </c>
      <c r="R7" s="6">
        <f>(I7*10^(-6)*B7^2)/(200*L7*10^(-6))*(1/(B7-D7)+1/D7)*1000</f>
        <v>3.7597046709257067</v>
      </c>
      <c r="S7" s="6">
        <f>(I7*10^(-6)*C7^2)/(200*L7*10^(-6))*(1/(C7-D7)+1/D7)*1000</f>
        <v>6.7016134582892057</v>
      </c>
      <c r="T7" s="5">
        <f>IF(G7="LOW",200,100)*10^(-9)*C7/(I7*(1-K7)*10^(-6))</f>
        <v>1.5909090909090911</v>
      </c>
      <c r="U7" s="5">
        <f>F7+T7/2</f>
        <v>1.0954545454545455</v>
      </c>
      <c r="V7" s="19">
        <f>1/(2*PI()*SQRT(I7*10^(-6)*L7*10^(-6)))/10^3</f>
        <v>10.730224074290096</v>
      </c>
      <c r="W7" s="3">
        <f>1/(2*PI()*H7*1000*15*10^(-12))/10^6</f>
        <v>1.673553555119825E-2</v>
      </c>
      <c r="X7" s="3">
        <f>1/(2*PI()*15*10^(-12))*(1/(H7*1000)+1/(O7*1000))/10^6</f>
        <v>0.11977861873071891</v>
      </c>
      <c r="Y7" s="4">
        <f>1/(N7*10^6)*10^9</f>
        <v>800</v>
      </c>
      <c r="Z7" s="4">
        <f>Y7*D7/C7</f>
        <v>286.28571428571428</v>
      </c>
      <c r="AA7" s="4">
        <f>D7/B7*Y7</f>
        <v>501</v>
      </c>
      <c r="AB7" s="4">
        <f>IF(G7="LOW",200,100)</f>
        <v>200</v>
      </c>
      <c r="AC7" s="4">
        <f>IF(G7="LOW",200,100)*C7/(C7-D7)</f>
        <v>311.45717463848717</v>
      </c>
      <c r="AD7" s="4">
        <f>IF(G7="LOW",200,100)*B7/(B7-D7)</f>
        <v>535.11705685618722</v>
      </c>
      <c r="AE7" s="5">
        <f>IF(G7="LOW",200,100)*B7*10^(-9)/(I7*10^(-6))</f>
        <v>0.72727272727272729</v>
      </c>
      <c r="AF7" s="5">
        <f>IF(G7="LOW",200,100)*C7*10^(-9)/(I7*10^(-6))</f>
        <v>1.2727272727272727</v>
      </c>
      <c r="AG7" s="33">
        <f>T7/2</f>
        <v>0.79545454545454553</v>
      </c>
    </row>
    <row r="8" spans="1:43" x14ac:dyDescent="0.45">
      <c r="A8" s="10">
        <v>5</v>
      </c>
      <c r="B8" s="12">
        <v>8</v>
      </c>
      <c r="C8" s="12">
        <v>14</v>
      </c>
      <c r="D8" s="12">
        <v>1.81</v>
      </c>
      <c r="E8" s="13">
        <v>0</v>
      </c>
      <c r="F8" s="13">
        <v>1.4999999999999999E-2</v>
      </c>
      <c r="G8" s="10" t="s">
        <v>9</v>
      </c>
      <c r="H8" s="14">
        <v>205</v>
      </c>
      <c r="I8" s="15">
        <v>2.2000000000000002</v>
      </c>
      <c r="J8" s="16">
        <v>60</v>
      </c>
      <c r="K8" s="17">
        <v>0.2</v>
      </c>
      <c r="L8" s="18">
        <v>22</v>
      </c>
      <c r="M8" s="44">
        <v>2.1999999999999999E-2</v>
      </c>
      <c r="N8" s="37">
        <f>IF(G8="LOW",1.25,2.5)</f>
        <v>1.25</v>
      </c>
      <c r="O8" s="8">
        <f>H8/(D8/0.7-1)</f>
        <v>129.27927927927928</v>
      </c>
      <c r="P8" s="7">
        <f>IF(M8*0.7/(2.5*10^(-6))&lt;150, M8*0.7/(2.5*10^(-6)), M8*0.7/(2.5*10^(-6)))</f>
        <v>6160</v>
      </c>
      <c r="Q8" s="2">
        <f>IF(D8+F8*(0.18+0.001*J8)&lt;3,3,D8+F8*(0.1+J8*0.001))</f>
        <v>3</v>
      </c>
      <c r="R8" s="6">
        <f>(I8*10^(-6)*B8^2)/(200*L8*10^(-6))*(1/(B8-D8)+1/D8)*1000</f>
        <v>22.849186444006115</v>
      </c>
      <c r="S8" s="6">
        <f>(I8*10^(-6)*C8^2)/(200*L8*10^(-6))*(1/(C8-D8)+1/D8)*1000</f>
        <v>62.183022946985815</v>
      </c>
      <c r="T8" s="5">
        <f>IF(G8="LOW",200,100)*10^(-9)*C8/(I8*(1-K8)*10^(-6))</f>
        <v>1.5909090909090911</v>
      </c>
      <c r="U8" s="5">
        <f>F8+T8/2</f>
        <v>0.81045454545454554</v>
      </c>
      <c r="V8" s="19">
        <f>1/(2*PI()*SQRT(I8*10^(-6)*L8*10^(-6)))/10^3</f>
        <v>22.876914592948651</v>
      </c>
      <c r="W8" s="3">
        <f>1/(2*PI()*H8*1000*15*10^(-12))/10^6</f>
        <v>5.1757705070535079E-2</v>
      </c>
      <c r="X8" s="3">
        <f>1/(2*PI()*15*10^(-12))*(1/(H8*1000)+1/(O8*1000))/10^6</f>
        <v>0.13383063739666928</v>
      </c>
      <c r="Y8" s="4">
        <f>1/(N8*10^6)*10^9</f>
        <v>800</v>
      </c>
      <c r="Z8" s="4">
        <f>Y8*D8/C8</f>
        <v>103.42857142857143</v>
      </c>
      <c r="AA8" s="4">
        <f>D8/B8*Y8</f>
        <v>181</v>
      </c>
      <c r="AB8" s="4">
        <f>IF(G8="LOW",200,100)</f>
        <v>200</v>
      </c>
      <c r="AC8" s="4">
        <f>IF(G8="LOW",200,100)*C8/(C8-D8)</f>
        <v>229.69647251845777</v>
      </c>
      <c r="AD8" s="4">
        <f>IF(G8="LOW",200,100)*B8/(B8-D8)</f>
        <v>258.4814216478191</v>
      </c>
      <c r="AE8" s="5">
        <f>IF(G8="LOW",200,100)*B8*10^(-9)/(I8*10^(-6))</f>
        <v>0.72727272727272729</v>
      </c>
      <c r="AF8" s="5">
        <f>IF(G8="LOW",200,100)*C8*10^(-9)/(I8*10^(-6))</f>
        <v>1.2727272727272727</v>
      </c>
      <c r="AG8" s="33">
        <f>T8/2</f>
        <v>0.79545454545454553</v>
      </c>
    </row>
  </sheetData>
  <mergeCells count="31">
    <mergeCell ref="A1:A3"/>
    <mergeCell ref="H2:H3"/>
    <mergeCell ref="B1:M1"/>
    <mergeCell ref="N1:X1"/>
    <mergeCell ref="Q2:Q3"/>
    <mergeCell ref="O2:O3"/>
    <mergeCell ref="P2:P3"/>
    <mergeCell ref="T2:T3"/>
    <mergeCell ref="U2:U3"/>
    <mergeCell ref="V2:V3"/>
    <mergeCell ref="AC2:AD2"/>
    <mergeCell ref="AE2:AF2"/>
    <mergeCell ref="Y1:AA1"/>
    <mergeCell ref="AB1:AG1"/>
    <mergeCell ref="AB2:AB3"/>
    <mergeCell ref="Y2:Y3"/>
    <mergeCell ref="AG2:AG3"/>
    <mergeCell ref="Z2:AA2"/>
    <mergeCell ref="R2:S2"/>
    <mergeCell ref="W2:W3"/>
    <mergeCell ref="X2:X3"/>
    <mergeCell ref="M2:M3"/>
    <mergeCell ref="B2:C2"/>
    <mergeCell ref="E2:F2"/>
    <mergeCell ref="G2:G3"/>
    <mergeCell ref="D2:D3"/>
    <mergeCell ref="N2:N3"/>
    <mergeCell ref="I2:I3"/>
    <mergeCell ref="J2:J3"/>
    <mergeCell ref="K2:K3"/>
    <mergeCell ref="L2:L3"/>
  </mergeCells>
  <phoneticPr fontId="2" type="noConversion"/>
  <conditionalFormatting sqref="Z4:Z8">
    <cfRule type="cellIs" dxfId="8" priority="11" operator="lessThan">
      <formula>50</formula>
    </cfRule>
  </conditionalFormatting>
  <conditionalFormatting sqref="U4:U8">
    <cfRule type="cellIs" dxfId="7" priority="10" operator="greaterThan">
      <formula>2.8</formula>
    </cfRule>
  </conditionalFormatting>
  <conditionalFormatting sqref="AF4:AF8">
    <cfRule type="cellIs" dxfId="6" priority="9" operator="greaterThan">
      <formula>2.8</formula>
    </cfRule>
  </conditionalFormatting>
  <conditionalFormatting sqref="F4:F8">
    <cfRule type="cellIs" dxfId="5" priority="7" operator="greaterThan">
      <formula>2</formula>
    </cfRule>
  </conditionalFormatting>
  <conditionalFormatting sqref="B4:B8">
    <cfRule type="cellIs" dxfId="4" priority="6" operator="lessThan">
      <formula>3</formula>
    </cfRule>
  </conditionalFormatting>
  <conditionalFormatting sqref="C4:C8">
    <cfRule type="cellIs" dxfId="3" priority="5" operator="greaterThan">
      <formula>17</formula>
    </cfRule>
  </conditionalFormatting>
  <conditionalFormatting sqref="D4:D8">
    <cfRule type="cellIs" dxfId="2" priority="3" operator="greaterThan">
      <formula>12</formula>
    </cfRule>
    <cfRule type="cellIs" dxfId="1" priority="4" operator="lessThan">
      <formula>0.7</formula>
    </cfRule>
  </conditionalFormatting>
  <conditionalFormatting sqref="Q4:Q8">
    <cfRule type="cellIs" dxfId="0" priority="12" operator="greaterThan">
      <formula>C4</formula>
    </cfRule>
  </conditionalFormatting>
  <dataValidations count="1">
    <dataValidation type="list" allowBlank="1" showInputMessage="1" showErrorMessage="1" sqref="G4:G8" xr:uid="{A8F4912E-EBB1-465D-B375-31C5CFEDC390}">
      <formula1>"LOW, HIGH"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9FFA35-2A5C-4909-96D2-A34470BC14DE}">
  <dimension ref="A1:B3"/>
  <sheetViews>
    <sheetView workbookViewId="0">
      <selection activeCell="B3" sqref="B3"/>
    </sheetView>
  </sheetViews>
  <sheetFormatPr defaultRowHeight="17" x14ac:dyDescent="0.45"/>
  <sheetData>
    <row r="1" spans="1:2" x14ac:dyDescent="0.45">
      <c r="A1" t="s">
        <v>19</v>
      </c>
      <c r="B1">
        <v>100</v>
      </c>
    </row>
    <row r="2" spans="1:2" x14ac:dyDescent="0.45">
      <c r="A2" t="s">
        <v>20</v>
      </c>
      <c r="B2">
        <v>226</v>
      </c>
    </row>
    <row r="3" spans="1:2" x14ac:dyDescent="0.45">
      <c r="A3" t="s">
        <v>32</v>
      </c>
      <c r="B3">
        <f>(B1/B2+1)*0.7</f>
        <v>1.0097345132743363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TPS62147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박시영</dc:creator>
  <cp:lastModifiedBy>시영 박</cp:lastModifiedBy>
  <dcterms:created xsi:type="dcterms:W3CDTF">2015-06-05T18:19:34Z</dcterms:created>
  <dcterms:modified xsi:type="dcterms:W3CDTF">2025-10-08T15:12:02Z</dcterms:modified>
</cp:coreProperties>
</file>