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Оценка проектов (видео)\Часть 3. Добавляем статистическое колдунство\"/>
    </mc:Choice>
  </mc:AlternateContent>
  <xr:revisionPtr revIDLastSave="0" documentId="13_ncr:1_{72D7FC5C-68A0-4BCD-B276-B8652D8DDCF2}" xr6:coauthVersionLast="45" xr6:coauthVersionMax="45" xr10:uidLastSave="{00000000-0000-0000-0000-000000000000}"/>
  <bookViews>
    <workbookView xWindow="-110" yWindow="-110" windowWidth="19420" windowHeight="10420" activeTab="1" xr2:uid="{DF6EC2C2-9C37-48CA-9A24-1D44E201ADB0}"/>
  </bookViews>
  <sheets>
    <sheet name="План" sheetId="1" r:id="rId1"/>
    <sheet name="Диаграмма" sheetId="3" r:id="rId2"/>
    <sheet name="Формулы" sheetId="2" r:id="rId3"/>
  </sheets>
  <definedNames>
    <definedName name="AvDobav">Формулы!$B$10</definedName>
    <definedName name="AvVelocity">Формулы!$B$9</definedName>
    <definedName name="BackLogSize">Формулы!$B$2</definedName>
    <definedName name="CurrentSprint">Формулы!$B$5</definedName>
    <definedName name="InitialBackLogSize">Формулы!$B$1</definedName>
    <definedName name="ReportDate">Формулы!$B$4</definedName>
    <definedName name="SprintLen">Формулы!$B$3</definedName>
    <definedName name="StdDobav">Формулы!$C$10</definedName>
    <definedName name="StdVelocity">Формулы!$C$9</definedName>
    <definedName name="WorkLeft">Формулы!$B$6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2" l="1"/>
  <c r="M20" i="2"/>
  <c r="L14" i="2"/>
  <c r="M15" i="2" s="1"/>
  <c r="L15" i="2"/>
  <c r="M16" i="2" s="1"/>
  <c r="L16" i="2"/>
  <c r="M17" i="2" s="1"/>
  <c r="L17" i="2"/>
  <c r="M18" i="2" s="1"/>
  <c r="L18" i="2"/>
  <c r="L19" i="2"/>
  <c r="L13" i="2"/>
  <c r="M14" i="2" s="1"/>
  <c r="K13" i="2" l="1"/>
  <c r="B1" i="2"/>
  <c r="J13" i="2" l="1"/>
  <c r="B4" i="2"/>
  <c r="E14" i="2"/>
  <c r="C14" i="2"/>
  <c r="B15" i="2" s="1"/>
  <c r="B2" i="2"/>
  <c r="H15" i="2" l="1"/>
  <c r="H14" i="2"/>
  <c r="F14" i="2"/>
  <c r="C15" i="2"/>
  <c r="B16" i="2" s="1"/>
  <c r="E16" i="2" s="1"/>
  <c r="E15" i="2"/>
  <c r="F15" i="2" l="1"/>
  <c r="I14" i="2"/>
  <c r="K14" i="2" s="1"/>
  <c r="J14" i="2"/>
  <c r="G14" i="2"/>
  <c r="C16" i="2"/>
  <c r="G15" i="2" l="1"/>
  <c r="J15" i="2"/>
  <c r="B17" i="2"/>
  <c r="H16" i="2"/>
  <c r="F16" i="2"/>
  <c r="I15" i="2"/>
  <c r="G16" i="2" l="1"/>
  <c r="J16" i="2"/>
  <c r="E17" i="2"/>
  <c r="F17" i="2"/>
  <c r="C17" i="2"/>
  <c r="B18" i="2" s="1"/>
  <c r="K15" i="2"/>
  <c r="I16" i="2"/>
  <c r="J17" i="2" l="1"/>
  <c r="G17" i="2"/>
  <c r="C18" i="2"/>
  <c r="B19" i="2" s="1"/>
  <c r="E18" i="2"/>
  <c r="H17" i="2"/>
  <c r="K16" i="2"/>
  <c r="I17" i="2" l="1"/>
  <c r="H19" i="2"/>
  <c r="E19" i="2"/>
  <c r="C19" i="2"/>
  <c r="B20" i="2" s="1"/>
  <c r="B5" i="2" s="1"/>
  <c r="H18" i="2"/>
  <c r="F18" i="2"/>
  <c r="G18" i="2" s="1"/>
  <c r="K17" i="2"/>
  <c r="A15" i="2" l="1"/>
  <c r="A16" i="2"/>
  <c r="A24" i="2"/>
  <c r="A27" i="2"/>
  <c r="A28" i="2"/>
  <c r="A13" i="2"/>
  <c r="A22" i="2"/>
  <c r="A17" i="2"/>
  <c r="A25" i="2"/>
  <c r="A26" i="2"/>
  <c r="A19" i="2"/>
  <c r="A20" i="2"/>
  <c r="A21" i="2"/>
  <c r="A14" i="2"/>
  <c r="A23" i="2"/>
  <c r="A18" i="2"/>
  <c r="F19" i="2"/>
  <c r="G19" i="2" s="1"/>
  <c r="I18" i="2"/>
  <c r="K18" i="2" s="1"/>
  <c r="J18" i="2"/>
  <c r="H20" i="2"/>
  <c r="I20" i="2" s="1"/>
  <c r="K20" i="2" s="1"/>
  <c r="F20" i="2"/>
  <c r="C20" i="2"/>
  <c r="B21" i="2" s="1"/>
  <c r="E20" i="2"/>
  <c r="J19" i="2" l="1"/>
  <c r="I19" i="2"/>
  <c r="K19" i="2" s="1"/>
  <c r="H21" i="2"/>
  <c r="I21" i="2" s="1"/>
  <c r="K21" i="2" s="1"/>
  <c r="F21" i="2"/>
  <c r="E21" i="2"/>
  <c r="C21" i="2"/>
  <c r="B22" i="2" s="1"/>
  <c r="J20" i="2"/>
  <c r="G20" i="2"/>
  <c r="F22" i="2" l="1"/>
  <c r="H22" i="2"/>
  <c r="E22" i="2"/>
  <c r="C22" i="2"/>
  <c r="B23" i="2" s="1"/>
  <c r="J21" i="2"/>
  <c r="G21" i="2"/>
  <c r="H23" i="2" l="1"/>
  <c r="I23" i="2" s="1"/>
  <c r="K23" i="2" s="1"/>
  <c r="F23" i="2"/>
  <c r="E23" i="2"/>
  <c r="C23" i="2"/>
  <c r="B24" i="2" s="1"/>
  <c r="I22" i="2"/>
  <c r="K22" i="2" s="1"/>
  <c r="G22" i="2"/>
  <c r="J22" i="2"/>
  <c r="F24" i="2" l="1"/>
  <c r="H24" i="2"/>
  <c r="I24" i="2" s="1"/>
  <c r="K24" i="2" s="1"/>
  <c r="C24" i="2"/>
  <c r="B25" i="2" s="1"/>
  <c r="E24" i="2"/>
  <c r="G23" i="2"/>
  <c r="J23" i="2"/>
  <c r="H25" i="2" l="1"/>
  <c r="I25" i="2" s="1"/>
  <c r="K25" i="2" s="1"/>
  <c r="F25" i="2"/>
  <c r="E25" i="2"/>
  <c r="C25" i="2"/>
  <c r="B26" i="2" s="1"/>
  <c r="G24" i="2"/>
  <c r="J24" i="2"/>
  <c r="H26" i="2" l="1"/>
  <c r="I26" i="2" s="1"/>
  <c r="K26" i="2" s="1"/>
  <c r="F26" i="2"/>
  <c r="E26" i="2"/>
  <c r="C26" i="2"/>
  <c r="B27" i="2" s="1"/>
  <c r="J25" i="2"/>
  <c r="G25" i="2"/>
  <c r="H27" i="2" l="1"/>
  <c r="I27" i="2" s="1"/>
  <c r="K27" i="2" s="1"/>
  <c r="F27" i="2"/>
  <c r="E27" i="2"/>
  <c r="C27" i="2"/>
  <c r="B28" i="2" s="1"/>
  <c r="J26" i="2"/>
  <c r="G26" i="2"/>
  <c r="H28" i="2" l="1"/>
  <c r="F28" i="2"/>
  <c r="E28" i="2"/>
  <c r="C28" i="2"/>
  <c r="G27" i="2"/>
  <c r="J27" i="2"/>
  <c r="C10" i="2" l="1"/>
  <c r="B6" i="2"/>
  <c r="J28" i="2"/>
  <c r="G28" i="2"/>
  <c r="C9" i="2"/>
  <c r="B9" i="2"/>
  <c r="I28" i="2"/>
  <c r="K28" i="2" s="1"/>
  <c r="B10" i="2"/>
  <c r="L23" i="2" l="1"/>
  <c r="M24" i="2" s="1"/>
  <c r="L24" i="2"/>
  <c r="M25" i="2" s="1"/>
  <c r="L27" i="2"/>
  <c r="M28" i="2" s="1"/>
  <c r="L20" i="2"/>
  <c r="L28" i="2"/>
  <c r="L21" i="2"/>
  <c r="M22" i="2" s="1"/>
  <c r="L25" i="2"/>
  <c r="L22" i="2"/>
  <c r="M23" i="2" s="1"/>
  <c r="L26" i="2"/>
  <c r="M27" i="2" s="1"/>
  <c r="M26" i="2" l="1"/>
  <c r="M21" i="2"/>
</calcChain>
</file>

<file path=xl/sharedStrings.xml><?xml version="1.0" encoding="utf-8"?>
<sst xmlns="http://schemas.openxmlformats.org/spreadsheetml/2006/main" count="52" uniqueCount="50">
  <si>
    <t>Название работы</t>
  </si>
  <si>
    <t>Оценка</t>
  </si>
  <si>
    <t>Дата завершения</t>
  </si>
  <si>
    <t>Сделать шпаргалку билета №1</t>
  </si>
  <si>
    <t>Сделать шпаргалку билета №2</t>
  </si>
  <si>
    <t>Сделать шпаргалку билета №3</t>
  </si>
  <si>
    <t>Сделать шпаргалку билета №4</t>
  </si>
  <si>
    <t>Сделать шпаргалку билета №5</t>
  </si>
  <si>
    <t>Сделать шпаргалку билета №6</t>
  </si>
  <si>
    <t>Сделать шпаргалку билета №7</t>
  </si>
  <si>
    <t>Сделать шпаргалку билета №8</t>
  </si>
  <si>
    <t>Сделать шпаргалку билета №9</t>
  </si>
  <si>
    <t>Сделать шпаргалку билета №10</t>
  </si>
  <si>
    <t>Сделать шпаргалку билета №11</t>
  </si>
  <si>
    <t>Сделать шпаргалку билета №12</t>
  </si>
  <si>
    <t>Сделать шпаргалку билета №13</t>
  </si>
  <si>
    <t>Сделать шпаргалку билета №15</t>
  </si>
  <si>
    <t>Сдать тестовый экзамен 5 раз</t>
  </si>
  <si>
    <t>Сделать шпаргалку билета №14.1</t>
  </si>
  <si>
    <t>Сделать шпаргалку билета №14.2</t>
  </si>
  <si>
    <t>Сделать шпаргалку билета №14.3</t>
  </si>
  <si>
    <t>Объем работы</t>
  </si>
  <si>
    <t>Номер спринта</t>
  </si>
  <si>
    <t>Дата начала</t>
  </si>
  <si>
    <t>Длительность спринта</t>
  </si>
  <si>
    <t>Сделано работы</t>
  </si>
  <si>
    <t>Всего сделано</t>
  </si>
  <si>
    <t>Подпись</t>
  </si>
  <si>
    <t>Дата отчета</t>
  </si>
  <si>
    <t>Сделать шпаргалку билета №16</t>
  </si>
  <si>
    <t>Сделать шпаргалку билета №17</t>
  </si>
  <si>
    <t>Сделать шпаргалку билета №18</t>
  </si>
  <si>
    <t>Сделать шпаргалку билета №19</t>
  </si>
  <si>
    <t>Сделать шпаргалку билета №20</t>
  </si>
  <si>
    <t>Дата создания</t>
  </si>
  <si>
    <t>Добавлено работы</t>
  </si>
  <si>
    <t>Всего добавлено</t>
  </si>
  <si>
    <t>Верх</t>
  </si>
  <si>
    <t>Низ</t>
  </si>
  <si>
    <t>Начальный объем работы</t>
  </si>
  <si>
    <t>Старт</t>
  </si>
  <si>
    <t>Велосити</t>
  </si>
  <si>
    <t>Добавлясити</t>
  </si>
  <si>
    <t>Среднее</t>
  </si>
  <si>
    <t>Ст.Откл</t>
  </si>
  <si>
    <t>Текущий спринт</t>
  </si>
  <si>
    <t>N</t>
  </si>
  <si>
    <t>Остаток работы</t>
  </si>
  <si>
    <t>Вероятность успеть все</t>
  </si>
  <si>
    <t>Вероятность сделать все в эту итерацию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</si>
</sst>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3" fillId="3" borderId="0" xfId="0" applyFont="1" applyFill="1"/>
    <xf numFmtId="43" fontId="0" fillId="0" borderId="0" xfId="1" applyNumberFormat="1" applyFont="1"/>
    <xf numFmtId="166" fontId="0" fillId="0" borderId="0" xfId="1" applyNumberFormat="1" applyFont="1"/>
    <xf numFmtId="43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Расширенная диаграмма выгорания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Формулы!$M$12</c:f>
              <c:strCache>
                <c:ptCount val="1"/>
                <c:pt idx="0">
                  <c:v>Вероятность сделать все в эту итерацию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Формулы!$M$13:$M$28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4.0372413209541769E-3</c:v>
                </c:pt>
                <c:pt idx="9">
                  <c:v>6.0979149593032189E-2</c:v>
                </c:pt>
                <c:pt idx="10">
                  <c:v>0.16184536862946231</c:v>
                </c:pt>
                <c:pt idx="11">
                  <c:v>0.20661393780469439</c:v>
                </c:pt>
                <c:pt idx="12">
                  <c:v>0.18667108176133984</c:v>
                </c:pt>
                <c:pt idx="13">
                  <c:v>0.14036336800494353</c:v>
                </c:pt>
                <c:pt idx="14">
                  <c:v>9.4816211604979994E-2</c:v>
                </c:pt>
                <c:pt idx="15">
                  <c:v>5.9885466261386799E-2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D-4E40-812B-47678DFC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163487"/>
        <c:axId val="823599631"/>
      </c:barChart>
      <c:lineChart>
        <c:grouping val="standard"/>
        <c:varyColors val="0"/>
        <c:ser>
          <c:idx val="0"/>
          <c:order val="0"/>
          <c:tx>
            <c:strRef>
              <c:f>Формулы!$J$12</c:f>
              <c:strCache>
                <c:ptCount val="1"/>
                <c:pt idx="0">
                  <c:v>Верх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Формулы!$E$13:$E$28</c:f>
              <c:strCache>
                <c:ptCount val="16"/>
                <c:pt idx="0">
                  <c:v>Старт</c:v>
                </c:pt>
                <c:pt idx="1">
                  <c:v>11/05</c:v>
                </c:pt>
                <c:pt idx="2">
                  <c:v>18/05</c:v>
                </c:pt>
                <c:pt idx="3">
                  <c:v>25/05</c:v>
                </c:pt>
                <c:pt idx="4">
                  <c:v>01/06</c:v>
                </c:pt>
                <c:pt idx="5">
                  <c:v>08/06</c:v>
                </c:pt>
                <c:pt idx="6">
                  <c:v>15/06</c:v>
                </c:pt>
                <c:pt idx="7">
                  <c:v>22/06</c:v>
                </c:pt>
                <c:pt idx="8">
                  <c:v>29/06</c:v>
                </c:pt>
                <c:pt idx="9">
                  <c:v>06/07</c:v>
                </c:pt>
                <c:pt idx="10">
                  <c:v>13/07</c:v>
                </c:pt>
                <c:pt idx="11">
                  <c:v>20/07</c:v>
                </c:pt>
                <c:pt idx="12">
                  <c:v>27/07</c:v>
                </c:pt>
                <c:pt idx="13">
                  <c:v>03/08</c:v>
                </c:pt>
                <c:pt idx="14">
                  <c:v>10/08</c:v>
                </c:pt>
                <c:pt idx="15">
                  <c:v>17/08</c:v>
                </c:pt>
              </c:strCache>
            </c:strRef>
          </c:cat>
          <c:val>
            <c:numRef>
              <c:f>Формулы!$J$13:$J$28</c:f>
              <c:numCache>
                <c:formatCode>General</c:formatCode>
                <c:ptCount val="16"/>
                <c:pt idx="0">
                  <c:v>51</c:v>
                </c:pt>
                <c:pt idx="1">
                  <c:v>46</c:v>
                </c:pt>
                <c:pt idx="2">
                  <c:v>38</c:v>
                </c:pt>
                <c:pt idx="3">
                  <c:v>32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B-4BA5-ADE5-DB01AE05E230}"/>
            </c:ext>
          </c:extLst>
        </c:ser>
        <c:ser>
          <c:idx val="1"/>
          <c:order val="1"/>
          <c:tx>
            <c:strRef>
              <c:f>Формулы!$K$12</c:f>
              <c:strCache>
                <c:ptCount val="1"/>
                <c:pt idx="0">
                  <c:v>Низ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Формулы!$E$13:$E$28</c:f>
              <c:strCache>
                <c:ptCount val="16"/>
                <c:pt idx="0">
                  <c:v>Старт</c:v>
                </c:pt>
                <c:pt idx="1">
                  <c:v>11/05</c:v>
                </c:pt>
                <c:pt idx="2">
                  <c:v>18/05</c:v>
                </c:pt>
                <c:pt idx="3">
                  <c:v>25/05</c:v>
                </c:pt>
                <c:pt idx="4">
                  <c:v>01/06</c:v>
                </c:pt>
                <c:pt idx="5">
                  <c:v>08/06</c:v>
                </c:pt>
                <c:pt idx="6">
                  <c:v>15/06</c:v>
                </c:pt>
                <c:pt idx="7">
                  <c:v>22/06</c:v>
                </c:pt>
                <c:pt idx="8">
                  <c:v>29/06</c:v>
                </c:pt>
                <c:pt idx="9">
                  <c:v>06/07</c:v>
                </c:pt>
                <c:pt idx="10">
                  <c:v>13/07</c:v>
                </c:pt>
                <c:pt idx="11">
                  <c:v>20/07</c:v>
                </c:pt>
                <c:pt idx="12">
                  <c:v>27/07</c:v>
                </c:pt>
                <c:pt idx="13">
                  <c:v>03/08</c:v>
                </c:pt>
                <c:pt idx="14">
                  <c:v>10/08</c:v>
                </c:pt>
                <c:pt idx="15">
                  <c:v>17/08</c:v>
                </c:pt>
              </c:strCache>
            </c:strRef>
          </c:cat>
          <c:val>
            <c:numRef>
              <c:f>Формулы!$K$13:$K$28</c:f>
              <c:numCache>
                <c:formatCode>General</c:formatCode>
                <c:ptCount val="16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-14</c:v>
                </c:pt>
                <c:pt idx="6">
                  <c:v>-14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B-4BA5-ADE5-DB01AE05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782032592"/>
        <c:axId val="731734144"/>
      </c:lineChart>
      <c:lineChart>
        <c:grouping val="standard"/>
        <c:varyColors val="0"/>
        <c:ser>
          <c:idx val="3"/>
          <c:order val="3"/>
          <c:tx>
            <c:strRef>
              <c:f>Формулы!$L$12</c:f>
              <c:strCache>
                <c:ptCount val="1"/>
                <c:pt idx="0">
                  <c:v>Вероятность успеть все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Формулы!$L$13:$L$28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5.5818952726660598E-7</c:v>
                </c:pt>
                <c:pt idx="8">
                  <c:v>4.0377995104814435E-3</c:v>
                </c:pt>
                <c:pt idx="9">
                  <c:v>6.5016949103513633E-2</c:v>
                </c:pt>
                <c:pt idx="10">
                  <c:v>0.22686231773297594</c:v>
                </c:pt>
                <c:pt idx="11">
                  <c:v>0.43347625553767033</c:v>
                </c:pt>
                <c:pt idx="12">
                  <c:v>0.62014733729901017</c:v>
                </c:pt>
                <c:pt idx="13">
                  <c:v>0.7605107053039537</c:v>
                </c:pt>
                <c:pt idx="14">
                  <c:v>0.8553269169089337</c:v>
                </c:pt>
                <c:pt idx="15">
                  <c:v>0.9152123831703205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D-4E40-812B-47678DFC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63487"/>
        <c:axId val="823599631"/>
      </c:lineChart>
      <c:catAx>
        <c:axId val="782032592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34144"/>
        <c:crosses val="autoZero"/>
        <c:auto val="0"/>
        <c:lblAlgn val="ctr"/>
        <c:lblOffset val="100"/>
        <c:noMultiLvlLbl val="0"/>
      </c:catAx>
      <c:valAx>
        <c:axId val="7317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032592"/>
        <c:crosses val="autoZero"/>
        <c:crossBetween val="between"/>
      </c:valAx>
      <c:valAx>
        <c:axId val="82359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163487"/>
        <c:crosses val="max"/>
        <c:crossBetween val="between"/>
      </c:valAx>
      <c:catAx>
        <c:axId val="827163487"/>
        <c:scaling>
          <c:orientation val="minMax"/>
        </c:scaling>
        <c:delete val="1"/>
        <c:axPos val="b"/>
        <c:majorTickMark val="out"/>
        <c:minorTickMark val="none"/>
        <c:tickLblPos val="nextTo"/>
        <c:crossAx val="82359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</xdr:row>
      <xdr:rowOff>19050</xdr:rowOff>
    </xdr:from>
    <xdr:to>
      <xdr:col>7</xdr:col>
      <xdr:colOff>603250</xdr:colOff>
      <xdr:row>16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0B52A6-9A9F-497E-B5C2-8AA6D2526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50D8-F93D-44C1-AD08-A1850870985B}">
  <dimension ref="A1:D25"/>
  <sheetViews>
    <sheetView workbookViewId="0">
      <pane ySplit="1" topLeftCell="A2" activePane="bottomLeft" state="frozen"/>
      <selection pane="bottomLeft" activeCell="C16" sqref="C16"/>
    </sheetView>
  </sheetViews>
  <sheetFormatPr defaultRowHeight="14.5" x14ac:dyDescent="0.35"/>
  <cols>
    <col min="1" max="1" width="49.6328125" customWidth="1"/>
    <col min="2" max="2" width="11.54296875" customWidth="1"/>
    <col min="3" max="3" width="13.6328125" bestFit="1" customWidth="1"/>
    <col min="4" max="4" width="16.1796875" bestFit="1" customWidth="1"/>
  </cols>
  <sheetData>
    <row r="1" spans="1:4" x14ac:dyDescent="0.35">
      <c r="A1" s="1" t="s">
        <v>0</v>
      </c>
      <c r="B1" s="1" t="s">
        <v>1</v>
      </c>
      <c r="C1" s="1" t="s">
        <v>34</v>
      </c>
      <c r="D1" s="1" t="s">
        <v>2</v>
      </c>
    </row>
    <row r="2" spans="1:4" x14ac:dyDescent="0.35">
      <c r="A2" t="s">
        <v>3</v>
      </c>
      <c r="B2">
        <v>1</v>
      </c>
      <c r="C2" s="2">
        <v>43961</v>
      </c>
      <c r="D2" s="2">
        <v>43963</v>
      </c>
    </row>
    <row r="3" spans="1:4" x14ac:dyDescent="0.35">
      <c r="A3" t="s">
        <v>4</v>
      </c>
      <c r="B3">
        <v>2</v>
      </c>
      <c r="C3" s="2">
        <v>43961</v>
      </c>
      <c r="D3" s="2">
        <v>43971</v>
      </c>
    </row>
    <row r="4" spans="1:4" x14ac:dyDescent="0.35">
      <c r="A4" t="s">
        <v>5</v>
      </c>
      <c r="B4">
        <v>2</v>
      </c>
      <c r="C4" s="2">
        <v>43961</v>
      </c>
      <c r="D4" s="2">
        <v>43964</v>
      </c>
    </row>
    <row r="5" spans="1:4" x14ac:dyDescent="0.35">
      <c r="A5" t="s">
        <v>6</v>
      </c>
      <c r="B5">
        <v>4</v>
      </c>
      <c r="C5" s="2">
        <v>43961</v>
      </c>
      <c r="D5" s="2">
        <v>43973</v>
      </c>
    </row>
    <row r="6" spans="1:4" x14ac:dyDescent="0.35">
      <c r="A6" t="s">
        <v>7</v>
      </c>
      <c r="B6">
        <v>2</v>
      </c>
      <c r="C6" s="2">
        <v>43961</v>
      </c>
      <c r="D6" s="2">
        <v>43977</v>
      </c>
    </row>
    <row r="7" spans="1:4" x14ac:dyDescent="0.35">
      <c r="A7" t="s">
        <v>8</v>
      </c>
      <c r="B7">
        <v>4</v>
      </c>
      <c r="C7" s="2">
        <v>43961</v>
      </c>
      <c r="D7" s="2">
        <v>43978</v>
      </c>
    </row>
    <row r="8" spans="1:4" x14ac:dyDescent="0.35">
      <c r="A8" t="s">
        <v>9</v>
      </c>
      <c r="B8">
        <v>1</v>
      </c>
      <c r="C8" s="2">
        <v>43961</v>
      </c>
      <c r="D8" s="2">
        <v>43984</v>
      </c>
    </row>
    <row r="9" spans="1:4" x14ac:dyDescent="0.35">
      <c r="A9" t="s">
        <v>10</v>
      </c>
      <c r="B9">
        <v>2</v>
      </c>
      <c r="C9" s="2">
        <v>43961</v>
      </c>
      <c r="D9" s="2">
        <v>43985</v>
      </c>
    </row>
    <row r="10" spans="1:4" x14ac:dyDescent="0.35">
      <c r="A10" t="s">
        <v>11</v>
      </c>
      <c r="B10">
        <v>2</v>
      </c>
      <c r="C10" s="2">
        <v>43961</v>
      </c>
      <c r="D10" s="2">
        <v>43990</v>
      </c>
    </row>
    <row r="11" spans="1:4" x14ac:dyDescent="0.35">
      <c r="A11" t="s">
        <v>12</v>
      </c>
      <c r="B11">
        <v>2</v>
      </c>
      <c r="C11" s="2">
        <v>43961</v>
      </c>
      <c r="D11" s="2">
        <v>43964</v>
      </c>
    </row>
    <row r="12" spans="1:4" x14ac:dyDescent="0.35">
      <c r="A12" t="s">
        <v>13</v>
      </c>
      <c r="B12">
        <v>2</v>
      </c>
      <c r="C12" s="2">
        <v>43961</v>
      </c>
      <c r="D12" s="2">
        <v>43974</v>
      </c>
    </row>
    <row r="13" spans="1:4" x14ac:dyDescent="0.35">
      <c r="A13" t="s">
        <v>14</v>
      </c>
      <c r="B13">
        <v>1</v>
      </c>
      <c r="C13" s="2">
        <v>43961</v>
      </c>
      <c r="D13" s="2">
        <v>43994</v>
      </c>
    </row>
    <row r="14" spans="1:4" x14ac:dyDescent="0.35">
      <c r="A14" t="s">
        <v>15</v>
      </c>
      <c r="B14">
        <v>8</v>
      </c>
      <c r="C14" s="2">
        <v>43961</v>
      </c>
      <c r="D14" s="2">
        <v>43986</v>
      </c>
    </row>
    <row r="15" spans="1:4" x14ac:dyDescent="0.35">
      <c r="A15" t="s">
        <v>18</v>
      </c>
      <c r="B15">
        <v>8</v>
      </c>
      <c r="C15" s="2">
        <v>43996</v>
      </c>
      <c r="D15" s="2">
        <v>43998</v>
      </c>
    </row>
    <row r="16" spans="1:4" x14ac:dyDescent="0.35">
      <c r="A16" t="s">
        <v>19</v>
      </c>
      <c r="B16">
        <v>8</v>
      </c>
      <c r="C16" s="2">
        <v>43961</v>
      </c>
    </row>
    <row r="17" spans="1:3" x14ac:dyDescent="0.35">
      <c r="A17" t="s">
        <v>20</v>
      </c>
      <c r="B17">
        <v>4</v>
      </c>
      <c r="C17" s="2">
        <v>43961</v>
      </c>
    </row>
    <row r="18" spans="1:3" x14ac:dyDescent="0.35">
      <c r="A18" t="s">
        <v>16</v>
      </c>
      <c r="B18">
        <v>2</v>
      </c>
      <c r="C18" s="2">
        <v>43961</v>
      </c>
    </row>
    <row r="19" spans="1:3" x14ac:dyDescent="0.35">
      <c r="A19" t="s">
        <v>17</v>
      </c>
      <c r="B19">
        <v>4</v>
      </c>
      <c r="C19" s="2">
        <v>43961</v>
      </c>
    </row>
    <row r="20" spans="1:3" x14ac:dyDescent="0.35">
      <c r="A20" t="s">
        <v>16</v>
      </c>
      <c r="B20">
        <v>1</v>
      </c>
      <c r="C20" s="2">
        <v>43963</v>
      </c>
    </row>
    <row r="21" spans="1:3" x14ac:dyDescent="0.35">
      <c r="A21" t="s">
        <v>29</v>
      </c>
      <c r="B21">
        <v>1</v>
      </c>
      <c r="C21" s="2">
        <v>43963</v>
      </c>
    </row>
    <row r="22" spans="1:3" x14ac:dyDescent="0.35">
      <c r="A22" t="s">
        <v>30</v>
      </c>
      <c r="B22">
        <v>1</v>
      </c>
      <c r="C22" s="2">
        <v>43970</v>
      </c>
    </row>
    <row r="23" spans="1:3" x14ac:dyDescent="0.35">
      <c r="A23" t="s">
        <v>31</v>
      </c>
      <c r="B23">
        <v>1</v>
      </c>
      <c r="C23" s="2">
        <v>43970</v>
      </c>
    </row>
    <row r="24" spans="1:3" x14ac:dyDescent="0.35">
      <c r="A24" t="s">
        <v>32</v>
      </c>
      <c r="B24">
        <v>1</v>
      </c>
      <c r="C24" s="2">
        <v>43977</v>
      </c>
    </row>
    <row r="25" spans="1:3" x14ac:dyDescent="0.35">
      <c r="A25" t="s">
        <v>33</v>
      </c>
      <c r="B25">
        <v>1</v>
      </c>
      <c r="C25" s="2">
        <v>43984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BC4-EFBD-4FCB-8186-6AFED6A72F0D}">
  <dimension ref="A1"/>
  <sheetViews>
    <sheetView tabSelected="1" zoomScale="160" zoomScaleNormal="160" workbookViewId="0">
      <selection activeCell="J11" sqref="J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8E40-8911-45E7-B4F9-C846BF92AFCC}">
  <dimension ref="A1:M28"/>
  <sheetViews>
    <sheetView topLeftCell="E7" workbookViewId="0">
      <selection activeCell="N21" sqref="N21"/>
    </sheetView>
  </sheetViews>
  <sheetFormatPr defaultRowHeight="14.5" x14ac:dyDescent="0.35"/>
  <cols>
    <col min="1" max="1" width="20.1796875" bestFit="1" customWidth="1"/>
    <col min="2" max="2" width="11.6328125" bestFit="1" customWidth="1"/>
    <col min="3" max="3" width="16.1796875" bestFit="1" customWidth="1"/>
    <col min="4" max="4" width="16.1796875" customWidth="1"/>
    <col min="5" max="5" width="9.90625" bestFit="1" customWidth="1"/>
    <col min="6" max="6" width="15.453125" bestFit="1" customWidth="1"/>
    <col min="7" max="7" width="13.36328125" bestFit="1" customWidth="1"/>
    <col min="8" max="8" width="17.81640625" bestFit="1" customWidth="1"/>
    <col min="9" max="11" width="17.81640625" customWidth="1"/>
    <col min="12" max="12" width="21.36328125" bestFit="1" customWidth="1"/>
  </cols>
  <sheetData>
    <row r="1" spans="1:13" x14ac:dyDescent="0.35">
      <c r="A1" t="s">
        <v>39</v>
      </c>
      <c r="B1">
        <f>SUMIFS(План!B:B,План!C:C,"&lt;"&amp;Формулы!B14)</f>
        <v>51</v>
      </c>
    </row>
    <row r="2" spans="1:13" x14ac:dyDescent="0.35">
      <c r="A2" t="s">
        <v>21</v>
      </c>
      <c r="B2">
        <f>SUM(План!B:B)</f>
        <v>65</v>
      </c>
    </row>
    <row r="3" spans="1:13" x14ac:dyDescent="0.35">
      <c r="A3" t="s">
        <v>24</v>
      </c>
      <c r="B3">
        <v>7</v>
      </c>
    </row>
    <row r="4" spans="1:13" x14ac:dyDescent="0.35">
      <c r="A4" t="s">
        <v>28</v>
      </c>
      <c r="B4" s="2">
        <f>MAX(План!D:D)</f>
        <v>43998</v>
      </c>
    </row>
    <row r="5" spans="1:13" x14ac:dyDescent="0.35">
      <c r="A5" t="s">
        <v>45</v>
      </c>
      <c r="B5" s="5">
        <f>VLOOKUP(ReportDate,B12:D28,3,TRUE)</f>
        <v>6</v>
      </c>
    </row>
    <row r="6" spans="1:13" x14ac:dyDescent="0.35">
      <c r="A6" t="s">
        <v>47</v>
      </c>
      <c r="B6" s="5">
        <f>InitialBackLogSize+SUM(H:H)-SUM(F:F)</f>
        <v>24</v>
      </c>
    </row>
    <row r="7" spans="1:13" x14ac:dyDescent="0.35">
      <c r="B7" s="2"/>
    </row>
    <row r="8" spans="1:13" x14ac:dyDescent="0.35">
      <c r="B8" s="2" t="s">
        <v>43</v>
      </c>
      <c r="C8" t="s">
        <v>44</v>
      </c>
    </row>
    <row r="9" spans="1:13" x14ac:dyDescent="0.35">
      <c r="A9" t="s">
        <v>41</v>
      </c>
      <c r="B9" s="4">
        <f>AVERAGE(F14:F28)</f>
        <v>6.833333333333333</v>
      </c>
      <c r="C9" s="6">
        <f>_xlfn.STDEV.S(F14:F28)</f>
        <v>2.78687399547713</v>
      </c>
      <c r="D9" s="6"/>
    </row>
    <row r="10" spans="1:13" x14ac:dyDescent="0.35">
      <c r="A10" t="s">
        <v>42</v>
      </c>
      <c r="B10" s="4">
        <f>AVERAGE(H14:H28)</f>
        <v>2.3333333333333335</v>
      </c>
      <c r="C10" s="6">
        <f>_xlfn.STDEV.S(H14:H28)</f>
        <v>2.8751811537130436</v>
      </c>
      <c r="D10" s="6"/>
    </row>
    <row r="12" spans="1:13" s="3" customFormat="1" x14ac:dyDescent="0.35">
      <c r="A12" s="3" t="s">
        <v>46</v>
      </c>
      <c r="B12" s="3" t="s">
        <v>23</v>
      </c>
      <c r="C12" s="3" t="s">
        <v>2</v>
      </c>
      <c r="D12" s="3" t="s">
        <v>22</v>
      </c>
      <c r="E12" s="3" t="s">
        <v>27</v>
      </c>
      <c r="F12" s="3" t="s">
        <v>25</v>
      </c>
      <c r="G12" s="3" t="s">
        <v>26</v>
      </c>
      <c r="H12" s="3" t="s">
        <v>35</v>
      </c>
      <c r="I12" s="3" t="s">
        <v>36</v>
      </c>
      <c r="J12" s="3" t="s">
        <v>37</v>
      </c>
      <c r="K12" s="3" t="s">
        <v>38</v>
      </c>
      <c r="L12" s="3" t="s">
        <v>48</v>
      </c>
      <c r="M12" s="3" t="s">
        <v>49</v>
      </c>
    </row>
    <row r="13" spans="1:13" x14ac:dyDescent="0.35">
      <c r="A13">
        <f>D13-CurrentSprint</f>
        <v>-6</v>
      </c>
      <c r="B13" s="2"/>
      <c r="C13" s="2"/>
      <c r="D13">
        <v>0</v>
      </c>
      <c r="E13" s="2" t="s">
        <v>40</v>
      </c>
      <c r="F13">
        <v>0</v>
      </c>
      <c r="G13">
        <v>0</v>
      </c>
      <c r="H13">
        <v>0</v>
      </c>
      <c r="I13">
        <v>0</v>
      </c>
      <c r="J13">
        <f>InitialBackLogSize</f>
        <v>51</v>
      </c>
      <c r="K13">
        <f>-I13</f>
        <v>0</v>
      </c>
      <c r="L13" t="str">
        <f>IF(A13&gt;0, 1-_xlfn.NORM.DIST(WorkLeft,A13*(AvVelocity-AvDobav),SQRT(A13*(StdDobav*StdDobav+StdVelocity*StdVelocity)),TRUE),"")</f>
        <v/>
      </c>
    </row>
    <row r="14" spans="1:13" x14ac:dyDescent="0.35">
      <c r="A14">
        <f>D14-CurrentSprint</f>
        <v>-5</v>
      </c>
      <c r="B14" s="2">
        <v>43962</v>
      </c>
      <c r="C14" s="2">
        <f t="shared" ref="C14:C28" si="0">B14+SprintLen</f>
        <v>43969</v>
      </c>
      <c r="D14">
        <v>1</v>
      </c>
      <c r="E14" s="2" t="str">
        <f>TEXT(B14,"дд/ММ")</f>
        <v>11/05</v>
      </c>
      <c r="F14">
        <f>IF(B14&lt;=ReportDate,SUMIFS(План!B:B,План!D:D,"&gt;="&amp;Формулы!B14,План!D:D,"&lt;"&amp;Формулы!C14),"")</f>
        <v>5</v>
      </c>
      <c r="G14">
        <f>IF(F14&lt;&gt;"",F14+G13,"")</f>
        <v>5</v>
      </c>
      <c r="H14">
        <f>IF(B14&lt;=ReportDate,SUMIFS(План!B:B,План!C:C,"&gt;="&amp;Формулы!B14,План!C:C,"&lt;"&amp;Формулы!C14),"")</f>
        <v>2</v>
      </c>
      <c r="I14">
        <f>IF(H14&lt;&gt;"",H14+I13,"")</f>
        <v>2</v>
      </c>
      <c r="J14">
        <f>IF(F14&lt;&gt;"",J13-F14,NA())</f>
        <v>46</v>
      </c>
      <c r="K14">
        <f>IF(I14&lt;&gt;"",-I14,NA())</f>
        <v>-2</v>
      </c>
      <c r="L14" t="str">
        <f>IF(A14&gt;0, 1-_xlfn.NORM.DIST(WorkLeft,A14*(AvVelocity-AvDobav),SQRT(A14*(StdDobav*StdDobav+StdVelocity*StdVelocity)),TRUE),"")</f>
        <v/>
      </c>
      <c r="M14" t="str">
        <f>IF(L13&lt;&gt;"",L14-L13,"")</f>
        <v/>
      </c>
    </row>
    <row r="15" spans="1:13" x14ac:dyDescent="0.35">
      <c r="A15">
        <f>D15-CurrentSprint</f>
        <v>-4</v>
      </c>
      <c r="B15" s="2">
        <f>C14</f>
        <v>43969</v>
      </c>
      <c r="C15" s="2">
        <f t="shared" si="0"/>
        <v>43976</v>
      </c>
      <c r="D15">
        <v>2</v>
      </c>
      <c r="E15" s="2" t="str">
        <f t="shared" ref="E15:E28" si="1">TEXT(B15,"дд/ММ")</f>
        <v>18/05</v>
      </c>
      <c r="F15">
        <f>IF(B15&lt;=ReportDate,SUMIFS(План!B:B,План!D:D,"&gt;="&amp;Формулы!B15,План!D:D,"&lt;"&amp;Формулы!C15),"")</f>
        <v>8</v>
      </c>
      <c r="G15">
        <f t="shared" ref="G15:G28" si="2">IF(F15&lt;&gt;"",F15+G14,"")</f>
        <v>13</v>
      </c>
      <c r="H15">
        <f>IF(B15&lt;=ReportDate,SUMIFS(План!B:B,План!C:C,"&gt;="&amp;Формулы!B15,План!C:C,"&lt;"&amp;Формулы!C15),"")</f>
        <v>2</v>
      </c>
      <c r="I15">
        <f t="shared" ref="I15:I28" si="3">IF(H15&lt;&gt;"",H15+I14,"")</f>
        <v>4</v>
      </c>
      <c r="J15">
        <f t="shared" ref="J15:J28" si="4">IF(F15&lt;&gt;"",J14-F15,NA())</f>
        <v>38</v>
      </c>
      <c r="K15">
        <f t="shared" ref="K15:K28" si="5">IF(I15&lt;&gt;"",-I15,NA())</f>
        <v>-4</v>
      </c>
      <c r="L15" t="str">
        <f>IF(A15&gt;0, 1-_xlfn.NORM.DIST(WorkLeft,A15*(AvVelocity-AvDobav),SQRT(A15*(StdDobav*StdDobav+StdVelocity*StdVelocity)),TRUE),"")</f>
        <v/>
      </c>
      <c r="M15" t="str">
        <f t="shared" ref="M15:M28" si="6">IF(L14&lt;&gt;"",L15-L14,"")</f>
        <v/>
      </c>
    </row>
    <row r="16" spans="1:13" x14ac:dyDescent="0.35">
      <c r="A16">
        <f>D16-CurrentSprint</f>
        <v>-3</v>
      </c>
      <c r="B16" s="2">
        <f t="shared" ref="B16:B28" si="7">C15</f>
        <v>43976</v>
      </c>
      <c r="C16" s="2">
        <f t="shared" si="0"/>
        <v>43983</v>
      </c>
      <c r="D16">
        <v>3</v>
      </c>
      <c r="E16" s="2" t="str">
        <f t="shared" si="1"/>
        <v>25/05</v>
      </c>
      <c r="F16">
        <f>IF(B16&lt;=ReportDate,SUMIFS(План!B:B,План!D:D,"&gt;="&amp;Формулы!B16,План!D:D,"&lt;"&amp;Формулы!C16),"")</f>
        <v>6</v>
      </c>
      <c r="G16">
        <f t="shared" si="2"/>
        <v>19</v>
      </c>
      <c r="H16">
        <f>IF(B16&lt;=ReportDate,SUMIFS(План!B:B,План!C:C,"&gt;="&amp;Формулы!B16,План!C:C,"&lt;"&amp;Формулы!C16),"")</f>
        <v>1</v>
      </c>
      <c r="I16">
        <f t="shared" si="3"/>
        <v>5</v>
      </c>
      <c r="J16">
        <f t="shared" si="4"/>
        <v>32</v>
      </c>
      <c r="K16">
        <f t="shared" si="5"/>
        <v>-5</v>
      </c>
      <c r="L16" t="str">
        <f>IF(A16&gt;0, 1-_xlfn.NORM.DIST(WorkLeft,A16*(AvVelocity-AvDobav),SQRT(A16*(StdDobav*StdDobav+StdVelocity*StdVelocity)),TRUE),"")</f>
        <v/>
      </c>
      <c r="M16" t="str">
        <f t="shared" si="6"/>
        <v/>
      </c>
    </row>
    <row r="17" spans="1:13" x14ac:dyDescent="0.35">
      <c r="A17">
        <f>D17-CurrentSprint</f>
        <v>-2</v>
      </c>
      <c r="B17" s="2">
        <f t="shared" si="7"/>
        <v>43983</v>
      </c>
      <c r="C17" s="2">
        <f t="shared" si="0"/>
        <v>43990</v>
      </c>
      <c r="D17">
        <v>4</v>
      </c>
      <c r="E17" s="2" t="str">
        <f t="shared" si="1"/>
        <v>01/06</v>
      </c>
      <c r="F17">
        <f>IF(B17&lt;=ReportDate,SUMIFS(План!B:B,План!D:D,"&gt;="&amp;Формулы!B17,План!D:D,"&lt;"&amp;Формулы!C17),"")</f>
        <v>11</v>
      </c>
      <c r="G17">
        <f t="shared" si="2"/>
        <v>30</v>
      </c>
      <c r="H17">
        <f>IF(B17&lt;=ReportDate,SUMIFS(План!B:B,План!C:C,"&gt;="&amp;Формулы!B17,План!C:C,"&lt;"&amp;Формулы!C17),"")</f>
        <v>1</v>
      </c>
      <c r="I17">
        <f t="shared" si="3"/>
        <v>6</v>
      </c>
      <c r="J17">
        <f t="shared" si="4"/>
        <v>21</v>
      </c>
      <c r="K17">
        <f t="shared" si="5"/>
        <v>-6</v>
      </c>
      <c r="L17" t="str">
        <f>IF(A17&gt;0, 1-_xlfn.NORM.DIST(WorkLeft,A17*(AvVelocity-AvDobav),SQRT(A17*(StdDobav*StdDobav+StdVelocity*StdVelocity)),TRUE),"")</f>
        <v/>
      </c>
      <c r="M17" t="str">
        <f t="shared" si="6"/>
        <v/>
      </c>
    </row>
    <row r="18" spans="1:13" x14ac:dyDescent="0.35">
      <c r="A18">
        <f>D18-CurrentSprint</f>
        <v>-1</v>
      </c>
      <c r="B18" s="2">
        <f t="shared" si="7"/>
        <v>43990</v>
      </c>
      <c r="C18" s="2">
        <f t="shared" si="0"/>
        <v>43997</v>
      </c>
      <c r="D18">
        <v>5</v>
      </c>
      <c r="E18" s="2" t="str">
        <f t="shared" si="1"/>
        <v>08/06</v>
      </c>
      <c r="F18">
        <f>IF(B18&lt;=ReportDate,SUMIFS(План!B:B,План!D:D,"&gt;="&amp;Формулы!B18,План!D:D,"&lt;"&amp;Формулы!C18),"")</f>
        <v>3</v>
      </c>
      <c r="G18">
        <f t="shared" si="2"/>
        <v>33</v>
      </c>
      <c r="H18">
        <f>IF(B18&lt;=ReportDate,SUMIFS(План!B:B,План!C:C,"&gt;="&amp;Формулы!B18,План!C:C,"&lt;"&amp;Формулы!C18),"")</f>
        <v>8</v>
      </c>
      <c r="I18">
        <f t="shared" si="3"/>
        <v>14</v>
      </c>
      <c r="J18">
        <f t="shared" si="4"/>
        <v>18</v>
      </c>
      <c r="K18">
        <f t="shared" si="5"/>
        <v>-14</v>
      </c>
      <c r="L18" t="str">
        <f>IF(A18&gt;0, 1-_xlfn.NORM.DIST(WorkLeft,A18*(AvVelocity-AvDobav),SQRT(A18*(StdDobav*StdDobav+StdVelocity*StdVelocity)),TRUE),"")</f>
        <v/>
      </c>
      <c r="M18" t="str">
        <f t="shared" si="6"/>
        <v/>
      </c>
    </row>
    <row r="19" spans="1:13" x14ac:dyDescent="0.35">
      <c r="A19">
        <f>D19-CurrentSprint</f>
        <v>0</v>
      </c>
      <c r="B19" s="2">
        <f t="shared" si="7"/>
        <v>43997</v>
      </c>
      <c r="C19" s="2">
        <f t="shared" si="0"/>
        <v>44004</v>
      </c>
      <c r="D19">
        <v>6</v>
      </c>
      <c r="E19" s="2" t="str">
        <f t="shared" si="1"/>
        <v>15/06</v>
      </c>
      <c r="F19">
        <f>IF(B19&lt;=ReportDate,SUMIFS(План!B:B,План!D:D,"&gt;="&amp;Формулы!B19,План!D:D,"&lt;"&amp;Формулы!C19),"")</f>
        <v>8</v>
      </c>
      <c r="G19">
        <f t="shared" si="2"/>
        <v>41</v>
      </c>
      <c r="H19">
        <f>IF(B19&lt;=ReportDate,SUMIFS(План!B:B,План!C:C,"&gt;="&amp;Формулы!B19,План!C:C,"&lt;"&amp;Формулы!C19),"")</f>
        <v>0</v>
      </c>
      <c r="I19">
        <f t="shared" si="3"/>
        <v>14</v>
      </c>
      <c r="J19">
        <f t="shared" si="4"/>
        <v>10</v>
      </c>
      <c r="K19">
        <f t="shared" si="5"/>
        <v>-14</v>
      </c>
      <c r="L19" t="str">
        <f>IF(A19&gt;0, 1-_xlfn.NORM.DIST(WorkLeft,A19*(AvVelocity-AvDobav),SQRT(A19*(StdDobav*StdDobav+StdVelocity*StdVelocity)),TRUE),"")</f>
        <v/>
      </c>
      <c r="M19" t="str">
        <f t="shared" si="6"/>
        <v/>
      </c>
    </row>
    <row r="20" spans="1:13" x14ac:dyDescent="0.35">
      <c r="A20">
        <f>D20-CurrentSprint</f>
        <v>1</v>
      </c>
      <c r="B20" s="2">
        <f t="shared" si="7"/>
        <v>44004</v>
      </c>
      <c r="C20" s="2">
        <f t="shared" si="0"/>
        <v>44011</v>
      </c>
      <c r="D20">
        <v>7</v>
      </c>
      <c r="E20" s="2" t="str">
        <f t="shared" si="1"/>
        <v>22/06</v>
      </c>
      <c r="F20" t="str">
        <f>IF(B20&lt;=ReportDate,SUMIFS(План!B:B,План!D:D,"&gt;="&amp;Формулы!B20,План!D:D,"&lt;"&amp;Формулы!C20),"")</f>
        <v/>
      </c>
      <c r="G20" t="str">
        <f t="shared" si="2"/>
        <v/>
      </c>
      <c r="H20" t="str">
        <f>IF(B20&lt;=ReportDate,SUMIFS(План!B:B,План!C:C,"&gt;="&amp;Формулы!B20,План!C:C,"&lt;"&amp;Формулы!C20),"")</f>
        <v/>
      </c>
      <c r="I20" t="str">
        <f t="shared" si="3"/>
        <v/>
      </c>
      <c r="J20" t="e">
        <f t="shared" si="4"/>
        <v>#N/A</v>
      </c>
      <c r="K20" t="e">
        <f t="shared" si="5"/>
        <v>#N/A</v>
      </c>
      <c r="L20">
        <f>IF(A20&gt;0, 1-_xlfn.NORM.DIST(WorkLeft,A20*(AvVelocity-AvDobav),SQRT(A20*(StdDobav*StdDobav+StdVelocity*StdVelocity)),TRUE),"")</f>
        <v>5.5818952726660598E-7</v>
      </c>
      <c r="M20" t="str">
        <f t="shared" si="6"/>
        <v/>
      </c>
    </row>
    <row r="21" spans="1:13" x14ac:dyDescent="0.35">
      <c r="A21">
        <f>D21-CurrentSprint</f>
        <v>2</v>
      </c>
      <c r="B21" s="2">
        <f t="shared" si="7"/>
        <v>44011</v>
      </c>
      <c r="C21" s="2">
        <f t="shared" si="0"/>
        <v>44018</v>
      </c>
      <c r="D21">
        <v>8</v>
      </c>
      <c r="E21" s="2" t="str">
        <f t="shared" si="1"/>
        <v>29/06</v>
      </c>
      <c r="F21" t="str">
        <f>IF(B21&lt;=ReportDate,SUMIFS(План!B:B,План!D:D,"&gt;="&amp;Формулы!B21,План!D:D,"&lt;"&amp;Формулы!C21),"")</f>
        <v/>
      </c>
      <c r="G21" t="str">
        <f t="shared" si="2"/>
        <v/>
      </c>
      <c r="H21" t="str">
        <f>IF(B21&lt;=ReportDate,SUMIFS(План!B:B,План!C:C,"&gt;="&amp;Формулы!B21,План!C:C,"&lt;"&amp;Формулы!C21),"")</f>
        <v/>
      </c>
      <c r="I21" t="str">
        <f t="shared" si="3"/>
        <v/>
      </c>
      <c r="J21" t="e">
        <f t="shared" si="4"/>
        <v>#N/A</v>
      </c>
      <c r="K21" t="e">
        <f t="shared" si="5"/>
        <v>#N/A</v>
      </c>
      <c r="L21">
        <f>IF(A21&gt;0, 1-_xlfn.NORM.DIST(WorkLeft,A21*(AvVelocity-AvDobav),SQRT(A21*(StdDobav*StdDobav+StdVelocity*StdVelocity)),TRUE),"")</f>
        <v>4.0377995104814435E-3</v>
      </c>
      <c r="M21">
        <f t="shared" si="6"/>
        <v>4.0372413209541769E-3</v>
      </c>
    </row>
    <row r="22" spans="1:13" x14ac:dyDescent="0.35">
      <c r="A22">
        <f>D22-CurrentSprint</f>
        <v>3</v>
      </c>
      <c r="B22" s="2">
        <f t="shared" si="7"/>
        <v>44018</v>
      </c>
      <c r="C22" s="2">
        <f t="shared" si="0"/>
        <v>44025</v>
      </c>
      <c r="D22">
        <v>9</v>
      </c>
      <c r="E22" s="2" t="str">
        <f t="shared" si="1"/>
        <v>06/07</v>
      </c>
      <c r="F22" t="str">
        <f>IF(B22&lt;=ReportDate,SUMIFS(План!B:B,План!D:D,"&gt;="&amp;Формулы!B22,План!D:D,"&lt;"&amp;Формулы!C22),"")</f>
        <v/>
      </c>
      <c r="G22" t="str">
        <f t="shared" si="2"/>
        <v/>
      </c>
      <c r="H22" t="str">
        <f>IF(B22&lt;=ReportDate,SUMIFS(План!B:B,План!C:C,"&gt;="&amp;Формулы!B22,План!C:C,"&lt;"&amp;Формулы!C22),"")</f>
        <v/>
      </c>
      <c r="I22" t="str">
        <f t="shared" si="3"/>
        <v/>
      </c>
      <c r="J22" t="e">
        <f t="shared" si="4"/>
        <v>#N/A</v>
      </c>
      <c r="K22" t="e">
        <f t="shared" si="5"/>
        <v>#N/A</v>
      </c>
      <c r="L22">
        <f>IF(A22&gt;0, 1-_xlfn.NORM.DIST(WorkLeft,A22*(AvVelocity-AvDobav),SQRT(A22*(StdDobav*StdDobav+StdVelocity*StdVelocity)),TRUE),"")</f>
        <v>6.5016949103513633E-2</v>
      </c>
      <c r="M22">
        <f t="shared" si="6"/>
        <v>6.0979149593032189E-2</v>
      </c>
    </row>
    <row r="23" spans="1:13" x14ac:dyDescent="0.35">
      <c r="A23">
        <f>D23-CurrentSprint</f>
        <v>4</v>
      </c>
      <c r="B23" s="2">
        <f t="shared" si="7"/>
        <v>44025</v>
      </c>
      <c r="C23" s="2">
        <f t="shared" si="0"/>
        <v>44032</v>
      </c>
      <c r="D23">
        <v>10</v>
      </c>
      <c r="E23" s="2" t="str">
        <f t="shared" si="1"/>
        <v>13/07</v>
      </c>
      <c r="F23" t="str">
        <f>IF(B23&lt;=ReportDate,SUMIFS(План!B:B,План!D:D,"&gt;="&amp;Формулы!B23,План!D:D,"&lt;"&amp;Формулы!C23),"")</f>
        <v/>
      </c>
      <c r="G23" t="str">
        <f t="shared" si="2"/>
        <v/>
      </c>
      <c r="H23" t="str">
        <f>IF(B23&lt;=ReportDate,SUMIFS(План!B:B,План!C:C,"&gt;="&amp;Формулы!B23,План!C:C,"&lt;"&amp;Формулы!C23),"")</f>
        <v/>
      </c>
      <c r="I23" t="str">
        <f t="shared" si="3"/>
        <v/>
      </c>
      <c r="J23" t="e">
        <f t="shared" si="4"/>
        <v>#N/A</v>
      </c>
      <c r="K23" t="e">
        <f t="shared" si="5"/>
        <v>#N/A</v>
      </c>
      <c r="L23">
        <f>IF(A23&gt;0, 1-_xlfn.NORM.DIST(WorkLeft,A23*(AvVelocity-AvDobav),SQRT(A23*(StdDobav*StdDobav+StdVelocity*StdVelocity)),TRUE),"")</f>
        <v>0.22686231773297594</v>
      </c>
      <c r="M23">
        <f t="shared" si="6"/>
        <v>0.16184536862946231</v>
      </c>
    </row>
    <row r="24" spans="1:13" x14ac:dyDescent="0.35">
      <c r="A24">
        <f>D24-CurrentSprint</f>
        <v>5</v>
      </c>
      <c r="B24" s="2">
        <f t="shared" si="7"/>
        <v>44032</v>
      </c>
      <c r="C24" s="2">
        <f t="shared" si="0"/>
        <v>44039</v>
      </c>
      <c r="D24">
        <v>11</v>
      </c>
      <c r="E24" s="2" t="str">
        <f t="shared" si="1"/>
        <v>20/07</v>
      </c>
      <c r="F24" t="str">
        <f>IF(B24&lt;=ReportDate,SUMIFS(План!B:B,План!D:D,"&gt;="&amp;Формулы!B24,План!D:D,"&lt;"&amp;Формулы!C24),"")</f>
        <v/>
      </c>
      <c r="G24" t="str">
        <f t="shared" si="2"/>
        <v/>
      </c>
      <c r="H24" t="str">
        <f>IF(B24&lt;=ReportDate,SUMIFS(План!B:B,План!C:C,"&gt;="&amp;Формулы!B24,План!C:C,"&lt;"&amp;Формулы!C24),"")</f>
        <v/>
      </c>
      <c r="I24" t="str">
        <f t="shared" si="3"/>
        <v/>
      </c>
      <c r="J24" t="e">
        <f t="shared" si="4"/>
        <v>#N/A</v>
      </c>
      <c r="K24" t="e">
        <f t="shared" si="5"/>
        <v>#N/A</v>
      </c>
      <c r="L24">
        <f>IF(A24&gt;0, 1-_xlfn.NORM.DIST(WorkLeft,A24*(AvVelocity-AvDobav),SQRT(A24*(StdDobav*StdDobav+StdVelocity*StdVelocity)),TRUE),"")</f>
        <v>0.43347625553767033</v>
      </c>
      <c r="M24">
        <f t="shared" si="6"/>
        <v>0.20661393780469439</v>
      </c>
    </row>
    <row r="25" spans="1:13" x14ac:dyDescent="0.35">
      <c r="A25">
        <f>D25-CurrentSprint</f>
        <v>6</v>
      </c>
      <c r="B25" s="2">
        <f t="shared" si="7"/>
        <v>44039</v>
      </c>
      <c r="C25" s="2">
        <f t="shared" si="0"/>
        <v>44046</v>
      </c>
      <c r="D25">
        <v>12</v>
      </c>
      <c r="E25" s="2" t="str">
        <f t="shared" si="1"/>
        <v>27/07</v>
      </c>
      <c r="F25" t="str">
        <f>IF(B25&lt;=ReportDate,SUMIFS(План!B:B,План!D:D,"&gt;="&amp;Формулы!B25,План!D:D,"&lt;"&amp;Формулы!C25),"")</f>
        <v/>
      </c>
      <c r="G25" t="str">
        <f t="shared" si="2"/>
        <v/>
      </c>
      <c r="H25" t="str">
        <f>IF(B25&lt;=ReportDate,SUMIFS(План!B:B,План!C:C,"&gt;="&amp;Формулы!B25,План!C:C,"&lt;"&amp;Формулы!C25),"")</f>
        <v/>
      </c>
      <c r="I25" t="str">
        <f t="shared" si="3"/>
        <v/>
      </c>
      <c r="J25" t="e">
        <f t="shared" si="4"/>
        <v>#N/A</v>
      </c>
      <c r="K25" t="e">
        <f t="shared" si="5"/>
        <v>#N/A</v>
      </c>
      <c r="L25">
        <f>IF(A25&gt;0, 1-_xlfn.NORM.DIST(WorkLeft,A25*(AvVelocity-AvDobav),SQRT(A25*(StdDobav*StdDobav+StdVelocity*StdVelocity)),TRUE),"")</f>
        <v>0.62014733729901017</v>
      </c>
      <c r="M25">
        <f t="shared" si="6"/>
        <v>0.18667108176133984</v>
      </c>
    </row>
    <row r="26" spans="1:13" x14ac:dyDescent="0.35">
      <c r="A26">
        <f>D26-CurrentSprint</f>
        <v>7</v>
      </c>
      <c r="B26" s="2">
        <f t="shared" si="7"/>
        <v>44046</v>
      </c>
      <c r="C26" s="2">
        <f t="shared" si="0"/>
        <v>44053</v>
      </c>
      <c r="D26">
        <v>13</v>
      </c>
      <c r="E26" s="2" t="str">
        <f t="shared" si="1"/>
        <v>03/08</v>
      </c>
      <c r="F26" t="str">
        <f>IF(B26&lt;=ReportDate,SUMIFS(План!B:B,План!D:D,"&gt;="&amp;Формулы!B26,План!D:D,"&lt;"&amp;Формулы!C26),"")</f>
        <v/>
      </c>
      <c r="G26" t="str">
        <f t="shared" si="2"/>
        <v/>
      </c>
      <c r="H26" t="str">
        <f>IF(B26&lt;=ReportDate,SUMIFS(План!B:B,План!C:C,"&gt;="&amp;Формулы!B26,План!C:C,"&lt;"&amp;Формулы!C26),"")</f>
        <v/>
      </c>
      <c r="I26" t="str">
        <f t="shared" si="3"/>
        <v/>
      </c>
      <c r="J26" t="e">
        <f t="shared" si="4"/>
        <v>#N/A</v>
      </c>
      <c r="K26" t="e">
        <f t="shared" si="5"/>
        <v>#N/A</v>
      </c>
      <c r="L26">
        <f>IF(A26&gt;0, 1-_xlfn.NORM.DIST(WorkLeft,A26*(AvVelocity-AvDobav),SQRT(A26*(StdDobav*StdDobav+StdVelocity*StdVelocity)),TRUE),"")</f>
        <v>0.7605107053039537</v>
      </c>
      <c r="M26">
        <f t="shared" si="6"/>
        <v>0.14036336800494353</v>
      </c>
    </row>
    <row r="27" spans="1:13" x14ac:dyDescent="0.35">
      <c r="A27">
        <f>D27-CurrentSprint</f>
        <v>8</v>
      </c>
      <c r="B27" s="2">
        <f t="shared" si="7"/>
        <v>44053</v>
      </c>
      <c r="C27" s="2">
        <f t="shared" si="0"/>
        <v>44060</v>
      </c>
      <c r="D27">
        <v>14</v>
      </c>
      <c r="E27" s="2" t="str">
        <f t="shared" si="1"/>
        <v>10/08</v>
      </c>
      <c r="F27" t="str">
        <f>IF(B27&lt;=ReportDate,SUMIFS(План!B:B,План!D:D,"&gt;="&amp;Формулы!B27,План!D:D,"&lt;"&amp;Формулы!C27),"")</f>
        <v/>
      </c>
      <c r="G27" t="str">
        <f t="shared" si="2"/>
        <v/>
      </c>
      <c r="H27" t="str">
        <f>IF(B27&lt;=ReportDate,SUMIFS(План!B:B,План!C:C,"&gt;="&amp;Формулы!B27,План!C:C,"&lt;"&amp;Формулы!C27),"")</f>
        <v/>
      </c>
      <c r="I27" t="str">
        <f t="shared" si="3"/>
        <v/>
      </c>
      <c r="J27" t="e">
        <f t="shared" si="4"/>
        <v>#N/A</v>
      </c>
      <c r="K27" t="e">
        <f t="shared" si="5"/>
        <v>#N/A</v>
      </c>
      <c r="L27">
        <f>IF(A27&gt;0, 1-_xlfn.NORM.DIST(WorkLeft,A27*(AvVelocity-AvDobav),SQRT(A27*(StdDobav*StdDobav+StdVelocity*StdVelocity)),TRUE),"")</f>
        <v>0.8553269169089337</v>
      </c>
      <c r="M27">
        <f t="shared" si="6"/>
        <v>9.4816211604979994E-2</v>
      </c>
    </row>
    <row r="28" spans="1:13" x14ac:dyDescent="0.35">
      <c r="A28">
        <f>D28-CurrentSprint</f>
        <v>9</v>
      </c>
      <c r="B28" s="2">
        <f t="shared" si="7"/>
        <v>44060</v>
      </c>
      <c r="C28" s="2">
        <f t="shared" si="0"/>
        <v>44067</v>
      </c>
      <c r="D28">
        <v>15</v>
      </c>
      <c r="E28" s="2" t="str">
        <f t="shared" si="1"/>
        <v>17/08</v>
      </c>
      <c r="F28" t="str">
        <f>IF(B28&lt;=ReportDate,SUMIFS(План!B:B,План!D:D,"&gt;="&amp;Формулы!B28,План!D:D,"&lt;"&amp;Формулы!C28),"")</f>
        <v/>
      </c>
      <c r="G28" t="str">
        <f t="shared" si="2"/>
        <v/>
      </c>
      <c r="H28" t="str">
        <f>IF(B28&lt;=ReportDate,SUMIFS(План!B:B,План!C:C,"&gt;="&amp;Формулы!B28,План!C:C,"&lt;"&amp;Формулы!C28),"")</f>
        <v/>
      </c>
      <c r="I28" t="str">
        <f t="shared" si="3"/>
        <v/>
      </c>
      <c r="J28" t="e">
        <f t="shared" si="4"/>
        <v>#N/A</v>
      </c>
      <c r="K28" t="e">
        <f t="shared" si="5"/>
        <v>#N/A</v>
      </c>
      <c r="L28">
        <f>IF(A28&gt;0, 1-_xlfn.NORM.DIST(WorkLeft,A28*(AvVelocity-AvDobav),SQRT(A28*(StdDobav*StdDobav+StdVelocity*StdVelocity)),TRUE),"")</f>
        <v>0.9152123831703205</v>
      </c>
      <c r="M28">
        <f t="shared" si="6"/>
        <v>5.9885466261386799E-2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План</vt:lpstr>
      <vt:lpstr>Диаграмма</vt:lpstr>
      <vt:lpstr>Формулы</vt:lpstr>
      <vt:lpstr>AvDobav</vt:lpstr>
      <vt:lpstr>AvVelocity</vt:lpstr>
      <vt:lpstr>BackLogSize</vt:lpstr>
      <vt:lpstr>CurrentSprint</vt:lpstr>
      <vt:lpstr>InitialBackLogSize</vt:lpstr>
      <vt:lpstr>ReportDate</vt:lpstr>
      <vt:lpstr>SprintLen</vt:lpstr>
      <vt:lpstr>StdDobav</vt:lpstr>
      <vt:lpstr>StdVelocity</vt:lpstr>
      <vt:lpstr>WorkLeft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Дорофеев</dc:creator>
  <cp:lastModifiedBy>Максим Дорофеев</cp:lastModifiedBy>
  <dcterms:created xsi:type="dcterms:W3CDTF">2020-05-12T11:56:06Z</dcterms:created>
  <dcterms:modified xsi:type="dcterms:W3CDTF">2020-06-05T13:12:34Z</dcterms:modified>
</cp:coreProperties>
</file>