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A\TAHUN 2025\AGUSTUS 25\"/>
    </mc:Choice>
  </mc:AlternateContent>
  <xr:revisionPtr revIDLastSave="0" documentId="13_ncr:1_{17476DCA-9733-4CC3-9AD1-24D79072BDB5}" xr6:coauthVersionLast="47" xr6:coauthVersionMax="47" xr10:uidLastSave="{00000000-0000-0000-0000-000000000000}"/>
  <bookViews>
    <workbookView xWindow="-120" yWindow="-120" windowWidth="20730" windowHeight="11160" tabRatio="807" activeTab="4" xr2:uid="{18E679D2-7BA4-4CDE-A272-0828E9507C2B}"/>
  </bookViews>
  <sheets>
    <sheet name="REG-TX2" sheetId="2" r:id="rId1"/>
    <sheet name="LAMP REG-TX2" sheetId="6" state="hidden" r:id="rId2"/>
    <sheet name="REG-TX3-TX4-KVS" sheetId="5" r:id="rId3"/>
    <sheet name="LAMP REG-TX3" sheetId="3" state="hidden" r:id="rId4"/>
    <sheet name="AEG" sheetId="7" r:id="rId5"/>
    <sheet name="LAMP AEG" sheetId="8" state="hidden" r:id="rId6"/>
    <sheet name="AEP" sheetId="10" r:id="rId7"/>
    <sheet name="LAMP AEP" sheetId="11" state="hidden" r:id="rId8"/>
    <sheet name="ASS MIX" sheetId="12" r:id="rId9"/>
    <sheet name="LAMP ASS MIX" sheetId="13" state="hidden" r:id="rId10"/>
    <sheet name="ASS PARETO" sheetId="14" r:id="rId11"/>
    <sheet name="LAMP ASS PARETO" sheetId="15" state="hidden" r:id="rId12"/>
    <sheet name="ASS DIST" sheetId="16" r:id="rId13"/>
    <sheet name="LAMP ASS DIST" sheetId="17" state="hidden" r:id="rId14"/>
  </sheets>
  <definedNames>
    <definedName name="_xlnm._FilterDatabase" localSheetId="4" hidden="1">AEG!$A$4:$I$98</definedName>
    <definedName name="_xlnm._FilterDatabase" localSheetId="6" hidden="1">AEP!$A$4:$I$98</definedName>
    <definedName name="_xlnm._FilterDatabase" localSheetId="12" hidden="1">'ASS DIST'!$A$4:$I$98</definedName>
    <definedName name="_xlnm._FilterDatabase" localSheetId="8" hidden="1">'ASS MIX'!$A$4:$I$98</definedName>
    <definedName name="_xlnm._FilterDatabase" localSheetId="10" hidden="1">'ASS PARETO'!$A$4:$I$98</definedName>
    <definedName name="_xlnm._FilterDatabase" localSheetId="0" hidden="1">'REG-TX2'!$A$4:$I$98</definedName>
    <definedName name="_xlnm._FilterDatabase" localSheetId="2" hidden="1">'REG-TX3-TX4-KVS'!$A$4:$I$98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8" i="17" l="1"/>
  <c r="AX24" i="17"/>
  <c r="AX26" i="17"/>
  <c r="AX27" i="17"/>
  <c r="AX25" i="17"/>
  <c r="AW27" i="17"/>
  <c r="AW26" i="17"/>
  <c r="AW25" i="17"/>
  <c r="AW24" i="17"/>
  <c r="AV26" i="17"/>
  <c r="AV27" i="17"/>
  <c r="AV24" i="17"/>
  <c r="AU27" i="17"/>
  <c r="AU26" i="17"/>
  <c r="AU25" i="17"/>
  <c r="AU24" i="17"/>
  <c r="F102" i="7"/>
  <c r="F101" i="7"/>
  <c r="F100" i="7"/>
  <c r="AF28" i="6" l="1"/>
  <c r="F97" i="16"/>
  <c r="F96" i="16"/>
  <c r="F95" i="16"/>
  <c r="F95" i="14"/>
  <c r="AG7" i="17"/>
  <c r="AE7" i="17"/>
  <c r="AF6" i="17"/>
  <c r="AH6" i="17" s="1"/>
  <c r="AF5" i="17"/>
  <c r="X7" i="17"/>
  <c r="V7" i="17"/>
  <c r="W6" i="17"/>
  <c r="Y6" i="17" s="1"/>
  <c r="W5" i="17"/>
  <c r="Y5" i="17" s="1"/>
  <c r="N19" i="17"/>
  <c r="P13" i="17"/>
  <c r="P12" i="17"/>
  <c r="P11" i="17"/>
  <c r="D8" i="17"/>
  <c r="AZ8" i="17"/>
  <c r="AZ7" i="17"/>
  <c r="F5" i="17"/>
  <c r="G5" i="17" s="1"/>
  <c r="AZ6" i="17"/>
  <c r="G22" i="16"/>
  <c r="G21" i="16"/>
  <c r="G20" i="16"/>
  <c r="F4" i="16"/>
  <c r="E4" i="16"/>
  <c r="D4" i="16"/>
  <c r="C4" i="16"/>
  <c r="B4" i="16"/>
  <c r="AA8" i="15"/>
  <c r="AA7" i="15"/>
  <c r="AA6" i="15"/>
  <c r="AA5" i="15"/>
  <c r="X8" i="15"/>
  <c r="W8" i="15"/>
  <c r="X7" i="15"/>
  <c r="W7" i="15"/>
  <c r="X6" i="15"/>
  <c r="W6" i="15"/>
  <c r="X5" i="15"/>
  <c r="W5" i="15"/>
  <c r="O19" i="15"/>
  <c r="AV15" i="15"/>
  <c r="AU15" i="15"/>
  <c r="AW14" i="15"/>
  <c r="AX14" i="15" s="1"/>
  <c r="AW13" i="15"/>
  <c r="AX13" i="15" s="1"/>
  <c r="Q13" i="15"/>
  <c r="AW12" i="15"/>
  <c r="AX12" i="15" s="1"/>
  <c r="AX15" i="15" s="1"/>
  <c r="Q12" i="15"/>
  <c r="Q11" i="15"/>
  <c r="D8" i="15"/>
  <c r="AH7" i="15"/>
  <c r="AF7" i="15"/>
  <c r="BC6" i="15"/>
  <c r="AG6" i="15"/>
  <c r="AI6" i="15" s="1"/>
  <c r="BC5" i="15"/>
  <c r="AI5" i="15"/>
  <c r="F5" i="15"/>
  <c r="F6" i="15" s="1"/>
  <c r="BC4" i="15"/>
  <c r="U5" i="8"/>
  <c r="W5" i="8"/>
  <c r="Z7" i="8"/>
  <c r="Z6" i="8"/>
  <c r="Z8" i="8"/>
  <c r="W8" i="8"/>
  <c r="V8" i="8"/>
  <c r="W7" i="8"/>
  <c r="V7" i="8"/>
  <c r="W6" i="8"/>
  <c r="V6" i="8"/>
  <c r="F97" i="14"/>
  <c r="G97" i="14" s="1"/>
  <c r="F96" i="14"/>
  <c r="G53" i="14"/>
  <c r="G52" i="14"/>
  <c r="G51" i="14"/>
  <c r="G50" i="14"/>
  <c r="G22" i="14"/>
  <c r="G21" i="14"/>
  <c r="G20" i="14"/>
  <c r="F4" i="14"/>
  <c r="E4" i="14"/>
  <c r="D4" i="14"/>
  <c r="C4" i="14"/>
  <c r="B4" i="14"/>
  <c r="AW7" i="8"/>
  <c r="AW6" i="8"/>
  <c r="F95" i="5"/>
  <c r="F96" i="5"/>
  <c r="G96" i="5" s="1"/>
  <c r="BA7" i="3"/>
  <c r="BA6" i="3"/>
  <c r="G20" i="5"/>
  <c r="G22" i="5"/>
  <c r="G21" i="5"/>
  <c r="F97" i="5"/>
  <c r="G97" i="5" s="1"/>
  <c r="BD7" i="6"/>
  <c r="BD6" i="6"/>
  <c r="F97" i="2"/>
  <c r="G97" i="2" s="1"/>
  <c r="F36" i="2"/>
  <c r="F35" i="2"/>
  <c r="AE27" i="6"/>
  <c r="N19" i="8"/>
  <c r="O20" i="8" s="1"/>
  <c r="O17" i="11"/>
  <c r="N17" i="11"/>
  <c r="G95" i="5" l="1"/>
  <c r="G96" i="14"/>
  <c r="G95" i="14"/>
  <c r="G96" i="16"/>
  <c r="G97" i="16"/>
  <c r="G95" i="16"/>
  <c r="AF7" i="17"/>
  <c r="AH7" i="17" s="1"/>
  <c r="AH5" i="17"/>
  <c r="W7" i="17"/>
  <c r="Y7" i="17" s="1"/>
  <c r="F6" i="17"/>
  <c r="F7" i="17" s="1"/>
  <c r="AW15" i="15"/>
  <c r="G6" i="15"/>
  <c r="F7" i="15"/>
  <c r="G5" i="15"/>
  <c r="AG7" i="15"/>
  <c r="AI7" i="15" s="1"/>
  <c r="Z5" i="8"/>
  <c r="Z10" i="8"/>
  <c r="V5" i="8"/>
  <c r="G6" i="17" l="1"/>
  <c r="G7" i="17"/>
  <c r="F8" i="15"/>
  <c r="G7" i="15"/>
  <c r="G8" i="15" l="1"/>
  <c r="F9" i="15"/>
  <c r="G9" i="15" l="1"/>
  <c r="F10" i="15"/>
  <c r="G10" i="15" s="1"/>
  <c r="Z8" i="11" l="1"/>
  <c r="Z7" i="11"/>
  <c r="Z6" i="11"/>
  <c r="Z5" i="11"/>
  <c r="D9" i="8"/>
  <c r="D16" i="3"/>
  <c r="F4" i="5"/>
  <c r="C7" i="3"/>
  <c r="F6" i="2"/>
  <c r="F96" i="2" s="1"/>
  <c r="G96" i="2" s="1"/>
  <c r="F5" i="2"/>
  <c r="F95" i="2" s="1"/>
  <c r="G95" i="2" s="1"/>
  <c r="F4" i="2"/>
  <c r="C12" i="3"/>
  <c r="C11" i="3"/>
  <c r="G10" i="3"/>
  <c r="G11" i="3" s="1"/>
  <c r="C6" i="3"/>
  <c r="G5" i="3"/>
  <c r="G6" i="3" s="1"/>
  <c r="G10" i="6"/>
  <c r="C12" i="6"/>
  <c r="C11" i="6"/>
  <c r="C6" i="6"/>
  <c r="C7" i="6"/>
  <c r="F95" i="12"/>
  <c r="G97" i="10"/>
  <c r="G20" i="7"/>
  <c r="G21" i="7"/>
  <c r="G22" i="7"/>
  <c r="G35" i="7"/>
  <c r="G36" i="7"/>
  <c r="G37" i="7"/>
  <c r="G50" i="7"/>
  <c r="G51" i="7"/>
  <c r="G52" i="7"/>
  <c r="H10" i="3" l="1"/>
  <c r="H5" i="3"/>
  <c r="G7" i="3"/>
  <c r="H7" i="3" s="1"/>
  <c r="H6" i="3"/>
  <c r="G12" i="3"/>
  <c r="H12" i="3" s="1"/>
  <c r="H11" i="3"/>
  <c r="F97" i="12" l="1"/>
  <c r="F96" i="12"/>
  <c r="AI7" i="13"/>
  <c r="AI6" i="13"/>
  <c r="AI5" i="13"/>
  <c r="AH7" i="13"/>
  <c r="AG6" i="13"/>
  <c r="AG7" i="13"/>
  <c r="AF7" i="13"/>
  <c r="Y9" i="13"/>
  <c r="W9" i="13"/>
  <c r="X8" i="13"/>
  <c r="Z8" i="13" s="1"/>
  <c r="X7" i="13"/>
  <c r="Z7" i="13" s="1"/>
  <c r="X6" i="13"/>
  <c r="Z6" i="13" s="1"/>
  <c r="X5" i="13"/>
  <c r="Z5" i="13" s="1"/>
  <c r="D8" i="13"/>
  <c r="F5" i="13"/>
  <c r="G5" i="13" s="1"/>
  <c r="O19" i="13"/>
  <c r="AV20" i="13"/>
  <c r="AU20" i="13"/>
  <c r="AW19" i="13"/>
  <c r="AX19" i="13" s="1"/>
  <c r="AW18" i="13"/>
  <c r="AX18" i="13" s="1"/>
  <c r="Q13" i="13"/>
  <c r="AW17" i="13"/>
  <c r="AX17" i="13" s="1"/>
  <c r="AX20" i="13" s="1"/>
  <c r="Q12" i="13"/>
  <c r="Q11" i="13"/>
  <c r="BC6" i="13"/>
  <c r="BC5" i="13"/>
  <c r="BC4" i="13"/>
  <c r="X9" i="13" l="1"/>
  <c r="Z9" i="13" s="1"/>
  <c r="AW20" i="13"/>
  <c r="F6" i="13"/>
  <c r="G97" i="12"/>
  <c r="G53" i="12"/>
  <c r="G52" i="12"/>
  <c r="G51" i="12"/>
  <c r="G50" i="12"/>
  <c r="G22" i="12"/>
  <c r="G21" i="12"/>
  <c r="G20" i="12"/>
  <c r="F4" i="12"/>
  <c r="E4" i="12"/>
  <c r="D4" i="12"/>
  <c r="C4" i="12"/>
  <c r="B4" i="12"/>
  <c r="G96" i="12" l="1"/>
  <c r="G95" i="12"/>
  <c r="G6" i="13"/>
  <c r="F7" i="13"/>
  <c r="G7" i="13" l="1"/>
  <c r="F8" i="13"/>
  <c r="F9" i="13" l="1"/>
  <c r="F10" i="13" s="1"/>
  <c r="G10" i="13" s="1"/>
  <c r="G8" i="13"/>
  <c r="G9" i="13" l="1"/>
  <c r="AX5" i="11" l="1"/>
  <c r="AX4" i="11"/>
  <c r="F5" i="11"/>
  <c r="F6" i="11" s="1"/>
  <c r="F7" i="11" s="1"/>
  <c r="G7" i="11" s="1"/>
  <c r="D8" i="11"/>
  <c r="G50" i="10"/>
  <c r="G53" i="10"/>
  <c r="G52" i="10"/>
  <c r="G51" i="10"/>
  <c r="F97" i="10"/>
  <c r="W8" i="11"/>
  <c r="V8" i="11"/>
  <c r="W7" i="11"/>
  <c r="V7" i="11"/>
  <c r="W6" i="11"/>
  <c r="V6" i="11"/>
  <c r="W5" i="11"/>
  <c r="V5" i="11"/>
  <c r="N19" i="11"/>
  <c r="G22" i="10"/>
  <c r="G21" i="10"/>
  <c r="G20" i="10"/>
  <c r="P13" i="11"/>
  <c r="P12" i="11"/>
  <c r="P11" i="11"/>
  <c r="G5" i="11" l="1"/>
  <c r="G6" i="11"/>
  <c r="AQ15" i="11"/>
  <c r="AP15" i="11"/>
  <c r="AR14" i="11"/>
  <c r="AS14" i="11" s="1"/>
  <c r="AR13" i="11"/>
  <c r="AS13" i="11" s="1"/>
  <c r="AR12" i="11"/>
  <c r="AS12" i="11" s="1"/>
  <c r="F96" i="10"/>
  <c r="G96" i="10" s="1"/>
  <c r="F95" i="10"/>
  <c r="G95" i="10" s="1"/>
  <c r="F4" i="10"/>
  <c r="E4" i="10"/>
  <c r="D4" i="10"/>
  <c r="C4" i="10"/>
  <c r="B4" i="10"/>
  <c r="G11" i="6"/>
  <c r="X18" i="3"/>
  <c r="X19" i="3" s="1"/>
  <c r="AS15" i="11" l="1"/>
  <c r="AR15" i="11"/>
  <c r="G12" i="6"/>
  <c r="H12" i="6" s="1"/>
  <c r="H11" i="6"/>
  <c r="H10" i="6"/>
  <c r="F96" i="7" l="1"/>
  <c r="AP15" i="8"/>
  <c r="AO15" i="8"/>
  <c r="AQ14" i="8"/>
  <c r="AR14" i="8" s="1"/>
  <c r="AQ13" i="8"/>
  <c r="AR13" i="8" s="1"/>
  <c r="AQ12" i="8"/>
  <c r="AR12" i="8" s="1"/>
  <c r="C6" i="8"/>
  <c r="F5" i="8"/>
  <c r="F97" i="7"/>
  <c r="G97" i="7" s="1"/>
  <c r="F4" i="7"/>
  <c r="E4" i="7"/>
  <c r="D4" i="7"/>
  <c r="C4" i="7"/>
  <c r="B4" i="7"/>
  <c r="AF30" i="6"/>
  <c r="AF29" i="6"/>
  <c r="AF27" i="6"/>
  <c r="AF26" i="6"/>
  <c r="AF25" i="6"/>
  <c r="AF24" i="6"/>
  <c r="AU15" i="6"/>
  <c r="AT15" i="6"/>
  <c r="W15" i="6"/>
  <c r="X15" i="6" s="1"/>
  <c r="Y15" i="6" s="1"/>
  <c r="AV14" i="6"/>
  <c r="W14" i="6"/>
  <c r="X14" i="6" s="1"/>
  <c r="Y14" i="6" s="1"/>
  <c r="AV13" i="6"/>
  <c r="AW13" i="6" s="1"/>
  <c r="W13" i="6"/>
  <c r="X13" i="6" s="1"/>
  <c r="Y13" i="6" s="1"/>
  <c r="AV12" i="6"/>
  <c r="AW12" i="6" s="1"/>
  <c r="G5" i="6"/>
  <c r="H5" i="6" s="1"/>
  <c r="E4" i="5"/>
  <c r="D4" i="5"/>
  <c r="C4" i="5"/>
  <c r="B4" i="5"/>
  <c r="AG27" i="3"/>
  <c r="AT15" i="3"/>
  <c r="AS15" i="3"/>
  <c r="AU14" i="3"/>
  <c r="AU13" i="3"/>
  <c r="AV13" i="3" s="1"/>
  <c r="AU12" i="3"/>
  <c r="AV12" i="3" s="1"/>
  <c r="G96" i="7" l="1"/>
  <c r="AV15" i="6"/>
  <c r="AV15" i="3"/>
  <c r="AU15" i="3"/>
  <c r="G6" i="6"/>
  <c r="G7" i="6" s="1"/>
  <c r="H7" i="6" s="1"/>
  <c r="AQ15" i="8"/>
  <c r="F95" i="7"/>
  <c r="G95" i="7" s="1"/>
  <c r="G5" i="8"/>
  <c r="F6" i="8"/>
  <c r="AR15" i="8"/>
  <c r="AW15" i="6"/>
  <c r="H6" i="6" l="1"/>
  <c r="G6" i="8"/>
  <c r="F7" i="8"/>
  <c r="G7" i="8" s="1"/>
  <c r="Y15" i="3" l="1"/>
  <c r="Z15" i="3" s="1"/>
  <c r="AA15" i="3" s="1"/>
  <c r="Y14" i="3"/>
  <c r="Z14" i="3" s="1"/>
  <c r="AA14" i="3" s="1"/>
  <c r="Y13" i="3"/>
  <c r="Z13" i="3" s="1"/>
  <c r="AA13" i="3" s="1"/>
  <c r="D4" i="2" l="1"/>
  <c r="E4" i="2"/>
  <c r="C4" i="2"/>
  <c r="B4" i="2"/>
</calcChain>
</file>

<file path=xl/sharedStrings.xml><?xml version="1.0" encoding="utf-8"?>
<sst xmlns="http://schemas.openxmlformats.org/spreadsheetml/2006/main" count="1086" uniqueCount="240">
  <si>
    <t>AEP</t>
  </si>
  <si>
    <t>AEG</t>
  </si>
  <si>
    <t>D1</t>
  </si>
  <si>
    <t>D2</t>
  </si>
  <si>
    <t>D INAP</t>
  </si>
  <si>
    <t>PENALTY</t>
  </si>
  <si>
    <t>NO</t>
  </si>
  <si>
    <t>INDIKATOR PENILAIAN</t>
  </si>
  <si>
    <t>RANGE</t>
  </si>
  <si>
    <t>NILAI</t>
  </si>
  <si>
    <t>CAPAI TARGET SALES VALUE KSNI</t>
  </si>
  <si>
    <t>MIN</t>
  </si>
  <si>
    <t>MAX</t>
  </si>
  <si>
    <t>BASELINE</t>
  </si>
  <si>
    <t>+ADD</t>
  </si>
  <si>
    <t>+ 7,500,000</t>
  </si>
  <si>
    <t>TARGET</t>
  </si>
  <si>
    <t>%</t>
  </si>
  <si>
    <t>INSENTIF</t>
  </si>
  <si>
    <t>REAL OMS</t>
  </si>
  <si>
    <t xml:space="preserve">CAPAI TARGET ROA PER ECERAN </t>
  </si>
  <si>
    <t>ECERAN</t>
  </si>
  <si>
    <t>D ALL</t>
  </si>
  <si>
    <t>KVS</t>
  </si>
  <si>
    <t>TARGET ROA ECERAN</t>
  </si>
  <si>
    <t>NEXTAR CHOCOPIE 2K</t>
  </si>
  <si>
    <t>AMO CSD 2K</t>
  </si>
  <si>
    <t>TIMEBREAK 2K</t>
  </si>
  <si>
    <t>1 ECERAN</t>
  </si>
  <si>
    <t>2 ECERAN</t>
  </si>
  <si>
    <t>3 ECERAN</t>
  </si>
  <si>
    <t>DS</t>
  </si>
  <si>
    <t>DIVISI</t>
  </si>
  <si>
    <t>ECERAN WAJIB</t>
  </si>
  <si>
    <t>1 BOX</t>
  </si>
  <si>
    <t>MED</t>
  </si>
  <si>
    <t>TGT SETING</t>
  </si>
  <si>
    <t>CAPAI TARGET ECGLOBAL</t>
  </si>
  <si>
    <t>425 EC</t>
  </si>
  <si>
    <t>475 EC</t>
  </si>
  <si>
    <t>525 EC</t>
  </si>
  <si>
    <t>CAPAI OMSET FOKUS</t>
  </si>
  <si>
    <t>CAPAI TARGET OMSET FOKUS</t>
  </si>
  <si>
    <t>CAPAI  EC GLOBAL</t>
  </si>
  <si>
    <t>NEXTAR BROWNIES 2K</t>
  </si>
  <si>
    <t>V</t>
  </si>
  <si>
    <t>SIP 2K</t>
  </si>
  <si>
    <t>ROLLS 500</t>
  </si>
  <si>
    <t>TIMEBREAK 1K</t>
  </si>
  <si>
    <t>SKU FOKUS</t>
  </si>
  <si>
    <t>2 SKU</t>
  </si>
  <si>
    <t>3 SKU</t>
  </si>
  <si>
    <t>NOTE :</t>
  </si>
  <si>
    <t>CAPAI TARGET NOO</t>
  </si>
  <si>
    <t>TGT NOO</t>
  </si>
  <si>
    <t>NOO 40</t>
  </si>
  <si>
    <t>NOO 20</t>
  </si>
  <si>
    <t>NOO 30</t>
  </si>
  <si>
    <t>WAFER 2K</t>
  </si>
  <si>
    <t>TGT ROA</t>
  </si>
  <si>
    <t>TGT</t>
  </si>
  <si>
    <t>REAL</t>
  </si>
  <si>
    <t>TOTAL</t>
  </si>
  <si>
    <t>SIMULASI</t>
  </si>
  <si>
    <t>PENCAPAIN</t>
  </si>
  <si>
    <t>&lt;90%</t>
  </si>
  <si>
    <t>90%-95%</t>
  </si>
  <si>
    <t>95% Up</t>
  </si>
  <si>
    <t>BOBOT MAKSIMAL</t>
  </si>
  <si>
    <t>EC</t>
  </si>
  <si>
    <t>OMS</t>
  </si>
  <si>
    <t>TGT OMS</t>
  </si>
  <si>
    <t>CAPAI TARGET ROA &amp; OMS FOKUS</t>
  </si>
  <si>
    <t>GROWTH WAFER 2K</t>
  </si>
  <si>
    <t>EKSTERNAL PRINCIPLE</t>
  </si>
  <si>
    <t>ROA</t>
  </si>
  <si>
    <t>TGT MIN</t>
  </si>
  <si>
    <t>% GR</t>
  </si>
  <si>
    <t>TARGET ROA &amp; OMSET FOKUS</t>
  </si>
  <si>
    <t>% CB</t>
  </si>
  <si>
    <t>85% CB</t>
  </si>
  <si>
    <t>95% CB</t>
  </si>
  <si>
    <t>100% CB</t>
  </si>
  <si>
    <t xml:space="preserve">CAPAI TARGET TOKO PER TOKO  WAFER 2K UPSELING </t>
  </si>
  <si>
    <t>EKSETRNAL PRINCIPLE</t>
  </si>
  <si>
    <t>1 GROUP</t>
  </si>
  <si>
    <t>2 GROUP</t>
  </si>
  <si>
    <t>JIKA CAPAI 1 GROUP (MEIJI ONLY ATAU SIMBA ONLY)</t>
  </si>
  <si>
    <t>CAPAI 1 GROUP BILA CAPAI 100% VS TARGET SETING</t>
  </si>
  <si>
    <t>KATEGORI</t>
  </si>
  <si>
    <t>CAPAI QTY KRT WAFER 2K</t>
  </si>
  <si>
    <t>WAJIB CAPAI 3 KATEGORI YANG MENJADI PENALTY</t>
  </si>
  <si>
    <t>KANVAS</t>
  </si>
  <si>
    <t>375 EC</t>
  </si>
  <si>
    <t>400 EC</t>
  </si>
  <si>
    <t>4 ECERAN</t>
  </si>
  <si>
    <t>DIVISI ALL (TX2)</t>
  </si>
  <si>
    <t>DIVISI 1 / DIVISI 2</t>
  </si>
  <si>
    <t>SCHEME INSENTIF SALES REGULER TX2 (D1/D2/DALL) AGUSTUS 2025</t>
  </si>
  <si>
    <t>+ 10% GROWTH</t>
  </si>
  <si>
    <t>SCHEME INSENTIF SALES EKSEKUTIF GOLD DIVISI AGUSTUS 2025</t>
  </si>
  <si>
    <t>SCHEME INSENTIF SALES EKSEKUTIF PLATINUM DIVISI AGUSTUS 2025</t>
  </si>
  <si>
    <t>OMSET</t>
  </si>
  <si>
    <t>KOMISI JACKPOT DENGAN MENCAPAI OVER TARGET &amp; CAPAI 3 ECERAN OMS FOKUS (POINT 2)</t>
  </si>
  <si>
    <t>KOMISI SAE P</t>
  </si>
  <si>
    <t>+/-</t>
  </si>
  <si>
    <t>KOMISI</t>
  </si>
  <si>
    <t>NILAI KOMISI</t>
  </si>
  <si>
    <t>Lolos Penalty</t>
  </si>
  <si>
    <t>Kena Penalty</t>
  </si>
  <si>
    <t>SYARAT</t>
  </si>
  <si>
    <t>SYARAT MENDAPATKAN JACKPOT</t>
  </si>
  <si>
    <t>1. CAPAI OVER 100%</t>
  </si>
  <si>
    <t>2. CAPAI OMSET FOKUS MINIMAL 3 ECERAN</t>
  </si>
  <si>
    <t>3. TIDAK KENA PENALTY</t>
  </si>
  <si>
    <t>90% CB</t>
  </si>
  <si>
    <t>97.5% CB</t>
  </si>
  <si>
    <r>
      <rPr>
        <sz val="12"/>
        <color theme="1"/>
        <rFont val="Calibri"/>
        <family val="2"/>
      </rPr>
      <t>≤ 75</t>
    </r>
    <r>
      <rPr>
        <sz val="12"/>
        <color theme="1"/>
        <rFont val="Calibri"/>
        <family val="2"/>
        <scheme val="minor"/>
      </rPr>
      <t>0,000,000</t>
    </r>
  </si>
  <si>
    <t>BUDGET</t>
  </si>
  <si>
    <t>MAKSIMAL</t>
  </si>
  <si>
    <t>PENALTY &amp; KELAS SAE PLATINUM</t>
  </si>
  <si>
    <t xml:space="preserve">BUDGET INSENTIF AKAN DIBERIKAN BERDASARKAKAN KATEGORI OMSET </t>
  </si>
  <si>
    <t>CAPAI 30 TOKO AMO STRATA MIN 2KRT</t>
  </si>
  <si>
    <t>CAPAI 20 TOKO NEXTAR CHOCOPIE STRATA MIN 2KRT</t>
  </si>
  <si>
    <t>CAPAI 30 TOKO NEXTAR CHOCOPIE STRATA MIN 2KRT</t>
  </si>
  <si>
    <t>SYARAT CAPAI WAFER 2K TOTAL KARTON</t>
  </si>
  <si>
    <t>1. TARGET ASS, TERHITUNG SESUAI DENGAN JUMLAH SALESMAN YANG DIHANDLE</t>
  </si>
  <si>
    <t>2. UNTUK PENCAPAIAN 105%, ADA SYRAT CAPAI WAFER 2K TOTAL KARTON</t>
  </si>
  <si>
    <t xml:space="preserve">   </t>
  </si>
  <si>
    <t>1. PERHITUNGAN ASS BERLAKU UNTUK SAE PLATINUM + GOLD + REGULER + INAP</t>
  </si>
  <si>
    <t>CAPAI TARGET OMS FOKUS</t>
  </si>
  <si>
    <t>EC GLOBAL</t>
  </si>
  <si>
    <t>REG TX2</t>
  </si>
  <si>
    <t>REG TX3</t>
  </si>
  <si>
    <t>TEAM</t>
  </si>
  <si>
    <t>TGT EC</t>
  </si>
  <si>
    <t>MPP</t>
  </si>
  <si>
    <t>% TGT EC</t>
  </si>
  <si>
    <t>1. PERHITUNGAN ASS BERLAKU UNTUK SEMUA SALESMAN YANG DIPEGANG, DENGAN TARGET ABSOLUT DIATAS</t>
  </si>
  <si>
    <t>2. UNTUK MASING2 TEAM BISA UNTUK SALING MENUTUPI KEKURANGAN &amp; KELEBIHAN</t>
  </si>
  <si>
    <t>CB</t>
  </si>
  <si>
    <t>TK CAPAI</t>
  </si>
  <si>
    <t xml:space="preserve">1. TARGET PER TOKO AKAN DISETING DARI SALES SUPPORT </t>
  </si>
  <si>
    <t>2. TARGET TOKO DISETING BY TOKO</t>
  </si>
  <si>
    <t>3. TARGET TOKO KHUSUS LIST SAE PLATINUM + GOLD</t>
  </si>
  <si>
    <t>4. HANYA BERLAKU ITEM KEMASAN ISI 80PCS</t>
  </si>
  <si>
    <t>GROUP</t>
  </si>
  <si>
    <t>2. PERHITUNGAN INSENTIF SESUAI DENGAN REALISASI OMSET</t>
  </si>
  <si>
    <t>1. BASELINE TARGET DITENTUKAN OLEH HO</t>
  </si>
  <si>
    <t>1. JIKA TIDAK CAPAI SESUAI MINIMAL DS MAKA ROA TIDAK DIHITUNG (DS DIHITUNG AKUMULASI 1BULAN/TOKO)</t>
  </si>
  <si>
    <t>DALL</t>
  </si>
  <si>
    <t>1. MINIMAL EC YANG DIHITUNG ADALAH RP.75.000/TRANSAKSI KSNI ONLY</t>
  </si>
  <si>
    <t>1. TIDAK ADA OMSET WAJIB PER DIVISI</t>
  </si>
  <si>
    <t>2. JIKA BASELINE DIATAS TARGET MINIMAL MAKA TARGET SETING WAJIB GROWTH 10%</t>
  </si>
  <si>
    <t>2. JIKA HANYA CAPAI 1 ECERAN, HANYA DIPERBOLEHKAN ECERAN WAJIB</t>
  </si>
  <si>
    <t>3. DS YANG DIHITUNG ADALAH TRANSAKSI AKUMULASI PER BULAN</t>
  </si>
  <si>
    <t>D1/D2</t>
  </si>
  <si>
    <t>NOO 25</t>
  </si>
  <si>
    <t>NOO 15</t>
  </si>
  <si>
    <t>KET</t>
  </si>
  <si>
    <t>1. NOO WAJIB TRANSAKSI</t>
  </si>
  <si>
    <t>1. WAJIB CAPAI TARGET ROA DAN TARGET OMSET (HARUS KEDUANYA)</t>
  </si>
  <si>
    <t>1. TARGET PER TOKO AKAN DISETING DARI HO</t>
  </si>
  <si>
    <t>3. ONLY KEMASAN ISI 80PCS</t>
  </si>
  <si>
    <t>1. JIKA CAPAI 1 GROUP (MEIJI ONLY ATAU SIMBA ONLY)</t>
  </si>
  <si>
    <t>2. CAPAI 1 GROUP BILA CAPAI 100% VS TARGET SETING</t>
  </si>
  <si>
    <t>1. WAJIB CAPAI 3 KATEGORI YANG MENJADI PENALTY</t>
  </si>
  <si>
    <t>2. JIKA TIDAK CAPAI SYARAT SALAH SATU MAKA AKAN LANGSUNG MENDAPATKAN PENALTY -15% DARI TOTAL INSENTIF</t>
  </si>
  <si>
    <t>4. KOMISI 0.25% DARI KELEBIHAN OMSET, REWARD MAKSIMAL RP.1.000.000</t>
  </si>
  <si>
    <r>
      <rPr>
        <sz val="12"/>
        <color theme="1"/>
        <rFont val="Calibri"/>
        <family val="2"/>
      </rPr>
      <t>≤ 40</t>
    </r>
    <r>
      <rPr>
        <sz val="12"/>
        <color theme="1"/>
        <rFont val="Calibri"/>
        <family val="2"/>
        <scheme val="minor"/>
      </rPr>
      <t>0,000,000</t>
    </r>
  </si>
  <si>
    <t>&gt; 400,000,000</t>
  </si>
  <si>
    <t>BASELINE + (7.5JT)</t>
  </si>
  <si>
    <t>+ 10,000,000</t>
  </si>
  <si>
    <t>BASELINE + (10 JT)</t>
  </si>
  <si>
    <t>BASELINE + 10%</t>
  </si>
  <si>
    <t>PENENTUAN STRATA SALESMAN BERDASARKAN REALISASI OMSET</t>
  </si>
  <si>
    <r>
      <rPr>
        <sz val="12"/>
        <color theme="1"/>
        <rFont val="Calibri"/>
        <family val="2"/>
      </rPr>
      <t>≤ 1,00</t>
    </r>
    <r>
      <rPr>
        <sz val="12"/>
        <color theme="1"/>
        <rFont val="Calibri"/>
        <family val="2"/>
        <scheme val="minor"/>
      </rPr>
      <t>0,000,000</t>
    </r>
  </si>
  <si>
    <t>&gt; 1,500,000,000</t>
  </si>
  <si>
    <t xml:space="preserve">2. BUDGET INSENTIF AKAN DIBERIKAN BERDASARKAKAN KATEGORI OMSET </t>
  </si>
  <si>
    <t>3. TOKO DENGAN TARGET 2M AKAN DIHILANGKAN DARI TARGET DAN REALISASI</t>
  </si>
  <si>
    <t>2. JIKA BASELINE DIATAS TARGET MINIMAL, MAKA TARGET BASELINE DIKALIKAN GROWTH SESUAI ECERAN</t>
  </si>
  <si>
    <t>6 BTL</t>
  </si>
  <si>
    <t>1 SKU</t>
  </si>
  <si>
    <t>TIMBREAK 2K</t>
  </si>
  <si>
    <t>PENALTY &amp; KELAS'</t>
  </si>
  <si>
    <r>
      <rPr>
        <sz val="12"/>
        <color theme="1"/>
        <rFont val="Calibri"/>
        <family val="2"/>
      </rPr>
      <t>≤ 4</t>
    </r>
    <r>
      <rPr>
        <sz val="12"/>
        <color theme="1"/>
        <rFont val="Calibri"/>
        <family val="2"/>
        <scheme val="minor"/>
      </rPr>
      <t>0,000,000</t>
    </r>
  </si>
  <si>
    <t>&gt; 40,000,000</t>
  </si>
  <si>
    <t>KELAS SALES REGULER</t>
  </si>
  <si>
    <t>CAPAI QTY TGT YG SAMA</t>
  </si>
  <si>
    <t>1. TARGET AKAN DISETING BY TOKO DENGAN QTY YANG SAMA</t>
  </si>
  <si>
    <t>3. WAJIB CAPAI ROA MINIMAL 150 TOKO DAN CAPAI QTY OMSET TARGET</t>
  </si>
  <si>
    <t>KELAS SALES INAP/KVS TX3</t>
  </si>
  <si>
    <t>PENALTY &amp; KELAS  SALESMAN INAP/KANVAS (TX3)</t>
  </si>
  <si>
    <t>PENALTY &amp; KELAS SALESMAN REGULER (TX2)</t>
  </si>
  <si>
    <r>
      <rPr>
        <sz val="12"/>
        <color theme="1"/>
        <rFont val="Calibri"/>
        <family val="2"/>
      </rPr>
      <t>≤ 10</t>
    </r>
    <r>
      <rPr>
        <sz val="12"/>
        <color theme="1"/>
        <rFont val="Calibri"/>
        <family val="2"/>
        <scheme val="minor"/>
      </rPr>
      <t>0,000,000</t>
    </r>
  </si>
  <si>
    <t>&gt; 100,000,000</t>
  </si>
  <si>
    <t>KELAS SALES AEG</t>
  </si>
  <si>
    <t>PENALTY &amp; KELAS  SALESMAN SAE GOLD</t>
  </si>
  <si>
    <t>KELAS SALES AEP</t>
  </si>
  <si>
    <t>KOMISI SAE G</t>
  </si>
  <si>
    <t>4. KOMISI 0.75% DARI KELEBIHAN OMSET, REWARD MAKSIMAL RP.750.000</t>
  </si>
  <si>
    <t>1. PERHITUNGAN ASS BERLAKU UNTUK SAE PLATINUM + GOLD</t>
  </si>
  <si>
    <t>KOMISI ASS PARETO</t>
  </si>
  <si>
    <t>4. KOMISI 0.25% DARI KELEBIHAN OMSET, REWARD MAKSIMAL RP.1.250.000</t>
  </si>
  <si>
    <t>KELAS ASS MIX</t>
  </si>
  <si>
    <t>SCHEME INSENTIF ASS PARETO AGUSTUS 2025</t>
  </si>
  <si>
    <t>SCHEME INSENTIF ASS MIX AGUSTUS 2025</t>
  </si>
  <si>
    <t>SCHEME INSENTIF ASS DISTRIBUSI AGUSTUS 2025</t>
  </si>
  <si>
    <t>CAPAI TARGET OMS DAN ROA FOKUS</t>
  </si>
  <si>
    <t>PENALTY &amp; KELAS ASS MIX</t>
  </si>
  <si>
    <t>CAPAI  ROA GLOBAL</t>
  </si>
  <si>
    <t>CAPAI TARGET OMS &amp; ROA FOKUS</t>
  </si>
  <si>
    <t>2. WAJIB CAPAI ROA DAN OMSET FOKUS (HARUS KEDUANYA)</t>
  </si>
  <si>
    <t>3. TARGET ROA FOKUS UNTUK NEXTAR BROWNIES DI SALES REGULER 100/SALES (DIVISI 2/DIVISI ALL)</t>
  </si>
  <si>
    <t>1. PERHITUNGAN ASS DIST BERDASARKA SALESMAN TX2 + TX3 (BISA TX2 ONLY JIKA GADA TX3 NYA)</t>
  </si>
  <si>
    <t>3. TARGET ROA FOKUS UNTUK NEXTAR BROWNIES 2K DI SALES REGULER 100/SALES (DIVISI 2/DIVISI ALL)</t>
  </si>
  <si>
    <t>ROA GLOBAL</t>
  </si>
  <si>
    <t>% TGT ROA</t>
  </si>
  <si>
    <t>PENALTY &amp; KELAS DISTRIBUSI</t>
  </si>
  <si>
    <t>STD RO</t>
  </si>
  <si>
    <t>TGT/SLS/ABS</t>
  </si>
  <si>
    <t>KRITERIA</t>
  </si>
  <si>
    <t>&gt;90%</t>
  </si>
  <si>
    <r>
      <rPr>
        <sz val="12"/>
        <color theme="1"/>
        <rFont val="Calibri"/>
        <family val="2"/>
      </rPr>
      <t>≤ 35</t>
    </r>
    <r>
      <rPr>
        <sz val="12"/>
        <color theme="1"/>
        <rFont val="Calibri"/>
        <family val="2"/>
        <scheme val="minor"/>
      </rPr>
      <t>0,000,000</t>
    </r>
  </si>
  <si>
    <r>
      <rPr>
        <sz val="12"/>
        <color theme="1"/>
        <rFont val="Calibri"/>
        <family val="2"/>
      </rPr>
      <t>≤ 50</t>
    </r>
    <r>
      <rPr>
        <sz val="12"/>
        <color theme="1"/>
        <rFont val="Calibri"/>
        <family val="2"/>
        <scheme val="minor"/>
      </rPr>
      <t>0,000,000</t>
    </r>
  </si>
  <si>
    <t>&gt; 500,000,000</t>
  </si>
  <si>
    <t>KELAS ASS DIST</t>
  </si>
  <si>
    <t>&gt; 140 JUTA</t>
  </si>
  <si>
    <t>INAP / KANVAS (TX3)</t>
  </si>
  <si>
    <t>CAPAI TARGET ROA &amp; OMS WAFER 2K</t>
  </si>
  <si>
    <t>2. PENCAPAIAN BISA SALING MENUTUPI ANTARA 1 TOKO DENGAN TOKO YANG LAIN  (SIFATNYA AKUMULASI)</t>
  </si>
  <si>
    <t>3. TX3 BISA INPUT WAFER 2K ISI 60 DAN 80 (KHUSUS LAPUL)</t>
  </si>
  <si>
    <t>SCHEME INSENTIF SALES INAP / KANVAS (TX3-TX4) DIVISI AGUSTUS 2025</t>
  </si>
  <si>
    <t>1. MINIMAL EC YANG DIHITUNG ADALAH RP.75.000/TRANSAKSI KSNI ONLY (UNTUK D1 &amp; D2)</t>
  </si>
  <si>
    <t>2. MINIMAL EC YANG DIHITUNG ADALAH RP.100.000/TRANSAKSI KSNI ONLY (UNTUK D ALL)</t>
  </si>
  <si>
    <t>1. TOKO DENGAN TARGET 2M AKAN DIHILANGKAN DARI TARGET DAN REALISASI (KHUSUS CAPAI QTY WAFER 2K)</t>
  </si>
  <si>
    <t>3. JIKA SALESMAN VACANT BERHENTI DI TENGAH BULAN, MAKA TARGET AKAN TETAP HITUNG</t>
  </si>
  <si>
    <t>PENALTY &amp; KELAS ASS PARETO</t>
  </si>
  <si>
    <t>KELAS ASS PARETO</t>
  </si>
  <si>
    <t>BOBOT
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</si>
</sst>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_-* #,##0.0_-;\-* #,##0.0_-;_-* &quot;-&quot;?_-;_-@_-"/>
    <numFmt numFmtId="168" formatCode="_-* #,##0_-;\-* #,##0_-;_-* &quot;-&quot;?_-;_-@_-"/>
    <numFmt numFmtId="169" formatCode="_(* #,##0.0_);_(* \(#,##0.0\);_(* &quot;-&quot;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2"/>
      <name val="Calibri"/>
      <family val="2"/>
      <scheme val="minor"/>
    </font>
    <font>
      <b/>
      <sz val="18"/>
      <color theme="2"/>
      <name val="Calibri"/>
      <family val="2"/>
      <scheme val="minor"/>
    </font>
    <font>
      <sz val="8"/>
      <color theme="2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8"/>
      <color theme="0"/>
      <name val="Calibri"/>
      <family val="2"/>
    </font>
    <font>
      <sz val="18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8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4" fontId="11" fillId="2" borderId="2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165" fontId="6" fillId="0" borderId="5" xfId="2" applyNumberFormat="1" applyFont="1" applyBorder="1" applyAlignment="1">
      <alignment vertical="center"/>
    </xf>
    <xf numFmtId="164" fontId="6" fillId="0" borderId="5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5" fontId="6" fillId="0" borderId="6" xfId="2" applyNumberFormat="1" applyFont="1" applyBorder="1" applyAlignment="1">
      <alignment vertical="center"/>
    </xf>
    <xf numFmtId="164" fontId="6" fillId="0" borderId="6" xfId="1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64" fontId="6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0" borderId="6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6" fillId="0" borderId="5" xfId="2" applyNumberFormat="1" applyFont="1" applyBorder="1" applyAlignment="1">
      <alignment horizontal="center" vertical="center"/>
    </xf>
    <xf numFmtId="165" fontId="6" fillId="0" borderId="6" xfId="2" applyNumberFormat="1" applyFont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right" vertical="center"/>
    </xf>
    <xf numFmtId="164" fontId="5" fillId="0" borderId="3" xfId="1" applyNumberFormat="1" applyFont="1" applyFill="1" applyBorder="1" applyAlignment="1">
      <alignment vertical="center"/>
    </xf>
    <xf numFmtId="164" fontId="5" fillId="0" borderId="3" xfId="1" applyNumberFormat="1" applyFont="1" applyFill="1" applyBorder="1" applyAlignment="1">
      <alignment horizontal="center" vertical="center"/>
    </xf>
    <xf numFmtId="165" fontId="5" fillId="0" borderId="3" xfId="2" applyNumberFormat="1" applyFont="1" applyFill="1" applyBorder="1" applyAlignment="1">
      <alignment horizontal="center" vertical="center"/>
    </xf>
    <xf numFmtId="164" fontId="5" fillId="0" borderId="3" xfId="1" quotePrefix="1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vertical="center"/>
    </xf>
    <xf numFmtId="1" fontId="2" fillId="0" borderId="7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164" fontId="12" fillId="0" borderId="0" xfId="1" applyNumberFormat="1" applyFont="1" applyBorder="1" applyAlignment="1">
      <alignment vertical="center"/>
    </xf>
    <xf numFmtId="164" fontId="12" fillId="0" borderId="0" xfId="1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64" fontId="5" fillId="0" borderId="3" xfId="1" applyNumberFormat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43" fontId="7" fillId="0" borderId="0" xfId="0" applyNumberFormat="1" applyFont="1" applyAlignment="1">
      <alignment vertical="center"/>
    </xf>
    <xf numFmtId="9" fontId="5" fillId="0" borderId="3" xfId="0" applyNumberFormat="1" applyFont="1" applyBorder="1" applyAlignment="1">
      <alignment vertical="center"/>
    </xf>
    <xf numFmtId="9" fontId="5" fillId="0" borderId="3" xfId="2" applyFont="1" applyBorder="1" applyAlignment="1">
      <alignment vertical="center"/>
    </xf>
    <xf numFmtId="165" fontId="5" fillId="0" borderId="3" xfId="2" applyNumberFormat="1" applyFont="1" applyBorder="1" applyAlignment="1">
      <alignment vertical="center"/>
    </xf>
    <xf numFmtId="165" fontId="4" fillId="2" borderId="3" xfId="2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43" fontId="5" fillId="0" borderId="3" xfId="1" applyFont="1" applyBorder="1" applyAlignment="1">
      <alignment vertical="center"/>
    </xf>
    <xf numFmtId="10" fontId="6" fillId="0" borderId="5" xfId="2" applyNumberFormat="1" applyFont="1" applyBorder="1" applyAlignment="1">
      <alignment vertical="center"/>
    </xf>
    <xf numFmtId="10" fontId="6" fillId="0" borderId="6" xfId="2" applyNumberFormat="1" applyFont="1" applyBorder="1" applyAlignment="1">
      <alignment vertical="center"/>
    </xf>
    <xf numFmtId="164" fontId="5" fillId="0" borderId="3" xfId="1" applyNumberFormat="1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66" fontId="6" fillId="0" borderId="5" xfId="1" applyNumberFormat="1" applyFont="1" applyBorder="1" applyAlignment="1">
      <alignment horizontal="center" vertical="center"/>
    </xf>
    <xf numFmtId="166" fontId="6" fillId="0" borderId="6" xfId="1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165" fontId="5" fillId="0" borderId="0" xfId="2" applyNumberFormat="1" applyFont="1" applyAlignment="1">
      <alignment vertical="center"/>
    </xf>
    <xf numFmtId="9" fontId="6" fillId="0" borderId="6" xfId="2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3" fontId="5" fillId="0" borderId="3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20" fillId="2" borderId="3" xfId="0" applyFont="1" applyFill="1" applyBorder="1" applyAlignment="1">
      <alignment horizontal="center" vertical="center"/>
    </xf>
    <xf numFmtId="164" fontId="20" fillId="2" borderId="3" xfId="1" quotePrefix="1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167" fontId="5" fillId="0" borderId="3" xfId="0" applyNumberFormat="1" applyFont="1" applyBorder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168" fontId="5" fillId="0" borderId="3" xfId="0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5" fillId="0" borderId="3" xfId="1" quotePrefix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10" fontId="22" fillId="2" borderId="3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9" fontId="5" fillId="0" borderId="0" xfId="0" applyNumberFormat="1" applyFont="1" applyAlignment="1">
      <alignment vertical="center"/>
    </xf>
    <xf numFmtId="169" fontId="0" fillId="0" borderId="0" xfId="0" applyNumberFormat="1" applyAlignment="1">
      <alignment vertical="center"/>
    </xf>
    <xf numFmtId="164" fontId="5" fillId="0" borderId="0" xfId="1" applyNumberFormat="1" applyFont="1" applyAlignment="1">
      <alignment vertical="center"/>
    </xf>
    <xf numFmtId="164" fontId="8" fillId="0" borderId="0" xfId="1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2" borderId="3" xfId="1" quotePrefix="1" applyNumberFormat="1" applyFont="1" applyFill="1" applyBorder="1" applyAlignment="1">
      <alignment horizontal="center" vertical="center"/>
    </xf>
    <xf numFmtId="164" fontId="1" fillId="0" borderId="3" xfId="1" quotePrefix="1" applyNumberFormat="1" applyFont="1" applyFill="1" applyBorder="1" applyAlignment="1">
      <alignment horizontal="center" vertical="center"/>
    </xf>
    <xf numFmtId="164" fontId="28" fillId="2" borderId="2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" fontId="5" fillId="0" borderId="3" xfId="1" applyNumberFormat="1" applyFont="1" applyBorder="1" applyAlignment="1">
      <alignment horizontal="center" vertical="center"/>
    </xf>
    <xf numFmtId="1" fontId="4" fillId="2" borderId="3" xfId="1" applyNumberFormat="1" applyFont="1" applyFill="1" applyBorder="1" applyAlignment="1">
      <alignment horizontal="center" vertical="center" wrapText="1"/>
    </xf>
    <xf numFmtId="9" fontId="4" fillId="2" borderId="3" xfId="2" applyFont="1" applyFill="1" applyBorder="1" applyAlignment="1">
      <alignment horizontal="center" vertical="center" wrapText="1"/>
    </xf>
    <xf numFmtId="165" fontId="5" fillId="0" borderId="3" xfId="2" applyNumberFormat="1" applyFont="1" applyBorder="1" applyAlignment="1">
      <alignment horizontal="center" vertical="center"/>
    </xf>
    <xf numFmtId="43" fontId="5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12" xfId="1" applyNumberFormat="1" applyFont="1" applyBorder="1" applyAlignment="1">
      <alignment horizontal="center" vertical="center"/>
    </xf>
    <xf numFmtId="164" fontId="5" fillId="0" borderId="13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5" fillId="0" borderId="10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9" fontId="5" fillId="0" borderId="4" xfId="2" applyFont="1" applyBorder="1" applyAlignment="1">
      <alignment horizontal="center" vertical="center"/>
    </xf>
    <xf numFmtId="9" fontId="5" fillId="0" borderId="13" xfId="2" applyFont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 wrapText="1"/>
    </xf>
    <xf numFmtId="164" fontId="5" fillId="0" borderId="4" xfId="1" quotePrefix="1" applyNumberFormat="1" applyFont="1" applyFill="1" applyBorder="1" applyAlignment="1">
      <alignment horizontal="center" vertical="center"/>
    </xf>
    <xf numFmtId="164" fontId="5" fillId="0" borderId="13" xfId="1" quotePrefix="1" applyNumberFormat="1" applyFont="1" applyFill="1" applyBorder="1" applyAlignment="1">
      <alignment horizontal="center" vertical="center"/>
    </xf>
    <xf numFmtId="164" fontId="5" fillId="0" borderId="11" xfId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38" fillId="4" borderId="6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39" fillId="4" borderId="5" xfId="0" applyFont="1" applyFill="1" applyBorder="1" applyAlignment="1">
      <alignment horizontal="center" vertical="center" wrapText="1"/>
    </xf>
    <xf numFmtId="0" fontId="39" fillId="4" borderId="6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00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3" Type="http://schemas.openxmlformats.org/officeDocument/2006/relationships/image" Target="../media/image15.emf"/><Relationship Id="rId7" Type="http://schemas.openxmlformats.org/officeDocument/2006/relationships/image" Target="../media/image19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6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16.emf"/><Relationship Id="rId9" Type="http://schemas.openxmlformats.org/officeDocument/2006/relationships/image" Target="../media/image2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10" Type="http://schemas.openxmlformats.org/officeDocument/2006/relationships/image" Target="../media/image39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emf"/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10" Type="http://schemas.openxmlformats.org/officeDocument/2006/relationships/image" Target="../media/image49.emf"/><Relationship Id="rId4" Type="http://schemas.openxmlformats.org/officeDocument/2006/relationships/image" Target="../media/image43.emf"/><Relationship Id="rId9" Type="http://schemas.openxmlformats.org/officeDocument/2006/relationships/image" Target="../media/image48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emf"/><Relationship Id="rId3" Type="http://schemas.openxmlformats.org/officeDocument/2006/relationships/image" Target="../media/image44.emf"/><Relationship Id="rId7" Type="http://schemas.openxmlformats.org/officeDocument/2006/relationships/image" Target="../media/image50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7.emf"/><Relationship Id="rId5" Type="http://schemas.openxmlformats.org/officeDocument/2006/relationships/image" Target="../media/image46.emf"/><Relationship Id="rId4" Type="http://schemas.openxmlformats.org/officeDocument/2006/relationships/image" Target="../media/image45.emf"/><Relationship Id="rId9" Type="http://schemas.openxmlformats.org/officeDocument/2006/relationships/image" Target="../media/image49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" Type="http://schemas.openxmlformats.org/officeDocument/2006/relationships/image" Target="../media/image41.emf"/><Relationship Id="rId6" Type="http://schemas.openxmlformats.org/officeDocument/2006/relationships/image" Target="../media/image56.emf"/><Relationship Id="rId11" Type="http://schemas.openxmlformats.org/officeDocument/2006/relationships/image" Target="../media/image61.emf"/><Relationship Id="rId5" Type="http://schemas.openxmlformats.org/officeDocument/2006/relationships/image" Target="../media/image55.emf"/><Relationship Id="rId10" Type="http://schemas.openxmlformats.org/officeDocument/2006/relationships/image" Target="../media/image60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123701</xdr:colOff>
      <xdr:row>35</xdr:row>
      <xdr:rowOff>111331</xdr:rowOff>
    </xdr:from>
    <xdr:to>
      <xdr:col>2</xdr:col>
      <xdr:colOff>2571626</xdr:colOff>
      <xdr:row>39</xdr:row>
      <xdr:rowOff>158956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CB4FD9-A031-E12F-263A-FC3D6A14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532" y="8473539"/>
          <a:ext cx="2447925" cy="987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123701</xdr:colOff>
      <xdr:row>5</xdr:row>
      <xdr:rowOff>123700</xdr:rowOff>
    </xdr:from>
    <xdr:to>
      <xdr:col>2</xdr:col>
      <xdr:colOff>7086476</xdr:colOff>
      <xdr:row>14</xdr:row>
      <xdr:rowOff>218951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3A873A2-948E-875A-83B0-069FD8ED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837" y="1410194"/>
          <a:ext cx="6962775" cy="2210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</xdr:colOff>
      <xdr:row>20</xdr:row>
      <xdr:rowOff>101600</xdr:rowOff>
    </xdr:from>
    <xdr:to>
      <xdr:col>2</xdr:col>
      <xdr:colOff>3435350</xdr:colOff>
      <xdr:row>24</xdr:row>
      <xdr:rowOff>200025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E13B3CE-0F0E-8757-8CD7-4F7A90C5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4864100"/>
          <a:ext cx="329565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3606800</xdr:colOff>
      <xdr:row>20</xdr:row>
      <xdr:rowOff>88900</xdr:rowOff>
    </xdr:from>
    <xdr:to>
      <xdr:col>2</xdr:col>
      <xdr:colOff>5702300</xdr:colOff>
      <xdr:row>24</xdr:row>
      <xdr:rowOff>187325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DCA8B86-F24F-84B1-4CFF-4366D202B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400" y="4851400"/>
          <a:ext cx="20955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127000</xdr:colOff>
      <xdr:row>50</xdr:row>
      <xdr:rowOff>76200</xdr:rowOff>
    </xdr:from>
    <xdr:to>
      <xdr:col>2</xdr:col>
      <xdr:colOff>3470275</xdr:colOff>
      <xdr:row>54</xdr:row>
      <xdr:rowOff>123825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AB4D6A-6008-B870-F089-DA8212158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0782300"/>
          <a:ext cx="3343275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3695700</xdr:colOff>
      <xdr:row>50</xdr:row>
      <xdr:rowOff>63500</xdr:rowOff>
    </xdr:from>
    <xdr:to>
      <xdr:col>2</xdr:col>
      <xdr:colOff>7038975</xdr:colOff>
      <xdr:row>54</xdr:row>
      <xdr:rowOff>111125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00531A-E6CD-7F30-9A77-71A332A2B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10769600"/>
          <a:ext cx="3343275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65</xdr:row>
      <xdr:rowOff>101600</xdr:rowOff>
    </xdr:from>
    <xdr:to>
      <xdr:col>2</xdr:col>
      <xdr:colOff>3632200</xdr:colOff>
      <xdr:row>69</xdr:row>
      <xdr:rowOff>149225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C663CAC-2333-487F-2754-354BAB2F3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14198600"/>
          <a:ext cx="34671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80</xdr:row>
      <xdr:rowOff>38100</xdr:rowOff>
    </xdr:from>
    <xdr:to>
      <xdr:col>2</xdr:col>
      <xdr:colOff>5514975</xdr:colOff>
      <xdr:row>85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728816E-C909-4DD6-F6DB-9C829A304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560800"/>
          <a:ext cx="5362575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5702300</xdr:colOff>
      <xdr:row>80</xdr:row>
      <xdr:rowOff>38100</xdr:rowOff>
    </xdr:from>
    <xdr:to>
      <xdr:col>2</xdr:col>
      <xdr:colOff>7874000</xdr:colOff>
      <xdr:row>84</xdr:row>
      <xdr:rowOff>85725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8DF5D61-DB75-D72C-E553-DE82AB8C9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1900" y="16560800"/>
          <a:ext cx="21717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4559300</xdr:colOff>
      <xdr:row>86</xdr:row>
      <xdr:rowOff>38100</xdr:rowOff>
    </xdr:from>
    <xdr:to>
      <xdr:col>2</xdr:col>
      <xdr:colOff>7654925</xdr:colOff>
      <xdr:row>90</xdr:row>
      <xdr:rowOff>85725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F48A5D5-0943-E5B4-99F0-FB8606D40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18008600"/>
          <a:ext cx="3095625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5588000</xdr:colOff>
      <xdr:row>79</xdr:row>
      <xdr:rowOff>177800</xdr:rowOff>
    </xdr:from>
    <xdr:to>
      <xdr:col>2</xdr:col>
      <xdr:colOff>7950200</xdr:colOff>
      <xdr:row>84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911B961-0430-404E-9206-7F6643ED18CF}"/>
            </a:ext>
          </a:extLst>
        </xdr:cNvPr>
        <xdr:cNvSpPr/>
      </xdr:nvSpPr>
      <xdr:spPr>
        <a:xfrm>
          <a:off x="6197600" y="14287500"/>
          <a:ext cx="2362200" cy="1206500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4470400</xdr:colOff>
      <xdr:row>85</xdr:row>
      <xdr:rowOff>165100</xdr:rowOff>
    </xdr:from>
    <xdr:to>
      <xdr:col>2</xdr:col>
      <xdr:colOff>7747000</xdr:colOff>
      <xdr:row>90</xdr:row>
      <xdr:rowOff>165100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BC223C4-3D85-46AB-ADA6-37C2FC2B4917}"/>
            </a:ext>
          </a:extLst>
        </xdr:cNvPr>
        <xdr:cNvSpPr/>
      </xdr:nvSpPr>
      <xdr:spPr>
        <a:xfrm>
          <a:off x="5080000" y="17894300"/>
          <a:ext cx="3276600" cy="1206500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139700</xdr:colOff>
      <xdr:row>86</xdr:row>
      <xdr:rowOff>38100</xdr:rowOff>
    </xdr:from>
    <xdr:to>
      <xdr:col>2</xdr:col>
      <xdr:colOff>4225925</xdr:colOff>
      <xdr:row>92</xdr:row>
      <xdr:rowOff>107950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0CD0A8F-B078-F96F-D956-237FC7DC9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15836900"/>
          <a:ext cx="4086225" cy="151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5854700</xdr:colOff>
      <xdr:row>20</xdr:row>
      <xdr:rowOff>76200</xdr:rowOff>
    </xdr:from>
    <xdr:to>
      <xdr:col>2</xdr:col>
      <xdr:colOff>7950200</xdr:colOff>
      <xdr:row>24</xdr:row>
      <xdr:rowOff>174625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1BBD7-8ACC-7AA7-7060-1F6CC1DCE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4300" y="4775200"/>
          <a:ext cx="20955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136071</xdr:colOff>
      <xdr:row>35</xdr:row>
      <xdr:rowOff>74221</xdr:rowOff>
    </xdr:from>
    <xdr:to>
      <xdr:col>2</xdr:col>
      <xdr:colOff>2583996</xdr:colOff>
      <xdr:row>38</xdr:row>
      <xdr:rowOff>112321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EC68F7-C44D-C643-1F45-FE4F1EA74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902" y="8436429"/>
          <a:ext cx="2447925" cy="743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4490356</xdr:colOff>
      <xdr:row>80</xdr:row>
      <xdr:rowOff>197921</xdr:rowOff>
    </xdr:from>
    <xdr:to>
      <xdr:col>2</xdr:col>
      <xdr:colOff>6662056</xdr:colOff>
      <xdr:row>85</xdr:row>
      <xdr:rowOff>10514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A1FF3BF-8131-4844-6438-614ED865F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3083" y="12815453"/>
          <a:ext cx="2171700" cy="987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111331</xdr:colOff>
      <xdr:row>20</xdr:row>
      <xdr:rowOff>61850</xdr:rowOff>
    </xdr:from>
    <xdr:to>
      <xdr:col>2</xdr:col>
      <xdr:colOff>4064206</xdr:colOff>
      <xdr:row>25</xdr:row>
      <xdr:rowOff>119001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93EB62-8E15-4302-9BC3-D989A7A55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058" y="4886201"/>
          <a:ext cx="3952875" cy="1232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148441</xdr:colOff>
      <xdr:row>50</xdr:row>
      <xdr:rowOff>49480</xdr:rowOff>
    </xdr:from>
    <xdr:to>
      <xdr:col>2</xdr:col>
      <xdr:colOff>4091791</xdr:colOff>
      <xdr:row>52</xdr:row>
      <xdr:rowOff>78055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9D5493E-71D4-4F66-4863-6DF232681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168" y="9599220"/>
          <a:ext cx="3943350" cy="49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173182</xdr:colOff>
      <xdr:row>80</xdr:row>
      <xdr:rowOff>148442</xdr:rowOff>
    </xdr:from>
    <xdr:to>
      <xdr:col>2</xdr:col>
      <xdr:colOff>4259407</xdr:colOff>
      <xdr:row>85</xdr:row>
      <xdr:rowOff>205593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5F5751-4F8B-110E-DF10-53BBDA078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09" y="12765974"/>
          <a:ext cx="4086225" cy="1232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136072</xdr:colOff>
      <xdr:row>86</xdr:row>
      <xdr:rowOff>74222</xdr:rowOff>
    </xdr:from>
    <xdr:to>
      <xdr:col>2</xdr:col>
      <xdr:colOff>4222297</xdr:colOff>
      <xdr:row>92</xdr:row>
      <xdr:rowOff>143742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0E2201-FCDD-6873-B92F-19EE0B2FB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799" y="14101949"/>
          <a:ext cx="4086225" cy="1479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4366656</xdr:colOff>
      <xdr:row>80</xdr:row>
      <xdr:rowOff>111331</xdr:rowOff>
    </xdr:from>
    <xdr:to>
      <xdr:col>2</xdr:col>
      <xdr:colOff>6728856</xdr:colOff>
      <xdr:row>85</xdr:row>
      <xdr:rowOff>68447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5E0829E-C939-4340-9A4E-D6104DA1967B}"/>
            </a:ext>
          </a:extLst>
        </xdr:cNvPr>
        <xdr:cNvSpPr/>
      </xdr:nvSpPr>
      <xdr:spPr>
        <a:xfrm>
          <a:off x="5059383" y="12728863"/>
          <a:ext cx="2362200" cy="1132279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4284022</xdr:colOff>
      <xdr:row>85</xdr:row>
      <xdr:rowOff>201879</xdr:rowOff>
    </xdr:from>
    <xdr:to>
      <xdr:col>2</xdr:col>
      <xdr:colOff>7632369</xdr:colOff>
      <xdr:row>90</xdr:row>
      <xdr:rowOff>210292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CAC9BF4-671F-48E9-B1DF-8BCFB7EA2122}"/>
            </a:ext>
          </a:extLst>
        </xdr:cNvPr>
        <xdr:cNvSpPr/>
      </xdr:nvSpPr>
      <xdr:spPr>
        <a:xfrm>
          <a:off x="4976749" y="13994574"/>
          <a:ext cx="3348347" cy="1183575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4391396</xdr:colOff>
      <xdr:row>86</xdr:row>
      <xdr:rowOff>61851</xdr:rowOff>
    </xdr:from>
    <xdr:to>
      <xdr:col>2</xdr:col>
      <xdr:colOff>7553696</xdr:colOff>
      <xdr:row>90</xdr:row>
      <xdr:rowOff>109476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2A0FC5C-24D1-F9C4-AB3E-0DAA1E25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4123" y="12444351"/>
          <a:ext cx="3162300" cy="987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136072</xdr:colOff>
      <xdr:row>5</xdr:row>
      <xdr:rowOff>111330</xdr:rowOff>
    </xdr:from>
    <xdr:to>
      <xdr:col>2</xdr:col>
      <xdr:colOff>2564947</xdr:colOff>
      <xdr:row>9</xdr:row>
      <xdr:rowOff>158956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C3FB337-966D-E7E3-CBF4-BFBA62F7A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799" y="1397824"/>
          <a:ext cx="2428875" cy="987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4317175</xdr:colOff>
      <xdr:row>20</xdr:row>
      <xdr:rowOff>61851</xdr:rowOff>
    </xdr:from>
    <xdr:to>
      <xdr:col>2</xdr:col>
      <xdr:colOff>6536500</xdr:colOff>
      <xdr:row>24</xdr:row>
      <xdr:rowOff>109475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0B8EC1B-518A-77F7-39FF-1C96C10F4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9902" y="4886202"/>
          <a:ext cx="2219325" cy="98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50</xdr:row>
      <xdr:rowOff>165100</xdr:rowOff>
    </xdr:from>
    <xdr:to>
      <xdr:col>2</xdr:col>
      <xdr:colOff>1962150</xdr:colOff>
      <xdr:row>54</xdr:row>
      <xdr:rowOff>212725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4A2297-3260-C013-F441-F08A0EF9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8267700"/>
          <a:ext cx="177165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</xdr:colOff>
      <xdr:row>80</xdr:row>
      <xdr:rowOff>114300</xdr:rowOff>
    </xdr:from>
    <xdr:to>
      <xdr:col>2</xdr:col>
      <xdr:colOff>4330700</xdr:colOff>
      <xdr:row>84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84E888-458C-1B10-08FC-38DE5B0AD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3309600"/>
          <a:ext cx="41910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</xdr:colOff>
      <xdr:row>65</xdr:row>
      <xdr:rowOff>76200</xdr:rowOff>
    </xdr:from>
    <xdr:to>
      <xdr:col>2</xdr:col>
      <xdr:colOff>1911350</xdr:colOff>
      <xdr:row>68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89C7C4-9C68-D207-7FFF-DC35C8464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1087100"/>
          <a:ext cx="17716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88900</xdr:rowOff>
    </xdr:from>
    <xdr:to>
      <xdr:col>2</xdr:col>
      <xdr:colOff>6057900</xdr:colOff>
      <xdr:row>9</xdr:row>
      <xdr:rowOff>136525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6DAD608-2BEB-A284-6A1A-5DB76C886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397000"/>
          <a:ext cx="58674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20</xdr:row>
      <xdr:rowOff>76200</xdr:rowOff>
    </xdr:from>
    <xdr:to>
      <xdr:col>2</xdr:col>
      <xdr:colOff>3813175</xdr:colOff>
      <xdr:row>25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7B991-A180-9BFA-F6FE-7B3A626B7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3568700"/>
          <a:ext cx="3648075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4508500</xdr:colOff>
      <xdr:row>80</xdr:row>
      <xdr:rowOff>114300</xdr:rowOff>
    </xdr:from>
    <xdr:to>
      <xdr:col>2</xdr:col>
      <xdr:colOff>7670800</xdr:colOff>
      <xdr:row>84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57D1D6-8B86-08F5-456B-F8F3AF51B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3309600"/>
          <a:ext cx="31623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4394200</xdr:colOff>
      <xdr:row>80</xdr:row>
      <xdr:rowOff>25400</xdr:rowOff>
    </xdr:from>
    <xdr:to>
      <xdr:col>2</xdr:col>
      <xdr:colOff>7742547</xdr:colOff>
      <xdr:row>85</xdr:row>
      <xdr:rowOff>2475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2981A3A-35B2-4561-AA35-74A0D676FEFA}"/>
            </a:ext>
          </a:extLst>
        </xdr:cNvPr>
        <xdr:cNvSpPr/>
      </xdr:nvSpPr>
      <xdr:spPr>
        <a:xfrm>
          <a:off x="5207000" y="13220700"/>
          <a:ext cx="3348347" cy="1183575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114300</xdr:colOff>
      <xdr:row>35</xdr:row>
      <xdr:rowOff>63500</xdr:rowOff>
    </xdr:from>
    <xdr:to>
      <xdr:col>2</xdr:col>
      <xdr:colOff>6477000</xdr:colOff>
      <xdr:row>40</xdr:row>
      <xdr:rowOff>120650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EE94D0-7F27-C9E3-452E-6FFAEAD2E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8636000"/>
          <a:ext cx="6362700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4076700</xdr:colOff>
      <xdr:row>20</xdr:row>
      <xdr:rowOff>88900</xdr:rowOff>
    </xdr:from>
    <xdr:to>
      <xdr:col>2</xdr:col>
      <xdr:colOff>6134100</xdr:colOff>
      <xdr:row>24</xdr:row>
      <xdr:rowOff>136525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B6EE1-C0E5-84F3-AF61-B5BBAD897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3581400"/>
          <a:ext cx="20574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50</xdr:row>
      <xdr:rowOff>50800</xdr:rowOff>
    </xdr:from>
    <xdr:to>
      <xdr:col>2</xdr:col>
      <xdr:colOff>1924050</xdr:colOff>
      <xdr:row>55</xdr:row>
      <xdr:rowOff>107950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3756103-EC89-D0C0-1A9F-97285D63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0083800"/>
          <a:ext cx="1771650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</xdr:colOff>
      <xdr:row>5</xdr:row>
      <xdr:rowOff>127000</xdr:rowOff>
    </xdr:from>
    <xdr:to>
      <xdr:col>2</xdr:col>
      <xdr:colOff>2349500</xdr:colOff>
      <xdr:row>7</xdr:row>
      <xdr:rowOff>155575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90A243C-E1C1-F8C6-26C7-6C736F37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35100"/>
          <a:ext cx="22098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127000</xdr:colOff>
      <xdr:row>8</xdr:row>
      <xdr:rowOff>50800</xdr:rowOff>
    </xdr:from>
    <xdr:to>
      <xdr:col>2</xdr:col>
      <xdr:colOff>2336800</xdr:colOff>
      <xdr:row>10</xdr:row>
      <xdr:rowOff>79375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A28B547-3F45-AE8B-BA1C-EF4CD098B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082800"/>
          <a:ext cx="22098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2552700</xdr:colOff>
      <xdr:row>5</xdr:row>
      <xdr:rowOff>139700</xdr:rowOff>
    </xdr:from>
    <xdr:to>
      <xdr:col>2</xdr:col>
      <xdr:colOff>6067425</xdr:colOff>
      <xdr:row>9</xdr:row>
      <xdr:rowOff>187325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1B9EF7F-9660-366E-36D4-6F3192EE2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447800"/>
          <a:ext cx="3514725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4267200</xdr:colOff>
      <xdr:row>20</xdr:row>
      <xdr:rowOff>50800</xdr:rowOff>
    </xdr:from>
    <xdr:to>
      <xdr:col>2</xdr:col>
      <xdr:colOff>6076950</xdr:colOff>
      <xdr:row>24</xdr:row>
      <xdr:rowOff>98425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FF16D30-AF76-DB67-59E0-F28D725D1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3784600"/>
          <a:ext cx="180975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4864100</xdr:colOff>
      <xdr:row>83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82D2A2-627C-5E31-D0DB-613922396A05}"/>
            </a:ext>
          </a:extLst>
        </xdr:cNvPr>
        <xdr:cNvSpPr txBox="1"/>
      </xdr:nvSpPr>
      <xdr:spPr>
        <a:xfrm>
          <a:off x="5676900" y="2019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2</xdr:col>
      <xdr:colOff>152400</xdr:colOff>
      <xdr:row>80</xdr:row>
      <xdr:rowOff>88900</xdr:rowOff>
    </xdr:from>
    <xdr:to>
      <xdr:col>2</xdr:col>
      <xdr:colOff>4295775</xdr:colOff>
      <xdr:row>84</xdr:row>
      <xdr:rowOff>136525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07D2FF-4AB4-FC6F-3A6F-0E52B9BF1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9558000"/>
          <a:ext cx="4143375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</xdr:colOff>
      <xdr:row>65</xdr:row>
      <xdr:rowOff>101600</xdr:rowOff>
    </xdr:from>
    <xdr:to>
      <xdr:col>2</xdr:col>
      <xdr:colOff>1911350</xdr:colOff>
      <xdr:row>68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85A7AA-1AF5-573F-376C-FE53EB11D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3042900"/>
          <a:ext cx="17716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35</xdr:row>
      <xdr:rowOff>88900</xdr:rowOff>
    </xdr:from>
    <xdr:to>
      <xdr:col>2</xdr:col>
      <xdr:colOff>6477000</xdr:colOff>
      <xdr:row>40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F9373-6927-58FF-0262-6968D82C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6489700"/>
          <a:ext cx="6362700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88900</xdr:colOff>
      <xdr:row>20</xdr:row>
      <xdr:rowOff>50800</xdr:rowOff>
    </xdr:from>
    <xdr:to>
      <xdr:col>2</xdr:col>
      <xdr:colOff>3994150</xdr:colOff>
      <xdr:row>25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2A784D-48C3-CFB6-A5AB-6F2596AF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700" y="3784600"/>
          <a:ext cx="3905250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4394200</xdr:colOff>
      <xdr:row>80</xdr:row>
      <xdr:rowOff>12699</xdr:rowOff>
    </xdr:from>
    <xdr:to>
      <xdr:col>2</xdr:col>
      <xdr:colOff>7874000</xdr:colOff>
      <xdr:row>84</xdr:row>
      <xdr:rowOff>215900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98AE828-8FCF-4C52-A69E-C9441F220592}"/>
            </a:ext>
          </a:extLst>
        </xdr:cNvPr>
        <xdr:cNvSpPr/>
      </xdr:nvSpPr>
      <xdr:spPr>
        <a:xfrm>
          <a:off x="5207000" y="14414499"/>
          <a:ext cx="3479800" cy="1168401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4483100</xdr:colOff>
      <xdr:row>80</xdr:row>
      <xdr:rowOff>101600</xdr:rowOff>
    </xdr:from>
    <xdr:to>
      <xdr:col>2</xdr:col>
      <xdr:colOff>7797800</xdr:colOff>
      <xdr:row>84</xdr:row>
      <xdr:rowOff>149225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05335D-37F3-BC2E-3C84-2409DA1BB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14503400"/>
          <a:ext cx="33147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4864100</xdr:colOff>
      <xdr:row>83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E3D5BE2-4177-4732-AFAF-445E6F43138B}"/>
            </a:ext>
          </a:extLst>
        </xdr:cNvPr>
        <xdr:cNvSpPr txBox="1"/>
      </xdr:nvSpPr>
      <xdr:spPr>
        <a:xfrm>
          <a:off x="5673725" y="1564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2</xdr:col>
      <xdr:colOff>127000</xdr:colOff>
      <xdr:row>5</xdr:row>
      <xdr:rowOff>63500</xdr:rowOff>
    </xdr:from>
    <xdr:to>
      <xdr:col>2</xdr:col>
      <xdr:colOff>6451600</xdr:colOff>
      <xdr:row>12</xdr:row>
      <xdr:rowOff>139700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1CB675-87A5-A1E9-F276-45D1A5B3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1371600"/>
          <a:ext cx="6324600" cy="176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20</xdr:row>
      <xdr:rowOff>63500</xdr:rowOff>
    </xdr:from>
    <xdr:to>
      <xdr:col>2</xdr:col>
      <xdr:colOff>1898650</xdr:colOff>
      <xdr:row>25</xdr:row>
      <xdr:rowOff>120650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0849908-C0ED-EE4F-2572-FBAEF2A27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5003800"/>
          <a:ext cx="1733550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35</xdr:row>
      <xdr:rowOff>152400</xdr:rowOff>
    </xdr:from>
    <xdr:to>
      <xdr:col>2</xdr:col>
      <xdr:colOff>4800600</xdr:colOff>
      <xdr:row>41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3E89427-5D10-8BEC-8EFB-7008E21CE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750300"/>
          <a:ext cx="46482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4978400</xdr:colOff>
      <xdr:row>35</xdr:row>
      <xdr:rowOff>152400</xdr:rowOff>
    </xdr:from>
    <xdr:to>
      <xdr:col>2</xdr:col>
      <xdr:colOff>6683375</xdr:colOff>
      <xdr:row>39</xdr:row>
      <xdr:rowOff>200025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02FFA07-1897-0F6E-F5BD-4733C7CA4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8724900"/>
          <a:ext cx="1704975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50</xdr:row>
      <xdr:rowOff>114300</xdr:rowOff>
    </xdr:from>
    <xdr:to>
      <xdr:col>2</xdr:col>
      <xdr:colOff>3575050</xdr:colOff>
      <xdr:row>54</xdr:row>
      <xdr:rowOff>161925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7AE7AB2-CAF8-604E-8B46-7766CA4E6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12319000"/>
          <a:ext cx="340995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4216400</xdr:colOff>
      <xdr:row>50</xdr:row>
      <xdr:rowOff>152400</xdr:rowOff>
    </xdr:from>
    <xdr:to>
      <xdr:col>2</xdr:col>
      <xdr:colOff>5921375</xdr:colOff>
      <xdr:row>55</xdr:row>
      <xdr:rowOff>209550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CF5EBD-1D48-610F-BB0A-94FCCE6F7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2357100"/>
          <a:ext cx="1704975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65</xdr:row>
      <xdr:rowOff>88900</xdr:rowOff>
    </xdr:from>
    <xdr:to>
      <xdr:col>2</xdr:col>
      <xdr:colOff>1924050</xdr:colOff>
      <xdr:row>68</xdr:row>
      <xdr:rowOff>127000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C204296-B03A-4CA9-D67A-FF27A73D8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5925800"/>
          <a:ext cx="17716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2273300</xdr:colOff>
      <xdr:row>20</xdr:row>
      <xdr:rowOff>88900</xdr:rowOff>
    </xdr:from>
    <xdr:to>
      <xdr:col>2</xdr:col>
      <xdr:colOff>4254500</xdr:colOff>
      <xdr:row>24</xdr:row>
      <xdr:rowOff>136525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D34B1DF-83CD-39F4-C6A4-AFC7E8A1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29200"/>
          <a:ext cx="19812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4432300</xdr:colOff>
      <xdr:row>80</xdr:row>
      <xdr:rowOff>88900</xdr:rowOff>
    </xdr:from>
    <xdr:to>
      <xdr:col>2</xdr:col>
      <xdr:colOff>8061325</xdr:colOff>
      <xdr:row>85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95118B-A0DD-8804-CAE2-9A626ADCF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15455900"/>
          <a:ext cx="3629025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4330700</xdr:colOff>
      <xdr:row>80</xdr:row>
      <xdr:rowOff>12700</xdr:rowOff>
    </xdr:from>
    <xdr:to>
      <xdr:col>2</xdr:col>
      <xdr:colOff>8115300</xdr:colOff>
      <xdr:row>85</xdr:row>
      <xdr:rowOff>215900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DBEB477-54F7-4E91-9A7C-4A0739DA7D5A}"/>
            </a:ext>
          </a:extLst>
        </xdr:cNvPr>
        <xdr:cNvSpPr/>
      </xdr:nvSpPr>
      <xdr:spPr>
        <a:xfrm>
          <a:off x="5143500" y="19481800"/>
          <a:ext cx="3784600" cy="1409700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127000</xdr:colOff>
      <xdr:row>80</xdr:row>
      <xdr:rowOff>38100</xdr:rowOff>
    </xdr:from>
    <xdr:to>
      <xdr:col>2</xdr:col>
      <xdr:colOff>4270375</xdr:colOff>
      <xdr:row>87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231DB9-A2CA-9E09-0F79-4E74C8AA2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19532600"/>
          <a:ext cx="4143375" cy="176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4864100</xdr:colOff>
      <xdr:row>83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1E10A2-4486-43D1-B7AD-72A39D4C9EFF}"/>
            </a:ext>
          </a:extLst>
        </xdr:cNvPr>
        <xdr:cNvSpPr txBox="1"/>
      </xdr:nvSpPr>
      <xdr:spPr>
        <a:xfrm>
          <a:off x="5673725" y="1587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2</xdr:col>
      <xdr:colOff>127000</xdr:colOff>
      <xdr:row>5</xdr:row>
      <xdr:rowOff>63500</xdr:rowOff>
    </xdr:from>
    <xdr:to>
      <xdr:col>2</xdr:col>
      <xdr:colOff>6451600</xdr:colOff>
      <xdr:row>12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7F1F73-E362-48FC-9DA3-EF272C1C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625" y="1368425"/>
          <a:ext cx="6324600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20</xdr:row>
      <xdr:rowOff>63500</xdr:rowOff>
    </xdr:from>
    <xdr:to>
      <xdr:col>2</xdr:col>
      <xdr:colOff>1898650</xdr:colOff>
      <xdr:row>25</xdr:row>
      <xdr:rowOff>120650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7C707B-9335-4A32-AD30-B2AB35E7E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725" y="4473575"/>
          <a:ext cx="17335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50</xdr:row>
      <xdr:rowOff>114300</xdr:rowOff>
    </xdr:from>
    <xdr:to>
      <xdr:col>2</xdr:col>
      <xdr:colOff>3575050</xdr:colOff>
      <xdr:row>54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D1362E-6FAF-417A-BFDB-37267757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725" y="10020300"/>
          <a:ext cx="34099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4216400</xdr:colOff>
      <xdr:row>50</xdr:row>
      <xdr:rowOff>152400</xdr:rowOff>
    </xdr:from>
    <xdr:to>
      <xdr:col>2</xdr:col>
      <xdr:colOff>5921375</xdr:colOff>
      <xdr:row>55</xdr:row>
      <xdr:rowOff>209550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EC7178-62B1-4918-BBBC-2FCC4F565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6025" y="10058400"/>
          <a:ext cx="17049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65</xdr:row>
      <xdr:rowOff>88900</xdr:rowOff>
    </xdr:from>
    <xdr:to>
      <xdr:col>2</xdr:col>
      <xdr:colOff>1924050</xdr:colOff>
      <xdr:row>68</xdr:row>
      <xdr:rowOff>127000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4AF0CD8-12B6-41E5-BA27-4274A3F5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3100050"/>
          <a:ext cx="17716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2273300</xdr:colOff>
      <xdr:row>20</xdr:row>
      <xdr:rowOff>88900</xdr:rowOff>
    </xdr:from>
    <xdr:to>
      <xdr:col>2</xdr:col>
      <xdr:colOff>4254500</xdr:colOff>
      <xdr:row>24</xdr:row>
      <xdr:rowOff>136525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2F3712-FB20-4EE9-A11F-6782EA7A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925" y="4498975"/>
          <a:ext cx="19812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35</xdr:row>
      <xdr:rowOff>50800</xdr:rowOff>
    </xdr:from>
    <xdr:to>
      <xdr:col>2</xdr:col>
      <xdr:colOff>6477000</xdr:colOff>
      <xdr:row>40</xdr:row>
      <xdr:rowOff>107950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2E0D7E-91AC-850C-E242-325281013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6934200"/>
          <a:ext cx="6362700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4356100</xdr:colOff>
      <xdr:row>79</xdr:row>
      <xdr:rowOff>215900</xdr:rowOff>
    </xdr:from>
    <xdr:to>
      <xdr:col>2</xdr:col>
      <xdr:colOff>8153400</xdr:colOff>
      <xdr:row>85</xdr:row>
      <xdr:rowOff>215900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DDBEBFB-D93B-4B02-A451-2F5951F11254}"/>
            </a:ext>
          </a:extLst>
        </xdr:cNvPr>
        <xdr:cNvSpPr/>
      </xdr:nvSpPr>
      <xdr:spPr>
        <a:xfrm>
          <a:off x="5168900" y="15341600"/>
          <a:ext cx="3797300" cy="1447800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4445000</xdr:colOff>
      <xdr:row>80</xdr:row>
      <xdr:rowOff>63500</xdr:rowOff>
    </xdr:from>
    <xdr:to>
      <xdr:col>2</xdr:col>
      <xdr:colOff>8074025</xdr:colOff>
      <xdr:row>85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9168E7-8D53-BA88-6A56-48AAEA6B3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15430500"/>
          <a:ext cx="3629025" cy="127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127000</xdr:colOff>
      <xdr:row>80</xdr:row>
      <xdr:rowOff>76200</xdr:rowOff>
    </xdr:from>
    <xdr:to>
      <xdr:col>2</xdr:col>
      <xdr:colOff>4270375</xdr:colOff>
      <xdr:row>87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BFFAEE-B53C-4B11-839F-5F3EB8691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19545300"/>
          <a:ext cx="4143375" cy="176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4864100</xdr:colOff>
      <xdr:row>83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9624F1-820D-4950-935E-B490CC8CDA88}"/>
            </a:ext>
          </a:extLst>
        </xdr:cNvPr>
        <xdr:cNvSpPr txBox="1"/>
      </xdr:nvSpPr>
      <xdr:spPr>
        <a:xfrm>
          <a:off x="5673725" y="1587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2</xdr:col>
      <xdr:colOff>165100</xdr:colOff>
      <xdr:row>20</xdr:row>
      <xdr:rowOff>63500</xdr:rowOff>
    </xdr:from>
    <xdr:to>
      <xdr:col>2</xdr:col>
      <xdr:colOff>1898650</xdr:colOff>
      <xdr:row>25</xdr:row>
      <xdr:rowOff>120650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5747C8-980C-4EF3-89DD-27C3A0AC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725" y="4473575"/>
          <a:ext cx="17335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35</xdr:row>
      <xdr:rowOff>88900</xdr:rowOff>
    </xdr:from>
    <xdr:to>
      <xdr:col>2</xdr:col>
      <xdr:colOff>4762500</xdr:colOff>
      <xdr:row>39</xdr:row>
      <xdr:rowOff>136525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AAEFF6C-C6DA-6270-3612-9BFF51898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8661400"/>
          <a:ext cx="46482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50</xdr:row>
      <xdr:rowOff>127000</xdr:rowOff>
    </xdr:from>
    <xdr:to>
      <xdr:col>2</xdr:col>
      <xdr:colOff>4762500</xdr:colOff>
      <xdr:row>54</xdr:row>
      <xdr:rowOff>174625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F3A785F-F52C-8AC2-AF76-957B4A95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12331700"/>
          <a:ext cx="46482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127000</xdr:colOff>
      <xdr:row>88</xdr:row>
      <xdr:rowOff>50800</xdr:rowOff>
    </xdr:from>
    <xdr:to>
      <xdr:col>2</xdr:col>
      <xdr:colOff>2336800</xdr:colOff>
      <xdr:row>91</xdr:row>
      <xdr:rowOff>88900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1A05621-2084-6DCE-7DDF-298CC4C86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15659100"/>
          <a:ext cx="2209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2552700</xdr:colOff>
      <xdr:row>88</xdr:row>
      <xdr:rowOff>38100</xdr:rowOff>
    </xdr:from>
    <xdr:to>
      <xdr:col>2</xdr:col>
      <xdr:colOff>6181725</xdr:colOff>
      <xdr:row>93</xdr:row>
      <xdr:rowOff>95250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C8AEB1-7123-0031-599B-8549CD92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1437600"/>
          <a:ext cx="3629025" cy="126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2451100</xdr:colOff>
      <xdr:row>87</xdr:row>
      <xdr:rowOff>203200</xdr:rowOff>
    </xdr:from>
    <xdr:to>
      <xdr:col>2</xdr:col>
      <xdr:colOff>6248400</xdr:colOff>
      <xdr:row>93</xdr:row>
      <xdr:rowOff>165100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484EF2C-CD69-4447-83C7-BA47D67998A9}"/>
            </a:ext>
          </a:extLst>
        </xdr:cNvPr>
        <xdr:cNvSpPr/>
      </xdr:nvSpPr>
      <xdr:spPr>
        <a:xfrm>
          <a:off x="3263900" y="21361400"/>
          <a:ext cx="3797300" cy="1409700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152400</xdr:colOff>
      <xdr:row>5</xdr:row>
      <xdr:rowOff>63500</xdr:rowOff>
    </xdr:from>
    <xdr:to>
      <xdr:col>2</xdr:col>
      <xdr:colOff>3667125</xdr:colOff>
      <xdr:row>9</xdr:row>
      <xdr:rowOff>111125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23F6C-B6F1-3DDD-8E31-4F4F754E5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371600"/>
          <a:ext cx="3514725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2070100</xdr:colOff>
      <xdr:row>20</xdr:row>
      <xdr:rowOff>101600</xdr:rowOff>
    </xdr:from>
    <xdr:to>
      <xdr:col>2</xdr:col>
      <xdr:colOff>4394200</xdr:colOff>
      <xdr:row>24</xdr:row>
      <xdr:rowOff>149225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401DB7-6652-9C0B-C633-E8055A439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900" y="3835400"/>
          <a:ext cx="2324100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5003800</xdr:colOff>
      <xdr:row>35</xdr:row>
      <xdr:rowOff>101600</xdr:rowOff>
    </xdr:from>
    <xdr:to>
      <xdr:col>2</xdr:col>
      <xdr:colOff>6708775</xdr:colOff>
      <xdr:row>39</xdr:row>
      <xdr:rowOff>149225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4B4B82-2008-B9E6-7B55-E9CA18809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6743700"/>
          <a:ext cx="1704975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5105400</xdr:colOff>
      <xdr:row>50</xdr:row>
      <xdr:rowOff>101600</xdr:rowOff>
    </xdr:from>
    <xdr:to>
      <xdr:col>2</xdr:col>
      <xdr:colOff>6810375</xdr:colOff>
      <xdr:row>54</xdr:row>
      <xdr:rowOff>149225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5FD44F1-1D20-1A44-8B10-28B765D38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9169400"/>
          <a:ext cx="1704975" cy="101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</xdr:colOff>
      <xdr:row>65</xdr:row>
      <xdr:rowOff>101600</xdr:rowOff>
    </xdr:from>
    <xdr:to>
      <xdr:col>2</xdr:col>
      <xdr:colOff>1911350</xdr:colOff>
      <xdr:row>68</xdr:row>
      <xdr:rowOff>139700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94C71FD-D371-01FE-290F-214C6EECE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1595100"/>
          <a:ext cx="17716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101600</xdr:colOff>
      <xdr:row>80</xdr:row>
      <xdr:rowOff>76200</xdr:rowOff>
    </xdr:from>
    <xdr:to>
      <xdr:col>2</xdr:col>
      <xdr:colOff>6207125</xdr:colOff>
      <xdr:row>87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8C8809-CC42-64BA-528E-5D7953178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3754100"/>
          <a:ext cx="6105525" cy="176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FA1B-BE37-4968-8E2D-1F27B3B3568A}">
  <sheetPr>
    <tabColor rgb="FFFF0000"/>
  </sheetPr>
  <dimension ref="A2:J100"/>
  <sheetViews>
    <sheetView showGridLines="0" topLeftCell="A26" zoomScale="75" zoomScaleNormal="75" workbookViewId="0">
      <selection activeCell="A45" sqref="A45"/>
    </sheetView>
  </sheetViews>
  <sheetFormatPr defaultRowHeight="15" x14ac:dyDescent="0.25"/>
  <cols>
    <col min="1" max="1" width="2.28515625" style="68" customWidth="1"/>
    <col min="2" max="2" width="6.85546875" style="9" customWidth="1"/>
    <col min="3" max="3" width="128.28515625" style="9" customWidth="1"/>
    <col min="4" max="4" width="8.5703125" style="1" customWidth="1"/>
    <col min="5" max="5" width="13.42578125" style="9" customWidth="1"/>
    <col min="6" max="6" width="15.85546875" style="9" customWidth="1"/>
    <col min="7" max="7" width="8.140625" style="9" bestFit="1" customWidth="1"/>
    <col min="8" max="10" width="17.140625" style="9" customWidth="1"/>
    <col min="11" max="16384" width="9.140625" style="9"/>
  </cols>
  <sheetData>
    <row r="2" spans="1:10" s="7" customFormat="1" ht="32.25" thickBot="1" x14ac:dyDescent="0.3">
      <c r="A2" s="69"/>
      <c r="B2" s="49" t="s">
        <v>98</v>
      </c>
      <c r="D2" s="25"/>
      <c r="F2" s="99"/>
    </row>
    <row r="3" spans="1:10" s="6" customFormat="1" ht="27.75" customHeight="1" thickBot="1" x14ac:dyDescent="0.3">
      <c r="A3" s="70"/>
      <c r="B3" s="4" t="s">
        <v>6</v>
      </c>
      <c r="C3" s="4" t="s">
        <v>7</v>
      </c>
      <c r="D3" s="122" t="s">
        <v>8</v>
      </c>
      <c r="E3" s="123"/>
      <c r="F3" s="104" t="s">
        <v>9</v>
      </c>
      <c r="G3" s="47"/>
      <c r="H3" s="48"/>
      <c r="I3" s="7"/>
    </row>
    <row r="4" spans="1:10" s="2" customFormat="1" ht="9" customHeight="1" thickBot="1" x14ac:dyDescent="0.3">
      <c r="A4" s="71"/>
      <c r="B4" s="3" t="str">
        <f>B3</f>
        <v>NO</v>
      </c>
      <c r="C4" s="3" t="str">
        <f t="shared" ref="C4" si="0">C3</f>
        <v>INDIKATOR PENILAIAN</v>
      </c>
      <c r="D4" s="3" t="e">
        <f>#REF!</f>
        <v>#REF!</v>
      </c>
      <c r="E4" s="3" t="str">
        <f>D3</f>
        <v>RANGE</v>
      </c>
      <c r="F4" s="3" t="str">
        <f t="shared" ref="F4" si="1">F3</f>
        <v>NILAI</v>
      </c>
    </row>
    <row r="5" spans="1:10" s="8" customFormat="1" ht="18.75" x14ac:dyDescent="0.25">
      <c r="A5" s="72">
        <v>1</v>
      </c>
      <c r="B5" s="43">
        <v>1</v>
      </c>
      <c r="C5" s="13" t="s">
        <v>10</v>
      </c>
      <c r="D5" s="26" t="s">
        <v>11</v>
      </c>
      <c r="E5" s="14">
        <v>0.95</v>
      </c>
      <c r="F5" s="15">
        <f>F7*50%</f>
        <v>250000</v>
      </c>
      <c r="H5" s="100"/>
      <c r="I5" s="100"/>
      <c r="J5" s="100"/>
    </row>
    <row r="6" spans="1:10" ht="18.75" x14ac:dyDescent="0.25">
      <c r="A6" s="68">
        <v>1</v>
      </c>
      <c r="B6" s="44"/>
      <c r="C6" s="16"/>
      <c r="D6" s="27" t="s">
        <v>35</v>
      </c>
      <c r="E6" s="17">
        <v>0.97499999999999998</v>
      </c>
      <c r="F6" s="18">
        <f>F7*70%</f>
        <v>350000</v>
      </c>
      <c r="H6" s="100"/>
      <c r="I6" s="100"/>
      <c r="J6" s="100"/>
    </row>
    <row r="7" spans="1:10" ht="18.75" x14ac:dyDescent="0.25">
      <c r="A7" s="68">
        <v>1</v>
      </c>
      <c r="B7" s="44"/>
      <c r="C7" s="16"/>
      <c r="D7" s="27" t="s">
        <v>12</v>
      </c>
      <c r="E7" s="17">
        <v>1</v>
      </c>
      <c r="F7" s="18">
        <v>500000</v>
      </c>
      <c r="H7" s="100"/>
      <c r="I7" s="100"/>
      <c r="J7" s="100"/>
    </row>
    <row r="8" spans="1:10" ht="18.75" x14ac:dyDescent="0.25">
      <c r="A8" s="68">
        <v>1</v>
      </c>
      <c r="B8" s="44"/>
      <c r="C8" s="16"/>
      <c r="D8" s="28"/>
      <c r="E8" s="19"/>
      <c r="F8" s="16"/>
    </row>
    <row r="9" spans="1:10" ht="18.75" x14ac:dyDescent="0.25">
      <c r="A9" s="68">
        <v>1</v>
      </c>
      <c r="B9" s="44"/>
      <c r="C9" s="16"/>
      <c r="D9" s="28"/>
      <c r="E9" s="19"/>
      <c r="F9" s="16"/>
    </row>
    <row r="10" spans="1:10" ht="18.75" x14ac:dyDescent="0.25">
      <c r="A10" s="68">
        <v>1</v>
      </c>
      <c r="B10" s="44"/>
      <c r="C10" s="16"/>
      <c r="D10" s="28"/>
      <c r="E10" s="19"/>
      <c r="F10" s="16"/>
    </row>
    <row r="11" spans="1:10" ht="18.75" x14ac:dyDescent="0.25">
      <c r="A11" s="68">
        <v>1</v>
      </c>
      <c r="B11" s="44"/>
      <c r="C11" s="24"/>
      <c r="D11" s="28"/>
      <c r="E11" s="19"/>
      <c r="F11" s="16"/>
    </row>
    <row r="12" spans="1:10" ht="18.75" x14ac:dyDescent="0.25">
      <c r="A12" s="68">
        <v>1</v>
      </c>
      <c r="B12" s="44"/>
      <c r="C12" s="24"/>
      <c r="D12" s="28"/>
      <c r="E12" s="19"/>
      <c r="F12" s="16"/>
    </row>
    <row r="13" spans="1:10" ht="18.75" x14ac:dyDescent="0.25">
      <c r="A13" s="68">
        <v>1</v>
      </c>
      <c r="B13" s="44"/>
      <c r="C13" s="24"/>
      <c r="D13" s="28"/>
      <c r="E13" s="19"/>
      <c r="F13" s="16"/>
    </row>
    <row r="14" spans="1:10" ht="18.75" x14ac:dyDescent="0.25">
      <c r="A14" s="68">
        <v>1</v>
      </c>
      <c r="B14" s="44"/>
      <c r="C14" s="24"/>
      <c r="D14" s="28"/>
      <c r="E14" s="19"/>
      <c r="F14" s="16"/>
    </row>
    <row r="15" spans="1:10" ht="18.75" x14ac:dyDescent="0.25">
      <c r="A15" s="68">
        <v>1</v>
      </c>
      <c r="B15" s="44"/>
      <c r="C15" s="24"/>
      <c r="D15" s="28"/>
      <c r="E15" s="19"/>
      <c r="F15" s="16"/>
    </row>
    <row r="16" spans="1:10" ht="18.75" x14ac:dyDescent="0.25">
      <c r="A16" s="68">
        <v>1</v>
      </c>
      <c r="B16" s="44"/>
      <c r="C16" s="24" t="s">
        <v>52</v>
      </c>
      <c r="D16" s="28"/>
      <c r="E16" s="19"/>
      <c r="F16" s="16"/>
    </row>
    <row r="17" spans="1:8" ht="18.75" x14ac:dyDescent="0.25">
      <c r="A17" s="68">
        <v>1</v>
      </c>
      <c r="B17" s="44"/>
      <c r="C17" s="24" t="s">
        <v>148</v>
      </c>
      <c r="D17" s="28"/>
      <c r="E17" s="19"/>
      <c r="F17" s="16"/>
    </row>
    <row r="18" spans="1:8" ht="18.75" x14ac:dyDescent="0.25">
      <c r="A18" s="68">
        <v>1</v>
      </c>
      <c r="B18" s="44"/>
      <c r="C18" s="24"/>
      <c r="D18" s="28"/>
      <c r="E18" s="19"/>
      <c r="F18" s="16"/>
    </row>
    <row r="19" spans="1:8" ht="19.5" thickBot="1" x14ac:dyDescent="0.3">
      <c r="A19" s="68">
        <v>0</v>
      </c>
      <c r="B19" s="45"/>
      <c r="C19" s="20"/>
      <c r="D19" s="28"/>
      <c r="E19" s="19"/>
      <c r="F19" s="16"/>
    </row>
    <row r="20" spans="1:8" s="8" customFormat="1" ht="18.75" x14ac:dyDescent="0.25">
      <c r="A20" s="68">
        <v>1</v>
      </c>
      <c r="B20" s="43">
        <v>2</v>
      </c>
      <c r="C20" s="140" t="s">
        <v>20</v>
      </c>
      <c r="D20" s="26" t="s">
        <v>11</v>
      </c>
      <c r="E20" s="30" t="s">
        <v>28</v>
      </c>
      <c r="F20" s="15">
        <v>150000</v>
      </c>
      <c r="G20" s="51"/>
      <c r="H20" s="37"/>
    </row>
    <row r="21" spans="1:8" ht="18.75" x14ac:dyDescent="0.25">
      <c r="A21" s="68">
        <v>1</v>
      </c>
      <c r="B21" s="44"/>
      <c r="C21" s="141"/>
      <c r="D21" s="27" t="s">
        <v>35</v>
      </c>
      <c r="E21" s="31" t="s">
        <v>29</v>
      </c>
      <c r="F21" s="18">
        <v>350000</v>
      </c>
      <c r="G21" s="51"/>
      <c r="H21" s="37"/>
    </row>
    <row r="22" spans="1:8" ht="18.75" x14ac:dyDescent="0.25">
      <c r="A22" s="68">
        <v>1</v>
      </c>
      <c r="B22" s="44"/>
      <c r="C22" s="141"/>
      <c r="D22" s="27" t="s">
        <v>12</v>
      </c>
      <c r="E22" s="31" t="s">
        <v>30</v>
      </c>
      <c r="F22" s="18">
        <v>600000</v>
      </c>
      <c r="G22" s="51"/>
      <c r="H22" s="37"/>
    </row>
    <row r="23" spans="1:8" x14ac:dyDescent="0.25">
      <c r="A23" s="68">
        <v>1</v>
      </c>
      <c r="B23" s="44"/>
      <c r="C23" s="141"/>
      <c r="D23" s="105"/>
      <c r="E23" s="106"/>
      <c r="F23" s="106"/>
    </row>
    <row r="24" spans="1:8" ht="18.75" x14ac:dyDescent="0.25">
      <c r="A24" s="68">
        <v>1</v>
      </c>
      <c r="B24" s="44"/>
      <c r="C24" s="141"/>
      <c r="D24" s="28"/>
      <c r="E24" s="19"/>
      <c r="F24" s="16"/>
    </row>
    <row r="25" spans="1:8" ht="18.75" x14ac:dyDescent="0.25">
      <c r="A25" s="68">
        <v>1</v>
      </c>
      <c r="B25" s="44"/>
      <c r="C25" s="141"/>
      <c r="D25" s="28"/>
      <c r="E25" s="19"/>
      <c r="F25" s="16"/>
    </row>
    <row r="26" spans="1:8" ht="18.75" x14ac:dyDescent="0.25">
      <c r="A26" s="68">
        <v>1</v>
      </c>
      <c r="B26" s="44"/>
      <c r="C26" s="142" t="s">
        <v>52</v>
      </c>
      <c r="D26" s="28"/>
      <c r="E26" s="19"/>
      <c r="F26" s="16"/>
    </row>
    <row r="27" spans="1:8" ht="18.75" x14ac:dyDescent="0.25">
      <c r="A27" s="68">
        <v>1</v>
      </c>
      <c r="B27" s="44"/>
      <c r="C27" s="142" t="s">
        <v>149</v>
      </c>
      <c r="D27" s="28"/>
      <c r="E27" s="19"/>
      <c r="F27" s="16"/>
    </row>
    <row r="28" spans="1:8" ht="18.75" x14ac:dyDescent="0.25">
      <c r="A28" s="68">
        <v>1</v>
      </c>
      <c r="B28" s="44"/>
      <c r="C28" s="142" t="s">
        <v>154</v>
      </c>
      <c r="D28" s="28"/>
      <c r="E28" s="19"/>
      <c r="F28" s="16"/>
    </row>
    <row r="29" spans="1:8" ht="18.75" x14ac:dyDescent="0.25">
      <c r="A29" s="68">
        <v>1</v>
      </c>
      <c r="B29" s="44"/>
      <c r="C29" s="142" t="s">
        <v>155</v>
      </c>
      <c r="D29" s="28"/>
      <c r="E29" s="19"/>
      <c r="F29" s="16"/>
    </row>
    <row r="30" spans="1:8" ht="18.75" x14ac:dyDescent="0.25">
      <c r="A30" s="68">
        <v>1</v>
      </c>
      <c r="B30" s="44"/>
      <c r="C30" s="142"/>
      <c r="D30" s="28"/>
      <c r="E30" s="19"/>
      <c r="F30" s="16"/>
    </row>
    <row r="31" spans="1:8" ht="18.75" x14ac:dyDescent="0.25">
      <c r="A31" s="68">
        <v>0</v>
      </c>
      <c r="B31" s="44"/>
      <c r="C31" s="142"/>
      <c r="D31" s="28"/>
      <c r="E31" s="19"/>
      <c r="F31" s="16"/>
    </row>
    <row r="32" spans="1:8" ht="18.75" thickBot="1" x14ac:dyDescent="0.3">
      <c r="A32" s="68">
        <v>0</v>
      </c>
      <c r="B32" s="44"/>
      <c r="C32" s="142"/>
      <c r="D32" s="28"/>
      <c r="E32" s="19"/>
      <c r="F32" s="16"/>
    </row>
    <row r="33" spans="1:7" ht="18.75" thickBot="1" x14ac:dyDescent="0.3">
      <c r="A33" s="68">
        <v>0</v>
      </c>
      <c r="B33" s="44"/>
      <c r="C33" s="142"/>
      <c r="D33" s="28"/>
      <c r="E33" s="19"/>
      <c r="F33" s="16"/>
    </row>
    <row r="34" spans="1:7" ht="19.5" thickBot="1" x14ac:dyDescent="0.3">
      <c r="A34" s="68">
        <v>0</v>
      </c>
      <c r="B34" s="45"/>
      <c r="C34" s="143"/>
      <c r="D34" s="29"/>
      <c r="E34" s="21"/>
      <c r="F34" s="20"/>
    </row>
    <row r="35" spans="1:7" s="8" customFormat="1" ht="18.75" x14ac:dyDescent="0.25">
      <c r="A35" s="68">
        <v>1</v>
      </c>
      <c r="B35" s="43">
        <v>3</v>
      </c>
      <c r="C35" s="13" t="s">
        <v>43</v>
      </c>
      <c r="D35" s="27" t="s">
        <v>11</v>
      </c>
      <c r="E35" s="31" t="s">
        <v>38</v>
      </c>
      <c r="F35" s="18">
        <f>F37*50%</f>
        <v>250000</v>
      </c>
      <c r="G35" s="52"/>
    </row>
    <row r="36" spans="1:7" ht="18.75" x14ac:dyDescent="0.25">
      <c r="A36" s="68">
        <v>1</v>
      </c>
      <c r="B36" s="44"/>
      <c r="C36" s="16"/>
      <c r="D36" s="27" t="s">
        <v>35</v>
      </c>
      <c r="E36" s="31" t="s">
        <v>39</v>
      </c>
      <c r="F36" s="18">
        <f>F37*70%</f>
        <v>350000</v>
      </c>
      <c r="G36" s="52"/>
    </row>
    <row r="37" spans="1:7" ht="18.75" x14ac:dyDescent="0.25">
      <c r="A37" s="68">
        <v>1</v>
      </c>
      <c r="B37" s="44"/>
      <c r="C37" s="16"/>
      <c r="D37" s="27" t="s">
        <v>12</v>
      </c>
      <c r="E37" s="31" t="s">
        <v>40</v>
      </c>
      <c r="F37" s="18">
        <v>500000</v>
      </c>
      <c r="G37" s="52"/>
    </row>
    <row r="38" spans="1:7" ht="18.75" x14ac:dyDescent="0.25">
      <c r="A38" s="68">
        <v>1</v>
      </c>
      <c r="B38" s="44"/>
      <c r="C38" s="16"/>
      <c r="D38" s="27"/>
      <c r="E38" s="31"/>
      <c r="F38" s="18"/>
    </row>
    <row r="39" spans="1:7" ht="18.75" x14ac:dyDescent="0.25">
      <c r="A39" s="68">
        <v>1</v>
      </c>
      <c r="B39" s="44"/>
      <c r="C39" s="16"/>
      <c r="D39" s="28"/>
      <c r="E39" s="19"/>
      <c r="F39" s="16"/>
    </row>
    <row r="40" spans="1:7" ht="18.75" x14ac:dyDescent="0.25">
      <c r="A40" s="68">
        <v>1</v>
      </c>
      <c r="B40" s="44"/>
      <c r="C40" s="16"/>
      <c r="D40" s="28"/>
      <c r="E40" s="19"/>
      <c r="F40" s="16"/>
    </row>
    <row r="41" spans="1:7" ht="18.75" x14ac:dyDescent="0.25">
      <c r="A41" s="68">
        <v>1</v>
      </c>
      <c r="B41" s="44"/>
      <c r="C41" s="24" t="s">
        <v>52</v>
      </c>
      <c r="D41" s="28"/>
      <c r="E41" s="19"/>
      <c r="F41" s="16"/>
    </row>
    <row r="42" spans="1:7" ht="18.75" x14ac:dyDescent="0.25">
      <c r="A42" s="68">
        <v>1</v>
      </c>
      <c r="B42" s="44"/>
      <c r="C42" s="24" t="s">
        <v>233</v>
      </c>
      <c r="D42" s="28"/>
      <c r="E42" s="19"/>
      <c r="F42" s="16"/>
    </row>
    <row r="43" spans="1:7" ht="18.75" x14ac:dyDescent="0.25">
      <c r="A43" s="68">
        <v>1</v>
      </c>
      <c r="B43" s="44"/>
      <c r="C43" s="24" t="s">
        <v>234</v>
      </c>
      <c r="D43" s="28"/>
      <c r="E43" s="19"/>
      <c r="F43" s="16"/>
    </row>
    <row r="44" spans="1:7" ht="18.75" x14ac:dyDescent="0.25">
      <c r="A44" s="68">
        <v>1</v>
      </c>
      <c r="B44" s="44"/>
      <c r="C44" s="24"/>
      <c r="D44" s="28"/>
      <c r="E44" s="19"/>
      <c r="F44" s="16"/>
    </row>
    <row r="45" spans="1:7" ht="18.75" thickBot="1" x14ac:dyDescent="0.3">
      <c r="A45" s="68">
        <v>0</v>
      </c>
      <c r="B45" s="44"/>
      <c r="C45" s="24"/>
      <c r="D45" s="28"/>
      <c r="E45" s="19"/>
      <c r="F45" s="16"/>
    </row>
    <row r="46" spans="1:7" ht="18.75" thickBot="1" x14ac:dyDescent="0.3">
      <c r="A46" s="68">
        <v>0</v>
      </c>
      <c r="B46" s="44"/>
      <c r="C46" s="24"/>
      <c r="D46" s="28"/>
      <c r="E46" s="19"/>
      <c r="F46" s="16"/>
    </row>
    <row r="47" spans="1:7" ht="18.75" thickBot="1" x14ac:dyDescent="0.3">
      <c r="A47" s="68">
        <v>0</v>
      </c>
      <c r="B47" s="44"/>
      <c r="C47" s="24"/>
      <c r="D47" s="28"/>
      <c r="E47" s="19"/>
      <c r="F47" s="16"/>
    </row>
    <row r="48" spans="1:7" ht="18.75" thickBot="1" x14ac:dyDescent="0.3">
      <c r="A48" s="68">
        <v>0</v>
      </c>
      <c r="B48" s="44"/>
      <c r="C48" s="24"/>
      <c r="D48" s="28"/>
      <c r="E48" s="19"/>
      <c r="F48" s="16"/>
    </row>
    <row r="49" spans="1:8" ht="19.5" thickBot="1" x14ac:dyDescent="0.3">
      <c r="A49" s="68">
        <v>0</v>
      </c>
      <c r="B49" s="45"/>
      <c r="C49" s="20"/>
      <c r="D49" s="29"/>
      <c r="E49" s="21"/>
      <c r="F49" s="20"/>
    </row>
    <row r="50" spans="1:8" s="8" customFormat="1" ht="18.75" x14ac:dyDescent="0.25">
      <c r="A50" s="68">
        <v>1</v>
      </c>
      <c r="B50" s="43">
        <v>4</v>
      </c>
      <c r="C50" s="13" t="s">
        <v>41</v>
      </c>
      <c r="D50" s="26" t="s">
        <v>11</v>
      </c>
      <c r="E50" s="30" t="s">
        <v>182</v>
      </c>
      <c r="F50" s="15">
        <v>150000</v>
      </c>
      <c r="G50" s="51"/>
    </row>
    <row r="51" spans="1:8" ht="18.75" x14ac:dyDescent="0.25">
      <c r="A51" s="68">
        <v>1</v>
      </c>
      <c r="B51" s="44"/>
      <c r="C51" s="16"/>
      <c r="D51" s="27" t="s">
        <v>35</v>
      </c>
      <c r="E51" s="31" t="s">
        <v>50</v>
      </c>
      <c r="F51" s="18">
        <v>350000</v>
      </c>
      <c r="G51" s="51"/>
      <c r="H51" s="37"/>
    </row>
    <row r="52" spans="1:8" ht="18.75" x14ac:dyDescent="0.25">
      <c r="A52" s="68">
        <v>1</v>
      </c>
      <c r="B52" s="44"/>
      <c r="C52" s="16"/>
      <c r="D52" s="27" t="s">
        <v>12</v>
      </c>
      <c r="E52" s="31" t="s">
        <v>51</v>
      </c>
      <c r="F52" s="18">
        <v>600000</v>
      </c>
      <c r="G52" s="51"/>
      <c r="H52" s="37"/>
    </row>
    <row r="53" spans="1:8" ht="18.75" x14ac:dyDescent="0.25">
      <c r="A53" s="68">
        <v>1</v>
      </c>
      <c r="B53" s="44"/>
      <c r="C53" s="16"/>
      <c r="D53" s="27"/>
      <c r="E53" s="31"/>
      <c r="F53" s="18"/>
      <c r="H53" s="37"/>
    </row>
    <row r="54" spans="1:8" ht="18.75" x14ac:dyDescent="0.25">
      <c r="A54" s="68">
        <v>1</v>
      </c>
      <c r="B54" s="44"/>
      <c r="C54" s="16"/>
      <c r="D54" s="28"/>
      <c r="E54" s="19"/>
      <c r="F54" s="16"/>
    </row>
    <row r="55" spans="1:8" ht="18.75" x14ac:dyDescent="0.25">
      <c r="A55" s="68">
        <v>1</v>
      </c>
      <c r="B55" s="44"/>
      <c r="C55" s="16"/>
      <c r="D55" s="28"/>
      <c r="E55" s="19"/>
      <c r="F55" s="16"/>
    </row>
    <row r="56" spans="1:8" ht="18.75" x14ac:dyDescent="0.25">
      <c r="A56" s="68">
        <v>1</v>
      </c>
      <c r="B56" s="44"/>
      <c r="C56" s="24" t="s">
        <v>52</v>
      </c>
      <c r="D56" s="28"/>
      <c r="E56" s="19"/>
      <c r="F56" s="16"/>
    </row>
    <row r="57" spans="1:8" ht="18.75" x14ac:dyDescent="0.25">
      <c r="A57" s="68">
        <v>1</v>
      </c>
      <c r="B57" s="44"/>
      <c r="C57" s="24" t="s">
        <v>152</v>
      </c>
      <c r="D57" s="28"/>
      <c r="E57" s="19"/>
      <c r="F57" s="16"/>
    </row>
    <row r="58" spans="1:8" ht="18.75" x14ac:dyDescent="0.25">
      <c r="A58" s="68">
        <v>1</v>
      </c>
      <c r="B58" s="44"/>
      <c r="C58" s="24" t="s">
        <v>153</v>
      </c>
      <c r="D58" s="28"/>
      <c r="E58" s="19"/>
      <c r="F58" s="16"/>
    </row>
    <row r="59" spans="1:8" ht="18.75" x14ac:dyDescent="0.25">
      <c r="A59" s="68">
        <v>1</v>
      </c>
      <c r="B59" s="44"/>
      <c r="C59" s="24"/>
      <c r="D59" s="28"/>
      <c r="E59" s="19"/>
      <c r="F59" s="16"/>
    </row>
    <row r="60" spans="1:8" ht="18.75" x14ac:dyDescent="0.25">
      <c r="A60" s="68">
        <v>0</v>
      </c>
      <c r="B60" s="44"/>
      <c r="C60" s="24"/>
      <c r="D60" s="28"/>
      <c r="E60" s="19"/>
      <c r="F60" s="16"/>
    </row>
    <row r="61" spans="1:8" ht="18.75" thickBot="1" x14ac:dyDescent="0.3">
      <c r="A61" s="68">
        <v>0</v>
      </c>
      <c r="B61" s="44"/>
      <c r="C61" s="24"/>
      <c r="D61" s="28"/>
      <c r="E61" s="19"/>
      <c r="F61" s="16"/>
    </row>
    <row r="62" spans="1:8" ht="18.75" thickBot="1" x14ac:dyDescent="0.3">
      <c r="A62" s="68">
        <v>0</v>
      </c>
      <c r="B62" s="44"/>
      <c r="C62" s="24"/>
      <c r="D62" s="28"/>
      <c r="E62" s="19"/>
      <c r="F62" s="16"/>
    </row>
    <row r="63" spans="1:8" ht="18.75" thickBot="1" x14ac:dyDescent="0.3">
      <c r="A63" s="68">
        <v>0</v>
      </c>
      <c r="B63" s="44"/>
      <c r="C63" s="24"/>
      <c r="D63" s="28"/>
      <c r="E63" s="19"/>
      <c r="F63" s="16"/>
    </row>
    <row r="64" spans="1:8" ht="19.5" thickBot="1" x14ac:dyDescent="0.3">
      <c r="A64" s="68">
        <v>0</v>
      </c>
      <c r="B64" s="45"/>
      <c r="C64" s="20"/>
      <c r="D64" s="29"/>
      <c r="E64" s="21"/>
      <c r="F64" s="20"/>
    </row>
    <row r="65" spans="1:7" s="8" customFormat="1" ht="18.75" x14ac:dyDescent="0.25">
      <c r="A65" s="68">
        <v>1</v>
      </c>
      <c r="B65" s="43">
        <v>5</v>
      </c>
      <c r="C65" s="13" t="s">
        <v>53</v>
      </c>
      <c r="D65" s="26" t="s">
        <v>11</v>
      </c>
      <c r="E65" s="30"/>
      <c r="F65" s="15">
        <v>100000</v>
      </c>
    </row>
    <row r="66" spans="1:7" ht="18.75" x14ac:dyDescent="0.25">
      <c r="A66" s="68">
        <v>1</v>
      </c>
      <c r="B66" s="44"/>
      <c r="C66" s="16"/>
      <c r="D66" s="27" t="s">
        <v>35</v>
      </c>
      <c r="E66" s="31"/>
      <c r="F66" s="18">
        <v>200000</v>
      </c>
      <c r="G66" s="37"/>
    </row>
    <row r="67" spans="1:7" ht="18.75" x14ac:dyDescent="0.25">
      <c r="A67" s="68">
        <v>1</v>
      </c>
      <c r="B67" s="44"/>
      <c r="C67" s="16"/>
      <c r="D67" s="27" t="s">
        <v>12</v>
      </c>
      <c r="E67" s="31"/>
      <c r="F67" s="18">
        <v>300000</v>
      </c>
    </row>
    <row r="68" spans="1:7" ht="18.75" x14ac:dyDescent="0.25">
      <c r="A68" s="68">
        <v>1</v>
      </c>
      <c r="B68" s="44"/>
      <c r="C68" s="16"/>
      <c r="D68" s="27"/>
      <c r="E68" s="31"/>
      <c r="F68" s="18"/>
    </row>
    <row r="69" spans="1:7" ht="18.75" x14ac:dyDescent="0.25">
      <c r="A69" s="68">
        <v>1</v>
      </c>
      <c r="B69" s="44"/>
      <c r="C69" s="16"/>
      <c r="D69" s="28"/>
      <c r="E69" s="19"/>
      <c r="F69" s="16"/>
    </row>
    <row r="70" spans="1:7" ht="18.75" x14ac:dyDescent="0.25">
      <c r="A70" s="68">
        <v>1</v>
      </c>
      <c r="B70" s="44"/>
      <c r="C70" s="16"/>
      <c r="D70" s="28"/>
      <c r="E70" s="19"/>
      <c r="F70" s="16"/>
    </row>
    <row r="71" spans="1:7" ht="18.75" x14ac:dyDescent="0.25">
      <c r="A71" s="68">
        <v>1</v>
      </c>
      <c r="B71" s="44"/>
      <c r="C71" s="24" t="s">
        <v>52</v>
      </c>
      <c r="D71" s="28"/>
      <c r="E71" s="19"/>
      <c r="F71" s="16"/>
    </row>
    <row r="72" spans="1:7" ht="18.75" x14ac:dyDescent="0.25">
      <c r="A72" s="68">
        <v>1</v>
      </c>
      <c r="B72" s="44"/>
      <c r="C72" s="24" t="s">
        <v>160</v>
      </c>
      <c r="D72" s="28"/>
      <c r="E72" s="19"/>
      <c r="F72" s="16"/>
    </row>
    <row r="73" spans="1:7" ht="18.75" x14ac:dyDescent="0.25">
      <c r="A73" s="68">
        <v>1</v>
      </c>
      <c r="B73" s="44"/>
      <c r="C73" s="24"/>
      <c r="D73" s="28"/>
      <c r="E73" s="19"/>
      <c r="F73" s="16"/>
    </row>
    <row r="74" spans="1:7" ht="18.75" x14ac:dyDescent="0.25">
      <c r="A74" s="68">
        <v>0</v>
      </c>
      <c r="B74" s="44"/>
      <c r="C74" s="24"/>
      <c r="D74" s="28"/>
      <c r="E74" s="19"/>
      <c r="F74" s="16"/>
    </row>
    <row r="75" spans="1:7" ht="18.75" thickBot="1" x14ac:dyDescent="0.3">
      <c r="A75" s="68">
        <v>0</v>
      </c>
      <c r="B75" s="44"/>
      <c r="C75" s="24"/>
      <c r="D75" s="28"/>
      <c r="E75" s="19"/>
      <c r="F75" s="16"/>
    </row>
    <row r="76" spans="1:7" ht="18.75" thickBot="1" x14ac:dyDescent="0.3">
      <c r="A76" s="68">
        <v>0</v>
      </c>
      <c r="B76" s="44"/>
      <c r="C76" s="24"/>
      <c r="D76" s="28"/>
      <c r="E76" s="19"/>
      <c r="F76" s="16"/>
    </row>
    <row r="77" spans="1:7" ht="18.75" thickBot="1" x14ac:dyDescent="0.3">
      <c r="A77" s="68">
        <v>0</v>
      </c>
      <c r="B77" s="44"/>
      <c r="C77" s="24"/>
      <c r="D77" s="28"/>
      <c r="E77" s="19"/>
      <c r="F77" s="16"/>
    </row>
    <row r="78" spans="1:7" ht="18.75" thickBot="1" x14ac:dyDescent="0.3">
      <c r="A78" s="68">
        <v>0</v>
      </c>
      <c r="B78" s="44"/>
      <c r="C78" s="24"/>
      <c r="D78" s="28"/>
      <c r="E78" s="19"/>
      <c r="F78" s="16"/>
    </row>
    <row r="79" spans="1:7" ht="19.5" thickBot="1" x14ac:dyDescent="0.3">
      <c r="A79" s="68">
        <v>0</v>
      </c>
      <c r="B79" s="45"/>
      <c r="C79" s="20"/>
      <c r="D79" s="29"/>
      <c r="E79" s="21"/>
      <c r="F79" s="20"/>
    </row>
    <row r="80" spans="1:7" s="8" customFormat="1" ht="18.75" x14ac:dyDescent="0.25">
      <c r="A80" s="68">
        <v>1</v>
      </c>
      <c r="B80" s="43"/>
      <c r="C80" s="13" t="s">
        <v>193</v>
      </c>
      <c r="D80" s="26"/>
      <c r="E80" s="30" t="s">
        <v>67</v>
      </c>
      <c r="F80" s="59">
        <v>0</v>
      </c>
    </row>
    <row r="81" spans="1:7" ht="18.75" x14ac:dyDescent="0.25">
      <c r="A81" s="68">
        <v>1</v>
      </c>
      <c r="B81" s="44"/>
      <c r="C81" s="16"/>
      <c r="D81" s="27"/>
      <c r="E81" s="31" t="s">
        <v>66</v>
      </c>
      <c r="F81" s="60">
        <v>-0.1</v>
      </c>
      <c r="G81" s="37"/>
    </row>
    <row r="82" spans="1:7" ht="18.75" x14ac:dyDescent="0.25">
      <c r="A82" s="68">
        <v>1</v>
      </c>
      <c r="B82" s="44"/>
      <c r="C82" s="16"/>
      <c r="D82" s="27"/>
      <c r="E82" s="31" t="s">
        <v>65</v>
      </c>
      <c r="F82" s="60">
        <v>-0.2</v>
      </c>
    </row>
    <row r="83" spans="1:7" ht="18.75" x14ac:dyDescent="0.25">
      <c r="A83" s="68">
        <v>1</v>
      </c>
      <c r="B83" s="44"/>
      <c r="C83" s="16"/>
      <c r="D83" s="28"/>
      <c r="E83" s="19"/>
      <c r="F83" s="16"/>
    </row>
    <row r="84" spans="1:7" ht="18.75" x14ac:dyDescent="0.25">
      <c r="A84" s="68">
        <v>1</v>
      </c>
      <c r="B84" s="44"/>
      <c r="C84" s="16"/>
      <c r="D84" s="28"/>
      <c r="E84" s="19"/>
      <c r="F84" s="16"/>
    </row>
    <row r="85" spans="1:7" ht="18.75" x14ac:dyDescent="0.25">
      <c r="A85" s="68">
        <v>1</v>
      </c>
      <c r="B85" s="44"/>
      <c r="C85" s="16"/>
      <c r="D85" s="28"/>
      <c r="E85" s="19"/>
      <c r="F85" s="16"/>
    </row>
    <row r="86" spans="1:7" ht="18.75" x14ac:dyDescent="0.25">
      <c r="A86" s="68">
        <v>1</v>
      </c>
      <c r="B86" s="44"/>
      <c r="C86" s="16"/>
      <c r="D86" s="28"/>
      <c r="E86" s="19"/>
      <c r="F86" s="16"/>
    </row>
    <row r="87" spans="1:7" ht="18.75" x14ac:dyDescent="0.25">
      <c r="A87" s="68">
        <v>1</v>
      </c>
      <c r="B87" s="44"/>
      <c r="C87" s="16"/>
      <c r="D87" s="28"/>
      <c r="E87" s="19"/>
      <c r="F87" s="16"/>
    </row>
    <row r="88" spans="1:7" ht="18.75" x14ac:dyDescent="0.25">
      <c r="A88" s="68">
        <v>1</v>
      </c>
      <c r="B88" s="44"/>
      <c r="C88" s="19"/>
      <c r="D88" s="28"/>
      <c r="E88" s="19"/>
      <c r="F88" s="16"/>
    </row>
    <row r="89" spans="1:7" ht="18.75" x14ac:dyDescent="0.25">
      <c r="A89" s="68">
        <v>1</v>
      </c>
      <c r="B89" s="44"/>
      <c r="C89" s="24"/>
      <c r="D89" s="28"/>
      <c r="E89" s="19"/>
      <c r="F89" s="16"/>
    </row>
    <row r="90" spans="1:7" ht="18.75" x14ac:dyDescent="0.25">
      <c r="A90" s="68">
        <v>1</v>
      </c>
      <c r="B90" s="44"/>
      <c r="C90" s="24"/>
      <c r="D90" s="28"/>
      <c r="E90" s="19"/>
      <c r="F90" s="16"/>
    </row>
    <row r="91" spans="1:7" ht="18.75" x14ac:dyDescent="0.25">
      <c r="A91" s="68">
        <v>1</v>
      </c>
      <c r="B91" s="44"/>
      <c r="C91" s="24"/>
      <c r="D91" s="28"/>
      <c r="E91" s="19"/>
      <c r="F91" s="16"/>
    </row>
    <row r="92" spans="1:7" ht="18.75" x14ac:dyDescent="0.25">
      <c r="A92" s="68">
        <v>1</v>
      </c>
      <c r="B92" s="44"/>
      <c r="C92" s="24"/>
      <c r="D92" s="28"/>
      <c r="E92" s="19"/>
      <c r="F92" s="16"/>
    </row>
    <row r="93" spans="1:7" ht="18.75" x14ac:dyDescent="0.25">
      <c r="A93" s="68">
        <v>1</v>
      </c>
      <c r="B93" s="44"/>
      <c r="C93" s="24"/>
      <c r="D93" s="28"/>
      <c r="E93" s="19"/>
      <c r="F93" s="16"/>
    </row>
    <row r="94" spans="1:7" ht="19.5" thickBot="1" x14ac:dyDescent="0.3">
      <c r="A94" s="68">
        <v>1</v>
      </c>
      <c r="B94" s="45"/>
      <c r="C94" s="20"/>
      <c r="D94" s="29"/>
      <c r="E94" s="21"/>
      <c r="F94" s="20"/>
    </row>
    <row r="95" spans="1:7" s="8" customFormat="1" ht="18.75" x14ac:dyDescent="0.25">
      <c r="A95" s="68">
        <v>1</v>
      </c>
      <c r="B95" s="43"/>
      <c r="C95" s="13" t="s">
        <v>175</v>
      </c>
      <c r="D95" s="26" t="s">
        <v>11</v>
      </c>
      <c r="E95" s="30"/>
      <c r="F95" s="15">
        <f>F5+F20+F35+F50+F65</f>
        <v>900000</v>
      </c>
      <c r="G95" s="66">
        <f>F95/$F$97</f>
        <v>0.36</v>
      </c>
    </row>
    <row r="96" spans="1:7" ht="18.75" x14ac:dyDescent="0.25">
      <c r="A96" s="68">
        <v>1</v>
      </c>
      <c r="B96" s="44"/>
      <c r="C96" s="16"/>
      <c r="D96" s="27" t="s">
        <v>35</v>
      </c>
      <c r="E96" s="31"/>
      <c r="F96" s="18">
        <f t="shared" ref="F96:F97" si="2">F6+F21+F36+F51+F66</f>
        <v>1600000</v>
      </c>
      <c r="G96" s="66">
        <f t="shared" ref="G96:G97" si="3">F96/$F$97</f>
        <v>0.64</v>
      </c>
    </row>
    <row r="97" spans="1:7" ht="18.75" x14ac:dyDescent="0.25">
      <c r="A97" s="68">
        <v>1</v>
      </c>
      <c r="B97" s="44"/>
      <c r="C97" s="16"/>
      <c r="D97" s="27" t="s">
        <v>12</v>
      </c>
      <c r="E97" s="31"/>
      <c r="F97" s="18">
        <f t="shared" si="2"/>
        <v>2500000</v>
      </c>
      <c r="G97" s="66">
        <f t="shared" si="3"/>
        <v>1</v>
      </c>
    </row>
    <row r="98" spans="1:7" ht="19.5" thickBot="1" x14ac:dyDescent="0.3">
      <c r="A98" s="68">
        <v>1</v>
      </c>
      <c r="B98" s="45"/>
      <c r="C98" s="20"/>
      <c r="D98" s="29"/>
      <c r="E98" s="21"/>
      <c r="F98" s="20"/>
    </row>
    <row r="99" spans="1:7" x14ac:dyDescent="0.25">
      <c r="B99" s="46"/>
    </row>
    <row r="100" spans="1:7" x14ac:dyDescent="0.25">
      <c r="F100" s="97"/>
    </row>
  </sheetData>
  <autoFilter ref="A4:I98" xr:uid="{D8A1FA1B-BE37-4968-8E2D-1F27B3B3568A}"/>
  <mergeCells count="1">
    <mergeCell ref="D3:E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7867-18AD-4166-B112-BCEFAC1CCD71}">
  <sheetPr>
    <tabColor rgb="FF7030A0"/>
  </sheetPr>
  <dimension ref="B2:BC25"/>
  <sheetViews>
    <sheetView showGridLines="0" topLeftCell="AK1" workbookViewId="0">
      <selection activeCell="AT4" sqref="AT4:AU10"/>
    </sheetView>
  </sheetViews>
  <sheetFormatPr defaultRowHeight="20.100000000000001" customHeight="1" x14ac:dyDescent="0.25"/>
  <cols>
    <col min="1" max="2" width="5.28515625" style="38" customWidth="1"/>
    <col min="3" max="3" width="16.42578125" style="38" customWidth="1"/>
    <col min="4" max="4" width="17.85546875" style="38" customWidth="1"/>
    <col min="5" max="5" width="2.28515625" style="38" customWidth="1"/>
    <col min="6" max="7" width="16" style="38" bestFit="1" customWidth="1"/>
    <col min="8" max="8" width="7.85546875" style="38" bestFit="1" customWidth="1"/>
    <col min="9" max="9" width="12.7109375" style="38" bestFit="1" customWidth="1"/>
    <col min="10" max="10" width="42.140625" style="38" bestFit="1" customWidth="1"/>
    <col min="11" max="11" width="2" style="38" customWidth="1"/>
    <col min="12" max="12" width="3" style="39" customWidth="1"/>
    <col min="13" max="13" width="6" style="38" customWidth="1"/>
    <col min="14" max="14" width="36" style="38" bestFit="1" customWidth="1"/>
    <col min="15" max="15" width="12.7109375" style="38" bestFit="1" customWidth="1"/>
    <col min="16" max="16" width="12.42578125" style="38" customWidth="1"/>
    <col min="17" max="17" width="11.5703125" style="38" bestFit="1" customWidth="1"/>
    <col min="18" max="18" width="2.85546875" style="38" customWidth="1"/>
    <col min="19" max="19" width="3" style="39" customWidth="1"/>
    <col min="20" max="20" width="5.5703125" style="38" customWidth="1"/>
    <col min="21" max="21" width="13.85546875" style="38" customWidth="1"/>
    <col min="22" max="25" width="11.5703125" style="38" customWidth="1"/>
    <col min="26" max="26" width="9.42578125" style="38" customWidth="1"/>
    <col min="27" max="27" width="9.140625" style="38"/>
    <col min="28" max="28" width="2.85546875" style="38" customWidth="1"/>
    <col min="29" max="29" width="3" style="39" customWidth="1"/>
    <col min="30" max="30" width="6" style="38" customWidth="1"/>
    <col min="31" max="33" width="9.85546875" style="38" customWidth="1"/>
    <col min="34" max="34" width="11" style="38" customWidth="1"/>
    <col min="35" max="35" width="10.42578125" style="38" customWidth="1"/>
    <col min="36" max="36" width="13.7109375" style="38" customWidth="1"/>
    <col min="37" max="37" width="12.7109375" style="38" bestFit="1" customWidth="1"/>
    <col min="38" max="38" width="2.85546875" style="38" customWidth="1"/>
    <col min="39" max="39" width="3" style="39" customWidth="1"/>
    <col min="40" max="40" width="6" style="38" customWidth="1"/>
    <col min="41" max="41" width="13.7109375" style="38" customWidth="1"/>
    <col min="42" max="42" width="12.7109375" style="38" bestFit="1" customWidth="1"/>
    <col min="43" max="43" width="2.85546875" style="38" customWidth="1"/>
    <col min="44" max="44" width="3" style="39" customWidth="1"/>
    <col min="45" max="45" width="6" style="38" customWidth="1"/>
    <col min="46" max="46" width="51.5703125" style="38" customWidth="1"/>
    <col min="47" max="47" width="10.42578125" style="38" customWidth="1"/>
    <col min="48" max="51" width="9.5703125" style="38" customWidth="1"/>
    <col min="52" max="52" width="17.28515625" style="38" customWidth="1"/>
    <col min="53" max="53" width="12.7109375" style="38" bestFit="1" customWidth="1"/>
    <col min="54" max="54" width="9.5703125" style="38" customWidth="1"/>
    <col min="55" max="55" width="14.7109375" style="38" customWidth="1"/>
    <col min="56" max="56" width="9.5703125" style="38" customWidth="1"/>
    <col min="57" max="16384" width="9.140625" style="38"/>
  </cols>
  <sheetData>
    <row r="2" spans="2:55" ht="20.100000000000001" customHeight="1" x14ac:dyDescent="0.25">
      <c r="AZ2" s="132" t="s">
        <v>204</v>
      </c>
      <c r="BA2" s="132"/>
      <c r="BB2" s="132"/>
      <c r="BC2" s="132"/>
    </row>
    <row r="3" spans="2:55" ht="20.100000000000001" customHeight="1" thickBot="1" x14ac:dyDescent="0.3">
      <c r="B3" s="22">
        <v>1</v>
      </c>
      <c r="C3" s="23" t="s">
        <v>10</v>
      </c>
      <c r="F3" s="22"/>
      <c r="G3" s="23"/>
      <c r="M3" s="22">
        <v>2</v>
      </c>
      <c r="N3" s="23" t="s">
        <v>78</v>
      </c>
      <c r="T3" s="22">
        <v>3</v>
      </c>
      <c r="U3" s="23" t="s">
        <v>131</v>
      </c>
      <c r="AD3" s="22">
        <v>4</v>
      </c>
      <c r="AE3" s="23" t="s">
        <v>73</v>
      </c>
      <c r="AF3" s="23"/>
      <c r="AG3" s="23"/>
      <c r="AH3" s="23"/>
      <c r="AI3" s="23"/>
      <c r="AJ3" s="23"/>
      <c r="AN3" s="22">
        <v>5</v>
      </c>
      <c r="AO3" s="23" t="s">
        <v>84</v>
      </c>
      <c r="AS3" s="22">
        <v>6</v>
      </c>
      <c r="AT3" s="23" t="s">
        <v>5</v>
      </c>
      <c r="AZ3" s="10" t="s">
        <v>102</v>
      </c>
      <c r="BA3" s="12" t="s">
        <v>118</v>
      </c>
      <c r="BB3" s="12" t="s">
        <v>17</v>
      </c>
      <c r="BC3" s="12" t="s">
        <v>119</v>
      </c>
    </row>
    <row r="4" spans="2:55" ht="20.100000000000001" customHeight="1" thickBot="1" x14ac:dyDescent="0.3">
      <c r="C4" s="10" t="s">
        <v>13</v>
      </c>
      <c r="D4" s="10" t="s">
        <v>36</v>
      </c>
      <c r="F4" s="10" t="s">
        <v>16</v>
      </c>
      <c r="G4" s="10" t="s">
        <v>19</v>
      </c>
      <c r="H4" s="12" t="s">
        <v>17</v>
      </c>
      <c r="I4" s="12" t="s">
        <v>18</v>
      </c>
      <c r="J4" s="12" t="s">
        <v>110</v>
      </c>
      <c r="N4" s="10" t="s">
        <v>21</v>
      </c>
      <c r="U4" s="86" t="s">
        <v>134</v>
      </c>
      <c r="V4" s="86" t="s">
        <v>135</v>
      </c>
      <c r="W4" s="86" t="s">
        <v>136</v>
      </c>
      <c r="X4" s="86" t="s">
        <v>60</v>
      </c>
      <c r="Y4" s="86" t="s">
        <v>61</v>
      </c>
      <c r="Z4" s="86" t="s">
        <v>17</v>
      </c>
      <c r="AE4" s="86" t="s">
        <v>134</v>
      </c>
      <c r="AF4" s="86" t="s">
        <v>136</v>
      </c>
      <c r="AG4" s="86" t="s">
        <v>140</v>
      </c>
      <c r="AH4" s="86" t="s">
        <v>141</v>
      </c>
      <c r="AI4" s="86" t="s">
        <v>17</v>
      </c>
      <c r="AO4" s="10" t="s">
        <v>146</v>
      </c>
      <c r="AP4" s="10" t="s">
        <v>9</v>
      </c>
      <c r="AT4" s="145" t="s">
        <v>89</v>
      </c>
      <c r="AU4" s="146" t="s">
        <v>134</v>
      </c>
      <c r="AZ4" s="73" t="s">
        <v>117</v>
      </c>
      <c r="BA4" s="130">
        <v>11000000</v>
      </c>
      <c r="BB4" s="35">
        <v>0.85</v>
      </c>
      <c r="BC4" s="34">
        <f>$BA$4*BB4</f>
        <v>9350000</v>
      </c>
    </row>
    <row r="5" spans="2:55" ht="20.100000000000001" customHeight="1" x14ac:dyDescent="0.25">
      <c r="C5" s="34" t="s">
        <v>13</v>
      </c>
      <c r="D5" s="83" t="s">
        <v>99</v>
      </c>
      <c r="F5" s="32">
        <f>C8</f>
        <v>1000000000</v>
      </c>
      <c r="G5" s="34">
        <f>H5*F5</f>
        <v>950000000</v>
      </c>
      <c r="H5" s="35">
        <v>0.95</v>
      </c>
      <c r="I5" s="34">
        <v>500000</v>
      </c>
      <c r="J5" s="34"/>
      <c r="N5" s="40" t="s">
        <v>26</v>
      </c>
      <c r="U5" s="50" t="s">
        <v>0</v>
      </c>
      <c r="V5" s="61">
        <v>175</v>
      </c>
      <c r="W5" s="61">
        <v>1</v>
      </c>
      <c r="X5" s="61">
        <f>W5*V5</f>
        <v>175</v>
      </c>
      <c r="Y5" s="61">
        <v>200</v>
      </c>
      <c r="Z5" s="79">
        <f>IFERROR(Y5/X5,0)</f>
        <v>1.1428571428571428</v>
      </c>
      <c r="AE5" s="50" t="s">
        <v>0</v>
      </c>
      <c r="AF5" s="61">
        <v>2</v>
      </c>
      <c r="AG5" s="61">
        <v>100</v>
      </c>
      <c r="AH5" s="61">
        <v>95</v>
      </c>
      <c r="AI5" s="79">
        <f>AH5/AG5</f>
        <v>0.95</v>
      </c>
      <c r="AO5" s="65" t="s">
        <v>85</v>
      </c>
      <c r="AP5" s="50">
        <v>250000</v>
      </c>
      <c r="AT5" s="150" t="s">
        <v>90</v>
      </c>
      <c r="AU5" s="153" t="s">
        <v>0</v>
      </c>
      <c r="AZ5" s="73" t="s">
        <v>176</v>
      </c>
      <c r="BA5" s="139"/>
      <c r="BB5" s="35">
        <v>0.95</v>
      </c>
      <c r="BC5" s="34">
        <f t="shared" ref="BC5:BC6" si="0">$BA$4*BB5</f>
        <v>10450000</v>
      </c>
    </row>
    <row r="6" spans="2:55" ht="20.100000000000001" customHeight="1" x14ac:dyDescent="0.25">
      <c r="F6" s="32">
        <f>F5</f>
        <v>1000000000</v>
      </c>
      <c r="G6" s="34">
        <f>H6*F6</f>
        <v>975000000</v>
      </c>
      <c r="H6" s="35">
        <v>0.97499999999999998</v>
      </c>
      <c r="I6" s="34">
        <v>1250000</v>
      </c>
      <c r="J6" s="34"/>
      <c r="N6" s="40" t="s">
        <v>25</v>
      </c>
      <c r="U6" s="50" t="s">
        <v>1</v>
      </c>
      <c r="V6" s="61">
        <v>300</v>
      </c>
      <c r="W6" s="61">
        <v>2</v>
      </c>
      <c r="X6" s="61">
        <f t="shared" ref="X6:X8" si="1">W6*V6</f>
        <v>600</v>
      </c>
      <c r="Y6" s="61">
        <v>700</v>
      </c>
      <c r="Z6" s="79">
        <f t="shared" ref="Z6:Z9" si="2">IFERROR(Y6/X6,0)</f>
        <v>1.1666666666666667</v>
      </c>
      <c r="AE6" s="50" t="s">
        <v>1</v>
      </c>
      <c r="AF6" s="61">
        <v>5</v>
      </c>
      <c r="AG6" s="61">
        <f>AF6*90</f>
        <v>450</v>
      </c>
      <c r="AH6" s="61">
        <v>400</v>
      </c>
      <c r="AI6" s="79">
        <f t="shared" ref="AI6:AI7" si="3">AH6/AG6</f>
        <v>0.88888888888888884</v>
      </c>
      <c r="AO6" s="65" t="s">
        <v>86</v>
      </c>
      <c r="AP6" s="50">
        <v>750000</v>
      </c>
      <c r="AT6" s="151" t="s">
        <v>122</v>
      </c>
      <c r="AU6" s="154"/>
      <c r="AZ6" s="41" t="s">
        <v>177</v>
      </c>
      <c r="BA6" s="131"/>
      <c r="BB6" s="35">
        <v>1</v>
      </c>
      <c r="BC6" s="34">
        <f t="shared" si="0"/>
        <v>11000000</v>
      </c>
    </row>
    <row r="7" spans="2:55" ht="20.100000000000001" customHeight="1" thickBot="1" x14ac:dyDescent="0.3">
      <c r="C7" s="10" t="s">
        <v>63</v>
      </c>
      <c r="D7" s="10" t="s">
        <v>36</v>
      </c>
      <c r="F7" s="32">
        <f>F6</f>
        <v>1000000000</v>
      </c>
      <c r="G7" s="34">
        <f>H7*F7</f>
        <v>1000000000</v>
      </c>
      <c r="H7" s="35">
        <v>1</v>
      </c>
      <c r="I7" s="34">
        <v>2000000</v>
      </c>
      <c r="J7" s="34"/>
      <c r="N7" s="40" t="s">
        <v>27</v>
      </c>
      <c r="U7" s="50" t="s">
        <v>132</v>
      </c>
      <c r="V7" s="80">
        <v>425</v>
      </c>
      <c r="W7" s="80">
        <v>5</v>
      </c>
      <c r="X7" s="61">
        <f t="shared" si="1"/>
        <v>2125</v>
      </c>
      <c r="Y7" s="61">
        <v>1900</v>
      </c>
      <c r="Z7" s="79">
        <f t="shared" si="2"/>
        <v>0.89411764705882357</v>
      </c>
      <c r="AE7" s="84" t="s">
        <v>62</v>
      </c>
      <c r="AF7" s="85">
        <f>SUM(AF5:AF6)</f>
        <v>7</v>
      </c>
      <c r="AG7" s="85">
        <f>SUM(AG5:AG6)</f>
        <v>550</v>
      </c>
      <c r="AH7" s="85">
        <f>SUM(AH5:AH6)</f>
        <v>495</v>
      </c>
      <c r="AI7" s="87">
        <f t="shared" si="3"/>
        <v>0.9</v>
      </c>
      <c r="AT7" s="152" t="s">
        <v>124</v>
      </c>
      <c r="AU7" s="155"/>
    </row>
    <row r="8" spans="2:55" ht="20.100000000000001" customHeight="1" x14ac:dyDescent="0.25">
      <c r="C8" s="32">
        <v>1000000000</v>
      </c>
      <c r="D8" s="83">
        <f>C8*1.1</f>
        <v>1100000000</v>
      </c>
      <c r="F8" s="32">
        <f t="shared" ref="F8:F10" si="4">F7</f>
        <v>1000000000</v>
      </c>
      <c r="G8" s="34">
        <f t="shared" ref="G8:G10" si="5">H8*F8</f>
        <v>1050000000</v>
      </c>
      <c r="H8" s="35">
        <v>1.05</v>
      </c>
      <c r="I8" s="34">
        <v>2500000</v>
      </c>
      <c r="J8" s="34" t="s">
        <v>125</v>
      </c>
      <c r="N8" s="40" t="s">
        <v>44</v>
      </c>
      <c r="U8" s="50" t="s">
        <v>133</v>
      </c>
      <c r="V8" s="61">
        <v>375</v>
      </c>
      <c r="W8" s="61">
        <v>1</v>
      </c>
      <c r="X8" s="61">
        <f t="shared" si="1"/>
        <v>375</v>
      </c>
      <c r="Y8" s="61">
        <v>320</v>
      </c>
      <c r="Z8" s="79">
        <f t="shared" si="2"/>
        <v>0.85333333333333339</v>
      </c>
      <c r="AT8" s="147" t="s">
        <v>90</v>
      </c>
      <c r="AU8" s="156" t="s">
        <v>1</v>
      </c>
    </row>
    <row r="9" spans="2:55" ht="20.100000000000001" customHeight="1" x14ac:dyDescent="0.25">
      <c r="F9" s="32">
        <f t="shared" si="4"/>
        <v>1000000000</v>
      </c>
      <c r="G9" s="34">
        <f t="shared" si="5"/>
        <v>1100000000</v>
      </c>
      <c r="H9" s="35">
        <v>1.1000000000000001</v>
      </c>
      <c r="I9" s="34">
        <v>3000000</v>
      </c>
      <c r="J9" s="34" t="s">
        <v>125</v>
      </c>
      <c r="Q9"/>
      <c r="U9" s="84" t="s">
        <v>62</v>
      </c>
      <c r="V9" s="85"/>
      <c r="W9" s="85">
        <f>SUM(W5:W8)</f>
        <v>9</v>
      </c>
      <c r="X9" s="85">
        <f>SUM(X5:X8)</f>
        <v>3275</v>
      </c>
      <c r="Y9" s="85">
        <f>SUM(Y5:Y8)</f>
        <v>3120</v>
      </c>
      <c r="Z9" s="87">
        <f t="shared" si="2"/>
        <v>0.95267175572519081</v>
      </c>
      <c r="AT9" s="148" t="s">
        <v>122</v>
      </c>
      <c r="AU9" s="157"/>
    </row>
    <row r="10" spans="2:55" ht="20.100000000000001" customHeight="1" thickBot="1" x14ac:dyDescent="0.3">
      <c r="F10" s="32">
        <f t="shared" si="4"/>
        <v>1000000000</v>
      </c>
      <c r="G10" s="34">
        <f t="shared" si="5"/>
        <v>1150000000</v>
      </c>
      <c r="H10" s="35">
        <v>1.1499999999999999</v>
      </c>
      <c r="I10" s="34">
        <v>4000000</v>
      </c>
      <c r="J10" s="34" t="s">
        <v>125</v>
      </c>
      <c r="N10" s="10" t="s">
        <v>21</v>
      </c>
      <c r="O10" s="10" t="s">
        <v>18</v>
      </c>
      <c r="AT10" s="149" t="s">
        <v>123</v>
      </c>
      <c r="AU10" s="158"/>
    </row>
    <row r="11" spans="2:55" ht="20.100000000000001" customHeight="1" x14ac:dyDescent="0.25">
      <c r="N11" s="34" t="s">
        <v>29</v>
      </c>
      <c r="O11" s="61">
        <v>1000000</v>
      </c>
      <c r="P11" s="74"/>
      <c r="Q11" s="74">
        <f>O11/2</f>
        <v>500000</v>
      </c>
      <c r="U11" s="10" t="s">
        <v>137</v>
      </c>
      <c r="V11" s="10" t="s">
        <v>18</v>
      </c>
    </row>
    <row r="12" spans="2:55" ht="20.100000000000001" customHeight="1" x14ac:dyDescent="0.25">
      <c r="N12" s="34" t="s">
        <v>30</v>
      </c>
      <c r="O12" s="61">
        <v>2000000</v>
      </c>
      <c r="Q12" s="74">
        <f>O12/3</f>
        <v>666666.66666666663</v>
      </c>
      <c r="U12" s="35">
        <v>0.95</v>
      </c>
      <c r="V12" s="61">
        <v>500000</v>
      </c>
    </row>
    <row r="13" spans="2:55" ht="20.100000000000001" customHeight="1" x14ac:dyDescent="0.25">
      <c r="N13" s="34" t="s">
        <v>95</v>
      </c>
      <c r="O13" s="61">
        <v>3000000</v>
      </c>
      <c r="Q13" s="74">
        <f>O13/4</f>
        <v>750000</v>
      </c>
      <c r="U13" s="35">
        <v>0.97499999999999998</v>
      </c>
      <c r="V13" s="61">
        <v>750000</v>
      </c>
    </row>
    <row r="14" spans="2:55" ht="20.100000000000001" customHeight="1" x14ac:dyDescent="0.25">
      <c r="U14" s="35">
        <v>1</v>
      </c>
      <c r="V14" s="61">
        <v>1250000</v>
      </c>
    </row>
    <row r="15" spans="2:55" ht="20.100000000000001" customHeight="1" x14ac:dyDescent="0.25">
      <c r="AT15" s="132" t="s">
        <v>63</v>
      </c>
      <c r="AU15" s="132"/>
      <c r="AV15" s="132"/>
      <c r="AW15" s="132"/>
      <c r="AX15" s="132"/>
    </row>
    <row r="16" spans="2:55" ht="20.100000000000001" customHeight="1" x14ac:dyDescent="0.25">
      <c r="U16" s="10" t="s">
        <v>79</v>
      </c>
      <c r="V16" s="10" t="s">
        <v>9</v>
      </c>
      <c r="AT16" s="10" t="s">
        <v>21</v>
      </c>
      <c r="AU16" s="10" t="s">
        <v>60</v>
      </c>
      <c r="AV16" s="10" t="s">
        <v>61</v>
      </c>
      <c r="AW16" s="10" t="s">
        <v>17</v>
      </c>
      <c r="AX16" s="10" t="s">
        <v>17</v>
      </c>
    </row>
    <row r="17" spans="15:50" ht="20.100000000000001" customHeight="1" x14ac:dyDescent="0.25">
      <c r="U17" s="65" t="s">
        <v>115</v>
      </c>
      <c r="V17" s="50">
        <v>750000</v>
      </c>
      <c r="AT17" s="40" t="s">
        <v>26</v>
      </c>
      <c r="AU17" s="50">
        <v>100</v>
      </c>
      <c r="AV17" s="50">
        <v>98</v>
      </c>
      <c r="AW17" s="55">
        <f>AV17/AU17</f>
        <v>0.98</v>
      </c>
      <c r="AX17" s="55" t="e">
        <f>AW17%*#REF!*100</f>
        <v>#REF!</v>
      </c>
    </row>
    <row r="18" spans="15:50" ht="20.100000000000001" customHeight="1" x14ac:dyDescent="0.25">
      <c r="U18" s="65" t="s">
        <v>81</v>
      </c>
      <c r="V18" s="50">
        <v>1000000</v>
      </c>
      <c r="AT18" s="40" t="s">
        <v>25</v>
      </c>
      <c r="AU18" s="50">
        <v>100</v>
      </c>
      <c r="AV18" s="50">
        <v>100</v>
      </c>
      <c r="AW18" s="55">
        <f t="shared" ref="AW18:AW20" si="6">AV18/AU18</f>
        <v>1</v>
      </c>
      <c r="AX18" s="55">
        <f>AW18%*BC7*100</f>
        <v>0</v>
      </c>
    </row>
    <row r="19" spans="15:50" ht="20.100000000000001" customHeight="1" x14ac:dyDescent="0.25">
      <c r="O19" s="38">
        <f>30/48</f>
        <v>0.625</v>
      </c>
      <c r="U19" s="65" t="s">
        <v>116</v>
      </c>
      <c r="V19" s="50">
        <v>2000000</v>
      </c>
      <c r="AT19" s="40" t="s">
        <v>58</v>
      </c>
      <c r="AU19" s="50">
        <v>150</v>
      </c>
      <c r="AV19" s="50">
        <v>150</v>
      </c>
      <c r="AW19" s="55">
        <f t="shared" si="6"/>
        <v>1</v>
      </c>
      <c r="AX19" s="55">
        <f>AW19%*BC8*100</f>
        <v>0</v>
      </c>
    </row>
    <row r="20" spans="15:50" ht="20.100000000000001" customHeight="1" x14ac:dyDescent="0.25">
      <c r="U20" s="65" t="s">
        <v>82</v>
      </c>
      <c r="V20" s="50">
        <v>3000000</v>
      </c>
      <c r="AT20" s="10" t="s">
        <v>62</v>
      </c>
      <c r="AU20" s="57">
        <f>SUM(AU17:AU19)</f>
        <v>350</v>
      </c>
      <c r="AV20" s="57">
        <f t="shared" ref="AV20:AX20" si="7">SUM(AV17:AV19)</f>
        <v>348</v>
      </c>
      <c r="AW20" s="56">
        <f t="shared" si="6"/>
        <v>0.99428571428571433</v>
      </c>
      <c r="AX20" s="56" t="e">
        <f t="shared" si="7"/>
        <v>#REF!</v>
      </c>
    </row>
    <row r="22" spans="15:50" ht="20.100000000000001" customHeight="1" x14ac:dyDescent="0.25">
      <c r="AT22" s="10" t="s">
        <v>64</v>
      </c>
      <c r="AU22" s="10" t="s">
        <v>5</v>
      </c>
    </row>
    <row r="23" spans="15:50" ht="20.100000000000001" customHeight="1" x14ac:dyDescent="0.25">
      <c r="AT23" s="40" t="s">
        <v>65</v>
      </c>
      <c r="AU23" s="54">
        <v>-0.2</v>
      </c>
    </row>
    <row r="24" spans="15:50" ht="20.100000000000001" customHeight="1" x14ac:dyDescent="0.25">
      <c r="AT24" s="40" t="s">
        <v>66</v>
      </c>
      <c r="AU24" s="54">
        <v>-0.1</v>
      </c>
    </row>
    <row r="25" spans="15:50" ht="20.100000000000001" customHeight="1" x14ac:dyDescent="0.25">
      <c r="AT25" s="40" t="s">
        <v>67</v>
      </c>
      <c r="AU25" s="54">
        <v>0</v>
      </c>
    </row>
  </sheetData>
  <mergeCells count="5">
    <mergeCell ref="BA4:BA6"/>
    <mergeCell ref="AT15:AX15"/>
    <mergeCell ref="AZ2:BC2"/>
    <mergeCell ref="AU5:AU7"/>
    <mergeCell ref="AU8:AU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603F-A360-4385-9B08-3F7B145ACD3E}">
  <sheetPr>
    <tabColor rgb="FFFF0000"/>
  </sheetPr>
  <dimension ref="A2:I99"/>
  <sheetViews>
    <sheetView showGridLines="0" topLeftCell="A70" zoomScale="75" zoomScaleNormal="75" workbookViewId="0">
      <selection activeCell="C89" sqref="C89"/>
    </sheetView>
  </sheetViews>
  <sheetFormatPr defaultRowHeight="15" x14ac:dyDescent="0.25"/>
  <cols>
    <col min="1" max="1" width="5.28515625" style="95" customWidth="1"/>
    <col min="2" max="2" width="6.85546875" style="9" customWidth="1"/>
    <col min="3" max="3" width="123.7109375" style="9" customWidth="1"/>
    <col min="4" max="4" width="8.5703125" style="1" customWidth="1"/>
    <col min="5" max="5" width="13.42578125" style="9" customWidth="1"/>
    <col min="6" max="6" width="17.140625" style="9" bestFit="1" customWidth="1"/>
    <col min="7" max="8" width="14.5703125" style="9" bestFit="1" customWidth="1"/>
    <col min="9" max="16384" width="9.140625" style="9"/>
  </cols>
  <sheetData>
    <row r="2" spans="1:9" s="7" customFormat="1" ht="32.25" thickBot="1" x14ac:dyDescent="0.3">
      <c r="A2" s="91"/>
      <c r="B2" s="49" t="s">
        <v>205</v>
      </c>
      <c r="D2" s="25"/>
    </row>
    <row r="3" spans="1:9" s="6" customFormat="1" ht="27.75" customHeight="1" thickBot="1" x14ac:dyDescent="0.3">
      <c r="A3" s="92"/>
      <c r="B3" s="4" t="s">
        <v>6</v>
      </c>
      <c r="C3" s="4" t="s">
        <v>7</v>
      </c>
      <c r="D3" s="122" t="s">
        <v>8</v>
      </c>
      <c r="E3" s="123"/>
      <c r="F3" s="5" t="s">
        <v>9</v>
      </c>
      <c r="G3" s="47"/>
      <c r="H3" s="48"/>
      <c r="I3" s="7"/>
    </row>
    <row r="4" spans="1:9" s="2" customFormat="1" ht="9" customHeight="1" thickBot="1" x14ac:dyDescent="0.3">
      <c r="A4" s="93"/>
      <c r="B4" s="3" t="str">
        <f>B3</f>
        <v>NO</v>
      </c>
      <c r="C4" s="3" t="str">
        <f t="shared" ref="C4:F4" si="0">C3</f>
        <v>INDIKATOR PENILAIAN</v>
      </c>
      <c r="D4" s="3" t="e">
        <f>#REF!</f>
        <v>#REF!</v>
      </c>
      <c r="E4" s="3" t="str">
        <f>D3</f>
        <v>RANGE</v>
      </c>
      <c r="F4" s="3" t="str">
        <f t="shared" si="0"/>
        <v>NILAI</v>
      </c>
    </row>
    <row r="5" spans="1:9" s="8" customFormat="1" ht="18.75" x14ac:dyDescent="0.25">
      <c r="A5" s="94">
        <v>1</v>
      </c>
      <c r="B5" s="43">
        <v>1</v>
      </c>
      <c r="C5" s="13" t="s">
        <v>10</v>
      </c>
      <c r="D5" s="27" t="s">
        <v>11</v>
      </c>
      <c r="E5" s="14">
        <v>0.95</v>
      </c>
      <c r="F5" s="15">
        <v>500000</v>
      </c>
    </row>
    <row r="6" spans="1:9" ht="18.75" x14ac:dyDescent="0.25">
      <c r="A6" s="95">
        <v>1</v>
      </c>
      <c r="B6" s="44"/>
      <c r="C6" s="16"/>
      <c r="D6" s="27" t="s">
        <v>35</v>
      </c>
      <c r="E6" s="17">
        <v>0.97499999999999998</v>
      </c>
      <c r="F6" s="18">
        <v>1250000</v>
      </c>
      <c r="G6" s="37"/>
    </row>
    <row r="7" spans="1:9" ht="18.75" x14ac:dyDescent="0.25">
      <c r="A7" s="95">
        <v>1</v>
      </c>
      <c r="B7" s="44"/>
      <c r="C7" s="16"/>
      <c r="D7" s="27" t="s">
        <v>35</v>
      </c>
      <c r="E7" s="17">
        <v>1</v>
      </c>
      <c r="F7" s="18">
        <v>2000000</v>
      </c>
    </row>
    <row r="8" spans="1:9" ht="18.75" x14ac:dyDescent="0.25">
      <c r="A8" s="95">
        <v>1</v>
      </c>
      <c r="B8" s="44"/>
      <c r="C8" s="16"/>
      <c r="D8" s="27" t="s">
        <v>35</v>
      </c>
      <c r="E8" s="17">
        <v>1.05</v>
      </c>
      <c r="F8" s="18">
        <v>2500000</v>
      </c>
    </row>
    <row r="9" spans="1:9" ht="18.75" x14ac:dyDescent="0.25">
      <c r="A9" s="95">
        <v>1</v>
      </c>
      <c r="B9" s="44"/>
      <c r="C9" s="16"/>
      <c r="D9" s="27" t="s">
        <v>35</v>
      </c>
      <c r="E9" s="17">
        <v>1.1000000000000001</v>
      </c>
      <c r="F9" s="18">
        <v>3000000</v>
      </c>
    </row>
    <row r="10" spans="1:9" ht="18.75" x14ac:dyDescent="0.25">
      <c r="A10" s="95">
        <v>1</v>
      </c>
      <c r="B10" s="44"/>
      <c r="C10" s="16"/>
      <c r="D10" s="27" t="s">
        <v>12</v>
      </c>
      <c r="E10" s="17">
        <v>1.1499999999999999</v>
      </c>
      <c r="F10" s="18">
        <v>4000000</v>
      </c>
    </row>
    <row r="11" spans="1:9" ht="18.75" x14ac:dyDescent="0.25">
      <c r="A11" s="95">
        <v>1</v>
      </c>
      <c r="B11" s="44"/>
      <c r="C11" s="24"/>
      <c r="D11" s="27"/>
      <c r="E11" s="17"/>
      <c r="F11" s="18"/>
    </row>
    <row r="12" spans="1:9" ht="18.75" x14ac:dyDescent="0.25">
      <c r="A12" s="95">
        <v>1</v>
      </c>
      <c r="B12" s="44"/>
      <c r="C12" s="24"/>
      <c r="D12" s="28"/>
      <c r="E12" s="19"/>
      <c r="F12" s="16"/>
    </row>
    <row r="13" spans="1:9" ht="18.75" x14ac:dyDescent="0.25">
      <c r="A13" s="95">
        <v>1</v>
      </c>
      <c r="B13" s="44"/>
      <c r="C13" s="24"/>
      <c r="D13" s="28"/>
      <c r="E13" s="19"/>
      <c r="F13" s="16"/>
    </row>
    <row r="14" spans="1:9" ht="18.75" x14ac:dyDescent="0.25">
      <c r="A14" s="95">
        <v>1</v>
      </c>
      <c r="B14" s="44"/>
      <c r="C14" s="24" t="s">
        <v>52</v>
      </c>
      <c r="D14" s="28"/>
      <c r="E14" s="19"/>
      <c r="F14" s="16"/>
    </row>
    <row r="15" spans="1:9" ht="18.75" x14ac:dyDescent="0.25">
      <c r="A15" s="95">
        <v>1</v>
      </c>
      <c r="B15" s="44"/>
      <c r="C15" s="24" t="s">
        <v>126</v>
      </c>
      <c r="D15" s="28"/>
      <c r="E15" s="19"/>
      <c r="F15" s="16"/>
    </row>
    <row r="16" spans="1:9" ht="18.75" x14ac:dyDescent="0.25">
      <c r="A16" s="95">
        <v>1</v>
      </c>
      <c r="B16" s="44"/>
      <c r="C16" s="24" t="s">
        <v>127</v>
      </c>
      <c r="D16" s="28"/>
      <c r="E16" s="19"/>
      <c r="F16" s="16"/>
    </row>
    <row r="17" spans="1:7" ht="18.75" x14ac:dyDescent="0.25">
      <c r="A17" s="95">
        <v>1</v>
      </c>
      <c r="B17" s="44"/>
      <c r="C17" s="16"/>
      <c r="D17" s="28"/>
      <c r="E17" s="19"/>
      <c r="F17" s="16"/>
    </row>
    <row r="18" spans="1:7" ht="18.75" x14ac:dyDescent="0.25">
      <c r="A18" s="95">
        <v>0</v>
      </c>
      <c r="B18" s="44"/>
      <c r="C18" s="16"/>
      <c r="D18" s="28"/>
      <c r="E18" s="19"/>
      <c r="F18" s="16"/>
    </row>
    <row r="19" spans="1:7" ht="19.5" thickBot="1" x14ac:dyDescent="0.3">
      <c r="A19" s="95">
        <v>0</v>
      </c>
      <c r="B19" s="45"/>
      <c r="C19" s="20"/>
      <c r="D19" s="29"/>
      <c r="E19" s="21"/>
      <c r="F19" s="20"/>
    </row>
    <row r="20" spans="1:7" s="8" customFormat="1" ht="18.75" x14ac:dyDescent="0.25">
      <c r="A20" s="95">
        <v>1</v>
      </c>
      <c r="B20" s="43">
        <v>2</v>
      </c>
      <c r="C20" s="13" t="s">
        <v>130</v>
      </c>
      <c r="D20" s="26" t="s">
        <v>11</v>
      </c>
      <c r="E20" s="30" t="s">
        <v>29</v>
      </c>
      <c r="F20" s="15">
        <v>1000000</v>
      </c>
      <c r="G20" s="51">
        <f>F20/2</f>
        <v>500000</v>
      </c>
    </row>
    <row r="21" spans="1:7" ht="18.75" x14ac:dyDescent="0.25">
      <c r="A21" s="95">
        <v>1</v>
      </c>
      <c r="B21" s="44"/>
      <c r="C21" s="16"/>
      <c r="D21" s="27" t="s">
        <v>35</v>
      </c>
      <c r="E21" s="31" t="s">
        <v>30</v>
      </c>
      <c r="F21" s="18">
        <v>2000000</v>
      </c>
      <c r="G21" s="51">
        <f>F21/3</f>
        <v>666666.66666666663</v>
      </c>
    </row>
    <row r="22" spans="1:7" ht="18.75" x14ac:dyDescent="0.25">
      <c r="A22" s="95">
        <v>1</v>
      </c>
      <c r="B22" s="44"/>
      <c r="C22" s="16"/>
      <c r="D22" s="27" t="s">
        <v>12</v>
      </c>
      <c r="E22" s="31" t="s">
        <v>95</v>
      </c>
      <c r="F22" s="18">
        <v>3000000</v>
      </c>
      <c r="G22" s="51">
        <f>F22/4</f>
        <v>750000</v>
      </c>
    </row>
    <row r="23" spans="1:7" ht="18.75" x14ac:dyDescent="0.25">
      <c r="A23" s="95">
        <v>1</v>
      </c>
      <c r="B23" s="44"/>
      <c r="C23" s="16"/>
      <c r="D23" s="28"/>
      <c r="E23" s="19"/>
      <c r="F23" s="16"/>
    </row>
    <row r="24" spans="1:7" ht="18.75" x14ac:dyDescent="0.25">
      <c r="A24" s="95">
        <v>1</v>
      </c>
      <c r="B24" s="44"/>
      <c r="C24" s="16"/>
      <c r="D24" s="28"/>
      <c r="E24" s="19"/>
      <c r="F24" s="16"/>
    </row>
    <row r="25" spans="1:7" ht="18.75" x14ac:dyDescent="0.25">
      <c r="A25" s="95">
        <v>1</v>
      </c>
      <c r="B25" s="44"/>
      <c r="C25" s="16"/>
      <c r="D25" s="28"/>
      <c r="E25" s="19"/>
      <c r="F25" s="16"/>
    </row>
    <row r="26" spans="1:7" ht="18.75" x14ac:dyDescent="0.25">
      <c r="A26" s="95">
        <v>1</v>
      </c>
      <c r="B26" s="44"/>
      <c r="C26" s="16"/>
      <c r="D26" s="28"/>
      <c r="E26" s="19"/>
      <c r="F26" s="16"/>
    </row>
    <row r="27" spans="1:7" ht="18.75" x14ac:dyDescent="0.25">
      <c r="A27" s="95">
        <v>1</v>
      </c>
      <c r="B27" s="44"/>
      <c r="C27" s="24" t="s">
        <v>52</v>
      </c>
      <c r="D27" s="28"/>
      <c r="E27" s="19"/>
      <c r="F27" s="16"/>
    </row>
    <row r="28" spans="1:7" ht="18.75" x14ac:dyDescent="0.25">
      <c r="A28" s="95">
        <v>1</v>
      </c>
      <c r="B28" s="44"/>
      <c r="C28" s="24" t="s">
        <v>201</v>
      </c>
      <c r="D28" s="28"/>
      <c r="E28" s="19"/>
      <c r="F28" s="16"/>
    </row>
    <row r="29" spans="1:7" ht="18.75" x14ac:dyDescent="0.25">
      <c r="A29" s="95">
        <v>1</v>
      </c>
      <c r="B29" s="44"/>
      <c r="C29" s="24"/>
      <c r="D29" s="28"/>
      <c r="E29" s="19"/>
      <c r="F29" s="16"/>
    </row>
    <row r="30" spans="1:7" ht="18.75" x14ac:dyDescent="0.25">
      <c r="A30" s="95">
        <v>0</v>
      </c>
      <c r="B30" s="44"/>
      <c r="C30" s="24"/>
      <c r="D30" s="28"/>
      <c r="E30" s="19"/>
      <c r="F30" s="16"/>
    </row>
    <row r="31" spans="1:7" ht="18.75" x14ac:dyDescent="0.25">
      <c r="A31" s="95">
        <v>0</v>
      </c>
      <c r="B31" s="44"/>
      <c r="C31" s="24"/>
      <c r="D31" s="28"/>
      <c r="E31" s="19"/>
      <c r="F31" s="16"/>
    </row>
    <row r="32" spans="1:7" ht="18.75" x14ac:dyDescent="0.25">
      <c r="A32" s="95">
        <v>0</v>
      </c>
      <c r="B32" s="44"/>
      <c r="C32" s="24" t="s">
        <v>128</v>
      </c>
      <c r="D32" s="28"/>
      <c r="E32" s="19"/>
      <c r="F32" s="16"/>
    </row>
    <row r="33" spans="1:7" ht="18.75" x14ac:dyDescent="0.25">
      <c r="A33" s="95">
        <v>0</v>
      </c>
      <c r="B33" s="44"/>
      <c r="C33" s="24"/>
      <c r="D33" s="28"/>
      <c r="E33" s="19"/>
      <c r="F33" s="16"/>
    </row>
    <row r="34" spans="1:7" ht="19.5" thickBot="1" x14ac:dyDescent="0.3">
      <c r="A34" s="95">
        <v>0</v>
      </c>
      <c r="B34" s="45"/>
      <c r="C34" s="20"/>
      <c r="D34" s="29"/>
      <c r="E34" s="21"/>
      <c r="F34" s="20"/>
    </row>
    <row r="35" spans="1:7" s="8" customFormat="1" ht="18.75" x14ac:dyDescent="0.25">
      <c r="A35" s="95">
        <v>1</v>
      </c>
      <c r="B35" s="43">
        <v>3</v>
      </c>
      <c r="C35" s="13" t="s">
        <v>103</v>
      </c>
      <c r="D35" s="26" t="s">
        <v>11</v>
      </c>
      <c r="E35" s="30">
        <v>0.95</v>
      </c>
      <c r="F35" s="15">
        <v>500000</v>
      </c>
      <c r="G35" s="51"/>
    </row>
    <row r="36" spans="1:7" ht="18.75" x14ac:dyDescent="0.25">
      <c r="A36" s="95">
        <v>1</v>
      </c>
      <c r="B36" s="44"/>
      <c r="C36" s="16"/>
      <c r="D36" s="27" t="s">
        <v>35</v>
      </c>
      <c r="E36" s="31">
        <v>0.97499999999999998</v>
      </c>
      <c r="F36" s="18">
        <v>750000</v>
      </c>
      <c r="G36" s="51"/>
    </row>
    <row r="37" spans="1:7" ht="18.75" x14ac:dyDescent="0.25">
      <c r="A37" s="95">
        <v>1</v>
      </c>
      <c r="B37" s="44"/>
      <c r="C37" s="16"/>
      <c r="D37" s="27" t="s">
        <v>12</v>
      </c>
      <c r="E37" s="31">
        <v>1</v>
      </c>
      <c r="F37" s="18">
        <v>1250000</v>
      </c>
      <c r="G37" s="51"/>
    </row>
    <row r="38" spans="1:7" ht="18.75" x14ac:dyDescent="0.25">
      <c r="A38" s="95">
        <v>1</v>
      </c>
      <c r="B38" s="44"/>
      <c r="C38" s="16"/>
      <c r="D38" s="28"/>
      <c r="E38" s="19"/>
      <c r="F38" s="16"/>
    </row>
    <row r="39" spans="1:7" ht="18.75" x14ac:dyDescent="0.25">
      <c r="A39" s="95">
        <v>1</v>
      </c>
      <c r="B39" s="44"/>
      <c r="C39" s="16"/>
      <c r="D39" s="28"/>
      <c r="E39" s="19"/>
      <c r="F39" s="16"/>
    </row>
    <row r="40" spans="1:7" ht="18.75" x14ac:dyDescent="0.25">
      <c r="A40" s="95">
        <v>1</v>
      </c>
      <c r="B40" s="44"/>
      <c r="C40" s="24"/>
      <c r="D40" s="28"/>
      <c r="E40" s="19"/>
      <c r="F40" s="16"/>
    </row>
    <row r="41" spans="1:7" ht="18.75" x14ac:dyDescent="0.25">
      <c r="A41" s="95">
        <v>1</v>
      </c>
      <c r="B41" s="44"/>
      <c r="C41" s="24"/>
      <c r="D41" s="28"/>
      <c r="E41" s="19"/>
      <c r="F41" s="16"/>
    </row>
    <row r="42" spans="1:7" ht="18.75" x14ac:dyDescent="0.25">
      <c r="A42" s="95">
        <v>1</v>
      </c>
      <c r="B42" s="44"/>
      <c r="C42" s="24" t="s">
        <v>111</v>
      </c>
      <c r="D42" s="28"/>
      <c r="E42" s="19"/>
      <c r="F42" s="16"/>
    </row>
    <row r="43" spans="1:7" ht="18.75" x14ac:dyDescent="0.25">
      <c r="A43" s="95">
        <v>1</v>
      </c>
      <c r="B43" s="44"/>
      <c r="C43" s="24" t="s">
        <v>112</v>
      </c>
      <c r="D43" s="28"/>
      <c r="E43" s="19"/>
      <c r="F43" s="16"/>
    </row>
    <row r="44" spans="1:7" ht="18.75" x14ac:dyDescent="0.25">
      <c r="A44" s="95">
        <v>1</v>
      </c>
      <c r="B44" s="44"/>
      <c r="C44" s="24" t="s">
        <v>113</v>
      </c>
      <c r="D44" s="28"/>
      <c r="E44" s="19"/>
      <c r="F44" s="16"/>
    </row>
    <row r="45" spans="1:7" ht="18.75" x14ac:dyDescent="0.25">
      <c r="A45" s="95">
        <v>1</v>
      </c>
      <c r="B45" s="44"/>
      <c r="C45" s="24" t="s">
        <v>114</v>
      </c>
      <c r="D45" s="28"/>
      <c r="E45" s="19"/>
      <c r="F45" s="16"/>
    </row>
    <row r="46" spans="1:7" ht="18.75" x14ac:dyDescent="0.25">
      <c r="A46" s="95">
        <v>1</v>
      </c>
      <c r="B46" s="44"/>
      <c r="C46" s="24" t="s">
        <v>203</v>
      </c>
      <c r="D46" s="28"/>
      <c r="E46" s="19"/>
      <c r="F46" s="16"/>
    </row>
    <row r="47" spans="1:7" ht="18.75" x14ac:dyDescent="0.25">
      <c r="A47" s="95">
        <v>1</v>
      </c>
      <c r="B47" s="44"/>
      <c r="C47" s="24"/>
      <c r="D47" s="28"/>
      <c r="E47" s="19"/>
      <c r="F47" s="16"/>
    </row>
    <row r="48" spans="1:7" ht="18.75" x14ac:dyDescent="0.25">
      <c r="A48" s="95">
        <v>0</v>
      </c>
      <c r="B48" s="44"/>
      <c r="C48" s="24"/>
      <c r="D48" s="28"/>
      <c r="E48" s="19"/>
      <c r="F48" s="16"/>
    </row>
    <row r="49" spans="1:7" ht="19.5" thickBot="1" x14ac:dyDescent="0.3">
      <c r="A49" s="95">
        <v>0</v>
      </c>
      <c r="B49" s="45"/>
      <c r="C49" s="20"/>
      <c r="D49" s="29"/>
      <c r="E49" s="21"/>
      <c r="F49" s="20"/>
    </row>
    <row r="50" spans="1:7" s="8" customFormat="1" ht="18.75" x14ac:dyDescent="0.25">
      <c r="A50" s="95">
        <v>1</v>
      </c>
      <c r="B50" s="43">
        <v>4</v>
      </c>
      <c r="C50" s="13" t="s">
        <v>83</v>
      </c>
      <c r="D50" s="26" t="s">
        <v>11</v>
      </c>
      <c r="E50" s="30" t="s">
        <v>115</v>
      </c>
      <c r="F50" s="15">
        <v>750000</v>
      </c>
      <c r="G50" s="51">
        <f>F50/(85%*50)</f>
        <v>17647.058823529413</v>
      </c>
    </row>
    <row r="51" spans="1:7" ht="18.75" x14ac:dyDescent="0.25">
      <c r="A51" s="95">
        <v>1</v>
      </c>
      <c r="B51" s="44"/>
      <c r="C51" s="16"/>
      <c r="D51" s="27" t="s">
        <v>35</v>
      </c>
      <c r="E51" s="31" t="s">
        <v>81</v>
      </c>
      <c r="F51" s="18">
        <v>1000000</v>
      </c>
      <c r="G51" s="51">
        <f t="shared" ref="G51:G53" si="1">F51/(85%*50)</f>
        <v>23529.411764705881</v>
      </c>
    </row>
    <row r="52" spans="1:7" ht="18.75" x14ac:dyDescent="0.25">
      <c r="A52" s="95">
        <v>1</v>
      </c>
      <c r="B52" s="44"/>
      <c r="C52" s="16"/>
      <c r="D52" s="27" t="s">
        <v>35</v>
      </c>
      <c r="E52" s="31" t="s">
        <v>116</v>
      </c>
      <c r="F52" s="18">
        <v>2000000</v>
      </c>
      <c r="G52" s="51">
        <f t="shared" si="1"/>
        <v>47058.823529411762</v>
      </c>
    </row>
    <row r="53" spans="1:7" ht="18.75" x14ac:dyDescent="0.25">
      <c r="A53" s="95">
        <v>1</v>
      </c>
      <c r="B53" s="44"/>
      <c r="C53" s="16"/>
      <c r="D53" s="27" t="s">
        <v>12</v>
      </c>
      <c r="E53" s="31" t="s">
        <v>82</v>
      </c>
      <c r="F53" s="18">
        <v>3000000</v>
      </c>
      <c r="G53" s="51">
        <f t="shared" si="1"/>
        <v>70588.23529411765</v>
      </c>
    </row>
    <row r="54" spans="1:7" ht="18.75" x14ac:dyDescent="0.25">
      <c r="A54" s="95">
        <v>1</v>
      </c>
      <c r="B54" s="44"/>
      <c r="C54" s="16"/>
      <c r="D54" s="28"/>
      <c r="E54" s="19"/>
      <c r="F54" s="16"/>
    </row>
    <row r="55" spans="1:7" ht="18.75" x14ac:dyDescent="0.25">
      <c r="A55" s="95">
        <v>1</v>
      </c>
      <c r="B55" s="44"/>
      <c r="C55" s="16"/>
      <c r="D55" s="28"/>
      <c r="E55" s="19"/>
      <c r="F55" s="16"/>
    </row>
    <row r="56" spans="1:7" ht="18.75" x14ac:dyDescent="0.25">
      <c r="A56" s="95">
        <v>1</v>
      </c>
      <c r="B56" s="44"/>
      <c r="C56" s="16"/>
      <c r="D56" s="28"/>
      <c r="E56" s="19"/>
      <c r="F56" s="16"/>
    </row>
    <row r="57" spans="1:7" ht="18.75" x14ac:dyDescent="0.25">
      <c r="A57" s="95">
        <v>1</v>
      </c>
      <c r="B57" s="44"/>
      <c r="C57" s="24" t="s">
        <v>52</v>
      </c>
      <c r="D57" s="28"/>
      <c r="E57" s="19"/>
      <c r="F57" s="16"/>
    </row>
    <row r="58" spans="1:7" ht="18.75" x14ac:dyDescent="0.25">
      <c r="A58" s="95">
        <v>1</v>
      </c>
      <c r="B58" s="44"/>
      <c r="C58" s="24" t="s">
        <v>142</v>
      </c>
      <c r="D58" s="28"/>
      <c r="E58" s="19"/>
      <c r="F58" s="16"/>
    </row>
    <row r="59" spans="1:7" ht="18.75" x14ac:dyDescent="0.25">
      <c r="A59" s="95">
        <v>1</v>
      </c>
      <c r="B59" s="44"/>
      <c r="C59" s="24" t="s">
        <v>143</v>
      </c>
      <c r="D59" s="28"/>
      <c r="E59" s="19"/>
      <c r="F59" s="16"/>
    </row>
    <row r="60" spans="1:7" ht="18.75" x14ac:dyDescent="0.25">
      <c r="A60" s="95">
        <v>1</v>
      </c>
      <c r="B60" s="44"/>
      <c r="C60" s="24" t="s">
        <v>144</v>
      </c>
      <c r="D60" s="28"/>
      <c r="E60" s="19"/>
      <c r="F60" s="16"/>
    </row>
    <row r="61" spans="1:7" ht="18.75" x14ac:dyDescent="0.25">
      <c r="A61" s="95">
        <v>1</v>
      </c>
      <c r="B61" s="44"/>
      <c r="C61" s="24" t="s">
        <v>145</v>
      </c>
      <c r="D61" s="28"/>
      <c r="E61" s="19"/>
      <c r="F61" s="16"/>
    </row>
    <row r="62" spans="1:7" ht="18.75" x14ac:dyDescent="0.25">
      <c r="A62" s="95">
        <v>1</v>
      </c>
      <c r="B62" s="44"/>
      <c r="C62" s="24"/>
      <c r="D62" s="28"/>
      <c r="E62" s="19"/>
      <c r="F62" s="16"/>
    </row>
    <row r="63" spans="1:7" ht="18.75" x14ac:dyDescent="0.25">
      <c r="A63" s="95">
        <v>0</v>
      </c>
      <c r="B63" s="44"/>
      <c r="C63" s="24"/>
      <c r="D63" s="28"/>
      <c r="E63" s="19"/>
      <c r="F63" s="16"/>
    </row>
    <row r="64" spans="1:7" ht="19.5" thickBot="1" x14ac:dyDescent="0.3">
      <c r="A64" s="95">
        <v>0</v>
      </c>
      <c r="B64" s="45"/>
      <c r="C64" s="20"/>
      <c r="D64" s="29"/>
      <c r="E64" s="21"/>
      <c r="F64" s="20"/>
    </row>
    <row r="65" spans="1:7" s="8" customFormat="1" ht="18.75" x14ac:dyDescent="0.25">
      <c r="A65" s="95">
        <v>1</v>
      </c>
      <c r="B65" s="43">
        <v>5</v>
      </c>
      <c r="C65" s="13" t="s">
        <v>74</v>
      </c>
      <c r="D65" s="26" t="s">
        <v>11</v>
      </c>
      <c r="E65" s="63">
        <v>1</v>
      </c>
      <c r="F65" s="15">
        <v>250000</v>
      </c>
    </row>
    <row r="66" spans="1:7" ht="18.75" x14ac:dyDescent="0.25">
      <c r="A66" s="95">
        <v>1</v>
      </c>
      <c r="B66" s="44"/>
      <c r="C66" s="16"/>
      <c r="D66" s="27" t="s">
        <v>35</v>
      </c>
      <c r="E66" s="64">
        <v>1</v>
      </c>
      <c r="F66" s="18">
        <v>250000</v>
      </c>
      <c r="G66" s="37"/>
    </row>
    <row r="67" spans="1:7" ht="18.75" x14ac:dyDescent="0.25">
      <c r="A67" s="95">
        <v>1</v>
      </c>
      <c r="B67" s="44"/>
      <c r="C67" s="16"/>
      <c r="D67" s="27" t="s">
        <v>12</v>
      </c>
      <c r="E67" s="64">
        <v>2</v>
      </c>
      <c r="F67" s="18">
        <v>750000</v>
      </c>
    </row>
    <row r="68" spans="1:7" ht="18.75" x14ac:dyDescent="0.25">
      <c r="A68" s="95">
        <v>1</v>
      </c>
      <c r="B68" s="44"/>
      <c r="C68" s="16"/>
      <c r="D68" s="28"/>
      <c r="E68" s="19"/>
      <c r="F68" s="16"/>
    </row>
    <row r="69" spans="1:7" ht="18.75" x14ac:dyDescent="0.25">
      <c r="A69" s="95">
        <v>1</v>
      </c>
      <c r="B69" s="44"/>
      <c r="C69" s="16"/>
      <c r="D69" s="28"/>
      <c r="E69" s="19"/>
      <c r="F69" s="16"/>
    </row>
    <row r="70" spans="1:7" ht="18.75" x14ac:dyDescent="0.25">
      <c r="A70" s="95">
        <v>1</v>
      </c>
      <c r="B70" s="44"/>
      <c r="C70" s="24" t="s">
        <v>52</v>
      </c>
      <c r="D70" s="28"/>
      <c r="E70" s="19"/>
      <c r="F70" s="16"/>
    </row>
    <row r="71" spans="1:7" ht="18.75" x14ac:dyDescent="0.25">
      <c r="A71" s="95">
        <v>1</v>
      </c>
      <c r="B71" s="44"/>
      <c r="C71" s="24" t="s">
        <v>87</v>
      </c>
      <c r="D71" s="28"/>
      <c r="E71" s="19"/>
      <c r="F71" s="16"/>
    </row>
    <row r="72" spans="1:7" ht="18.75" x14ac:dyDescent="0.25">
      <c r="A72" s="95">
        <v>1</v>
      </c>
      <c r="B72" s="44"/>
      <c r="C72" s="24" t="s">
        <v>88</v>
      </c>
      <c r="D72" s="28"/>
      <c r="E72" s="19"/>
      <c r="F72" s="16"/>
    </row>
    <row r="73" spans="1:7" ht="18.75" x14ac:dyDescent="0.25">
      <c r="A73" s="95">
        <v>1</v>
      </c>
      <c r="B73" s="44"/>
      <c r="C73" s="24"/>
      <c r="D73" s="28"/>
      <c r="E73" s="19"/>
      <c r="F73" s="16"/>
    </row>
    <row r="74" spans="1:7" ht="18.75" x14ac:dyDescent="0.25">
      <c r="A74" s="95">
        <v>0</v>
      </c>
      <c r="B74" s="44"/>
      <c r="C74" s="24"/>
      <c r="D74" s="28"/>
      <c r="E74" s="19"/>
      <c r="F74" s="16"/>
    </row>
    <row r="75" spans="1:7" ht="18.75" x14ac:dyDescent="0.25">
      <c r="A75" s="95">
        <v>0</v>
      </c>
      <c r="B75" s="44"/>
      <c r="C75" s="24"/>
      <c r="D75" s="28"/>
      <c r="E75" s="19"/>
      <c r="F75" s="16"/>
    </row>
    <row r="76" spans="1:7" ht="18.75" x14ac:dyDescent="0.25">
      <c r="A76" s="95">
        <v>0</v>
      </c>
      <c r="B76" s="44"/>
      <c r="C76" s="24"/>
      <c r="D76" s="28"/>
      <c r="E76" s="19"/>
      <c r="F76" s="16"/>
    </row>
    <row r="77" spans="1:7" ht="18.75" x14ac:dyDescent="0.25">
      <c r="A77" s="95">
        <v>0</v>
      </c>
      <c r="B77" s="44"/>
      <c r="C77" s="24"/>
      <c r="D77" s="28"/>
      <c r="E77" s="19"/>
      <c r="F77" s="16"/>
    </row>
    <row r="78" spans="1:7" ht="18.75" x14ac:dyDescent="0.25">
      <c r="A78" s="95">
        <v>0</v>
      </c>
      <c r="B78" s="44"/>
      <c r="C78" s="24"/>
      <c r="D78" s="28"/>
      <c r="E78" s="19"/>
      <c r="F78" s="16"/>
    </row>
    <row r="79" spans="1:7" ht="19.5" thickBot="1" x14ac:dyDescent="0.3">
      <c r="A79" s="95">
        <v>0</v>
      </c>
      <c r="B79" s="45"/>
      <c r="C79" s="20"/>
      <c r="D79" s="29"/>
      <c r="E79" s="21"/>
      <c r="F79" s="20"/>
    </row>
    <row r="80" spans="1:7" s="8" customFormat="1" ht="18.75" x14ac:dyDescent="0.25">
      <c r="A80" s="95">
        <v>1</v>
      </c>
      <c r="B80" s="43"/>
      <c r="C80" s="13" t="s">
        <v>237</v>
      </c>
      <c r="D80" s="26" t="s">
        <v>11</v>
      </c>
      <c r="E80" s="63"/>
      <c r="F80" s="15">
        <v>0</v>
      </c>
    </row>
    <row r="81" spans="1:8" ht="18.75" x14ac:dyDescent="0.25">
      <c r="A81" s="95">
        <v>1</v>
      </c>
      <c r="B81" s="44"/>
      <c r="C81" s="16"/>
      <c r="D81" s="27" t="s">
        <v>35</v>
      </c>
      <c r="E81" s="64"/>
      <c r="F81" s="18">
        <v>0</v>
      </c>
      <c r="G81" s="37"/>
    </row>
    <row r="82" spans="1:8" ht="18.75" x14ac:dyDescent="0.25">
      <c r="A82" s="95">
        <v>1</v>
      </c>
      <c r="B82" s="44"/>
      <c r="C82" s="16"/>
      <c r="D82" s="27" t="s">
        <v>12</v>
      </c>
      <c r="E82" s="64"/>
      <c r="F82" s="67">
        <v>-0.1</v>
      </c>
    </row>
    <row r="83" spans="1:8" ht="18.75" x14ac:dyDescent="0.25">
      <c r="A83" s="95">
        <v>1</v>
      </c>
      <c r="B83" s="44"/>
      <c r="C83" s="16"/>
      <c r="D83" s="28"/>
      <c r="E83" s="19"/>
      <c r="F83" s="16"/>
    </row>
    <row r="84" spans="1:8" ht="18.75" x14ac:dyDescent="0.25">
      <c r="A84" s="95">
        <v>1</v>
      </c>
      <c r="B84" s="44"/>
      <c r="C84" s="16"/>
      <c r="D84" s="28"/>
      <c r="E84" s="19"/>
      <c r="F84" s="16"/>
    </row>
    <row r="85" spans="1:8" ht="18.75" x14ac:dyDescent="0.25">
      <c r="A85" s="95">
        <v>1</v>
      </c>
      <c r="B85" s="44"/>
      <c r="C85" s="16"/>
      <c r="D85" s="28"/>
      <c r="E85" s="19"/>
      <c r="F85" s="16"/>
    </row>
    <row r="86" spans="1:8" ht="18.75" x14ac:dyDescent="0.25">
      <c r="A86" s="95">
        <v>1</v>
      </c>
      <c r="B86" s="44"/>
      <c r="C86" s="24"/>
      <c r="D86" s="28"/>
      <c r="E86" s="19"/>
      <c r="F86" s="16"/>
    </row>
    <row r="87" spans="1:8" ht="18.75" x14ac:dyDescent="0.25">
      <c r="A87" s="95">
        <v>1</v>
      </c>
      <c r="B87" s="44"/>
      <c r="C87" s="24"/>
      <c r="D87" s="28"/>
      <c r="E87" s="19"/>
      <c r="F87" s="16"/>
    </row>
    <row r="88" spans="1:8" ht="18.75" x14ac:dyDescent="0.25">
      <c r="A88" s="95">
        <v>1</v>
      </c>
      <c r="B88" s="44"/>
      <c r="C88" s="24"/>
      <c r="D88" s="28"/>
      <c r="E88" s="19"/>
      <c r="F88" s="16"/>
    </row>
    <row r="89" spans="1:8" ht="18.75" x14ac:dyDescent="0.25">
      <c r="A89" s="95">
        <v>1</v>
      </c>
      <c r="B89" s="44"/>
      <c r="C89" s="24" t="s">
        <v>52</v>
      </c>
      <c r="D89" s="28"/>
      <c r="E89" s="19"/>
      <c r="F89" s="16"/>
    </row>
    <row r="90" spans="1:8" ht="18.75" x14ac:dyDescent="0.25">
      <c r="A90" s="95">
        <v>1</v>
      </c>
      <c r="B90" s="44"/>
      <c r="C90" s="24" t="s">
        <v>166</v>
      </c>
      <c r="D90" s="28"/>
      <c r="E90" s="19"/>
      <c r="F90" s="16"/>
    </row>
    <row r="91" spans="1:8" ht="18.75" x14ac:dyDescent="0.25">
      <c r="A91" s="95">
        <v>0</v>
      </c>
      <c r="B91" s="44"/>
      <c r="C91" s="24" t="s">
        <v>178</v>
      </c>
      <c r="D91" s="28"/>
      <c r="E91" s="19"/>
      <c r="F91" s="16"/>
    </row>
    <row r="92" spans="1:8" ht="18.75" x14ac:dyDescent="0.25">
      <c r="A92" s="95">
        <v>0</v>
      </c>
      <c r="B92" s="44"/>
      <c r="C92" s="24" t="s">
        <v>179</v>
      </c>
      <c r="D92" s="28"/>
      <c r="E92" s="19"/>
      <c r="F92" s="16"/>
    </row>
    <row r="93" spans="1:8" ht="18.75" x14ac:dyDescent="0.25">
      <c r="A93" s="95">
        <v>0</v>
      </c>
      <c r="B93" s="44"/>
      <c r="C93" s="24"/>
      <c r="D93" s="28"/>
      <c r="E93" s="19"/>
      <c r="F93" s="16"/>
    </row>
    <row r="94" spans="1:8" ht="19.5" thickBot="1" x14ac:dyDescent="0.3">
      <c r="A94" s="95">
        <v>0</v>
      </c>
      <c r="B94" s="45"/>
      <c r="C94" s="20"/>
      <c r="D94" s="29"/>
      <c r="E94" s="21"/>
      <c r="F94" s="20"/>
    </row>
    <row r="95" spans="1:8" s="8" customFormat="1" ht="18.75" x14ac:dyDescent="0.25">
      <c r="A95" s="95">
        <v>1</v>
      </c>
      <c r="B95" s="43"/>
      <c r="C95" s="13"/>
      <c r="D95" s="26" t="s">
        <v>11</v>
      </c>
      <c r="E95" s="30"/>
      <c r="F95" s="15">
        <f>F6+F20+F35+F51+F65</f>
        <v>4000000</v>
      </c>
      <c r="G95" s="66">
        <f>F95/$F$97</f>
        <v>0.36363636363636365</v>
      </c>
      <c r="H95" s="51"/>
    </row>
    <row r="96" spans="1:8" ht="18.75" x14ac:dyDescent="0.25">
      <c r="A96" s="95">
        <v>1</v>
      </c>
      <c r="B96" s="44"/>
      <c r="C96" s="16"/>
      <c r="D96" s="27" t="s">
        <v>35</v>
      </c>
      <c r="E96" s="31"/>
      <c r="F96" s="18">
        <f>F7+F21+F36+F51+F66</f>
        <v>6000000</v>
      </c>
      <c r="G96" s="66">
        <f t="shared" ref="G96:G97" si="2">F96/$F$97</f>
        <v>0.54545454545454541</v>
      </c>
      <c r="H96" s="37"/>
    </row>
    <row r="97" spans="1:8" ht="18.75" x14ac:dyDescent="0.25">
      <c r="A97" s="95">
        <v>1</v>
      </c>
      <c r="B97" s="44"/>
      <c r="C97" s="16"/>
      <c r="D97" s="27" t="s">
        <v>12</v>
      </c>
      <c r="E97" s="31"/>
      <c r="F97" s="18">
        <f>F9+F22+F37+F53+F67</f>
        <v>11000000</v>
      </c>
      <c r="G97" s="66">
        <f t="shared" si="2"/>
        <v>1</v>
      </c>
      <c r="H97" s="37"/>
    </row>
    <row r="98" spans="1:8" ht="19.5" thickBot="1" x14ac:dyDescent="0.3">
      <c r="A98" s="95">
        <v>1</v>
      </c>
      <c r="B98" s="45"/>
      <c r="C98" s="20"/>
      <c r="D98" s="29"/>
      <c r="E98" s="21"/>
      <c r="F98" s="20"/>
    </row>
    <row r="99" spans="1:8" x14ac:dyDescent="0.25">
      <c r="B99" s="46"/>
    </row>
  </sheetData>
  <autoFilter ref="A4:I98" xr:uid="{D8A1FA1B-BE37-4968-8E2D-1F27B3B3568A}"/>
  <mergeCells count="1">
    <mergeCell ref="D3:E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9BBA-8664-4468-AA43-8C57B0BBF4D4}">
  <sheetPr>
    <tabColor rgb="FF7030A0"/>
  </sheetPr>
  <dimension ref="B2:BC20"/>
  <sheetViews>
    <sheetView showGridLines="0" topLeftCell="AU1" workbookViewId="0">
      <selection activeCell="AZ2" sqref="AZ2:BC6"/>
    </sheetView>
  </sheetViews>
  <sheetFormatPr defaultRowHeight="20.100000000000001" customHeight="1" x14ac:dyDescent="0.25"/>
  <cols>
    <col min="1" max="2" width="5.28515625" style="38" customWidth="1"/>
    <col min="3" max="3" width="16.42578125" style="38" customWidth="1"/>
    <col min="4" max="4" width="17.85546875" style="38" customWidth="1"/>
    <col min="5" max="5" width="2.28515625" style="38" customWidth="1"/>
    <col min="6" max="7" width="16" style="38" bestFit="1" customWidth="1"/>
    <col min="8" max="8" width="7.85546875" style="38" bestFit="1" customWidth="1"/>
    <col min="9" max="9" width="12.7109375" style="38" bestFit="1" customWidth="1"/>
    <col min="10" max="10" width="42.140625" style="38" bestFit="1" customWidth="1"/>
    <col min="11" max="11" width="2" style="38" customWidth="1"/>
    <col min="12" max="12" width="3" style="39" customWidth="1"/>
    <col min="13" max="13" width="6" style="38" customWidth="1"/>
    <col min="14" max="14" width="16.85546875" style="38" customWidth="1"/>
    <col min="15" max="15" width="12.7109375" style="38" bestFit="1" customWidth="1"/>
    <col min="16" max="16" width="12.42578125" style="38" customWidth="1"/>
    <col min="17" max="17" width="11.5703125" style="38" bestFit="1" customWidth="1"/>
    <col min="18" max="18" width="2.85546875" style="38" customWidth="1"/>
    <col min="19" max="19" width="3" style="39" customWidth="1"/>
    <col min="20" max="20" width="6" style="38" customWidth="1"/>
    <col min="21" max="21" width="16.85546875" style="38" bestFit="1" customWidth="1"/>
    <col min="22" max="22" width="15.7109375" style="38" bestFit="1" customWidth="1"/>
    <col min="23" max="23" width="7.28515625" style="38" customWidth="1"/>
    <col min="24" max="24" width="15.7109375" style="38" bestFit="1" customWidth="1"/>
    <col min="25" max="25" width="14.28515625" style="38" bestFit="1" customWidth="1"/>
    <col min="26" max="26" width="10.5703125" style="38" customWidth="1"/>
    <col min="27" max="27" width="14.85546875" style="38" customWidth="1"/>
    <col min="28" max="28" width="2.85546875" style="38" customWidth="1"/>
    <col min="29" max="29" width="3" style="39" customWidth="1"/>
    <col min="30" max="30" width="6" style="38" customWidth="1"/>
    <col min="31" max="33" width="9.85546875" style="38" customWidth="1"/>
    <col min="34" max="34" width="11" style="38" customWidth="1"/>
    <col min="35" max="35" width="10.42578125" style="38" customWidth="1"/>
    <col min="36" max="36" width="13.7109375" style="38" customWidth="1"/>
    <col min="37" max="37" width="12.7109375" style="38" bestFit="1" customWidth="1"/>
    <col min="38" max="38" width="2.85546875" style="38" customWidth="1"/>
    <col min="39" max="39" width="3" style="39" customWidth="1"/>
    <col min="40" max="40" width="6" style="38" customWidth="1"/>
    <col min="41" max="41" width="13.7109375" style="38" customWidth="1"/>
    <col min="42" max="42" width="12.7109375" style="38" bestFit="1" customWidth="1"/>
    <col min="43" max="43" width="2.85546875" style="38" customWidth="1"/>
    <col min="44" max="44" width="3" style="39" customWidth="1"/>
    <col min="45" max="45" width="6" style="38" customWidth="1"/>
    <col min="46" max="46" width="51.5703125" style="38" customWidth="1"/>
    <col min="47" max="47" width="10.42578125" style="38" customWidth="1"/>
    <col min="48" max="51" width="9.5703125" style="38" customWidth="1"/>
    <col min="52" max="52" width="17.28515625" style="38" customWidth="1"/>
    <col min="53" max="53" width="12.7109375" style="38" bestFit="1" customWidth="1"/>
    <col min="54" max="54" width="9.5703125" style="38" customWidth="1"/>
    <col min="55" max="55" width="14.7109375" style="38" customWidth="1"/>
    <col min="56" max="56" width="9.5703125" style="38" customWidth="1"/>
    <col min="57" max="16384" width="9.140625" style="38"/>
  </cols>
  <sheetData>
    <row r="2" spans="2:55" ht="20.100000000000001" customHeight="1" x14ac:dyDescent="0.25">
      <c r="AZ2" s="132" t="s">
        <v>238</v>
      </c>
      <c r="BA2" s="132"/>
      <c r="BB2" s="132"/>
      <c r="BC2" s="132"/>
    </row>
    <row r="3" spans="2:55" ht="20.100000000000001" customHeight="1" x14ac:dyDescent="0.25">
      <c r="B3" s="22">
        <v>1</v>
      </c>
      <c r="C3" s="23" t="s">
        <v>10</v>
      </c>
      <c r="F3" s="22"/>
      <c r="G3" s="23"/>
      <c r="M3" s="22">
        <v>2</v>
      </c>
      <c r="N3" s="23" t="s">
        <v>78</v>
      </c>
      <c r="T3" s="22">
        <v>3</v>
      </c>
      <c r="U3" s="23" t="s">
        <v>202</v>
      </c>
      <c r="AD3" s="22">
        <v>4</v>
      </c>
      <c r="AE3" s="23" t="s">
        <v>73</v>
      </c>
      <c r="AF3" s="23"/>
      <c r="AG3" s="23"/>
      <c r="AH3" s="23"/>
      <c r="AI3" s="23"/>
      <c r="AJ3" s="23"/>
      <c r="AN3" s="22">
        <v>5</v>
      </c>
      <c r="AO3" s="23" t="s">
        <v>84</v>
      </c>
      <c r="AS3" s="22">
        <v>6</v>
      </c>
      <c r="AT3" s="23" t="s">
        <v>5</v>
      </c>
      <c r="AZ3" s="10" t="s">
        <v>102</v>
      </c>
      <c r="BA3" s="12" t="s">
        <v>118</v>
      </c>
      <c r="BB3" s="12" t="s">
        <v>17</v>
      </c>
      <c r="BC3" s="12" t="s">
        <v>119</v>
      </c>
    </row>
    <row r="4" spans="2:55" ht="20.100000000000001" customHeight="1" x14ac:dyDescent="0.25">
      <c r="C4" s="10" t="s">
        <v>13</v>
      </c>
      <c r="D4" s="10" t="s">
        <v>36</v>
      </c>
      <c r="F4" s="10" t="s">
        <v>16</v>
      </c>
      <c r="G4" s="10" t="s">
        <v>19</v>
      </c>
      <c r="H4" s="12" t="s">
        <v>17</v>
      </c>
      <c r="I4" s="12" t="s">
        <v>18</v>
      </c>
      <c r="J4" s="12" t="s">
        <v>110</v>
      </c>
      <c r="N4" s="10" t="s">
        <v>21</v>
      </c>
      <c r="U4" s="75" t="s">
        <v>16</v>
      </c>
      <c r="V4" s="75" t="s">
        <v>61</v>
      </c>
      <c r="W4" s="75" t="s">
        <v>17</v>
      </c>
      <c r="X4" s="76" t="s">
        <v>105</v>
      </c>
      <c r="Y4" s="77" t="s">
        <v>110</v>
      </c>
      <c r="Z4" s="75" t="s">
        <v>106</v>
      </c>
      <c r="AA4" s="75" t="s">
        <v>107</v>
      </c>
      <c r="AE4" s="86" t="s">
        <v>134</v>
      </c>
      <c r="AF4" s="86" t="s">
        <v>136</v>
      </c>
      <c r="AG4" s="86" t="s">
        <v>140</v>
      </c>
      <c r="AH4" s="86" t="s">
        <v>141</v>
      </c>
      <c r="AI4" s="86" t="s">
        <v>17</v>
      </c>
      <c r="AO4" s="10" t="s">
        <v>146</v>
      </c>
      <c r="AP4" s="10" t="s">
        <v>9</v>
      </c>
      <c r="AT4" s="10" t="s">
        <v>89</v>
      </c>
      <c r="AU4" s="10" t="s">
        <v>0</v>
      </c>
      <c r="AZ4" s="73" t="s">
        <v>117</v>
      </c>
      <c r="BA4" s="130">
        <v>11000000</v>
      </c>
      <c r="BB4" s="35">
        <v>0.85</v>
      </c>
      <c r="BC4" s="34">
        <f>$BA$4*BB4</f>
        <v>9350000</v>
      </c>
    </row>
    <row r="5" spans="2:55" ht="20.100000000000001" customHeight="1" x14ac:dyDescent="0.25">
      <c r="C5" s="34" t="s">
        <v>13</v>
      </c>
      <c r="D5" s="83" t="s">
        <v>99</v>
      </c>
      <c r="F5" s="32">
        <f>C8</f>
        <v>1000000000</v>
      </c>
      <c r="G5" s="34">
        <f>H5*F5</f>
        <v>950000000</v>
      </c>
      <c r="H5" s="35">
        <v>0.95</v>
      </c>
      <c r="I5" s="34">
        <v>500000</v>
      </c>
      <c r="J5" s="34"/>
      <c r="N5" s="40" t="s">
        <v>26</v>
      </c>
      <c r="U5" s="50">
        <v>1000000000</v>
      </c>
      <c r="V5" s="61">
        <v>2000000000</v>
      </c>
      <c r="W5" s="62">
        <f>V5/U5</f>
        <v>2</v>
      </c>
      <c r="X5" s="61">
        <f>V5-U5</f>
        <v>1000000000</v>
      </c>
      <c r="Y5" s="78" t="s">
        <v>108</v>
      </c>
      <c r="Z5" s="79">
        <v>2.5000000000000001E-3</v>
      </c>
      <c r="AA5" s="80">
        <f>MIN(X5*Z5,1250000)</f>
        <v>1250000</v>
      </c>
      <c r="AE5" s="50" t="s">
        <v>0</v>
      </c>
      <c r="AF5" s="61">
        <v>2</v>
      </c>
      <c r="AG5" s="61">
        <v>100</v>
      </c>
      <c r="AH5" s="61">
        <v>95</v>
      </c>
      <c r="AI5" s="79">
        <f>AH5/AG5</f>
        <v>0.95</v>
      </c>
      <c r="AO5" s="65" t="s">
        <v>85</v>
      </c>
      <c r="AP5" s="50">
        <v>250000</v>
      </c>
      <c r="AT5" s="40" t="s">
        <v>90</v>
      </c>
      <c r="AU5" s="41" t="s">
        <v>45</v>
      </c>
      <c r="AZ5" s="73" t="s">
        <v>176</v>
      </c>
      <c r="BA5" s="139"/>
      <c r="BB5" s="35">
        <v>0.95</v>
      </c>
      <c r="BC5" s="34">
        <f t="shared" ref="BC5:BC6" si="0">$BA$4*BB5</f>
        <v>10450000</v>
      </c>
    </row>
    <row r="6" spans="2:55" ht="20.100000000000001" customHeight="1" x14ac:dyDescent="0.25">
      <c r="F6" s="32">
        <f>F5</f>
        <v>1000000000</v>
      </c>
      <c r="G6" s="34">
        <f>H6*F6</f>
        <v>975000000</v>
      </c>
      <c r="H6" s="35">
        <v>0.97499999999999998</v>
      </c>
      <c r="I6" s="34">
        <v>1250000</v>
      </c>
      <c r="J6" s="34"/>
      <c r="N6" s="40" t="s">
        <v>25</v>
      </c>
      <c r="U6" s="50">
        <v>1000000000</v>
      </c>
      <c r="V6" s="61">
        <v>2000000000</v>
      </c>
      <c r="W6" s="62">
        <f>V6/U6</f>
        <v>2</v>
      </c>
      <c r="X6" s="61">
        <f>V6-U6</f>
        <v>1000000000</v>
      </c>
      <c r="Y6" s="78" t="s">
        <v>109</v>
      </c>
      <c r="Z6" s="79"/>
      <c r="AA6" s="80">
        <f t="shared" ref="AA6:AA8" si="1">MIN(X6*Z6,1250000)</f>
        <v>0</v>
      </c>
      <c r="AE6" s="50" t="s">
        <v>1</v>
      </c>
      <c r="AF6" s="61">
        <v>5</v>
      </c>
      <c r="AG6" s="61">
        <f>AF6*90</f>
        <v>450</v>
      </c>
      <c r="AH6" s="61">
        <v>400</v>
      </c>
      <c r="AI6" s="79">
        <f t="shared" ref="AI6:AI7" si="2">AH6/AG6</f>
        <v>0.88888888888888884</v>
      </c>
      <c r="AO6" s="65" t="s">
        <v>86</v>
      </c>
      <c r="AP6" s="50">
        <v>750000</v>
      </c>
      <c r="AT6" s="40" t="s">
        <v>122</v>
      </c>
      <c r="AU6" s="41" t="s">
        <v>45</v>
      </c>
      <c r="AZ6" s="41" t="s">
        <v>177</v>
      </c>
      <c r="BA6" s="131"/>
      <c r="BB6" s="35">
        <v>1</v>
      </c>
      <c r="BC6" s="34">
        <f t="shared" si="0"/>
        <v>11000000</v>
      </c>
    </row>
    <row r="7" spans="2:55" ht="20.100000000000001" customHeight="1" x14ac:dyDescent="0.25">
      <c r="C7" s="10" t="s">
        <v>63</v>
      </c>
      <c r="D7" s="10" t="s">
        <v>36</v>
      </c>
      <c r="F7" s="32">
        <f>F6</f>
        <v>1000000000</v>
      </c>
      <c r="G7" s="34">
        <f>H7*F7</f>
        <v>1000000000</v>
      </c>
      <c r="H7" s="35">
        <v>1</v>
      </c>
      <c r="I7" s="34">
        <v>2000000</v>
      </c>
      <c r="J7" s="34"/>
      <c r="N7" s="40" t="s">
        <v>27</v>
      </c>
      <c r="U7" s="50">
        <v>1000000000</v>
      </c>
      <c r="V7" s="80">
        <v>950000000</v>
      </c>
      <c r="W7" s="62">
        <f>V7/U7</f>
        <v>0.95</v>
      </c>
      <c r="X7" s="61">
        <f>V7-U7</f>
        <v>-50000000</v>
      </c>
      <c r="Y7" s="78" t="s">
        <v>108</v>
      </c>
      <c r="Z7" s="79"/>
      <c r="AA7" s="80">
        <f t="shared" si="1"/>
        <v>0</v>
      </c>
      <c r="AE7" s="84" t="s">
        <v>62</v>
      </c>
      <c r="AF7" s="85">
        <f>SUM(AF5:AF6)</f>
        <v>7</v>
      </c>
      <c r="AG7" s="85">
        <f>SUM(AG5:AG6)</f>
        <v>550</v>
      </c>
      <c r="AH7" s="85">
        <f>SUM(AH5:AH6)</f>
        <v>495</v>
      </c>
      <c r="AI7" s="87">
        <f t="shared" si="2"/>
        <v>0.9</v>
      </c>
      <c r="AT7" s="40" t="s">
        <v>124</v>
      </c>
      <c r="AU7" s="41" t="s">
        <v>45</v>
      </c>
    </row>
    <row r="8" spans="2:55" ht="20.100000000000001" customHeight="1" x14ac:dyDescent="0.25">
      <c r="C8" s="32">
        <v>1000000000</v>
      </c>
      <c r="D8" s="83">
        <f>C8*1.1</f>
        <v>1100000000</v>
      </c>
      <c r="F8" s="32">
        <f t="shared" ref="F8:F10" si="3">F7</f>
        <v>1000000000</v>
      </c>
      <c r="G8" s="34">
        <f t="shared" ref="G8:G10" si="4">H8*F8</f>
        <v>1050000000</v>
      </c>
      <c r="H8" s="35">
        <v>1.05</v>
      </c>
      <c r="I8" s="34">
        <v>2500000</v>
      </c>
      <c r="J8" s="34" t="s">
        <v>125</v>
      </c>
      <c r="N8" s="40" t="s">
        <v>44</v>
      </c>
      <c r="U8" s="50">
        <v>1000000000</v>
      </c>
      <c r="V8" s="61">
        <v>1250000000</v>
      </c>
      <c r="W8" s="62">
        <f>V8/U8</f>
        <v>1.25</v>
      </c>
      <c r="X8" s="61">
        <f>V8-U8</f>
        <v>250000000</v>
      </c>
      <c r="Y8" s="78" t="s">
        <v>108</v>
      </c>
      <c r="Z8" s="79">
        <v>2.5000000000000001E-3</v>
      </c>
      <c r="AA8" s="80">
        <f t="shared" si="1"/>
        <v>625000</v>
      </c>
    </row>
    <row r="9" spans="2:55" ht="20.100000000000001" customHeight="1" x14ac:dyDescent="0.25">
      <c r="F9" s="32">
        <f t="shared" si="3"/>
        <v>1000000000</v>
      </c>
      <c r="G9" s="34">
        <f t="shared" si="4"/>
        <v>1100000000</v>
      </c>
      <c r="H9" s="35">
        <v>1.1000000000000001</v>
      </c>
      <c r="I9" s="34">
        <v>3000000</v>
      </c>
      <c r="J9" s="34" t="s">
        <v>125</v>
      </c>
      <c r="Q9"/>
    </row>
    <row r="10" spans="2:55" ht="20.100000000000001" customHeight="1" x14ac:dyDescent="0.25">
      <c r="F10" s="32">
        <f t="shared" si="3"/>
        <v>1000000000</v>
      </c>
      <c r="G10" s="34">
        <f t="shared" si="4"/>
        <v>1150000000</v>
      </c>
      <c r="H10" s="35">
        <v>1.1499999999999999</v>
      </c>
      <c r="I10" s="34">
        <v>4000000</v>
      </c>
      <c r="J10" s="34" t="s">
        <v>125</v>
      </c>
      <c r="N10" s="10" t="s">
        <v>21</v>
      </c>
      <c r="O10" s="10" t="s">
        <v>18</v>
      </c>
      <c r="AT10" s="132" t="s">
        <v>63</v>
      </c>
      <c r="AU10" s="132"/>
      <c r="AV10" s="132"/>
      <c r="AW10" s="132"/>
      <c r="AX10" s="132"/>
    </row>
    <row r="11" spans="2:55" ht="20.100000000000001" customHeight="1" x14ac:dyDescent="0.25">
      <c r="N11" s="34" t="s">
        <v>29</v>
      </c>
      <c r="O11" s="61">
        <v>1000000</v>
      </c>
      <c r="P11" s="74"/>
      <c r="Q11" s="74">
        <f>O11/2</f>
        <v>500000</v>
      </c>
      <c r="AT11" s="10" t="s">
        <v>21</v>
      </c>
      <c r="AU11" s="10" t="s">
        <v>60</v>
      </c>
      <c r="AV11" s="10" t="s">
        <v>61</v>
      </c>
      <c r="AW11" s="10" t="s">
        <v>17</v>
      </c>
      <c r="AX11" s="10" t="s">
        <v>17</v>
      </c>
    </row>
    <row r="12" spans="2:55" ht="20.100000000000001" customHeight="1" x14ac:dyDescent="0.25">
      <c r="N12" s="34" t="s">
        <v>30</v>
      </c>
      <c r="O12" s="61">
        <v>2000000</v>
      </c>
      <c r="Q12" s="74">
        <f>O12/3</f>
        <v>666666.66666666663</v>
      </c>
      <c r="AT12" s="40" t="s">
        <v>26</v>
      </c>
      <c r="AU12" s="50">
        <v>100</v>
      </c>
      <c r="AV12" s="50">
        <v>98</v>
      </c>
      <c r="AW12" s="55">
        <f>AV12/AU12</f>
        <v>0.98</v>
      </c>
      <c r="AX12" s="55" t="e">
        <f>AW12%*#REF!*100</f>
        <v>#REF!</v>
      </c>
    </row>
    <row r="13" spans="2:55" ht="20.100000000000001" customHeight="1" x14ac:dyDescent="0.25">
      <c r="N13" s="34" t="s">
        <v>95</v>
      </c>
      <c r="O13" s="61">
        <v>3000000</v>
      </c>
      <c r="Q13" s="74">
        <f>O13/4</f>
        <v>750000</v>
      </c>
      <c r="AT13" s="40" t="s">
        <v>25</v>
      </c>
      <c r="AU13" s="50">
        <v>100</v>
      </c>
      <c r="AV13" s="50">
        <v>100</v>
      </c>
      <c r="AW13" s="55">
        <f t="shared" ref="AW13:AW15" si="5">AV13/AU13</f>
        <v>1</v>
      </c>
      <c r="AX13" s="55">
        <f>AW13%*BC7*100</f>
        <v>0</v>
      </c>
    </row>
    <row r="14" spans="2:55" ht="20.100000000000001" customHeight="1" x14ac:dyDescent="0.25">
      <c r="AT14" s="40" t="s">
        <v>58</v>
      </c>
      <c r="AU14" s="50">
        <v>150</v>
      </c>
      <c r="AV14" s="50">
        <v>150</v>
      </c>
      <c r="AW14" s="55">
        <f t="shared" si="5"/>
        <v>1</v>
      </c>
      <c r="AX14" s="55">
        <f>AW14%*BC8*100</f>
        <v>0</v>
      </c>
    </row>
    <row r="15" spans="2:55" ht="20.100000000000001" customHeight="1" x14ac:dyDescent="0.25">
      <c r="AT15" s="10" t="s">
        <v>62</v>
      </c>
      <c r="AU15" s="57">
        <f>SUM(AU12:AU14)</f>
        <v>350</v>
      </c>
      <c r="AV15" s="57">
        <f t="shared" ref="AV15:AX15" si="6">SUM(AV12:AV14)</f>
        <v>348</v>
      </c>
      <c r="AW15" s="56">
        <f t="shared" si="5"/>
        <v>0.99428571428571433</v>
      </c>
      <c r="AX15" s="56" t="e">
        <f t="shared" si="6"/>
        <v>#REF!</v>
      </c>
    </row>
    <row r="17" spans="15:47" ht="20.100000000000001" customHeight="1" x14ac:dyDescent="0.25">
      <c r="AT17" s="10" t="s">
        <v>64</v>
      </c>
      <c r="AU17" s="10" t="s">
        <v>5</v>
      </c>
    </row>
    <row r="18" spans="15:47" ht="20.100000000000001" customHeight="1" x14ac:dyDescent="0.25">
      <c r="AT18" s="40" t="s">
        <v>65</v>
      </c>
      <c r="AU18" s="54">
        <v>-0.2</v>
      </c>
    </row>
    <row r="19" spans="15:47" ht="20.100000000000001" customHeight="1" x14ac:dyDescent="0.25">
      <c r="O19" s="38">
        <f>30/48</f>
        <v>0.625</v>
      </c>
      <c r="AT19" s="40" t="s">
        <v>66</v>
      </c>
      <c r="AU19" s="54">
        <v>-0.1</v>
      </c>
    </row>
    <row r="20" spans="15:47" ht="20.100000000000001" customHeight="1" x14ac:dyDescent="0.25">
      <c r="AT20" s="40" t="s">
        <v>67</v>
      </c>
      <c r="AU20" s="54">
        <v>0</v>
      </c>
    </row>
  </sheetData>
  <mergeCells count="3">
    <mergeCell ref="AZ2:BC2"/>
    <mergeCell ref="BA4:BA6"/>
    <mergeCell ref="AT10:AX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0375-4960-4DFB-B16A-1919BBA1C480}">
  <sheetPr filterMode="1">
    <tabColor rgb="FFFF0000"/>
  </sheetPr>
  <dimension ref="A2:I99"/>
  <sheetViews>
    <sheetView showGridLines="0" topLeftCell="A80" zoomScale="75" zoomScaleNormal="75" workbookViewId="0">
      <selection activeCell="L91" sqref="L91"/>
    </sheetView>
  </sheetViews>
  <sheetFormatPr defaultRowHeight="15" x14ac:dyDescent="0.25"/>
  <cols>
    <col min="1" max="1" width="5.28515625" style="95" customWidth="1"/>
    <col min="2" max="2" width="6.85546875" style="9" customWidth="1"/>
    <col min="3" max="3" width="111.5703125" style="9" customWidth="1"/>
    <col min="4" max="4" width="8.5703125" style="1" customWidth="1"/>
    <col min="5" max="5" width="13.42578125" style="9" customWidth="1"/>
    <col min="6" max="6" width="17.140625" style="9" bestFit="1" customWidth="1"/>
    <col min="7" max="8" width="14.5703125" style="9" bestFit="1" customWidth="1"/>
    <col min="9" max="16384" width="9.140625" style="9"/>
  </cols>
  <sheetData>
    <row r="2" spans="1:9" s="7" customFormat="1" ht="32.25" thickBot="1" x14ac:dyDescent="0.3">
      <c r="A2" s="91"/>
      <c r="B2" s="49" t="s">
        <v>207</v>
      </c>
      <c r="D2" s="25"/>
    </row>
    <row r="3" spans="1:9" s="6" customFormat="1" ht="27.75" customHeight="1" thickBot="1" x14ac:dyDescent="0.3">
      <c r="A3" s="92"/>
      <c r="B3" s="4" t="s">
        <v>6</v>
      </c>
      <c r="C3" s="4" t="s">
        <v>7</v>
      </c>
      <c r="D3" s="122" t="s">
        <v>8</v>
      </c>
      <c r="E3" s="123"/>
      <c r="F3" s="5" t="s">
        <v>9</v>
      </c>
      <c r="G3" s="47"/>
      <c r="H3" s="48"/>
      <c r="I3" s="7"/>
    </row>
    <row r="4" spans="1:9" s="2" customFormat="1" ht="9" customHeight="1" thickBot="1" x14ac:dyDescent="0.3">
      <c r="A4" s="93"/>
      <c r="B4" s="3" t="str">
        <f>B3</f>
        <v>NO</v>
      </c>
      <c r="C4" s="3" t="str">
        <f t="shared" ref="C4:F4" si="0">C3</f>
        <v>INDIKATOR PENILAIAN</v>
      </c>
      <c r="D4" s="3" t="e">
        <f>#REF!</f>
        <v>#REF!</v>
      </c>
      <c r="E4" s="3" t="str">
        <f>D3</f>
        <v>RANGE</v>
      </c>
      <c r="F4" s="3" t="str">
        <f t="shared" si="0"/>
        <v>NILAI</v>
      </c>
    </row>
    <row r="5" spans="1:9" s="8" customFormat="1" ht="18.75" x14ac:dyDescent="0.25">
      <c r="A5" s="94">
        <v>1</v>
      </c>
      <c r="B5" s="43">
        <v>1</v>
      </c>
      <c r="C5" s="13" t="s">
        <v>10</v>
      </c>
      <c r="D5" s="27" t="s">
        <v>11</v>
      </c>
      <c r="E5" s="14">
        <v>1</v>
      </c>
      <c r="F5" s="15">
        <v>750000</v>
      </c>
    </row>
    <row r="6" spans="1:9" ht="18.75" x14ac:dyDescent="0.25">
      <c r="A6" s="95">
        <v>1</v>
      </c>
      <c r="B6" s="44"/>
      <c r="C6" s="16"/>
      <c r="D6" s="27" t="s">
        <v>35</v>
      </c>
      <c r="E6" s="17">
        <v>1.05</v>
      </c>
      <c r="F6" s="18">
        <v>1500000</v>
      </c>
      <c r="G6" s="37"/>
    </row>
    <row r="7" spans="1:9" ht="18.75" x14ac:dyDescent="0.25">
      <c r="A7" s="95">
        <v>1</v>
      </c>
      <c r="B7" s="44"/>
      <c r="C7" s="16"/>
      <c r="D7" s="27" t="s">
        <v>35</v>
      </c>
      <c r="E7" s="17">
        <v>1.1000000000000001</v>
      </c>
      <c r="F7" s="18">
        <v>2500000</v>
      </c>
    </row>
    <row r="8" spans="1:9" ht="18.75" x14ac:dyDescent="0.25">
      <c r="A8" s="95">
        <v>1</v>
      </c>
      <c r="B8" s="44"/>
      <c r="C8" s="16"/>
      <c r="D8" s="27"/>
      <c r="E8" s="17"/>
      <c r="F8" s="18"/>
    </row>
    <row r="9" spans="1:9" ht="18.75" x14ac:dyDescent="0.25">
      <c r="A9" s="95">
        <v>1</v>
      </c>
      <c r="B9" s="44"/>
      <c r="C9" s="16"/>
      <c r="D9" s="27"/>
      <c r="E9" s="17"/>
      <c r="F9" s="18"/>
    </row>
    <row r="10" spans="1:9" ht="18.75" x14ac:dyDescent="0.25">
      <c r="A10" s="95">
        <v>1</v>
      </c>
      <c r="B10" s="44"/>
      <c r="C10" s="16"/>
      <c r="D10" s="27"/>
      <c r="E10" s="17"/>
      <c r="F10" s="18"/>
    </row>
    <row r="11" spans="1:9" ht="18.75" x14ac:dyDescent="0.25">
      <c r="A11" s="95">
        <v>1</v>
      </c>
      <c r="B11" s="44"/>
      <c r="C11" s="24" t="s">
        <v>52</v>
      </c>
      <c r="D11" s="27"/>
      <c r="E11" s="17"/>
      <c r="F11" s="18"/>
    </row>
    <row r="12" spans="1:9" ht="18.75" x14ac:dyDescent="0.25">
      <c r="A12" s="95">
        <v>1</v>
      </c>
      <c r="B12" s="44"/>
      <c r="C12" s="24" t="s">
        <v>126</v>
      </c>
      <c r="D12" s="28"/>
      <c r="E12" s="19"/>
      <c r="F12" s="16"/>
    </row>
    <row r="13" spans="1:9" ht="18.75" x14ac:dyDescent="0.25">
      <c r="A13" s="95">
        <v>1</v>
      </c>
      <c r="B13" s="44"/>
      <c r="C13" s="24" t="s">
        <v>127</v>
      </c>
      <c r="D13" s="28"/>
      <c r="E13" s="19"/>
      <c r="F13" s="16"/>
    </row>
    <row r="14" spans="1:9" ht="19.5" thickBot="1" x14ac:dyDescent="0.3">
      <c r="A14" s="95">
        <v>1</v>
      </c>
      <c r="B14" s="44"/>
      <c r="C14" s="24"/>
      <c r="D14" s="28"/>
      <c r="E14" s="19"/>
      <c r="F14" s="16"/>
    </row>
    <row r="15" spans="1:9" ht="19.5" hidden="1" thickBot="1" x14ac:dyDescent="0.3">
      <c r="A15" s="95">
        <v>0</v>
      </c>
      <c r="B15" s="44"/>
      <c r="C15" s="24"/>
      <c r="D15" s="28"/>
      <c r="E15" s="19"/>
      <c r="F15" s="16"/>
    </row>
    <row r="16" spans="1:9" ht="19.5" hidden="1" thickBot="1" x14ac:dyDescent="0.3">
      <c r="A16" s="95">
        <v>0</v>
      </c>
      <c r="B16" s="44"/>
      <c r="C16" s="24"/>
      <c r="D16" s="28"/>
      <c r="E16" s="19"/>
      <c r="F16" s="16"/>
    </row>
    <row r="17" spans="1:7" ht="19.5" hidden="1" thickBot="1" x14ac:dyDescent="0.3">
      <c r="A17" s="95">
        <v>0</v>
      </c>
      <c r="B17" s="44"/>
      <c r="C17" s="16"/>
      <c r="D17" s="28"/>
      <c r="E17" s="19"/>
      <c r="F17" s="16"/>
    </row>
    <row r="18" spans="1:7" ht="19.5" hidden="1" thickBot="1" x14ac:dyDescent="0.3">
      <c r="A18" s="95">
        <v>0</v>
      </c>
      <c r="B18" s="44"/>
      <c r="C18" s="16"/>
      <c r="D18" s="28"/>
      <c r="E18" s="19"/>
      <c r="F18" s="16"/>
    </row>
    <row r="19" spans="1:7" ht="19.5" hidden="1" thickBot="1" x14ac:dyDescent="0.3">
      <c r="A19" s="95">
        <v>0</v>
      </c>
      <c r="B19" s="45"/>
      <c r="C19" s="20"/>
      <c r="D19" s="29"/>
      <c r="E19" s="21"/>
      <c r="F19" s="20"/>
    </row>
    <row r="20" spans="1:7" s="8" customFormat="1" ht="18.75" x14ac:dyDescent="0.25">
      <c r="A20" s="95">
        <v>1</v>
      </c>
      <c r="B20" s="43">
        <v>2</v>
      </c>
      <c r="C20" s="13" t="s">
        <v>208</v>
      </c>
      <c r="D20" s="26" t="s">
        <v>11</v>
      </c>
      <c r="E20" s="30" t="s">
        <v>29</v>
      </c>
      <c r="F20" s="15">
        <v>500000</v>
      </c>
      <c r="G20" s="51">
        <f>F20/2</f>
        <v>250000</v>
      </c>
    </row>
    <row r="21" spans="1:7" ht="18.75" x14ac:dyDescent="0.25">
      <c r="A21" s="95">
        <v>1</v>
      </c>
      <c r="B21" s="44"/>
      <c r="C21" s="16"/>
      <c r="D21" s="27" t="s">
        <v>35</v>
      </c>
      <c r="E21" s="31" t="s">
        <v>30</v>
      </c>
      <c r="F21" s="18">
        <v>1000000</v>
      </c>
      <c r="G21" s="51">
        <f>F21/3</f>
        <v>333333.33333333331</v>
      </c>
    </row>
    <row r="22" spans="1:7" ht="18.75" x14ac:dyDescent="0.25">
      <c r="A22" s="95">
        <v>1</v>
      </c>
      <c r="B22" s="44"/>
      <c r="C22" s="16"/>
      <c r="D22" s="27" t="s">
        <v>12</v>
      </c>
      <c r="E22" s="31" t="s">
        <v>95</v>
      </c>
      <c r="F22" s="18">
        <v>2000000</v>
      </c>
      <c r="G22" s="51">
        <f>F22/4</f>
        <v>500000</v>
      </c>
    </row>
    <row r="23" spans="1:7" ht="18.75" x14ac:dyDescent="0.25">
      <c r="A23" s="95">
        <v>1</v>
      </c>
      <c r="B23" s="44"/>
      <c r="C23" s="16"/>
      <c r="D23" s="28"/>
      <c r="E23" s="19"/>
      <c r="F23" s="16"/>
    </row>
    <row r="24" spans="1:7" ht="18.75" x14ac:dyDescent="0.25">
      <c r="A24" s="95">
        <v>1</v>
      </c>
      <c r="B24" s="44"/>
      <c r="C24" s="16"/>
      <c r="D24" s="28"/>
      <c r="E24" s="19"/>
      <c r="F24" s="16"/>
    </row>
    <row r="25" spans="1:7" ht="18.75" x14ac:dyDescent="0.25">
      <c r="A25" s="95">
        <v>1</v>
      </c>
      <c r="B25" s="44"/>
      <c r="C25" s="16"/>
      <c r="D25" s="28"/>
      <c r="E25" s="19"/>
      <c r="F25" s="16"/>
    </row>
    <row r="26" spans="1:7" ht="18.75" x14ac:dyDescent="0.25">
      <c r="A26" s="95">
        <v>1</v>
      </c>
      <c r="B26" s="44"/>
      <c r="C26" s="16"/>
      <c r="D26" s="28"/>
      <c r="E26" s="19"/>
      <c r="F26" s="16"/>
    </row>
    <row r="27" spans="1:7" ht="18.75" x14ac:dyDescent="0.25">
      <c r="A27" s="95">
        <v>1</v>
      </c>
      <c r="B27" s="44"/>
      <c r="C27" s="24" t="s">
        <v>52</v>
      </c>
      <c r="D27" s="28"/>
      <c r="E27" s="19"/>
      <c r="F27" s="16"/>
    </row>
    <row r="28" spans="1:7" ht="18.75" x14ac:dyDescent="0.25">
      <c r="A28" s="95">
        <v>1</v>
      </c>
      <c r="B28" s="44"/>
      <c r="C28" s="24" t="s">
        <v>214</v>
      </c>
      <c r="D28" s="28"/>
      <c r="E28" s="19"/>
      <c r="F28" s="16"/>
    </row>
    <row r="29" spans="1:7" ht="18.75" x14ac:dyDescent="0.25">
      <c r="A29" s="95">
        <v>1</v>
      </c>
      <c r="B29" s="44"/>
      <c r="C29" s="24" t="s">
        <v>212</v>
      </c>
      <c r="D29" s="28"/>
      <c r="E29" s="19"/>
      <c r="F29" s="16"/>
    </row>
    <row r="30" spans="1:7" ht="18.75" x14ac:dyDescent="0.25">
      <c r="A30" s="95">
        <v>1</v>
      </c>
      <c r="B30" s="44"/>
      <c r="C30" s="24" t="s">
        <v>215</v>
      </c>
      <c r="D30" s="28"/>
      <c r="E30" s="19"/>
      <c r="F30" s="16"/>
    </row>
    <row r="31" spans="1:7" ht="19.5" thickBot="1" x14ac:dyDescent="0.3">
      <c r="A31" s="95">
        <v>1</v>
      </c>
      <c r="B31" s="44"/>
      <c r="C31" s="24"/>
      <c r="D31" s="28"/>
      <c r="E31" s="19"/>
      <c r="F31" s="16"/>
    </row>
    <row r="32" spans="1:7" ht="19.5" hidden="1" thickBot="1" x14ac:dyDescent="0.3">
      <c r="A32" s="95">
        <v>0</v>
      </c>
      <c r="B32" s="44"/>
      <c r="C32" s="24" t="s">
        <v>128</v>
      </c>
      <c r="D32" s="28"/>
      <c r="E32" s="19"/>
      <c r="F32" s="16"/>
    </row>
    <row r="33" spans="1:7" ht="19.5" hidden="1" thickBot="1" x14ac:dyDescent="0.3">
      <c r="A33" s="95">
        <v>0</v>
      </c>
      <c r="B33" s="44"/>
      <c r="C33" s="24"/>
      <c r="D33" s="28"/>
      <c r="E33" s="19"/>
      <c r="F33" s="16"/>
    </row>
    <row r="34" spans="1:7" ht="19.5" hidden="1" thickBot="1" x14ac:dyDescent="0.3">
      <c r="A34" s="95">
        <v>0</v>
      </c>
      <c r="B34" s="45"/>
      <c r="C34" s="20"/>
      <c r="D34" s="29"/>
      <c r="E34" s="21"/>
      <c r="F34" s="20"/>
    </row>
    <row r="35" spans="1:7" s="8" customFormat="1" ht="18.75" x14ac:dyDescent="0.25">
      <c r="A35" s="95">
        <v>1</v>
      </c>
      <c r="B35" s="43">
        <v>3</v>
      </c>
      <c r="C35" s="13" t="s">
        <v>43</v>
      </c>
      <c r="D35" s="26" t="s">
        <v>11</v>
      </c>
      <c r="E35" s="30">
        <v>0.95</v>
      </c>
      <c r="F35" s="15">
        <v>500000</v>
      </c>
      <c r="G35" s="51"/>
    </row>
    <row r="36" spans="1:7" ht="18.75" x14ac:dyDescent="0.25">
      <c r="A36" s="95">
        <v>1</v>
      </c>
      <c r="B36" s="44"/>
      <c r="C36" s="16"/>
      <c r="D36" s="27" t="s">
        <v>35</v>
      </c>
      <c r="E36" s="31">
        <v>0.97499999999999998</v>
      </c>
      <c r="F36" s="18">
        <v>750000</v>
      </c>
      <c r="G36" s="51"/>
    </row>
    <row r="37" spans="1:7" ht="18.75" x14ac:dyDescent="0.25">
      <c r="A37" s="95">
        <v>1</v>
      </c>
      <c r="B37" s="44"/>
      <c r="C37" s="16"/>
      <c r="D37" s="27" t="s">
        <v>12</v>
      </c>
      <c r="E37" s="31">
        <v>1</v>
      </c>
      <c r="F37" s="18">
        <v>1000000</v>
      </c>
      <c r="G37" s="51"/>
    </row>
    <row r="38" spans="1:7" ht="18.75" x14ac:dyDescent="0.25">
      <c r="A38" s="95">
        <v>1</v>
      </c>
      <c r="B38" s="44"/>
      <c r="C38" s="16"/>
      <c r="D38" s="28"/>
      <c r="E38" s="19"/>
      <c r="F38" s="16"/>
    </row>
    <row r="39" spans="1:7" ht="18.75" x14ac:dyDescent="0.25">
      <c r="A39" s="95">
        <v>1</v>
      </c>
      <c r="B39" s="44"/>
      <c r="C39" s="16"/>
      <c r="D39" s="28"/>
      <c r="E39" s="19"/>
      <c r="F39" s="16"/>
    </row>
    <row r="40" spans="1:7" ht="18.75" x14ac:dyDescent="0.25">
      <c r="A40" s="95">
        <v>1</v>
      </c>
      <c r="B40" s="44"/>
      <c r="C40" s="24"/>
      <c r="D40" s="28"/>
      <c r="E40" s="19"/>
      <c r="F40" s="16"/>
    </row>
    <row r="41" spans="1:7" ht="18.75" x14ac:dyDescent="0.25">
      <c r="A41" s="95">
        <v>1</v>
      </c>
      <c r="B41" s="44"/>
      <c r="C41" s="24" t="s">
        <v>52</v>
      </c>
      <c r="D41" s="28"/>
      <c r="E41" s="19"/>
      <c r="F41" s="16"/>
    </row>
    <row r="42" spans="1:7" ht="18.75" x14ac:dyDescent="0.25">
      <c r="A42" s="95">
        <v>1</v>
      </c>
      <c r="B42" s="44"/>
      <c r="C42" s="24" t="s">
        <v>138</v>
      </c>
      <c r="D42" s="28"/>
      <c r="E42" s="19"/>
      <c r="F42" s="16"/>
    </row>
    <row r="43" spans="1:7" ht="18.75" x14ac:dyDescent="0.25">
      <c r="A43" s="95">
        <v>1</v>
      </c>
      <c r="B43" s="44"/>
      <c r="C43" s="24" t="s">
        <v>139</v>
      </c>
      <c r="D43" s="28"/>
      <c r="E43" s="19"/>
      <c r="F43" s="16"/>
    </row>
    <row r="44" spans="1:7" ht="19.5" thickBot="1" x14ac:dyDescent="0.3">
      <c r="A44" s="95">
        <v>1</v>
      </c>
      <c r="B44" s="44"/>
      <c r="C44" s="24"/>
      <c r="D44" s="28"/>
      <c r="E44" s="19"/>
      <c r="F44" s="16"/>
    </row>
    <row r="45" spans="1:7" ht="19.5" hidden="1" thickBot="1" x14ac:dyDescent="0.3">
      <c r="A45" s="95">
        <v>0</v>
      </c>
      <c r="B45" s="44"/>
      <c r="C45" s="24"/>
      <c r="D45" s="28"/>
      <c r="E45" s="19"/>
      <c r="F45" s="16"/>
    </row>
    <row r="46" spans="1:7" ht="19.5" hidden="1" thickBot="1" x14ac:dyDescent="0.3">
      <c r="A46" s="95">
        <v>0</v>
      </c>
      <c r="B46" s="44"/>
      <c r="C46" s="24"/>
      <c r="D46" s="28"/>
      <c r="E46" s="19"/>
      <c r="F46" s="16"/>
    </row>
    <row r="47" spans="1:7" ht="19.5" hidden="1" thickBot="1" x14ac:dyDescent="0.3">
      <c r="A47" s="95">
        <v>0</v>
      </c>
      <c r="B47" s="44"/>
      <c r="C47" s="24"/>
      <c r="D47" s="28"/>
      <c r="E47" s="19"/>
      <c r="F47" s="16"/>
    </row>
    <row r="48" spans="1:7" ht="19.5" hidden="1" thickBot="1" x14ac:dyDescent="0.3">
      <c r="A48" s="95">
        <v>0</v>
      </c>
      <c r="B48" s="44"/>
      <c r="C48" s="24"/>
      <c r="D48" s="28"/>
      <c r="E48" s="19"/>
      <c r="F48" s="16"/>
    </row>
    <row r="49" spans="1:7" ht="19.5" hidden="1" thickBot="1" x14ac:dyDescent="0.3">
      <c r="A49" s="95">
        <v>0</v>
      </c>
      <c r="B49" s="45"/>
      <c r="C49" s="20"/>
      <c r="D49" s="29"/>
      <c r="E49" s="21"/>
      <c r="F49" s="20"/>
    </row>
    <row r="50" spans="1:7" s="8" customFormat="1" ht="18.75" x14ac:dyDescent="0.25">
      <c r="A50" s="95">
        <v>1</v>
      </c>
      <c r="B50" s="43">
        <v>4</v>
      </c>
      <c r="C50" s="13" t="s">
        <v>210</v>
      </c>
      <c r="D50" s="26" t="s">
        <v>11</v>
      </c>
      <c r="E50" s="30">
        <v>0.95</v>
      </c>
      <c r="F50" s="15">
        <v>500000</v>
      </c>
      <c r="G50" s="51"/>
    </row>
    <row r="51" spans="1:7" ht="18.75" x14ac:dyDescent="0.25">
      <c r="A51" s="95">
        <v>1</v>
      </c>
      <c r="B51" s="44"/>
      <c r="C51" s="16"/>
      <c r="D51" s="27" t="s">
        <v>35</v>
      </c>
      <c r="E51" s="31">
        <v>0.97499999999999998</v>
      </c>
      <c r="F51" s="18">
        <v>750000</v>
      </c>
      <c r="G51" s="51"/>
    </row>
    <row r="52" spans="1:7" ht="18.75" x14ac:dyDescent="0.25">
      <c r="A52" s="95">
        <v>1</v>
      </c>
      <c r="B52" s="44"/>
      <c r="C52" s="16"/>
      <c r="D52" s="27" t="s">
        <v>12</v>
      </c>
      <c r="E52" s="31">
        <v>1</v>
      </c>
      <c r="F52" s="18">
        <v>1000000</v>
      </c>
      <c r="G52" s="51"/>
    </row>
    <row r="53" spans="1:7" ht="18.75" x14ac:dyDescent="0.25">
      <c r="A53" s="95">
        <v>1</v>
      </c>
      <c r="B53" s="44"/>
      <c r="C53" s="16"/>
      <c r="D53" s="27"/>
      <c r="E53" s="31"/>
      <c r="F53" s="18"/>
      <c r="G53" s="51"/>
    </row>
    <row r="54" spans="1:7" ht="18.75" x14ac:dyDescent="0.25">
      <c r="A54" s="95">
        <v>1</v>
      </c>
      <c r="B54" s="44"/>
      <c r="C54" s="16"/>
      <c r="D54" s="28"/>
      <c r="E54" s="19"/>
      <c r="F54" s="16"/>
    </row>
    <row r="55" spans="1:7" ht="18.75" x14ac:dyDescent="0.25">
      <c r="A55" s="95">
        <v>1</v>
      </c>
      <c r="B55" s="44"/>
      <c r="C55" s="16"/>
      <c r="D55" s="28"/>
      <c r="E55" s="19"/>
      <c r="F55" s="16"/>
    </row>
    <row r="56" spans="1:7" ht="18.75" x14ac:dyDescent="0.25">
      <c r="A56" s="95">
        <v>1</v>
      </c>
      <c r="B56" s="44"/>
      <c r="C56" s="24" t="s">
        <v>52</v>
      </c>
      <c r="D56" s="28"/>
      <c r="E56" s="19"/>
      <c r="F56" s="16"/>
    </row>
    <row r="57" spans="1:7" ht="18.75" x14ac:dyDescent="0.25">
      <c r="A57" s="95">
        <v>1</v>
      </c>
      <c r="B57" s="44"/>
      <c r="C57" s="24" t="s">
        <v>138</v>
      </c>
      <c r="D57" s="28"/>
      <c r="E57" s="19"/>
      <c r="F57" s="16"/>
    </row>
    <row r="58" spans="1:7" ht="18.75" x14ac:dyDescent="0.25">
      <c r="A58" s="95">
        <v>1</v>
      </c>
      <c r="B58" s="44"/>
      <c r="C58" s="24" t="s">
        <v>139</v>
      </c>
      <c r="D58" s="28"/>
      <c r="E58" s="19"/>
      <c r="F58" s="16"/>
    </row>
    <row r="59" spans="1:7" ht="19.5" thickBot="1" x14ac:dyDescent="0.3">
      <c r="A59" s="95">
        <v>1</v>
      </c>
      <c r="B59" s="44"/>
      <c r="C59" s="24"/>
      <c r="D59" s="28"/>
      <c r="E59" s="19"/>
      <c r="F59" s="16"/>
    </row>
    <row r="60" spans="1:7" ht="19.5" hidden="1" thickBot="1" x14ac:dyDescent="0.3">
      <c r="A60" s="95">
        <v>0</v>
      </c>
      <c r="B60" s="44"/>
      <c r="C60" s="24"/>
      <c r="D60" s="28"/>
      <c r="E60" s="19"/>
      <c r="F60" s="16"/>
    </row>
    <row r="61" spans="1:7" ht="19.5" hidden="1" thickBot="1" x14ac:dyDescent="0.3">
      <c r="A61" s="95">
        <v>0</v>
      </c>
      <c r="B61" s="44"/>
      <c r="C61" s="24"/>
      <c r="D61" s="28"/>
      <c r="E61" s="19"/>
      <c r="F61" s="16"/>
    </row>
    <row r="62" spans="1:7" ht="19.5" hidden="1" thickBot="1" x14ac:dyDescent="0.3">
      <c r="A62" s="95">
        <v>0</v>
      </c>
      <c r="B62" s="44"/>
      <c r="C62" s="24"/>
      <c r="D62" s="28"/>
      <c r="E62" s="19"/>
      <c r="F62" s="16"/>
    </row>
    <row r="63" spans="1:7" ht="19.5" hidden="1" thickBot="1" x14ac:dyDescent="0.3">
      <c r="A63" s="95">
        <v>0</v>
      </c>
      <c r="B63" s="44"/>
      <c r="C63" s="24"/>
      <c r="D63" s="28"/>
      <c r="E63" s="19"/>
      <c r="F63" s="16"/>
    </row>
    <row r="64" spans="1:7" ht="19.5" hidden="1" thickBot="1" x14ac:dyDescent="0.3">
      <c r="A64" s="95">
        <v>0</v>
      </c>
      <c r="B64" s="45"/>
      <c r="C64" s="20"/>
      <c r="D64" s="29"/>
      <c r="E64" s="21"/>
      <c r="F64" s="20"/>
    </row>
    <row r="65" spans="1:7" s="8" customFormat="1" ht="18.75" x14ac:dyDescent="0.25">
      <c r="A65" s="95">
        <v>1</v>
      </c>
      <c r="B65" s="43">
        <v>5</v>
      </c>
      <c r="C65" s="13" t="s">
        <v>74</v>
      </c>
      <c r="D65" s="26" t="s">
        <v>11</v>
      </c>
      <c r="E65" s="63">
        <v>1</v>
      </c>
      <c r="F65" s="15">
        <v>250000</v>
      </c>
    </row>
    <row r="66" spans="1:7" ht="18.75" x14ac:dyDescent="0.25">
      <c r="A66" s="95">
        <v>1</v>
      </c>
      <c r="B66" s="44"/>
      <c r="C66" s="16"/>
      <c r="D66" s="27" t="s">
        <v>35</v>
      </c>
      <c r="E66" s="64">
        <v>1</v>
      </c>
      <c r="F66" s="18">
        <v>250000</v>
      </c>
      <c r="G66" s="37"/>
    </row>
    <row r="67" spans="1:7" ht="18.75" x14ac:dyDescent="0.25">
      <c r="A67" s="95">
        <v>1</v>
      </c>
      <c r="B67" s="44"/>
      <c r="C67" s="16"/>
      <c r="D67" s="27" t="s">
        <v>12</v>
      </c>
      <c r="E67" s="64">
        <v>2</v>
      </c>
      <c r="F67" s="18">
        <v>500000</v>
      </c>
    </row>
    <row r="68" spans="1:7" ht="18.75" x14ac:dyDescent="0.25">
      <c r="A68" s="95">
        <v>1</v>
      </c>
      <c r="B68" s="44"/>
      <c r="C68" s="16"/>
      <c r="D68" s="28"/>
      <c r="E68" s="19"/>
      <c r="F68" s="16"/>
    </row>
    <row r="69" spans="1:7" ht="18.75" x14ac:dyDescent="0.25">
      <c r="A69" s="95">
        <v>1</v>
      </c>
      <c r="B69" s="44"/>
      <c r="C69" s="16"/>
      <c r="D69" s="28"/>
      <c r="E69" s="19"/>
      <c r="F69" s="16"/>
    </row>
    <row r="70" spans="1:7" ht="18.75" x14ac:dyDescent="0.25">
      <c r="A70" s="95">
        <v>1</v>
      </c>
      <c r="B70" s="44"/>
      <c r="C70" s="24" t="s">
        <v>52</v>
      </c>
      <c r="D70" s="28"/>
      <c r="E70" s="19"/>
      <c r="F70" s="16"/>
    </row>
    <row r="71" spans="1:7" ht="18.75" x14ac:dyDescent="0.25">
      <c r="A71" s="95">
        <v>1</v>
      </c>
      <c r="B71" s="44"/>
      <c r="C71" s="24" t="s">
        <v>87</v>
      </c>
      <c r="D71" s="28"/>
      <c r="E71" s="19"/>
      <c r="F71" s="16"/>
    </row>
    <row r="72" spans="1:7" ht="18.75" x14ac:dyDescent="0.25">
      <c r="A72" s="95">
        <v>1</v>
      </c>
      <c r="B72" s="44"/>
      <c r="C72" s="24" t="s">
        <v>88</v>
      </c>
      <c r="D72" s="28"/>
      <c r="E72" s="19"/>
      <c r="F72" s="16"/>
    </row>
    <row r="73" spans="1:7" ht="19.5" thickBot="1" x14ac:dyDescent="0.3">
      <c r="A73" s="95">
        <v>1</v>
      </c>
      <c r="B73" s="44"/>
      <c r="C73" s="24"/>
      <c r="D73" s="28"/>
      <c r="E73" s="19"/>
      <c r="F73" s="16"/>
    </row>
    <row r="74" spans="1:7" ht="19.5" hidden="1" thickBot="1" x14ac:dyDescent="0.3">
      <c r="A74" s="95">
        <v>0</v>
      </c>
      <c r="B74" s="44"/>
      <c r="C74" s="24"/>
      <c r="D74" s="28"/>
      <c r="E74" s="19"/>
      <c r="F74" s="16"/>
    </row>
    <row r="75" spans="1:7" ht="19.5" hidden="1" thickBot="1" x14ac:dyDescent="0.3">
      <c r="A75" s="95">
        <v>0</v>
      </c>
      <c r="B75" s="44"/>
      <c r="C75" s="24"/>
      <c r="D75" s="28"/>
      <c r="E75" s="19"/>
      <c r="F75" s="16"/>
    </row>
    <row r="76" spans="1:7" ht="19.5" hidden="1" thickBot="1" x14ac:dyDescent="0.3">
      <c r="A76" s="95">
        <v>0</v>
      </c>
      <c r="B76" s="44"/>
      <c r="C76" s="24"/>
      <c r="D76" s="28"/>
      <c r="E76" s="19"/>
      <c r="F76" s="16"/>
    </row>
    <row r="77" spans="1:7" ht="19.5" hidden="1" thickBot="1" x14ac:dyDescent="0.3">
      <c r="A77" s="95">
        <v>0</v>
      </c>
      <c r="B77" s="44"/>
      <c r="C77" s="24"/>
      <c r="D77" s="28"/>
      <c r="E77" s="19"/>
      <c r="F77" s="16"/>
    </row>
    <row r="78" spans="1:7" ht="19.5" hidden="1" thickBot="1" x14ac:dyDescent="0.3">
      <c r="A78" s="95">
        <v>0</v>
      </c>
      <c r="B78" s="44"/>
      <c r="C78" s="24"/>
      <c r="D78" s="28"/>
      <c r="E78" s="19"/>
      <c r="F78" s="16"/>
    </row>
    <row r="79" spans="1:7" ht="19.5" hidden="1" thickBot="1" x14ac:dyDescent="0.3">
      <c r="A79" s="95">
        <v>0</v>
      </c>
      <c r="B79" s="45"/>
      <c r="C79" s="20"/>
      <c r="D79" s="29"/>
      <c r="E79" s="21"/>
      <c r="F79" s="20"/>
    </row>
    <row r="80" spans="1:7" s="8" customFormat="1" ht="18.75" x14ac:dyDescent="0.25">
      <c r="A80" s="95">
        <v>1</v>
      </c>
      <c r="B80" s="43"/>
      <c r="C80" s="13" t="s">
        <v>218</v>
      </c>
      <c r="D80" s="26" t="s">
        <v>11</v>
      </c>
      <c r="E80" s="63"/>
      <c r="F80" s="15">
        <v>0</v>
      </c>
    </row>
    <row r="81" spans="1:8" ht="18.75" x14ac:dyDescent="0.25">
      <c r="A81" s="95">
        <v>1</v>
      </c>
      <c r="B81" s="44"/>
      <c r="C81" s="16"/>
      <c r="D81" s="27" t="s">
        <v>35</v>
      </c>
      <c r="E81" s="64"/>
      <c r="F81" s="18">
        <v>0</v>
      </c>
      <c r="G81" s="37"/>
    </row>
    <row r="82" spans="1:8" ht="18.75" x14ac:dyDescent="0.25">
      <c r="A82" s="95">
        <v>1</v>
      </c>
      <c r="B82" s="44"/>
      <c r="C82" s="16"/>
      <c r="D82" s="27" t="s">
        <v>12</v>
      </c>
      <c r="E82" s="64"/>
      <c r="F82" s="67">
        <v>-0.1</v>
      </c>
    </row>
    <row r="83" spans="1:8" ht="18.75" x14ac:dyDescent="0.25">
      <c r="A83" s="95">
        <v>1</v>
      </c>
      <c r="B83" s="44"/>
      <c r="C83" s="16"/>
      <c r="D83" s="28"/>
      <c r="E83" s="19"/>
      <c r="F83" s="16"/>
    </row>
    <row r="84" spans="1:8" ht="18.75" x14ac:dyDescent="0.25">
      <c r="A84" s="95">
        <v>1</v>
      </c>
      <c r="B84" s="44"/>
      <c r="C84" s="16"/>
      <c r="D84" s="28"/>
      <c r="E84" s="19"/>
      <c r="F84" s="16"/>
    </row>
    <row r="85" spans="1:8" ht="18.75" x14ac:dyDescent="0.25">
      <c r="A85" s="95">
        <v>1</v>
      </c>
      <c r="B85" s="44"/>
      <c r="C85" s="16"/>
      <c r="D85" s="28"/>
      <c r="E85" s="19"/>
      <c r="F85" s="16"/>
    </row>
    <row r="86" spans="1:8" ht="18.75" x14ac:dyDescent="0.25">
      <c r="A86" s="95">
        <v>1</v>
      </c>
      <c r="B86" s="44"/>
      <c r="C86" s="24"/>
      <c r="D86" s="28"/>
      <c r="E86" s="19"/>
      <c r="F86" s="16"/>
    </row>
    <row r="87" spans="1:8" ht="18.75" x14ac:dyDescent="0.25">
      <c r="A87" s="95">
        <v>1</v>
      </c>
      <c r="B87" s="44"/>
      <c r="C87" s="24"/>
      <c r="D87" s="28"/>
      <c r="E87" s="19"/>
      <c r="F87" s="16"/>
    </row>
    <row r="88" spans="1:8" ht="18.75" x14ac:dyDescent="0.25">
      <c r="A88" s="95">
        <v>1</v>
      </c>
      <c r="B88" s="44"/>
      <c r="C88" s="24"/>
      <c r="D88" s="28"/>
      <c r="E88" s="19"/>
      <c r="F88" s="16"/>
    </row>
    <row r="89" spans="1:8" ht="18.75" x14ac:dyDescent="0.25">
      <c r="A89" s="95">
        <v>1</v>
      </c>
      <c r="B89" s="44"/>
      <c r="C89" s="24"/>
      <c r="D89" s="28"/>
      <c r="E89" s="19"/>
      <c r="F89" s="16"/>
    </row>
    <row r="90" spans="1:8" ht="18.75" x14ac:dyDescent="0.25">
      <c r="A90" s="95">
        <v>1</v>
      </c>
      <c r="B90" s="44"/>
      <c r="C90" s="24"/>
      <c r="D90" s="28"/>
      <c r="E90" s="19"/>
      <c r="F90" s="16"/>
    </row>
    <row r="91" spans="1:8" ht="18.75" x14ac:dyDescent="0.25">
      <c r="A91" s="95">
        <v>1</v>
      </c>
      <c r="B91" s="44"/>
      <c r="C91" s="24"/>
      <c r="D91" s="28"/>
      <c r="E91" s="19"/>
      <c r="F91" s="16"/>
    </row>
    <row r="92" spans="1:8" ht="18.75" x14ac:dyDescent="0.25">
      <c r="A92" s="95">
        <v>1</v>
      </c>
      <c r="B92" s="44"/>
      <c r="C92" s="24"/>
      <c r="D92" s="28"/>
      <c r="E92" s="19"/>
      <c r="F92" s="16"/>
    </row>
    <row r="93" spans="1:8" ht="18.75" x14ac:dyDescent="0.25">
      <c r="A93" s="95">
        <v>1</v>
      </c>
      <c r="B93" s="44"/>
      <c r="C93" s="24"/>
      <c r="D93" s="28"/>
      <c r="E93" s="19"/>
      <c r="F93" s="16"/>
    </row>
    <row r="94" spans="1:8" ht="19.5" thickBot="1" x14ac:dyDescent="0.3">
      <c r="A94" s="95">
        <v>1</v>
      </c>
      <c r="B94" s="45"/>
      <c r="C94" s="20"/>
      <c r="D94" s="29"/>
      <c r="E94" s="21"/>
      <c r="F94" s="20"/>
    </row>
    <row r="95" spans="1:8" s="8" customFormat="1" ht="18.75" x14ac:dyDescent="0.25">
      <c r="A95" s="95">
        <v>1</v>
      </c>
      <c r="B95" s="43"/>
      <c r="C95" s="13"/>
      <c r="D95" s="26" t="s">
        <v>11</v>
      </c>
      <c r="E95" s="30"/>
      <c r="F95" s="15">
        <f>F5+F20+F35+F50+F65</f>
        <v>2500000</v>
      </c>
      <c r="G95" s="66">
        <f>F95/$F$97</f>
        <v>0.35714285714285715</v>
      </c>
      <c r="H95" s="51"/>
    </row>
    <row r="96" spans="1:8" ht="18.75" x14ac:dyDescent="0.25">
      <c r="A96" s="95">
        <v>1</v>
      </c>
      <c r="B96" s="44"/>
      <c r="C96" s="16"/>
      <c r="D96" s="27" t="s">
        <v>35</v>
      </c>
      <c r="E96" s="31"/>
      <c r="F96" s="18">
        <f>F6+F21+F36+F51+F66</f>
        <v>4250000</v>
      </c>
      <c r="G96" s="66">
        <f t="shared" ref="G96:G97" si="1">F96/$F$97</f>
        <v>0.6071428571428571</v>
      </c>
      <c r="H96" s="37"/>
    </row>
    <row r="97" spans="1:8" ht="18.75" x14ac:dyDescent="0.25">
      <c r="A97" s="95">
        <v>1</v>
      </c>
      <c r="B97" s="44"/>
      <c r="C97" s="16"/>
      <c r="D97" s="27" t="s">
        <v>12</v>
      </c>
      <c r="E97" s="31"/>
      <c r="F97" s="18">
        <f>F7+F22+F37+F52+F67</f>
        <v>7000000</v>
      </c>
      <c r="G97" s="66">
        <f t="shared" si="1"/>
        <v>1</v>
      </c>
      <c r="H97" s="37"/>
    </row>
    <row r="98" spans="1:8" ht="19.5" thickBot="1" x14ac:dyDescent="0.3">
      <c r="A98" s="95">
        <v>1</v>
      </c>
      <c r="B98" s="45"/>
      <c r="C98" s="20"/>
      <c r="D98" s="29"/>
      <c r="E98" s="21"/>
      <c r="F98" s="20"/>
    </row>
    <row r="99" spans="1:8" x14ac:dyDescent="0.25">
      <c r="B99" s="46"/>
    </row>
  </sheetData>
  <autoFilter ref="A4:I98" xr:uid="{D8A1FA1B-BE37-4968-8E2D-1F27B3B3568A}">
    <filterColumn colId="0">
      <filters>
        <filter val="1"/>
      </filters>
    </filterColumn>
  </autoFilter>
  <mergeCells count="1">
    <mergeCell ref="D3:E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229F-9331-42D0-9797-861B56B2FC13}">
  <sheetPr>
    <tabColor rgb="FF7030A0"/>
  </sheetPr>
  <dimension ref="B3:AZ28"/>
  <sheetViews>
    <sheetView showGridLines="0" topLeftCell="AP19" workbookViewId="0">
      <selection activeCell="AS22" sqref="AS22:AY28"/>
    </sheetView>
  </sheetViews>
  <sheetFormatPr defaultRowHeight="20.100000000000001" customHeight="1" x14ac:dyDescent="0.25"/>
  <cols>
    <col min="1" max="2" width="5.28515625" style="38" customWidth="1"/>
    <col min="3" max="3" width="16.42578125" style="38" customWidth="1"/>
    <col min="4" max="4" width="17.85546875" style="38" customWidth="1"/>
    <col min="5" max="5" width="2.28515625" style="38" customWidth="1"/>
    <col min="6" max="7" width="16" style="38" bestFit="1" customWidth="1"/>
    <col min="8" max="8" width="7.85546875" style="38" bestFit="1" customWidth="1"/>
    <col min="9" max="9" width="12.7109375" style="38" bestFit="1" customWidth="1"/>
    <col min="10" max="10" width="2" style="38" customWidth="1"/>
    <col min="11" max="11" width="3" style="39" customWidth="1"/>
    <col min="12" max="12" width="6" style="38" customWidth="1"/>
    <col min="13" max="13" width="22" style="38" customWidth="1"/>
    <col min="14" max="14" width="12.7109375" style="38" bestFit="1" customWidth="1"/>
    <col min="15" max="15" width="12.42578125" style="38" customWidth="1"/>
    <col min="16" max="16" width="11.5703125" style="38" bestFit="1" customWidth="1"/>
    <col min="17" max="17" width="2.85546875" style="38" customWidth="1"/>
    <col min="18" max="18" width="3" style="39" customWidth="1"/>
    <col min="19" max="19" width="6" style="38" customWidth="1"/>
    <col min="20" max="20" width="13.85546875" style="38" customWidth="1"/>
    <col min="21" max="24" width="11.5703125" style="38" customWidth="1"/>
    <col min="25" max="25" width="9.42578125" style="38" customWidth="1"/>
    <col min="26" max="26" width="2.85546875" style="38" customWidth="1"/>
    <col min="27" max="27" width="3" style="39" customWidth="1"/>
    <col min="28" max="28" width="6" style="38" customWidth="1"/>
    <col min="29" max="29" width="13.85546875" style="38" customWidth="1"/>
    <col min="30" max="33" width="11.5703125" style="38" customWidth="1"/>
    <col min="34" max="34" width="9.42578125" style="38" customWidth="1"/>
    <col min="35" max="35" width="13.7109375" style="38" customWidth="1"/>
    <col min="36" max="36" width="12.7109375" style="38" bestFit="1" customWidth="1"/>
    <col min="37" max="37" width="2.85546875" style="38" customWidth="1"/>
    <col min="38" max="38" width="3" style="39" customWidth="1"/>
    <col min="39" max="39" width="6" style="38" customWidth="1"/>
    <col min="40" max="40" width="13.7109375" style="38" customWidth="1"/>
    <col min="41" max="41" width="12.7109375" style="38" bestFit="1" customWidth="1"/>
    <col min="42" max="42" width="2.85546875" style="38" customWidth="1"/>
    <col min="43" max="43" width="3" style="39" customWidth="1"/>
    <col min="44" max="44" width="6" style="38" customWidth="1"/>
    <col min="45" max="45" width="25.140625" style="38" customWidth="1"/>
    <col min="46" max="49" width="11" style="38" customWidth="1"/>
    <col min="50" max="50" width="12.7109375" style="38" bestFit="1" customWidth="1"/>
    <col min="51" max="51" width="9.5703125" style="38" customWidth="1"/>
    <col min="52" max="52" width="14.7109375" style="38" customWidth="1"/>
    <col min="53" max="53" width="9.5703125" style="38" customWidth="1"/>
    <col min="54" max="16384" width="9.140625" style="38"/>
  </cols>
  <sheetData>
    <row r="3" spans="2:52" ht="20.100000000000001" customHeight="1" x14ac:dyDescent="0.25">
      <c r="B3" s="22">
        <v>1</v>
      </c>
      <c r="C3" s="23" t="s">
        <v>10</v>
      </c>
      <c r="F3" s="22"/>
      <c r="G3" s="23"/>
      <c r="L3" s="22">
        <v>2</v>
      </c>
      <c r="M3" s="23" t="s">
        <v>78</v>
      </c>
      <c r="S3" s="22">
        <v>3</v>
      </c>
      <c r="T3" s="23" t="s">
        <v>131</v>
      </c>
      <c r="AB3" s="22">
        <v>4</v>
      </c>
      <c r="AC3" s="23" t="s">
        <v>216</v>
      </c>
      <c r="AI3" s="23"/>
      <c r="AM3" s="22">
        <v>5</v>
      </c>
      <c r="AN3" s="23" t="s">
        <v>84</v>
      </c>
      <c r="AR3" s="22">
        <v>6</v>
      </c>
      <c r="AS3" s="23" t="s">
        <v>5</v>
      </c>
    </row>
    <row r="4" spans="2:52" ht="20.100000000000001" customHeight="1" x14ac:dyDescent="0.25">
      <c r="C4" s="10" t="s">
        <v>13</v>
      </c>
      <c r="D4" s="10" t="s">
        <v>36</v>
      </c>
      <c r="F4" s="10" t="s">
        <v>16</v>
      </c>
      <c r="G4" s="10" t="s">
        <v>19</v>
      </c>
      <c r="H4" s="12" t="s">
        <v>17</v>
      </c>
      <c r="I4" s="12" t="s">
        <v>18</v>
      </c>
      <c r="M4" s="10" t="s">
        <v>21</v>
      </c>
      <c r="N4" s="10" t="s">
        <v>75</v>
      </c>
      <c r="O4" s="10" t="s">
        <v>76</v>
      </c>
      <c r="P4" s="10" t="s">
        <v>77</v>
      </c>
      <c r="T4" s="86" t="s">
        <v>134</v>
      </c>
      <c r="U4" s="86" t="s">
        <v>135</v>
      </c>
      <c r="V4" s="86" t="s">
        <v>136</v>
      </c>
      <c r="W4" s="86" t="s">
        <v>60</v>
      </c>
      <c r="X4" s="86" t="s">
        <v>61</v>
      </c>
      <c r="Y4" s="86" t="s">
        <v>17</v>
      </c>
      <c r="AC4" s="86" t="s">
        <v>134</v>
      </c>
      <c r="AD4" s="86" t="s">
        <v>59</v>
      </c>
      <c r="AE4" s="86" t="s">
        <v>136</v>
      </c>
      <c r="AF4" s="86" t="s">
        <v>60</v>
      </c>
      <c r="AG4" s="86" t="s">
        <v>61</v>
      </c>
      <c r="AH4" s="86" t="s">
        <v>17</v>
      </c>
      <c r="AN4" s="10" t="s">
        <v>146</v>
      </c>
      <c r="AO4" s="10" t="s">
        <v>9</v>
      </c>
      <c r="AS4" s="132" t="s">
        <v>221</v>
      </c>
      <c r="AT4" s="132" t="s">
        <v>220</v>
      </c>
      <c r="AU4" s="132" t="s">
        <v>239</v>
      </c>
      <c r="AW4" s="132" t="s">
        <v>226</v>
      </c>
      <c r="AX4" s="132"/>
      <c r="AY4" s="132"/>
      <c r="AZ4" s="132"/>
    </row>
    <row r="5" spans="2:52" ht="20.100000000000001" customHeight="1" x14ac:dyDescent="0.25">
      <c r="C5" s="34" t="s">
        <v>13</v>
      </c>
      <c r="D5" s="83" t="s">
        <v>99</v>
      </c>
      <c r="F5" s="32">
        <f>C8</f>
        <v>500000000</v>
      </c>
      <c r="G5" s="34">
        <f>H5*F5</f>
        <v>487500000</v>
      </c>
      <c r="H5" s="35">
        <v>0.97499999999999998</v>
      </c>
      <c r="I5" s="34">
        <v>750000</v>
      </c>
      <c r="M5" s="40" t="s">
        <v>26</v>
      </c>
      <c r="N5" s="42">
        <v>30</v>
      </c>
      <c r="O5" s="61">
        <v>3000000</v>
      </c>
      <c r="P5" s="62">
        <v>0.2</v>
      </c>
      <c r="T5" s="50" t="s">
        <v>132</v>
      </c>
      <c r="U5" s="80">
        <v>425</v>
      </c>
      <c r="V5" s="80">
        <v>5</v>
      </c>
      <c r="W5" s="61">
        <f>V5*U5</f>
        <v>2125</v>
      </c>
      <c r="X5" s="61">
        <v>2000</v>
      </c>
      <c r="Y5" s="79">
        <f>IFERROR(X5/W5,0)</f>
        <v>0.94117647058823528</v>
      </c>
      <c r="AC5" s="50" t="s">
        <v>132</v>
      </c>
      <c r="AD5" s="80">
        <v>260</v>
      </c>
      <c r="AE5" s="80">
        <v>5</v>
      </c>
      <c r="AF5" s="61">
        <f>AE5*AD5</f>
        <v>1300</v>
      </c>
      <c r="AG5" s="61">
        <v>1290</v>
      </c>
      <c r="AH5" s="79">
        <f>IFERROR(AG5/AF5,0)</f>
        <v>0.99230769230769234</v>
      </c>
      <c r="AN5" s="65" t="s">
        <v>85</v>
      </c>
      <c r="AO5" s="50">
        <v>250000</v>
      </c>
      <c r="AS5" s="132"/>
      <c r="AT5" s="132"/>
      <c r="AU5" s="132"/>
      <c r="AW5" s="10" t="s">
        <v>102</v>
      </c>
      <c r="AX5" s="12" t="s">
        <v>118</v>
      </c>
      <c r="AY5" s="12" t="s">
        <v>17</v>
      </c>
      <c r="AZ5" s="12" t="s">
        <v>119</v>
      </c>
    </row>
    <row r="6" spans="2:52" ht="20.100000000000001" customHeight="1" x14ac:dyDescent="0.25">
      <c r="F6" s="32">
        <f>F5</f>
        <v>500000000</v>
      </c>
      <c r="G6" s="34">
        <f>H6*F6</f>
        <v>500000000</v>
      </c>
      <c r="H6" s="35">
        <v>1</v>
      </c>
      <c r="I6" s="34">
        <v>1500000</v>
      </c>
      <c r="M6" s="40" t="s">
        <v>25</v>
      </c>
      <c r="N6" s="42">
        <v>30</v>
      </c>
      <c r="O6" s="61">
        <v>12000000</v>
      </c>
      <c r="P6" s="62">
        <v>0.2</v>
      </c>
      <c r="T6" s="50" t="s">
        <v>133</v>
      </c>
      <c r="U6" s="61">
        <v>375</v>
      </c>
      <c r="V6" s="61">
        <v>1</v>
      </c>
      <c r="W6" s="61">
        <f>V6*U6</f>
        <v>375</v>
      </c>
      <c r="X6" s="61">
        <v>350</v>
      </c>
      <c r="Y6" s="79">
        <f>IFERROR(X6/W6,0)</f>
        <v>0.93333333333333335</v>
      </c>
      <c r="AC6" s="50" t="s">
        <v>133</v>
      </c>
      <c r="AD6" s="61">
        <v>200</v>
      </c>
      <c r="AE6" s="61">
        <v>1</v>
      </c>
      <c r="AF6" s="61">
        <f>AE6*AD6</f>
        <v>200</v>
      </c>
      <c r="AG6" s="61">
        <v>190</v>
      </c>
      <c r="AH6" s="79">
        <f>IFERROR(AG6/AF6,0)</f>
        <v>0.95</v>
      </c>
      <c r="AN6" s="65" t="s">
        <v>86</v>
      </c>
      <c r="AO6" s="50">
        <v>500000</v>
      </c>
      <c r="AS6" s="40" t="s">
        <v>26</v>
      </c>
      <c r="AT6" s="42">
        <v>100</v>
      </c>
      <c r="AU6" s="53">
        <v>0.3</v>
      </c>
      <c r="AW6" s="73" t="s">
        <v>223</v>
      </c>
      <c r="AX6" s="130">
        <v>7000000</v>
      </c>
      <c r="AY6" s="35">
        <v>0.85</v>
      </c>
      <c r="AZ6" s="34">
        <f>$AX$6*AY6</f>
        <v>5950000</v>
      </c>
    </row>
    <row r="7" spans="2:52" ht="20.100000000000001" customHeight="1" x14ac:dyDescent="0.25">
      <c r="C7" s="10" t="s">
        <v>63</v>
      </c>
      <c r="D7" s="10" t="s">
        <v>36</v>
      </c>
      <c r="F7" s="32">
        <f>F6</f>
        <v>500000000</v>
      </c>
      <c r="G7" s="34">
        <f>H7*F7</f>
        <v>525000000</v>
      </c>
      <c r="H7" s="35">
        <v>1.05</v>
      </c>
      <c r="I7" s="34">
        <v>2500000</v>
      </c>
      <c r="M7" s="40" t="s">
        <v>27</v>
      </c>
      <c r="N7" s="42">
        <v>30</v>
      </c>
      <c r="O7" s="61">
        <v>8000000</v>
      </c>
      <c r="P7" s="62">
        <v>0.15</v>
      </c>
      <c r="T7" s="84" t="s">
        <v>62</v>
      </c>
      <c r="U7" s="85"/>
      <c r="V7" s="85">
        <f>SUM(V5:V6)</f>
        <v>6</v>
      </c>
      <c r="W7" s="85">
        <f>SUM(W5:W6)</f>
        <v>2500</v>
      </c>
      <c r="X7" s="85">
        <f>SUM(X5:X6)</f>
        <v>2350</v>
      </c>
      <c r="Y7" s="87">
        <f>IFERROR(X7/W7,0)</f>
        <v>0.94</v>
      </c>
      <c r="AC7" s="84" t="s">
        <v>62</v>
      </c>
      <c r="AD7" s="85"/>
      <c r="AE7" s="85">
        <f>SUM(AE5:AE6)</f>
        <v>6</v>
      </c>
      <c r="AF7" s="85">
        <f>SUM(AF5:AF6)</f>
        <v>1500</v>
      </c>
      <c r="AG7" s="85">
        <f>SUM(AG5:AG6)</f>
        <v>1480</v>
      </c>
      <c r="AH7" s="87">
        <f>IFERROR(AG7/AF7,0)</f>
        <v>0.98666666666666669</v>
      </c>
      <c r="AS7" s="40" t="s">
        <v>25</v>
      </c>
      <c r="AT7" s="42">
        <v>100</v>
      </c>
      <c r="AU7" s="53">
        <v>0.3</v>
      </c>
      <c r="AW7" s="73" t="s">
        <v>224</v>
      </c>
      <c r="AX7" s="139"/>
      <c r="AY7" s="35">
        <v>0.95</v>
      </c>
      <c r="AZ7" s="34">
        <f>$AX$6*AY7</f>
        <v>6650000</v>
      </c>
    </row>
    <row r="8" spans="2:52" ht="20.100000000000001" customHeight="1" x14ac:dyDescent="0.25">
      <c r="C8" s="32">
        <v>500000000</v>
      </c>
      <c r="D8" s="83">
        <f>C8*1.1</f>
        <v>550000000</v>
      </c>
      <c r="M8" s="40" t="s">
        <v>44</v>
      </c>
      <c r="N8" s="42">
        <v>30</v>
      </c>
      <c r="O8" s="61">
        <v>35000000</v>
      </c>
      <c r="P8" s="62">
        <v>0.15</v>
      </c>
      <c r="AS8" s="40" t="s">
        <v>183</v>
      </c>
      <c r="AT8" s="42">
        <v>100</v>
      </c>
      <c r="AU8" s="53">
        <v>0.3</v>
      </c>
      <c r="AW8" s="41" t="s">
        <v>225</v>
      </c>
      <c r="AX8" s="131"/>
      <c r="AY8" s="35">
        <v>1</v>
      </c>
      <c r="AZ8" s="34">
        <f>$AX$6*AY8</f>
        <v>7000000</v>
      </c>
    </row>
    <row r="9" spans="2:52" ht="20.100000000000001" customHeight="1" x14ac:dyDescent="0.25">
      <c r="P9"/>
      <c r="AS9" s="40" t="s">
        <v>219</v>
      </c>
      <c r="AT9" s="42">
        <v>300</v>
      </c>
      <c r="AU9" s="53">
        <v>0.1</v>
      </c>
    </row>
    <row r="10" spans="2:52" ht="20.100000000000001" customHeight="1" x14ac:dyDescent="0.25">
      <c r="M10" s="10" t="s">
        <v>21</v>
      </c>
      <c r="N10" s="10" t="s">
        <v>18</v>
      </c>
    </row>
    <row r="11" spans="2:52" ht="20.100000000000001" customHeight="1" x14ac:dyDescent="0.25">
      <c r="M11" s="34" t="s">
        <v>29</v>
      </c>
      <c r="N11" s="61">
        <v>500000</v>
      </c>
      <c r="O11" s="74"/>
      <c r="P11" s="74">
        <f>N11/2</f>
        <v>250000</v>
      </c>
      <c r="T11" s="10" t="s">
        <v>137</v>
      </c>
      <c r="U11" s="10" t="s">
        <v>18</v>
      </c>
      <c r="AC11" s="10" t="s">
        <v>217</v>
      </c>
      <c r="AD11" s="10" t="s">
        <v>18</v>
      </c>
    </row>
    <row r="12" spans="2:52" ht="20.100000000000001" customHeight="1" x14ac:dyDescent="0.25">
      <c r="M12" s="34" t="s">
        <v>30</v>
      </c>
      <c r="N12" s="61">
        <v>1000000</v>
      </c>
      <c r="P12" s="74">
        <f>N12/3</f>
        <v>333333.33333333331</v>
      </c>
      <c r="T12" s="35">
        <v>0.95</v>
      </c>
      <c r="U12" s="61">
        <v>500000</v>
      </c>
      <c r="AC12" s="35">
        <v>0.95</v>
      </c>
      <c r="AD12" s="61">
        <v>500000</v>
      </c>
      <c r="AF12" s="111"/>
    </row>
    <row r="13" spans="2:52" ht="20.100000000000001" customHeight="1" x14ac:dyDescent="0.25">
      <c r="M13" s="34" t="s">
        <v>95</v>
      </c>
      <c r="N13" s="61">
        <v>2000000</v>
      </c>
      <c r="P13" s="74">
        <f>N13/4</f>
        <v>500000</v>
      </c>
      <c r="T13" s="35">
        <v>0.97499999999999998</v>
      </c>
      <c r="U13" s="61">
        <v>750000</v>
      </c>
      <c r="AC13" s="35">
        <v>0.97499999999999998</v>
      </c>
      <c r="AD13" s="61">
        <v>750000</v>
      </c>
    </row>
    <row r="14" spans="2:52" ht="20.100000000000001" customHeight="1" x14ac:dyDescent="0.25">
      <c r="T14" s="35">
        <v>1</v>
      </c>
      <c r="U14" s="61">
        <v>1000000</v>
      </c>
      <c r="AC14" s="35">
        <v>1</v>
      </c>
      <c r="AD14" s="61">
        <v>1000000</v>
      </c>
    </row>
    <row r="16" spans="2:52" ht="20.100000000000001" customHeight="1" x14ac:dyDescent="0.25">
      <c r="T16" s="10" t="s">
        <v>79</v>
      </c>
      <c r="U16" s="10" t="s">
        <v>9</v>
      </c>
      <c r="AC16" s="10" t="s">
        <v>79</v>
      </c>
      <c r="AD16" s="10" t="s">
        <v>9</v>
      </c>
    </row>
    <row r="17" spans="14:51" ht="20.100000000000001" customHeight="1" x14ac:dyDescent="0.25">
      <c r="T17" s="65" t="s">
        <v>115</v>
      </c>
      <c r="U17" s="50">
        <v>750000</v>
      </c>
      <c r="AC17" s="65" t="s">
        <v>115</v>
      </c>
      <c r="AD17" s="50">
        <v>750000</v>
      </c>
      <c r="AS17" s="10" t="s">
        <v>64</v>
      </c>
      <c r="AT17" s="10" t="s">
        <v>5</v>
      </c>
    </row>
    <row r="18" spans="14:51" ht="20.100000000000001" customHeight="1" x14ac:dyDescent="0.25">
      <c r="T18" s="65" t="s">
        <v>81</v>
      </c>
      <c r="U18" s="50">
        <v>1000000</v>
      </c>
      <c r="AC18" s="65" t="s">
        <v>81</v>
      </c>
      <c r="AD18" s="50">
        <v>1000000</v>
      </c>
      <c r="AS18" s="40" t="s">
        <v>65</v>
      </c>
      <c r="AT18" s="40">
        <v>-10</v>
      </c>
    </row>
    <row r="19" spans="14:51" ht="20.100000000000001" customHeight="1" x14ac:dyDescent="0.25">
      <c r="N19" s="38">
        <f>30/48</f>
        <v>0.625</v>
      </c>
      <c r="T19" s="65" t="s">
        <v>116</v>
      </c>
      <c r="U19" s="50">
        <v>2000000</v>
      </c>
      <c r="AC19" s="65" t="s">
        <v>116</v>
      </c>
      <c r="AD19" s="50">
        <v>2000000</v>
      </c>
      <c r="AS19" s="40" t="s">
        <v>222</v>
      </c>
      <c r="AT19" s="40">
        <v>0</v>
      </c>
    </row>
    <row r="20" spans="14:51" ht="20.100000000000001" customHeight="1" x14ac:dyDescent="0.25">
      <c r="T20" s="65" t="s">
        <v>82</v>
      </c>
      <c r="U20" s="50">
        <v>3000000</v>
      </c>
      <c r="AC20" s="65" t="s">
        <v>82</v>
      </c>
      <c r="AD20" s="50">
        <v>3000000</v>
      </c>
    </row>
    <row r="21" spans="14:51" ht="20.100000000000001" customHeight="1" x14ac:dyDescent="0.25">
      <c r="AU21" s="38">
        <v>10</v>
      </c>
    </row>
    <row r="22" spans="14:51" ht="20.100000000000001" customHeight="1" x14ac:dyDescent="0.25">
      <c r="AS22" s="132" t="s">
        <v>221</v>
      </c>
      <c r="AT22" s="132" t="s">
        <v>220</v>
      </c>
      <c r="AU22" s="132" t="s">
        <v>60</v>
      </c>
      <c r="AV22" s="132" t="s">
        <v>61</v>
      </c>
      <c r="AW22" s="132" t="s">
        <v>17</v>
      </c>
      <c r="AX22" s="132" t="s">
        <v>62</v>
      </c>
      <c r="AY22" s="132" t="s">
        <v>239</v>
      </c>
    </row>
    <row r="23" spans="14:51" ht="20.100000000000001" customHeight="1" x14ac:dyDescent="0.25">
      <c r="AS23" s="132"/>
      <c r="AT23" s="132"/>
      <c r="AU23" s="132"/>
      <c r="AV23" s="132"/>
      <c r="AW23" s="132"/>
      <c r="AX23" s="132"/>
      <c r="AY23" s="132"/>
    </row>
    <row r="24" spans="14:51" ht="20.100000000000001" customHeight="1" x14ac:dyDescent="0.25">
      <c r="AS24" s="40" t="s">
        <v>26</v>
      </c>
      <c r="AT24" s="42">
        <v>100</v>
      </c>
      <c r="AU24" s="42">
        <f>AT24*$AU$21</f>
        <v>1000</v>
      </c>
      <c r="AV24" s="42">
        <f>AU24*90%</f>
        <v>900</v>
      </c>
      <c r="AW24" s="79">
        <f>AV24/AU24</f>
        <v>0.9</v>
      </c>
      <c r="AX24" s="79">
        <f>AW24*AU6</f>
        <v>0.27</v>
      </c>
      <c r="AY24" s="53">
        <v>0.3</v>
      </c>
    </row>
    <row r="25" spans="14:51" ht="20.100000000000001" customHeight="1" x14ac:dyDescent="0.25">
      <c r="AS25" s="40" t="s">
        <v>25</v>
      </c>
      <c r="AT25" s="42">
        <v>100</v>
      </c>
      <c r="AU25" s="42">
        <f t="shared" ref="AU25:AV28" si="0">AT25*$AU$21</f>
        <v>1000</v>
      </c>
      <c r="AV25" s="42">
        <v>1100</v>
      </c>
      <c r="AW25" s="79">
        <f t="shared" ref="AW25:AX27" si="1">AV25/AU25</f>
        <v>1.1000000000000001</v>
      </c>
      <c r="AX25" s="79">
        <f>IF(AW25&gt;100%,AU7,AW25AW25*AU7)</f>
        <v>0.3</v>
      </c>
      <c r="AY25" s="53">
        <v>0.3</v>
      </c>
    </row>
    <row r="26" spans="14:51" ht="20.100000000000001" customHeight="1" x14ac:dyDescent="0.25">
      <c r="AS26" s="40" t="s">
        <v>183</v>
      </c>
      <c r="AT26" s="42">
        <v>100</v>
      </c>
      <c r="AU26" s="42">
        <f t="shared" si="0"/>
        <v>1000</v>
      </c>
      <c r="AV26" s="42">
        <f>AU26*98%</f>
        <v>980</v>
      </c>
      <c r="AW26" s="79">
        <f t="shared" si="1"/>
        <v>0.98</v>
      </c>
      <c r="AX26" s="79">
        <f t="shared" ref="AX26:AX27" si="2">AW26*AU8</f>
        <v>0.29399999999999998</v>
      </c>
      <c r="AY26" s="53">
        <v>0.3</v>
      </c>
    </row>
    <row r="27" spans="14:51" ht="20.100000000000001" customHeight="1" x14ac:dyDescent="0.25">
      <c r="AS27" s="40" t="s">
        <v>219</v>
      </c>
      <c r="AT27" s="42">
        <v>300</v>
      </c>
      <c r="AU27" s="42">
        <f t="shared" si="0"/>
        <v>3000</v>
      </c>
      <c r="AV27" s="42">
        <f t="shared" ref="AV25:AW28" si="3">AU27*90%</f>
        <v>2700</v>
      </c>
      <c r="AW27" s="79">
        <f t="shared" si="1"/>
        <v>0.9</v>
      </c>
      <c r="AX27" s="79">
        <f t="shared" si="2"/>
        <v>9.0000000000000011E-2</v>
      </c>
      <c r="AY27" s="53">
        <v>0.1</v>
      </c>
    </row>
    <row r="28" spans="14:51" ht="20.100000000000001" customHeight="1" x14ac:dyDescent="0.25">
      <c r="AS28" s="40" t="s">
        <v>62</v>
      </c>
      <c r="AT28" s="42"/>
      <c r="AU28" s="42"/>
      <c r="AV28" s="42"/>
      <c r="AW28" s="79"/>
      <c r="AX28" s="79">
        <f>SUM(AX24:AX27)</f>
        <v>0.95400000000000007</v>
      </c>
    </row>
  </sheetData>
  <mergeCells count="12">
    <mergeCell ref="AV22:AV23"/>
    <mergeCell ref="AW22:AW23"/>
    <mergeCell ref="AX22:AX23"/>
    <mergeCell ref="AY22:AY23"/>
    <mergeCell ref="AS22:AS23"/>
    <mergeCell ref="AT22:AT23"/>
    <mergeCell ref="AU22:AU23"/>
    <mergeCell ref="AX6:AX8"/>
    <mergeCell ref="AW4:AZ4"/>
    <mergeCell ref="AS4:AS5"/>
    <mergeCell ref="AT4:AT5"/>
    <mergeCell ref="AU4:A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F1FD-128C-48F4-9C55-50EC6E03E0E6}">
  <sheetPr>
    <tabColor rgb="FF7030A0"/>
  </sheetPr>
  <dimension ref="B2:BD33"/>
  <sheetViews>
    <sheetView showGridLines="0" topLeftCell="O10" workbookViewId="0">
      <selection activeCell="AF28" sqref="AF28"/>
    </sheetView>
  </sheetViews>
  <sheetFormatPr defaultRowHeight="20.100000000000001" customHeight="1" x14ac:dyDescent="0.25"/>
  <cols>
    <col min="1" max="2" width="5.28515625" style="38" customWidth="1"/>
    <col min="3" max="3" width="14.28515625" style="38" customWidth="1"/>
    <col min="4" max="4" width="15" style="38" customWidth="1"/>
    <col min="5" max="5" width="19.28515625" style="38" customWidth="1"/>
    <col min="6" max="6" width="3.5703125" style="38" customWidth="1"/>
    <col min="7" max="8" width="16" style="38" bestFit="1" customWidth="1"/>
    <col min="9" max="9" width="7.85546875" style="38" bestFit="1" customWidth="1"/>
    <col min="10" max="10" width="12.28515625" style="38" bestFit="1" customWidth="1"/>
    <col min="11" max="11" width="3" style="38" customWidth="1"/>
    <col min="12" max="12" width="3" style="39" customWidth="1"/>
    <col min="13" max="13" width="6" style="38" customWidth="1"/>
    <col min="14" max="14" width="22.28515625" style="38" customWidth="1"/>
    <col min="15" max="17" width="9" style="38" customWidth="1"/>
    <col min="18" max="18" width="2.85546875" style="38" customWidth="1"/>
    <col min="19" max="19" width="3" style="39" customWidth="1"/>
    <col min="20" max="20" width="6" style="38" customWidth="1"/>
    <col min="21" max="25" width="9.140625" style="38"/>
    <col min="26" max="26" width="2.85546875" style="38" customWidth="1"/>
    <col min="27" max="27" width="3" style="39" customWidth="1"/>
    <col min="28" max="28" width="6" style="38" customWidth="1"/>
    <col min="29" max="29" width="25.28515625" style="38" customWidth="1"/>
    <col min="30" max="31" width="8.42578125" style="38" customWidth="1"/>
    <col min="32" max="32" width="7.85546875" style="38" customWidth="1"/>
    <col min="33" max="34" width="8.42578125" style="38" customWidth="1"/>
    <col min="35" max="35" width="2.85546875" style="38" customWidth="1"/>
    <col min="36" max="36" width="3" style="39" customWidth="1"/>
    <col min="37" max="37" width="6" style="38" customWidth="1"/>
    <col min="38" max="38" width="13.7109375" style="38" customWidth="1"/>
    <col min="39" max="39" width="12.7109375" style="38" bestFit="1" customWidth="1"/>
    <col min="40" max="41" width="12.7109375" style="38" customWidth="1"/>
    <col min="42" max="42" width="2.85546875" style="38" customWidth="1"/>
    <col min="43" max="43" width="3" style="39" customWidth="1"/>
    <col min="44" max="44" width="6" style="38" customWidth="1"/>
    <col min="45" max="45" width="22" style="38" customWidth="1"/>
    <col min="46" max="46" width="10.42578125" style="38" customWidth="1"/>
    <col min="47" max="51" width="9.5703125" style="38" customWidth="1"/>
    <col min="52" max="52" width="3.85546875" style="38" customWidth="1"/>
    <col min="53" max="53" width="14.28515625" style="38" bestFit="1" customWidth="1"/>
    <col min="54" max="54" width="11.5703125" style="38" bestFit="1" customWidth="1"/>
    <col min="55" max="55" width="7.7109375" style="38" bestFit="1" customWidth="1"/>
    <col min="56" max="56" width="12.7109375" style="38" customWidth="1"/>
    <col min="57" max="16384" width="9.140625" style="38"/>
  </cols>
  <sheetData>
    <row r="2" spans="2:56" ht="20.100000000000001" customHeight="1" x14ac:dyDescent="0.25">
      <c r="C2" s="98">
        <v>32500000</v>
      </c>
      <c r="D2" s="38">
        <v>52500000</v>
      </c>
    </row>
    <row r="3" spans="2:56" ht="20.100000000000001" customHeight="1" x14ac:dyDescent="0.25">
      <c r="B3" s="22">
        <v>1</v>
      </c>
      <c r="C3" s="23" t="s">
        <v>10</v>
      </c>
      <c r="M3" s="22">
        <v>2</v>
      </c>
      <c r="N3" s="23" t="s">
        <v>24</v>
      </c>
      <c r="T3" s="22">
        <v>3</v>
      </c>
      <c r="U3" s="23" t="s">
        <v>37</v>
      </c>
      <c r="AB3" s="22">
        <v>4</v>
      </c>
      <c r="AC3" s="23" t="s">
        <v>42</v>
      </c>
      <c r="AD3" s="23" t="s">
        <v>42</v>
      </c>
      <c r="AK3" s="22">
        <v>5</v>
      </c>
      <c r="AL3" s="23" t="s">
        <v>53</v>
      </c>
      <c r="AR3" s="22">
        <v>6</v>
      </c>
      <c r="AS3" s="23" t="s">
        <v>184</v>
      </c>
    </row>
    <row r="4" spans="2:56" ht="20.100000000000001" customHeight="1" x14ac:dyDescent="0.25">
      <c r="C4" s="132" t="s">
        <v>97</v>
      </c>
      <c r="D4" s="132"/>
      <c r="E4" s="132"/>
      <c r="G4" s="10" t="s">
        <v>16</v>
      </c>
      <c r="H4" s="10" t="s">
        <v>19</v>
      </c>
      <c r="I4" s="12" t="s">
        <v>17</v>
      </c>
      <c r="J4" s="12" t="s">
        <v>18</v>
      </c>
      <c r="N4" s="10" t="s">
        <v>21</v>
      </c>
      <c r="O4" s="10" t="s">
        <v>2</v>
      </c>
      <c r="P4" s="10" t="s">
        <v>3</v>
      </c>
      <c r="Q4" s="10" t="s">
        <v>22</v>
      </c>
      <c r="U4" s="10" t="s">
        <v>32</v>
      </c>
      <c r="V4" s="10" t="s">
        <v>11</v>
      </c>
      <c r="W4" s="10" t="s">
        <v>35</v>
      </c>
      <c r="X4" s="10" t="s">
        <v>12</v>
      </c>
      <c r="AC4" s="10" t="s">
        <v>49</v>
      </c>
      <c r="AD4" s="10" t="s">
        <v>2</v>
      </c>
      <c r="AE4" s="10" t="s">
        <v>3</v>
      </c>
      <c r="AF4" s="10" t="s">
        <v>22</v>
      </c>
      <c r="AL4" s="10" t="s">
        <v>156</v>
      </c>
      <c r="AM4" s="10" t="s">
        <v>22</v>
      </c>
      <c r="AN4" s="10" t="s">
        <v>18</v>
      </c>
      <c r="AO4" s="10" t="s">
        <v>159</v>
      </c>
      <c r="AS4" s="132" t="s">
        <v>21</v>
      </c>
      <c r="AT4" s="132" t="s">
        <v>59</v>
      </c>
      <c r="AU4" s="132"/>
      <c r="AV4" s="132"/>
      <c r="AW4" s="132" t="s">
        <v>68</v>
      </c>
      <c r="AX4" s="132"/>
      <c r="AY4" s="132"/>
      <c r="BA4" s="127" t="s">
        <v>187</v>
      </c>
      <c r="BB4" s="128"/>
      <c r="BC4" s="128"/>
      <c r="BD4" s="129"/>
    </row>
    <row r="5" spans="2:56" ht="20.100000000000001" customHeight="1" x14ac:dyDescent="0.25">
      <c r="C5" s="10" t="s">
        <v>13</v>
      </c>
      <c r="D5" s="11" t="s">
        <v>14</v>
      </c>
      <c r="E5" s="10" t="s">
        <v>36</v>
      </c>
      <c r="G5" s="32">
        <f>E6</f>
        <v>40000000</v>
      </c>
      <c r="H5" s="34">
        <f>I5*G5</f>
        <v>40000000</v>
      </c>
      <c r="I5" s="35">
        <v>1</v>
      </c>
      <c r="J5" s="34">
        <v>500000</v>
      </c>
      <c r="N5" s="40" t="s">
        <v>26</v>
      </c>
      <c r="O5" s="42">
        <v>100</v>
      </c>
      <c r="P5" s="42">
        <v>100</v>
      </c>
      <c r="Q5" s="42">
        <v>100</v>
      </c>
      <c r="U5" s="41" t="s">
        <v>2</v>
      </c>
      <c r="V5" s="133">
        <v>425</v>
      </c>
      <c r="W5" s="133">
        <v>475</v>
      </c>
      <c r="X5" s="133">
        <v>525</v>
      </c>
      <c r="AC5" s="40" t="s">
        <v>26</v>
      </c>
      <c r="AD5" s="88" t="s">
        <v>45</v>
      </c>
      <c r="AE5" s="88" t="s">
        <v>45</v>
      </c>
      <c r="AF5" s="88" t="s">
        <v>45</v>
      </c>
      <c r="AL5" s="41" t="s">
        <v>56</v>
      </c>
      <c r="AM5" s="41" t="s">
        <v>158</v>
      </c>
      <c r="AN5" s="50">
        <v>100000</v>
      </c>
      <c r="AO5" s="41" t="s">
        <v>11</v>
      </c>
      <c r="AS5" s="132"/>
      <c r="AT5" s="10" t="s">
        <v>2</v>
      </c>
      <c r="AU5" s="10" t="s">
        <v>3</v>
      </c>
      <c r="AV5" s="10" t="s">
        <v>22</v>
      </c>
      <c r="AW5" s="10" t="s">
        <v>2</v>
      </c>
      <c r="AX5" s="10" t="s">
        <v>3</v>
      </c>
      <c r="AY5" s="10" t="s">
        <v>22</v>
      </c>
      <c r="BA5" s="10" t="s">
        <v>102</v>
      </c>
      <c r="BB5" s="12" t="s">
        <v>118</v>
      </c>
      <c r="BC5" s="12" t="s">
        <v>17</v>
      </c>
      <c r="BD5" s="12" t="s">
        <v>119</v>
      </c>
    </row>
    <row r="6" spans="2:56" ht="20.100000000000001" customHeight="1" x14ac:dyDescent="0.25">
      <c r="C6" s="32" t="str">
        <f>"&lt; "&amp;TEXT(C2,"#,###")</f>
        <v>&lt; 32,500,000</v>
      </c>
      <c r="E6" s="33">
        <v>40000000</v>
      </c>
      <c r="G6" s="32">
        <f>G5</f>
        <v>40000000</v>
      </c>
      <c r="H6" s="34">
        <f>I6*G6</f>
        <v>39000000</v>
      </c>
      <c r="I6" s="35">
        <v>0.97499999999999998</v>
      </c>
      <c r="J6" s="34">
        <v>350000</v>
      </c>
      <c r="N6" s="40" t="s">
        <v>27</v>
      </c>
      <c r="O6" s="42">
        <v>100</v>
      </c>
      <c r="P6" s="42">
        <v>100</v>
      </c>
      <c r="Q6" s="42">
        <v>100</v>
      </c>
      <c r="U6" s="41" t="s">
        <v>3</v>
      </c>
      <c r="V6" s="133"/>
      <c r="W6" s="133"/>
      <c r="X6" s="133"/>
      <c r="AC6" s="40" t="s">
        <v>27</v>
      </c>
      <c r="AD6" s="88" t="s">
        <v>45</v>
      </c>
      <c r="AE6" s="88" t="s">
        <v>45</v>
      </c>
      <c r="AF6" s="88" t="s">
        <v>45</v>
      </c>
      <c r="AL6" s="41" t="s">
        <v>57</v>
      </c>
      <c r="AM6" s="41" t="s">
        <v>56</v>
      </c>
      <c r="AN6" s="50">
        <v>200000</v>
      </c>
      <c r="AO6" s="41" t="s">
        <v>35</v>
      </c>
      <c r="AS6" s="40" t="s">
        <v>26</v>
      </c>
      <c r="AT6" s="42">
        <v>100</v>
      </c>
      <c r="AU6" s="42">
        <v>100</v>
      </c>
      <c r="AV6" s="42">
        <v>100</v>
      </c>
      <c r="AW6" s="62">
        <v>0.35</v>
      </c>
      <c r="AX6" s="62">
        <v>0.35</v>
      </c>
      <c r="AY6" s="62">
        <v>0.35</v>
      </c>
      <c r="BA6" s="73" t="s">
        <v>185</v>
      </c>
      <c r="BB6" s="130">
        <v>2500000</v>
      </c>
      <c r="BC6" s="35">
        <v>0.8</v>
      </c>
      <c r="BD6" s="34">
        <f>BB6*BC6</f>
        <v>2000000</v>
      </c>
    </row>
    <row r="7" spans="2:56" ht="20.100000000000001" customHeight="1" x14ac:dyDescent="0.25">
      <c r="C7" s="32" t="str">
        <f>"&gt; "&amp;TEXT(C2,"#,###")</f>
        <v>&gt; 32,500,000</v>
      </c>
      <c r="D7" s="36" t="s">
        <v>15</v>
      </c>
      <c r="E7" s="40" t="s">
        <v>171</v>
      </c>
      <c r="G7" s="32">
        <f>G6</f>
        <v>40000000</v>
      </c>
      <c r="H7" s="34">
        <f>I7*G7</f>
        <v>38000000</v>
      </c>
      <c r="I7" s="35">
        <v>0.95</v>
      </c>
      <c r="J7" s="34">
        <v>250000</v>
      </c>
      <c r="N7" s="40" t="s">
        <v>25</v>
      </c>
      <c r="O7" s="42">
        <v>100</v>
      </c>
      <c r="P7" s="42">
        <v>100</v>
      </c>
      <c r="Q7" s="42">
        <v>100</v>
      </c>
      <c r="U7" s="41" t="s">
        <v>22</v>
      </c>
      <c r="V7" s="133"/>
      <c r="W7" s="133"/>
      <c r="X7" s="133"/>
      <c r="AC7" s="40" t="s">
        <v>25</v>
      </c>
      <c r="AD7" s="88" t="s">
        <v>45</v>
      </c>
      <c r="AE7" s="88" t="s">
        <v>45</v>
      </c>
      <c r="AF7" s="88" t="s">
        <v>45</v>
      </c>
      <c r="AL7" s="41" t="s">
        <v>55</v>
      </c>
      <c r="AM7" s="41" t="s">
        <v>157</v>
      </c>
      <c r="AN7" s="50">
        <v>300000</v>
      </c>
      <c r="AO7" s="41" t="s">
        <v>12</v>
      </c>
      <c r="AS7" s="40" t="s">
        <v>25</v>
      </c>
      <c r="AT7" s="42">
        <v>100</v>
      </c>
      <c r="AU7" s="42">
        <v>100</v>
      </c>
      <c r="AV7" s="42">
        <v>100</v>
      </c>
      <c r="AW7" s="62">
        <v>0.35</v>
      </c>
      <c r="AX7" s="62">
        <v>0.35</v>
      </c>
      <c r="AY7" s="62">
        <v>0.35</v>
      </c>
      <c r="BA7" s="41" t="s">
        <v>186</v>
      </c>
      <c r="BB7" s="131"/>
      <c r="BC7" s="35">
        <v>1</v>
      </c>
      <c r="BD7" s="34">
        <f>BB6*BC7</f>
        <v>2500000</v>
      </c>
    </row>
    <row r="8" spans="2:56" ht="20.100000000000001" customHeight="1" x14ac:dyDescent="0.25">
      <c r="AS8" s="40" t="s">
        <v>183</v>
      </c>
      <c r="AT8" s="42">
        <v>100</v>
      </c>
      <c r="AU8" s="42">
        <v>100</v>
      </c>
      <c r="AV8" s="42">
        <v>100</v>
      </c>
      <c r="AW8" s="62">
        <v>0.3</v>
      </c>
      <c r="AX8" s="62">
        <v>0.3</v>
      </c>
      <c r="AY8" s="62">
        <v>0.3</v>
      </c>
    </row>
    <row r="9" spans="2:56" ht="20.100000000000001" customHeight="1" x14ac:dyDescent="0.25">
      <c r="C9" s="132" t="s">
        <v>96</v>
      </c>
      <c r="D9" s="132"/>
      <c r="E9" s="132"/>
      <c r="G9" s="10" t="s">
        <v>16</v>
      </c>
      <c r="H9" s="10" t="s">
        <v>19</v>
      </c>
      <c r="I9" s="12" t="s">
        <v>17</v>
      </c>
      <c r="J9" s="12" t="s">
        <v>18</v>
      </c>
      <c r="N9" s="10" t="s">
        <v>21</v>
      </c>
      <c r="O9" s="10" t="s">
        <v>31</v>
      </c>
    </row>
    <row r="10" spans="2:56" ht="20.100000000000001" customHeight="1" x14ac:dyDescent="0.25">
      <c r="C10" s="10" t="s">
        <v>13</v>
      </c>
      <c r="D10" s="11" t="s">
        <v>14</v>
      </c>
      <c r="E10" s="10" t="s">
        <v>36</v>
      </c>
      <c r="G10" s="32">
        <f>E11</f>
        <v>60000000</v>
      </c>
      <c r="H10" s="34">
        <f>I10*G10</f>
        <v>60000000</v>
      </c>
      <c r="I10" s="35">
        <v>1</v>
      </c>
      <c r="J10" s="34">
        <v>500000</v>
      </c>
      <c r="N10" s="40" t="s">
        <v>26</v>
      </c>
      <c r="O10" s="41" t="s">
        <v>181</v>
      </c>
      <c r="AO10" s="90"/>
      <c r="AS10" s="132" t="s">
        <v>63</v>
      </c>
      <c r="AT10" s="132"/>
      <c r="AU10" s="132"/>
      <c r="AV10" s="132"/>
      <c r="AW10" s="132"/>
    </row>
    <row r="11" spans="2:56" ht="20.100000000000001" customHeight="1" x14ac:dyDescent="0.25">
      <c r="C11" s="32" t="str">
        <f>"&lt; "&amp;TEXT(D2,"#,###")</f>
        <v>&lt; 52,500,000</v>
      </c>
      <c r="E11" s="33">
        <v>60000000</v>
      </c>
      <c r="G11" s="32">
        <f>G10</f>
        <v>60000000</v>
      </c>
      <c r="H11" s="34">
        <f>I11*G11</f>
        <v>58500000</v>
      </c>
      <c r="I11" s="35">
        <v>0.97499999999999998</v>
      </c>
      <c r="J11" s="34">
        <v>350000</v>
      </c>
      <c r="N11" s="40" t="s">
        <v>27</v>
      </c>
      <c r="O11" s="41" t="s">
        <v>34</v>
      </c>
      <c r="AO11" s="90"/>
      <c r="AS11" s="10" t="s">
        <v>21</v>
      </c>
      <c r="AT11" s="10" t="s">
        <v>60</v>
      </c>
      <c r="AU11" s="10" t="s">
        <v>61</v>
      </c>
      <c r="AV11" s="10" t="s">
        <v>17</v>
      </c>
      <c r="AW11" s="10" t="s">
        <v>17</v>
      </c>
    </row>
    <row r="12" spans="2:56" ht="20.100000000000001" customHeight="1" x14ac:dyDescent="0.25">
      <c r="C12" s="32" t="str">
        <f>"&gt; "&amp;TEXT(D2,"#,###")</f>
        <v>&gt; 52,500,000</v>
      </c>
      <c r="D12" s="36" t="s">
        <v>172</v>
      </c>
      <c r="E12" s="40" t="s">
        <v>173</v>
      </c>
      <c r="G12" s="32">
        <f>G11</f>
        <v>60000000</v>
      </c>
      <c r="H12" s="34">
        <f>I12*G12</f>
        <v>57000000</v>
      </c>
      <c r="I12" s="35">
        <v>0.95</v>
      </c>
      <c r="J12" s="34">
        <v>250000</v>
      </c>
      <c r="N12" s="40" t="s">
        <v>25</v>
      </c>
      <c r="O12" s="41" t="s">
        <v>34</v>
      </c>
      <c r="AO12" s="90"/>
      <c r="AS12" s="40" t="s">
        <v>26</v>
      </c>
      <c r="AT12" s="107">
        <v>100</v>
      </c>
      <c r="AU12" s="107">
        <v>98</v>
      </c>
      <c r="AV12" s="110">
        <f>AU12/AT12</f>
        <v>0.98</v>
      </c>
      <c r="AW12" s="110">
        <f>AV12%*AY6*100</f>
        <v>0.34299999999999997</v>
      </c>
    </row>
    <row r="13" spans="2:56" ht="20.100000000000001" customHeight="1" x14ac:dyDescent="0.25">
      <c r="P13"/>
      <c r="U13" s="38">
        <v>25</v>
      </c>
      <c r="V13" s="38">
        <v>17</v>
      </c>
      <c r="W13" s="38">
        <f>V13*$U$13</f>
        <v>425</v>
      </c>
      <c r="X13" s="38">
        <f>W13*1.1</f>
        <v>467.50000000000006</v>
      </c>
      <c r="Y13" s="38">
        <f>X13/25</f>
        <v>18.700000000000003</v>
      </c>
      <c r="AC13" s="10" t="s">
        <v>49</v>
      </c>
      <c r="AD13" s="127" t="s">
        <v>71</v>
      </c>
      <c r="AE13" s="128"/>
      <c r="AF13" s="129"/>
      <c r="AS13" s="40" t="s">
        <v>25</v>
      </c>
      <c r="AT13" s="107">
        <v>100</v>
      </c>
      <c r="AU13" s="107">
        <v>100</v>
      </c>
      <c r="AV13" s="110">
        <f t="shared" ref="AV13:AV15" si="0">AU13/AT13</f>
        <v>1</v>
      </c>
      <c r="AW13" s="110">
        <f>AV13%*AY7*100</f>
        <v>0.35</v>
      </c>
    </row>
    <row r="14" spans="2:56" ht="20.100000000000001" customHeight="1" x14ac:dyDescent="0.25">
      <c r="D14" s="74"/>
      <c r="N14" s="10" t="s">
        <v>33</v>
      </c>
      <c r="O14" s="10" t="s">
        <v>32</v>
      </c>
      <c r="P14"/>
      <c r="V14" s="38">
        <v>19</v>
      </c>
      <c r="W14" s="38">
        <f t="shared" ref="W14:W15" si="1">V14*$U$13</f>
        <v>475</v>
      </c>
      <c r="X14" s="38">
        <f t="shared" ref="X14:X15" si="2">W14*1.1</f>
        <v>522.5</v>
      </c>
      <c r="Y14" s="38">
        <f t="shared" ref="Y14:Y15" si="3">X14/25</f>
        <v>20.9</v>
      </c>
      <c r="AC14" s="40" t="s">
        <v>27</v>
      </c>
      <c r="AD14" s="124">
        <v>5000000</v>
      </c>
      <c r="AE14" s="125"/>
      <c r="AF14" s="126"/>
      <c r="AS14" s="40" t="s">
        <v>183</v>
      </c>
      <c r="AT14" s="42">
        <v>100</v>
      </c>
      <c r="AU14" s="107">
        <v>150</v>
      </c>
      <c r="AV14" s="110">
        <f t="shared" si="0"/>
        <v>1.5</v>
      </c>
      <c r="AW14" s="110">
        <v>0.3</v>
      </c>
    </row>
    <row r="15" spans="2:56" ht="20.100000000000001" customHeight="1" x14ac:dyDescent="0.25">
      <c r="N15" s="40" t="s">
        <v>26</v>
      </c>
      <c r="O15" s="41" t="s">
        <v>2</v>
      </c>
      <c r="P15"/>
      <c r="V15" s="38">
        <v>21</v>
      </c>
      <c r="W15" s="38">
        <f t="shared" si="1"/>
        <v>525</v>
      </c>
      <c r="X15" s="38">
        <f t="shared" si="2"/>
        <v>577.5</v>
      </c>
      <c r="Y15" s="38">
        <f t="shared" si="3"/>
        <v>23.1</v>
      </c>
      <c r="AC15" s="40" t="s">
        <v>26</v>
      </c>
      <c r="AD15" s="124">
        <v>3000000</v>
      </c>
      <c r="AE15" s="125"/>
      <c r="AF15" s="126"/>
      <c r="AS15" s="10" t="s">
        <v>62</v>
      </c>
      <c r="AT15" s="108">
        <f>SUM(AT12:AT14)</f>
        <v>300</v>
      </c>
      <c r="AU15" s="108">
        <f t="shared" ref="AU15:AW15" si="4">SUM(AU12:AU14)</f>
        <v>348</v>
      </c>
      <c r="AV15" s="56">
        <f t="shared" si="0"/>
        <v>1.1599999999999999</v>
      </c>
      <c r="AW15" s="56">
        <f t="shared" si="4"/>
        <v>0.99299999999999988</v>
      </c>
    </row>
    <row r="16" spans="2:56" ht="20.100000000000001" customHeight="1" x14ac:dyDescent="0.25">
      <c r="N16" s="40" t="s">
        <v>25</v>
      </c>
      <c r="O16" s="41" t="s">
        <v>3</v>
      </c>
      <c r="P16"/>
      <c r="AC16" s="40" t="s">
        <v>25</v>
      </c>
      <c r="AD16" s="124">
        <v>5000000</v>
      </c>
      <c r="AE16" s="125"/>
      <c r="AF16" s="126"/>
    </row>
    <row r="17" spans="14:46" ht="20.100000000000001" customHeight="1" x14ac:dyDescent="0.25">
      <c r="N17" s="40" t="s">
        <v>26</v>
      </c>
      <c r="O17" s="41" t="s">
        <v>150</v>
      </c>
      <c r="P17"/>
      <c r="AS17" s="10" t="s">
        <v>64</v>
      </c>
      <c r="AT17" s="10" t="s">
        <v>5</v>
      </c>
    </row>
    <row r="18" spans="14:46" ht="20.100000000000001" customHeight="1" x14ac:dyDescent="0.25">
      <c r="P18"/>
      <c r="AS18" s="40" t="s">
        <v>65</v>
      </c>
      <c r="AT18" s="62">
        <v>-0.2</v>
      </c>
    </row>
    <row r="19" spans="14:46" ht="20.100000000000001" customHeight="1" x14ac:dyDescent="0.25">
      <c r="AS19" s="40" t="s">
        <v>66</v>
      </c>
      <c r="AT19" s="62">
        <v>-0.1</v>
      </c>
    </row>
    <row r="20" spans="14:46" ht="20.100000000000001" customHeight="1" x14ac:dyDescent="0.25">
      <c r="AS20" s="40" t="s">
        <v>67</v>
      </c>
      <c r="AT20" s="62">
        <v>0</v>
      </c>
    </row>
    <row r="23" spans="14:46" ht="20.100000000000001" customHeight="1" x14ac:dyDescent="0.25">
      <c r="AC23" s="10" t="s">
        <v>49</v>
      </c>
      <c r="AD23" s="10" t="s">
        <v>69</v>
      </c>
      <c r="AE23" s="10" t="s">
        <v>31</v>
      </c>
      <c r="AF23" s="10" t="s">
        <v>70</v>
      </c>
    </row>
    <row r="24" spans="14:46" ht="20.100000000000001" customHeight="1" x14ac:dyDescent="0.25">
      <c r="AC24" s="40" t="s">
        <v>27</v>
      </c>
      <c r="AD24" s="50">
        <v>10</v>
      </c>
      <c r="AE24" s="50">
        <v>16700</v>
      </c>
      <c r="AF24" s="58">
        <f>AE24*AD24*25/1000000</f>
        <v>4.1749999999999998</v>
      </c>
    </row>
    <row r="25" spans="14:46" ht="20.100000000000001" customHeight="1" x14ac:dyDescent="0.25">
      <c r="AC25" s="40" t="s">
        <v>47</v>
      </c>
      <c r="AD25" s="50">
        <v>10</v>
      </c>
      <c r="AE25" s="50">
        <v>8400</v>
      </c>
      <c r="AF25" s="58">
        <f t="shared" ref="AF25:AF30" si="5">AE25*AD25*25/1000000</f>
        <v>2.1</v>
      </c>
    </row>
    <row r="26" spans="14:46" ht="20.100000000000001" customHeight="1" x14ac:dyDescent="0.25">
      <c r="AC26" s="40" t="s">
        <v>48</v>
      </c>
      <c r="AD26" s="50">
        <v>10</v>
      </c>
      <c r="AE26" s="50">
        <v>17000</v>
      </c>
      <c r="AF26" s="58">
        <f t="shared" si="5"/>
        <v>4.25</v>
      </c>
    </row>
    <row r="27" spans="14:46" ht="20.100000000000001" customHeight="1" x14ac:dyDescent="0.25">
      <c r="AC27" s="40" t="s">
        <v>26</v>
      </c>
      <c r="AD27" s="50">
        <v>10</v>
      </c>
      <c r="AE27" s="50">
        <f>1680*6</f>
        <v>10080</v>
      </c>
      <c r="AF27" s="58">
        <f t="shared" si="5"/>
        <v>2.52</v>
      </c>
    </row>
    <row r="28" spans="14:46" ht="20.100000000000001" customHeight="1" x14ac:dyDescent="0.25">
      <c r="AC28" s="40" t="s">
        <v>25</v>
      </c>
      <c r="AD28" s="50">
        <v>10</v>
      </c>
      <c r="AE28" s="50">
        <v>19920</v>
      </c>
      <c r="AF28" s="58">
        <f t="shared" si="5"/>
        <v>4.9800000000000004</v>
      </c>
    </row>
    <row r="29" spans="14:46" ht="20.100000000000001" customHeight="1" x14ac:dyDescent="0.25">
      <c r="AC29" s="40" t="s">
        <v>44</v>
      </c>
      <c r="AD29" s="50">
        <v>10</v>
      </c>
      <c r="AE29" s="50">
        <v>16700</v>
      </c>
      <c r="AF29" s="58">
        <f t="shared" si="5"/>
        <v>4.1749999999999998</v>
      </c>
    </row>
    <row r="30" spans="14:46" ht="20.100000000000001" customHeight="1" x14ac:dyDescent="0.25">
      <c r="AC30" s="40" t="s">
        <v>46</v>
      </c>
      <c r="AD30" s="50">
        <v>10</v>
      </c>
      <c r="AE30" s="50">
        <v>8350</v>
      </c>
      <c r="AF30" s="58">
        <f t="shared" si="5"/>
        <v>2.0874999999999999</v>
      </c>
    </row>
    <row r="33" spans="29:32" ht="20.100000000000001" customHeight="1" x14ac:dyDescent="0.25">
      <c r="AC33" s="40" t="s">
        <v>27</v>
      </c>
      <c r="AD33" s="88" t="s">
        <v>45</v>
      </c>
      <c r="AE33" s="89"/>
      <c r="AF33" s="88" t="s">
        <v>45</v>
      </c>
    </row>
  </sheetData>
  <mergeCells count="15">
    <mergeCell ref="C9:E9"/>
    <mergeCell ref="C4:E4"/>
    <mergeCell ref="AS10:AW10"/>
    <mergeCell ref="V5:V7"/>
    <mergeCell ref="W5:W7"/>
    <mergeCell ref="X5:X7"/>
    <mergeCell ref="AS4:AS5"/>
    <mergeCell ref="AT4:AV4"/>
    <mergeCell ref="AW4:AY4"/>
    <mergeCell ref="AD16:AF16"/>
    <mergeCell ref="AD15:AF15"/>
    <mergeCell ref="BA4:BD4"/>
    <mergeCell ref="BB6:BB7"/>
    <mergeCell ref="AD14:AF14"/>
    <mergeCell ref="AD13:A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C86F-A981-42FA-B2FF-207DA1063988}">
  <sheetPr filterMode="1">
    <tabColor rgb="FFFF0000"/>
  </sheetPr>
  <dimension ref="A2:I99"/>
  <sheetViews>
    <sheetView showGridLines="0" zoomScale="77" zoomScaleNormal="77" workbookViewId="0">
      <selection activeCell="I10" sqref="I10"/>
    </sheetView>
  </sheetViews>
  <sheetFormatPr defaultRowHeight="15" x14ac:dyDescent="0.25"/>
  <cols>
    <col min="1" max="1" width="3.5703125" style="121" customWidth="1"/>
    <col min="2" max="2" width="6.85546875" style="9" customWidth="1"/>
    <col min="3" max="3" width="116.85546875" style="9" customWidth="1"/>
    <col min="4" max="4" width="8.5703125" style="1" customWidth="1"/>
    <col min="5" max="5" width="13.42578125" style="9" customWidth="1"/>
    <col min="6" max="6" width="17.140625" style="9" bestFit="1" customWidth="1"/>
    <col min="7" max="7" width="12.28515625" style="9" bestFit="1" customWidth="1"/>
    <col min="8" max="8" width="15.28515625" style="9" bestFit="1" customWidth="1"/>
    <col min="9" max="16384" width="9.140625" style="9"/>
  </cols>
  <sheetData>
    <row r="2" spans="1:9" s="7" customFormat="1" ht="32.25" thickBot="1" x14ac:dyDescent="0.3">
      <c r="A2" s="117"/>
      <c r="B2" s="49" t="s">
        <v>232</v>
      </c>
      <c r="D2" s="25"/>
    </row>
    <row r="3" spans="1:9" s="6" customFormat="1" ht="27.75" customHeight="1" thickBot="1" x14ac:dyDescent="0.3">
      <c r="A3" s="118"/>
      <c r="B3" s="4" t="s">
        <v>6</v>
      </c>
      <c r="C3" s="4" t="s">
        <v>7</v>
      </c>
      <c r="D3" s="122" t="s">
        <v>8</v>
      </c>
      <c r="E3" s="123"/>
      <c r="F3" s="104" t="s">
        <v>9</v>
      </c>
      <c r="G3" s="47"/>
      <c r="H3" s="48"/>
      <c r="I3" s="7"/>
    </row>
    <row r="4" spans="1:9" s="2" customFormat="1" ht="9" customHeight="1" thickBot="1" x14ac:dyDescent="0.3">
      <c r="A4" s="119"/>
      <c r="B4" s="3" t="str">
        <f>B3</f>
        <v>NO</v>
      </c>
      <c r="C4" s="3" t="str">
        <f t="shared" ref="C4" si="0">C3</f>
        <v>INDIKATOR PENILAIAN</v>
      </c>
      <c r="D4" s="3" t="e">
        <f>#REF!</f>
        <v>#REF!</v>
      </c>
      <c r="E4" s="3" t="str">
        <f>D3</f>
        <v>RANGE</v>
      </c>
      <c r="F4" s="3" t="str">
        <f t="shared" ref="F4" si="1">F3</f>
        <v>NILAI</v>
      </c>
    </row>
    <row r="5" spans="1:9" s="8" customFormat="1" ht="18.75" x14ac:dyDescent="0.25">
      <c r="A5" s="120">
        <v>1</v>
      </c>
      <c r="B5" s="43">
        <v>1</v>
      </c>
      <c r="C5" s="13" t="s">
        <v>10</v>
      </c>
      <c r="D5" s="26" t="s">
        <v>11</v>
      </c>
      <c r="E5" s="14">
        <v>0.95</v>
      </c>
      <c r="F5" s="15">
        <v>750000</v>
      </c>
    </row>
    <row r="6" spans="1:9" ht="18.75" x14ac:dyDescent="0.25">
      <c r="A6" s="121">
        <v>1</v>
      </c>
      <c r="B6" s="44"/>
      <c r="C6" s="16"/>
      <c r="D6" s="27" t="s">
        <v>35</v>
      </c>
      <c r="E6" s="17">
        <v>0.97499999999999998</v>
      </c>
      <c r="F6" s="18">
        <v>1000000</v>
      </c>
      <c r="G6" s="37"/>
    </row>
    <row r="7" spans="1:9" ht="18.75" x14ac:dyDescent="0.25">
      <c r="A7" s="121">
        <v>1</v>
      </c>
      <c r="B7" s="44"/>
      <c r="C7" s="16"/>
      <c r="D7" s="27" t="s">
        <v>12</v>
      </c>
      <c r="E7" s="17">
        <v>1</v>
      </c>
      <c r="F7" s="18">
        <v>1500000</v>
      </c>
      <c r="H7" s="81"/>
    </row>
    <row r="8" spans="1:9" ht="18.75" x14ac:dyDescent="0.25">
      <c r="A8" s="121">
        <v>1</v>
      </c>
      <c r="B8" s="44"/>
      <c r="C8" s="16"/>
      <c r="D8" s="28"/>
      <c r="E8" s="19"/>
      <c r="F8" s="16"/>
      <c r="H8" s="97"/>
    </row>
    <row r="9" spans="1:9" ht="18.75" x14ac:dyDescent="0.25">
      <c r="A9" s="121">
        <v>1</v>
      </c>
      <c r="B9" s="44"/>
      <c r="C9" s="16"/>
      <c r="D9" s="28"/>
      <c r="E9" s="19"/>
      <c r="F9" s="16"/>
    </row>
    <row r="10" spans="1:9" ht="18.75" x14ac:dyDescent="0.25">
      <c r="A10" s="121">
        <v>1</v>
      </c>
      <c r="B10" s="44"/>
      <c r="C10" s="16"/>
      <c r="D10" s="28"/>
      <c r="E10" s="19"/>
      <c r="F10" s="16"/>
    </row>
    <row r="11" spans="1:9" ht="18.75" x14ac:dyDescent="0.25">
      <c r="A11" s="121">
        <v>1</v>
      </c>
      <c r="B11" s="44"/>
      <c r="C11" s="24" t="s">
        <v>52</v>
      </c>
      <c r="D11" s="28"/>
      <c r="E11" s="19"/>
      <c r="F11" s="16"/>
    </row>
    <row r="12" spans="1:9" ht="18.75" x14ac:dyDescent="0.25">
      <c r="A12" s="121">
        <v>1</v>
      </c>
      <c r="B12" s="44"/>
      <c r="C12" s="24" t="s">
        <v>148</v>
      </c>
      <c r="D12" s="28"/>
      <c r="E12" s="19"/>
      <c r="F12" s="16"/>
    </row>
    <row r="13" spans="1:9" ht="19.5" thickBot="1" x14ac:dyDescent="0.3">
      <c r="A13" s="121">
        <v>1</v>
      </c>
      <c r="B13" s="44"/>
      <c r="C13" s="24"/>
      <c r="D13" s="28"/>
      <c r="E13" s="19"/>
      <c r="F13" s="16"/>
    </row>
    <row r="14" spans="1:9" ht="19.5" hidden="1" thickBot="1" x14ac:dyDescent="0.3">
      <c r="A14" s="121">
        <v>0</v>
      </c>
      <c r="B14" s="44"/>
      <c r="C14" s="24"/>
      <c r="D14" s="28"/>
      <c r="E14" s="19"/>
      <c r="F14" s="16"/>
    </row>
    <row r="15" spans="1:9" ht="19.5" hidden="1" thickBot="1" x14ac:dyDescent="0.3">
      <c r="A15" s="121">
        <v>0</v>
      </c>
      <c r="B15" s="44"/>
      <c r="C15" s="16"/>
      <c r="D15" s="28"/>
      <c r="E15" s="19"/>
      <c r="F15" s="16"/>
    </row>
    <row r="16" spans="1:9" ht="19.5" hidden="1" thickBot="1" x14ac:dyDescent="0.3">
      <c r="A16" s="121">
        <v>0</v>
      </c>
      <c r="B16" s="44"/>
      <c r="C16" s="24"/>
      <c r="D16" s="28"/>
      <c r="E16" s="19"/>
      <c r="F16" s="16"/>
    </row>
    <row r="17" spans="1:7" ht="19.5" hidden="1" thickBot="1" x14ac:dyDescent="0.3">
      <c r="A17" s="121">
        <v>0</v>
      </c>
      <c r="B17" s="44"/>
      <c r="C17" s="24"/>
      <c r="D17" s="28"/>
      <c r="E17" s="19"/>
      <c r="F17" s="16"/>
    </row>
    <row r="18" spans="1:7" ht="19.5" hidden="1" thickBot="1" x14ac:dyDescent="0.3">
      <c r="A18" s="121">
        <v>0</v>
      </c>
      <c r="B18" s="44"/>
      <c r="C18" s="24"/>
      <c r="D18" s="28"/>
      <c r="E18" s="19"/>
      <c r="F18" s="16"/>
    </row>
    <row r="19" spans="1:7" ht="19.5" hidden="1" thickBot="1" x14ac:dyDescent="0.3">
      <c r="A19" s="121">
        <v>0</v>
      </c>
      <c r="B19" s="45"/>
      <c r="C19" s="20"/>
      <c r="D19" s="29"/>
      <c r="E19" s="21"/>
      <c r="F19" s="20"/>
    </row>
    <row r="20" spans="1:7" s="8" customFormat="1" ht="18.75" x14ac:dyDescent="0.25">
      <c r="A20" s="121">
        <v>1</v>
      </c>
      <c r="B20" s="43">
        <v>2</v>
      </c>
      <c r="C20" s="13" t="s">
        <v>72</v>
      </c>
      <c r="D20" s="26" t="s">
        <v>11</v>
      </c>
      <c r="E20" s="30" t="s">
        <v>28</v>
      </c>
      <c r="F20" s="15">
        <v>250000</v>
      </c>
      <c r="G20" s="51">
        <f>F20/1</f>
        <v>250000</v>
      </c>
    </row>
    <row r="21" spans="1:7" ht="18.75" x14ac:dyDescent="0.25">
      <c r="A21" s="121">
        <v>1</v>
      </c>
      <c r="B21" s="44"/>
      <c r="C21" s="16"/>
      <c r="D21" s="27" t="s">
        <v>35</v>
      </c>
      <c r="E21" s="31" t="s">
        <v>29</v>
      </c>
      <c r="F21" s="18">
        <v>750000</v>
      </c>
      <c r="G21" s="51">
        <f>F21/2</f>
        <v>375000</v>
      </c>
    </row>
    <row r="22" spans="1:7" ht="18.75" x14ac:dyDescent="0.25">
      <c r="A22" s="121">
        <v>1</v>
      </c>
      <c r="B22" s="44"/>
      <c r="C22" s="16"/>
      <c r="D22" s="27" t="s">
        <v>12</v>
      </c>
      <c r="E22" s="31" t="s">
        <v>30</v>
      </c>
      <c r="F22" s="18">
        <v>1500000</v>
      </c>
      <c r="G22" s="51">
        <f>F22/3</f>
        <v>500000</v>
      </c>
    </row>
    <row r="23" spans="1:7" ht="18.75" x14ac:dyDescent="0.25">
      <c r="A23" s="121">
        <v>1</v>
      </c>
      <c r="B23" s="44"/>
      <c r="C23" s="16"/>
      <c r="D23" s="27"/>
      <c r="E23" s="31"/>
      <c r="F23" s="18"/>
    </row>
    <row r="24" spans="1:7" ht="18.75" x14ac:dyDescent="0.25">
      <c r="A24" s="121">
        <v>1</v>
      </c>
      <c r="B24" s="44"/>
      <c r="C24" s="16"/>
      <c r="D24" s="28"/>
      <c r="E24" s="19"/>
      <c r="F24" s="16"/>
    </row>
    <row r="25" spans="1:7" ht="18.75" x14ac:dyDescent="0.25">
      <c r="A25" s="121">
        <v>1</v>
      </c>
      <c r="B25" s="44"/>
      <c r="C25" s="16"/>
      <c r="D25" s="28"/>
      <c r="E25" s="19"/>
      <c r="F25" s="16"/>
    </row>
    <row r="26" spans="1:7" ht="18.75" x14ac:dyDescent="0.25">
      <c r="A26" s="121">
        <v>1</v>
      </c>
      <c r="B26" s="44"/>
      <c r="C26" s="24"/>
      <c r="D26" s="28"/>
      <c r="E26" s="19"/>
      <c r="F26" s="16"/>
    </row>
    <row r="27" spans="1:7" ht="18.75" x14ac:dyDescent="0.25">
      <c r="A27" s="121">
        <v>1</v>
      </c>
      <c r="B27" s="44"/>
      <c r="C27" s="24" t="s">
        <v>52</v>
      </c>
      <c r="D27" s="28"/>
      <c r="E27" s="19"/>
      <c r="F27" s="16"/>
    </row>
    <row r="28" spans="1:7" ht="18.75" x14ac:dyDescent="0.25">
      <c r="A28" s="121">
        <v>1</v>
      </c>
      <c r="B28" s="44"/>
      <c r="C28" s="24" t="s">
        <v>161</v>
      </c>
      <c r="D28" s="28"/>
      <c r="E28" s="19"/>
      <c r="F28" s="16"/>
    </row>
    <row r="29" spans="1:7" ht="18.75" x14ac:dyDescent="0.25">
      <c r="A29" s="121">
        <v>1</v>
      </c>
      <c r="B29" s="44"/>
      <c r="C29" s="24" t="s">
        <v>180</v>
      </c>
      <c r="D29" s="28"/>
      <c r="E29" s="19"/>
      <c r="F29" s="16"/>
    </row>
    <row r="30" spans="1:7" ht="18.75" x14ac:dyDescent="0.25">
      <c r="A30" s="121">
        <v>1</v>
      </c>
      <c r="B30" s="44"/>
      <c r="C30" s="24" t="s">
        <v>155</v>
      </c>
      <c r="D30" s="28"/>
      <c r="E30" s="19"/>
      <c r="F30" s="16"/>
    </row>
    <row r="31" spans="1:7" ht="18.75" customHeight="1" thickBot="1" x14ac:dyDescent="0.3">
      <c r="A31" s="121">
        <v>1</v>
      </c>
      <c r="B31" s="44"/>
      <c r="C31" s="24"/>
      <c r="D31" s="28"/>
      <c r="E31" s="19"/>
      <c r="F31" s="16"/>
    </row>
    <row r="32" spans="1:7" ht="19.5" hidden="1" thickBot="1" x14ac:dyDescent="0.3">
      <c r="A32" s="121">
        <v>0</v>
      </c>
      <c r="B32" s="44"/>
      <c r="C32" s="24"/>
      <c r="D32" s="28"/>
      <c r="E32" s="19"/>
      <c r="F32" s="16"/>
    </row>
    <row r="33" spans="1:7" ht="19.5" hidden="1" customHeight="1" x14ac:dyDescent="0.3">
      <c r="A33" s="121">
        <v>0</v>
      </c>
      <c r="B33" s="44"/>
      <c r="C33" s="24"/>
      <c r="D33" s="28"/>
      <c r="E33" s="19"/>
      <c r="F33" s="16"/>
    </row>
    <row r="34" spans="1:7" ht="19.5" hidden="1" customHeight="1" thickBot="1" x14ac:dyDescent="0.3">
      <c r="A34" s="121">
        <v>0</v>
      </c>
      <c r="B34" s="45"/>
      <c r="C34" s="20"/>
      <c r="D34" s="29"/>
      <c r="E34" s="21"/>
      <c r="F34" s="20"/>
    </row>
    <row r="35" spans="1:7" s="8" customFormat="1" ht="18.75" x14ac:dyDescent="0.25">
      <c r="A35" s="121">
        <v>1</v>
      </c>
      <c r="B35" s="43">
        <v>3</v>
      </c>
      <c r="C35" s="13" t="s">
        <v>43</v>
      </c>
      <c r="D35" s="26" t="s">
        <v>11</v>
      </c>
      <c r="E35" s="30" t="s">
        <v>93</v>
      </c>
      <c r="F35" s="15">
        <v>250000</v>
      </c>
      <c r="G35" s="51"/>
    </row>
    <row r="36" spans="1:7" ht="18.75" x14ac:dyDescent="0.25">
      <c r="A36" s="121">
        <v>1</v>
      </c>
      <c r="B36" s="44"/>
      <c r="C36" s="16"/>
      <c r="D36" s="27" t="s">
        <v>35</v>
      </c>
      <c r="E36" s="31" t="s">
        <v>94</v>
      </c>
      <c r="F36" s="18">
        <v>500000</v>
      </c>
      <c r="G36" s="51"/>
    </row>
    <row r="37" spans="1:7" ht="18.75" x14ac:dyDescent="0.25">
      <c r="A37" s="121">
        <v>1</v>
      </c>
      <c r="B37" s="44"/>
      <c r="C37" s="16"/>
      <c r="D37" s="27" t="s">
        <v>12</v>
      </c>
      <c r="E37" s="31" t="s">
        <v>38</v>
      </c>
      <c r="F37" s="18">
        <v>750000</v>
      </c>
      <c r="G37" s="51"/>
    </row>
    <row r="38" spans="1:7" ht="18.75" x14ac:dyDescent="0.25">
      <c r="A38" s="121">
        <v>1</v>
      </c>
      <c r="B38" s="44"/>
      <c r="C38" s="16"/>
      <c r="D38" s="27"/>
      <c r="E38" s="31"/>
      <c r="F38" s="18"/>
    </row>
    <row r="39" spans="1:7" ht="18.75" x14ac:dyDescent="0.25">
      <c r="A39" s="121">
        <v>1</v>
      </c>
      <c r="B39" s="44"/>
      <c r="C39" s="16"/>
      <c r="D39" s="28"/>
      <c r="E39" s="19"/>
      <c r="F39" s="16"/>
    </row>
    <row r="40" spans="1:7" ht="18.75" x14ac:dyDescent="0.25">
      <c r="A40" s="121">
        <v>1</v>
      </c>
      <c r="B40" s="44"/>
      <c r="C40" s="24" t="s">
        <v>52</v>
      </c>
      <c r="D40" s="28"/>
      <c r="E40" s="19"/>
      <c r="F40" s="16"/>
    </row>
    <row r="41" spans="1:7" ht="18.75" x14ac:dyDescent="0.25">
      <c r="A41" s="121">
        <v>1</v>
      </c>
      <c r="B41" s="44"/>
      <c r="C41" s="24" t="s">
        <v>151</v>
      </c>
      <c r="D41" s="28"/>
      <c r="E41" s="19"/>
      <c r="F41" s="16"/>
    </row>
    <row r="42" spans="1:7" ht="19.5" thickBot="1" x14ac:dyDescent="0.3">
      <c r="A42" s="121">
        <v>1</v>
      </c>
      <c r="B42" s="44"/>
      <c r="C42" s="16"/>
      <c r="D42" s="28"/>
      <c r="E42" s="19"/>
      <c r="F42" s="16"/>
    </row>
    <row r="43" spans="1:7" ht="19.5" hidden="1" customHeight="1" x14ac:dyDescent="0.3">
      <c r="A43" s="121">
        <v>0</v>
      </c>
      <c r="B43" s="44"/>
      <c r="C43" s="19"/>
      <c r="D43" s="28"/>
      <c r="E43" s="19"/>
      <c r="F43" s="16"/>
    </row>
    <row r="44" spans="1:7" ht="19.5" hidden="1" customHeight="1" x14ac:dyDescent="0.3">
      <c r="A44" s="121">
        <v>0</v>
      </c>
      <c r="B44" s="44"/>
      <c r="C44" s="24"/>
      <c r="D44" s="28"/>
      <c r="E44" s="19"/>
      <c r="F44" s="16"/>
    </row>
    <row r="45" spans="1:7" ht="19.5" hidden="1" customHeight="1" x14ac:dyDescent="0.3">
      <c r="A45" s="121">
        <v>0</v>
      </c>
      <c r="B45" s="44"/>
      <c r="C45" s="24"/>
      <c r="D45" s="28"/>
      <c r="E45" s="19"/>
      <c r="F45" s="16"/>
    </row>
    <row r="46" spans="1:7" ht="19.5" hidden="1" customHeight="1" x14ac:dyDescent="0.3">
      <c r="A46" s="121">
        <v>0</v>
      </c>
      <c r="B46" s="44"/>
      <c r="C46" s="24"/>
      <c r="D46" s="28"/>
      <c r="E46" s="19"/>
      <c r="F46" s="16"/>
    </row>
    <row r="47" spans="1:7" ht="19.5" hidden="1" customHeight="1" x14ac:dyDescent="0.3">
      <c r="A47" s="121">
        <v>0</v>
      </c>
      <c r="B47" s="44"/>
      <c r="C47" s="24"/>
      <c r="D47" s="28"/>
      <c r="E47" s="19"/>
      <c r="F47" s="16"/>
    </row>
    <row r="48" spans="1:7" ht="19.5" hidden="1" customHeight="1" x14ac:dyDescent="0.3">
      <c r="A48" s="121">
        <v>0</v>
      </c>
      <c r="B48" s="44"/>
      <c r="C48" s="24"/>
      <c r="D48" s="28"/>
      <c r="E48" s="19"/>
      <c r="F48" s="16"/>
    </row>
    <row r="49" spans="1:7" ht="19.5" hidden="1" customHeight="1" thickBot="1" x14ac:dyDescent="0.3">
      <c r="A49" s="121">
        <v>0</v>
      </c>
      <c r="B49" s="45"/>
      <c r="C49" s="20"/>
      <c r="D49" s="29"/>
      <c r="E49" s="21"/>
      <c r="F49" s="20"/>
    </row>
    <row r="50" spans="1:7" s="8" customFormat="1" ht="18.75" x14ac:dyDescent="0.25">
      <c r="A50" s="121">
        <v>1</v>
      </c>
      <c r="B50" s="43">
        <v>4</v>
      </c>
      <c r="C50" s="13" t="s">
        <v>229</v>
      </c>
      <c r="D50" s="26" t="s">
        <v>11</v>
      </c>
      <c r="E50" s="30">
        <v>0.97499999999999998</v>
      </c>
      <c r="F50" s="15">
        <v>250000</v>
      </c>
      <c r="G50" s="51"/>
    </row>
    <row r="51" spans="1:7" ht="18.75" x14ac:dyDescent="0.25">
      <c r="A51" s="121">
        <v>1</v>
      </c>
      <c r="B51" s="44"/>
      <c r="C51" s="16"/>
      <c r="D51" s="27" t="s">
        <v>35</v>
      </c>
      <c r="E51" s="31">
        <v>1</v>
      </c>
      <c r="F51" s="18">
        <v>750000</v>
      </c>
      <c r="G51" s="51"/>
    </row>
    <row r="52" spans="1:7" ht="18.75" x14ac:dyDescent="0.25">
      <c r="A52" s="121">
        <v>1</v>
      </c>
      <c r="B52" s="44"/>
      <c r="C52" s="16"/>
      <c r="D52" s="27" t="s">
        <v>12</v>
      </c>
      <c r="E52" s="31">
        <v>1.05</v>
      </c>
      <c r="F52" s="18">
        <v>1250000</v>
      </c>
      <c r="G52" s="51"/>
    </row>
    <row r="53" spans="1:7" ht="18.75" x14ac:dyDescent="0.25">
      <c r="A53" s="121">
        <v>1</v>
      </c>
      <c r="B53" s="44"/>
      <c r="C53" s="16"/>
      <c r="D53" s="27"/>
      <c r="E53" s="31"/>
      <c r="F53" s="18"/>
    </row>
    <row r="54" spans="1:7" ht="18.75" x14ac:dyDescent="0.25">
      <c r="A54" s="121">
        <v>1</v>
      </c>
      <c r="B54" s="44"/>
      <c r="C54" s="24" t="s">
        <v>52</v>
      </c>
      <c r="D54" s="28"/>
      <c r="E54" s="19"/>
      <c r="F54" s="16"/>
    </row>
    <row r="55" spans="1:7" ht="18.75" x14ac:dyDescent="0.25">
      <c r="A55" s="121">
        <v>1</v>
      </c>
      <c r="B55" s="44"/>
      <c r="C55" s="24" t="s">
        <v>189</v>
      </c>
      <c r="D55" s="28"/>
      <c r="E55" s="19"/>
      <c r="F55" s="16"/>
    </row>
    <row r="56" spans="1:7" ht="18.75" x14ac:dyDescent="0.25">
      <c r="A56" s="121">
        <v>1</v>
      </c>
      <c r="B56" s="44"/>
      <c r="C56" s="24" t="s">
        <v>230</v>
      </c>
      <c r="D56" s="28"/>
      <c r="E56" s="19"/>
      <c r="F56" s="16"/>
    </row>
    <row r="57" spans="1:7" ht="18.75" x14ac:dyDescent="0.25">
      <c r="A57" s="121">
        <v>1</v>
      </c>
      <c r="B57" s="44"/>
      <c r="C57" s="24" t="s">
        <v>231</v>
      </c>
      <c r="D57" s="28"/>
      <c r="E57" s="19"/>
      <c r="F57" s="16"/>
    </row>
    <row r="58" spans="1:7" ht="18.75" x14ac:dyDescent="0.25">
      <c r="A58" s="121">
        <v>1</v>
      </c>
      <c r="B58" s="44"/>
      <c r="C58" s="24" t="s">
        <v>190</v>
      </c>
      <c r="D58" s="28"/>
      <c r="E58" s="19"/>
      <c r="F58" s="16"/>
    </row>
    <row r="59" spans="1:7" ht="19.5" thickBot="1" x14ac:dyDescent="0.3">
      <c r="A59" s="121">
        <v>1</v>
      </c>
      <c r="B59" s="44"/>
      <c r="C59" s="24"/>
      <c r="D59" s="28"/>
      <c r="E59" s="19"/>
      <c r="F59" s="16"/>
    </row>
    <row r="60" spans="1:7" ht="19.5" hidden="1" thickBot="1" x14ac:dyDescent="0.3">
      <c r="A60" s="121">
        <v>0</v>
      </c>
      <c r="B60" s="44"/>
      <c r="C60" s="24"/>
      <c r="D60" s="28"/>
      <c r="E60" s="19"/>
      <c r="F60" s="16"/>
    </row>
    <row r="61" spans="1:7" ht="19.5" hidden="1" thickBot="1" x14ac:dyDescent="0.3">
      <c r="A61" s="121">
        <v>0</v>
      </c>
      <c r="B61" s="44"/>
      <c r="C61" s="24"/>
      <c r="D61" s="28"/>
      <c r="E61" s="19"/>
      <c r="F61" s="16"/>
    </row>
    <row r="62" spans="1:7" ht="19.5" hidden="1" thickBot="1" x14ac:dyDescent="0.3">
      <c r="A62" s="121">
        <v>0</v>
      </c>
      <c r="B62" s="44"/>
      <c r="C62" s="24"/>
      <c r="D62" s="28"/>
      <c r="E62" s="19"/>
      <c r="F62" s="16"/>
    </row>
    <row r="63" spans="1:7" ht="19.5" hidden="1" thickBot="1" x14ac:dyDescent="0.3">
      <c r="A63" s="121">
        <v>0</v>
      </c>
      <c r="B63" s="44"/>
      <c r="C63" s="24"/>
      <c r="D63" s="28"/>
      <c r="E63" s="19"/>
      <c r="F63" s="16"/>
    </row>
    <row r="64" spans="1:7" ht="19.5" hidden="1" thickBot="1" x14ac:dyDescent="0.3">
      <c r="A64" s="121">
        <v>0</v>
      </c>
      <c r="B64" s="45"/>
      <c r="C64" s="20"/>
      <c r="D64" s="29"/>
      <c r="E64" s="21"/>
      <c r="F64" s="20"/>
    </row>
    <row r="65" spans="1:7" s="8" customFormat="1" ht="19.5" hidden="1" thickBot="1" x14ac:dyDescent="0.3">
      <c r="A65" s="121">
        <v>0</v>
      </c>
      <c r="B65" s="43"/>
      <c r="C65" s="13"/>
      <c r="D65" s="26"/>
      <c r="E65" s="30"/>
      <c r="F65" s="15"/>
    </row>
    <row r="66" spans="1:7" ht="19.5" hidden="1" thickBot="1" x14ac:dyDescent="0.3">
      <c r="A66" s="121">
        <v>0</v>
      </c>
      <c r="B66" s="44"/>
      <c r="C66" s="16"/>
      <c r="D66" s="27"/>
      <c r="E66" s="31"/>
      <c r="F66" s="18"/>
      <c r="G66" s="37"/>
    </row>
    <row r="67" spans="1:7" ht="19.5" hidden="1" thickBot="1" x14ac:dyDescent="0.3">
      <c r="A67" s="121">
        <v>0</v>
      </c>
      <c r="B67" s="44"/>
      <c r="C67" s="16"/>
      <c r="D67" s="27"/>
      <c r="E67" s="31"/>
      <c r="F67" s="18"/>
    </row>
    <row r="68" spans="1:7" ht="19.5" hidden="1" thickBot="1" x14ac:dyDescent="0.3">
      <c r="A68" s="121">
        <v>0</v>
      </c>
      <c r="B68" s="44"/>
      <c r="C68" s="16"/>
      <c r="D68" s="28"/>
      <c r="E68" s="19"/>
      <c r="F68" s="16"/>
    </row>
    <row r="69" spans="1:7" ht="19.5" hidden="1" thickBot="1" x14ac:dyDescent="0.3">
      <c r="A69" s="121">
        <v>0</v>
      </c>
      <c r="B69" s="44"/>
      <c r="C69" s="16"/>
      <c r="D69" s="28"/>
      <c r="E69" s="19"/>
      <c r="F69" s="16"/>
    </row>
    <row r="70" spans="1:7" ht="19.5" hidden="1" thickBot="1" x14ac:dyDescent="0.3">
      <c r="A70" s="121">
        <v>0</v>
      </c>
      <c r="B70" s="44"/>
      <c r="C70" s="16"/>
      <c r="D70" s="28"/>
      <c r="E70" s="19"/>
      <c r="F70" s="16"/>
    </row>
    <row r="71" spans="1:7" ht="19.5" hidden="1" thickBot="1" x14ac:dyDescent="0.3">
      <c r="A71" s="121">
        <v>0</v>
      </c>
      <c r="B71" s="44"/>
      <c r="C71" s="16"/>
      <c r="D71" s="28"/>
      <c r="E71" s="19"/>
      <c r="F71" s="16"/>
    </row>
    <row r="72" spans="1:7" ht="19.5" hidden="1" thickBot="1" x14ac:dyDescent="0.3">
      <c r="A72" s="121">
        <v>0</v>
      </c>
      <c r="B72" s="44"/>
      <c r="C72" s="24"/>
      <c r="D72" s="28"/>
      <c r="E72" s="19"/>
      <c r="F72" s="16"/>
    </row>
    <row r="73" spans="1:7" ht="19.5" hidden="1" thickBot="1" x14ac:dyDescent="0.3">
      <c r="A73" s="121">
        <v>0</v>
      </c>
      <c r="B73" s="44"/>
      <c r="C73" s="24"/>
      <c r="D73" s="28"/>
      <c r="E73" s="19"/>
      <c r="F73" s="16"/>
    </row>
    <row r="74" spans="1:7" ht="19.5" hidden="1" thickBot="1" x14ac:dyDescent="0.3">
      <c r="A74" s="121">
        <v>0</v>
      </c>
      <c r="B74" s="44"/>
      <c r="C74" s="24"/>
      <c r="D74" s="28"/>
      <c r="E74" s="19"/>
      <c r="F74" s="16"/>
    </row>
    <row r="75" spans="1:7" ht="19.5" hidden="1" thickBot="1" x14ac:dyDescent="0.3">
      <c r="A75" s="121">
        <v>0</v>
      </c>
      <c r="B75" s="44"/>
      <c r="C75" s="24"/>
      <c r="D75" s="28"/>
      <c r="E75" s="19"/>
      <c r="F75" s="16"/>
    </row>
    <row r="76" spans="1:7" ht="19.5" hidden="1" thickBot="1" x14ac:dyDescent="0.3">
      <c r="A76" s="121">
        <v>0</v>
      </c>
      <c r="B76" s="44"/>
      <c r="C76" s="24"/>
      <c r="D76" s="28"/>
      <c r="E76" s="19"/>
      <c r="F76" s="16"/>
    </row>
    <row r="77" spans="1:7" ht="19.5" hidden="1" thickBot="1" x14ac:dyDescent="0.3">
      <c r="A77" s="121">
        <v>0</v>
      </c>
      <c r="B77" s="44"/>
      <c r="C77" s="24"/>
      <c r="D77" s="28"/>
      <c r="E77" s="19"/>
      <c r="F77" s="16"/>
    </row>
    <row r="78" spans="1:7" ht="19.5" hidden="1" thickBot="1" x14ac:dyDescent="0.3">
      <c r="A78" s="121">
        <v>0</v>
      </c>
      <c r="B78" s="44"/>
      <c r="C78" s="24"/>
      <c r="D78" s="28"/>
      <c r="E78" s="19"/>
      <c r="F78" s="16"/>
    </row>
    <row r="79" spans="1:7" ht="19.5" hidden="1" thickBot="1" x14ac:dyDescent="0.3">
      <c r="A79" s="121">
        <v>0</v>
      </c>
      <c r="B79" s="45"/>
      <c r="C79" s="20"/>
      <c r="D79" s="29"/>
      <c r="E79" s="21"/>
      <c r="F79" s="20"/>
    </row>
    <row r="80" spans="1:7" s="8" customFormat="1" ht="18.75" x14ac:dyDescent="0.25">
      <c r="A80" s="121">
        <v>1</v>
      </c>
      <c r="B80" s="43"/>
      <c r="C80" s="13" t="s">
        <v>192</v>
      </c>
      <c r="D80" s="26"/>
      <c r="E80" s="30" t="s">
        <v>67</v>
      </c>
      <c r="F80" s="59">
        <v>0</v>
      </c>
    </row>
    <row r="81" spans="1:7" ht="18.75" x14ac:dyDescent="0.25">
      <c r="A81" s="121">
        <v>1</v>
      </c>
      <c r="B81" s="44"/>
      <c r="C81" s="16"/>
      <c r="D81" s="27"/>
      <c r="E81" s="31" t="s">
        <v>66</v>
      </c>
      <c r="F81" s="60">
        <v>-0.1</v>
      </c>
      <c r="G81" s="37"/>
    </row>
    <row r="82" spans="1:7" ht="18.75" x14ac:dyDescent="0.25">
      <c r="A82" s="121">
        <v>1</v>
      </c>
      <c r="B82" s="44"/>
      <c r="C82" s="16"/>
      <c r="D82" s="27"/>
      <c r="E82" s="31" t="s">
        <v>65</v>
      </c>
      <c r="F82" s="60">
        <v>-0.2</v>
      </c>
    </row>
    <row r="83" spans="1:7" ht="18.75" x14ac:dyDescent="0.25">
      <c r="A83" s="121">
        <v>1</v>
      </c>
      <c r="B83" s="44"/>
      <c r="C83" s="16"/>
      <c r="D83" s="28"/>
      <c r="E83" s="19"/>
      <c r="F83" s="16"/>
    </row>
    <row r="84" spans="1:7" ht="18.75" x14ac:dyDescent="0.25">
      <c r="A84" s="121">
        <v>1</v>
      </c>
      <c r="B84" s="44"/>
      <c r="C84" s="16"/>
      <c r="D84" s="28"/>
      <c r="E84" s="19"/>
      <c r="F84" s="16"/>
    </row>
    <row r="85" spans="1:7" ht="18.75" x14ac:dyDescent="0.25">
      <c r="A85" s="121">
        <v>1</v>
      </c>
      <c r="B85" s="44"/>
      <c r="C85" s="16"/>
      <c r="D85" s="28"/>
      <c r="E85" s="19"/>
      <c r="F85" s="16"/>
    </row>
    <row r="86" spans="1:7" ht="18.75" x14ac:dyDescent="0.25">
      <c r="A86" s="121">
        <v>1</v>
      </c>
      <c r="B86" s="44"/>
      <c r="C86" s="16"/>
      <c r="D86" s="28"/>
      <c r="E86" s="19"/>
      <c r="F86" s="16"/>
    </row>
    <row r="87" spans="1:7" ht="18.75" x14ac:dyDescent="0.25">
      <c r="A87" s="121">
        <v>1</v>
      </c>
      <c r="B87" s="44"/>
      <c r="C87" s="16"/>
      <c r="D87" s="28"/>
      <c r="E87" s="19"/>
      <c r="F87" s="16"/>
    </row>
    <row r="88" spans="1:7" ht="18.75" x14ac:dyDescent="0.25">
      <c r="A88" s="121">
        <v>1</v>
      </c>
      <c r="B88" s="44"/>
      <c r="C88" s="19"/>
      <c r="D88" s="28"/>
      <c r="E88" s="19"/>
      <c r="F88" s="16"/>
    </row>
    <row r="89" spans="1:7" ht="18.75" x14ac:dyDescent="0.25">
      <c r="A89" s="121">
        <v>1</v>
      </c>
      <c r="B89" s="44"/>
      <c r="C89" s="24"/>
      <c r="D89" s="28"/>
      <c r="E89" s="19"/>
      <c r="F89" s="16"/>
    </row>
    <row r="90" spans="1:7" ht="18.75" x14ac:dyDescent="0.25">
      <c r="A90" s="121">
        <v>1</v>
      </c>
      <c r="B90" s="44"/>
      <c r="C90" s="24"/>
      <c r="D90" s="28"/>
      <c r="E90" s="19"/>
      <c r="F90" s="16"/>
    </row>
    <row r="91" spans="1:7" ht="18.75" x14ac:dyDescent="0.25">
      <c r="A91" s="121">
        <v>1</v>
      </c>
      <c r="B91" s="44"/>
      <c r="C91" s="24"/>
      <c r="D91" s="28"/>
      <c r="E91" s="19"/>
      <c r="F91" s="16"/>
    </row>
    <row r="92" spans="1:7" ht="18.75" x14ac:dyDescent="0.25">
      <c r="A92" s="121">
        <v>1</v>
      </c>
      <c r="B92" s="44"/>
      <c r="C92" s="24"/>
      <c r="D92" s="28"/>
      <c r="E92" s="19"/>
      <c r="F92" s="16"/>
    </row>
    <row r="93" spans="1:7" ht="18.75" x14ac:dyDescent="0.25">
      <c r="A93" s="121">
        <v>1</v>
      </c>
      <c r="B93" s="44"/>
      <c r="C93" s="24"/>
      <c r="D93" s="28"/>
      <c r="E93" s="19"/>
      <c r="F93" s="16"/>
    </row>
    <row r="94" spans="1:7" ht="19.5" thickBot="1" x14ac:dyDescent="0.3">
      <c r="A94" s="121">
        <v>1</v>
      </c>
      <c r="B94" s="45"/>
      <c r="C94" s="20"/>
      <c r="D94" s="29"/>
      <c r="E94" s="21"/>
      <c r="F94" s="20"/>
    </row>
    <row r="95" spans="1:7" s="8" customFormat="1" ht="18.75" x14ac:dyDescent="0.25">
      <c r="A95" s="121">
        <v>1</v>
      </c>
      <c r="B95" s="43"/>
      <c r="C95" s="13" t="s">
        <v>175</v>
      </c>
      <c r="D95" s="26" t="s">
        <v>11</v>
      </c>
      <c r="E95" s="30"/>
      <c r="F95" s="15">
        <f>F5+F20+F35+F50</f>
        <v>1500000</v>
      </c>
      <c r="G95" s="66">
        <f>F95/$F$97</f>
        <v>0.3</v>
      </c>
    </row>
    <row r="96" spans="1:7" ht="18.75" x14ac:dyDescent="0.25">
      <c r="A96" s="121">
        <v>1</v>
      </c>
      <c r="B96" s="44"/>
      <c r="C96" s="16"/>
      <c r="D96" s="27" t="s">
        <v>35</v>
      </c>
      <c r="E96" s="31"/>
      <c r="F96" s="18">
        <f t="shared" ref="F96:F97" si="2">F6+F21+F36+F51</f>
        <v>3000000</v>
      </c>
      <c r="G96" s="66">
        <f t="shared" ref="G96:G97" si="3">F96/$F$97</f>
        <v>0.6</v>
      </c>
    </row>
    <row r="97" spans="1:7" ht="18.75" x14ac:dyDescent="0.25">
      <c r="A97" s="121">
        <v>1</v>
      </c>
      <c r="B97" s="44"/>
      <c r="C97" s="16"/>
      <c r="D97" s="27" t="s">
        <v>12</v>
      </c>
      <c r="E97" s="31"/>
      <c r="F97" s="18">
        <f t="shared" si="2"/>
        <v>5000000</v>
      </c>
      <c r="G97" s="66">
        <f t="shared" si="3"/>
        <v>1</v>
      </c>
    </row>
    <row r="98" spans="1:7" ht="19.5" thickBot="1" x14ac:dyDescent="0.3">
      <c r="A98" s="121">
        <v>1</v>
      </c>
      <c r="B98" s="45"/>
      <c r="C98" s="20"/>
      <c r="D98" s="29"/>
      <c r="E98" s="21"/>
      <c r="F98" s="20"/>
    </row>
    <row r="99" spans="1:7" x14ac:dyDescent="0.25">
      <c r="B99" s="46"/>
    </row>
  </sheetData>
  <autoFilter ref="A4:I98" xr:uid="{D8A1FA1B-BE37-4968-8E2D-1F27B3B3568A}">
    <filterColumn colId="0">
      <filters>
        <filter val="1"/>
      </filters>
    </filterColumn>
  </autoFilter>
  <mergeCells count="1">
    <mergeCell ref="D3:E3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6FF4-63A3-4620-99E1-CD83AAAB92BD}">
  <sheetPr>
    <tabColor rgb="FF7030A0"/>
  </sheetPr>
  <dimension ref="B2:BA30"/>
  <sheetViews>
    <sheetView showGridLines="0" topLeftCell="H1" workbookViewId="0">
      <selection activeCell="X13" sqref="X13:X15"/>
    </sheetView>
  </sheetViews>
  <sheetFormatPr defaultRowHeight="20.100000000000001" customHeight="1" x14ac:dyDescent="0.25"/>
  <cols>
    <col min="1" max="2" width="5.28515625" style="38" customWidth="1"/>
    <col min="3" max="3" width="16" style="98" customWidth="1"/>
    <col min="4" max="4" width="16" style="98" hidden="1" customWidth="1"/>
    <col min="5" max="5" width="20.28515625" style="98" customWidth="1"/>
    <col min="6" max="6" width="3.5703125" style="38" customWidth="1"/>
    <col min="7" max="8" width="16" style="38" bestFit="1" customWidth="1"/>
    <col min="9" max="9" width="7.85546875" style="38" bestFit="1" customWidth="1"/>
    <col min="10" max="10" width="12.28515625" style="38" bestFit="1" customWidth="1"/>
    <col min="11" max="11" width="3" style="38" customWidth="1"/>
    <col min="12" max="12" width="3" style="39" customWidth="1"/>
    <col min="13" max="13" width="6" style="38" customWidth="1"/>
    <col min="14" max="14" width="23.140625" style="38" customWidth="1"/>
    <col min="15" max="19" width="10" style="38" customWidth="1"/>
    <col min="20" max="20" width="2.85546875" style="38" customWidth="1"/>
    <col min="21" max="21" width="3" style="39" customWidth="1"/>
    <col min="22" max="22" width="6" style="38" customWidth="1"/>
    <col min="23" max="27" width="9.140625" style="38"/>
    <col min="28" max="28" width="2.85546875" style="38" customWidth="1"/>
    <col min="29" max="29" width="3" style="39" customWidth="1"/>
    <col min="30" max="30" width="6" style="38" customWidth="1"/>
    <col min="31" max="31" width="22.5703125" style="38" customWidth="1"/>
    <col min="32" max="32" width="10.5703125" style="38" customWidth="1"/>
    <col min="33" max="33" width="14.85546875" style="38" bestFit="1" customWidth="1"/>
    <col min="34" max="34" width="11" style="38" customWidth="1"/>
    <col min="35" max="35" width="8.42578125" style="38" customWidth="1"/>
    <col min="36" max="36" width="2.85546875" style="38" customWidth="1"/>
    <col min="37" max="37" width="3" style="39" customWidth="1"/>
    <col min="38" max="38" width="6" style="38" customWidth="1"/>
    <col min="39" max="39" width="13.7109375" style="38" customWidth="1"/>
    <col min="40" max="40" width="12.7109375" style="38" bestFit="1" customWidth="1"/>
    <col min="41" max="41" width="2.85546875" style="38" customWidth="1"/>
    <col min="42" max="42" width="3" style="39" customWidth="1"/>
    <col min="43" max="43" width="6" style="38" customWidth="1"/>
    <col min="44" max="44" width="22" style="38" customWidth="1"/>
    <col min="45" max="48" width="10.28515625" style="38" customWidth="1"/>
    <col min="49" max="49" width="9.5703125" style="38" customWidth="1"/>
    <col min="50" max="50" width="14.28515625" style="38" bestFit="1" customWidth="1"/>
    <col min="51" max="51" width="11.5703125" style="38" bestFit="1" customWidth="1"/>
    <col min="52" max="52" width="9.5703125" style="38" customWidth="1"/>
    <col min="53" max="53" width="11.85546875" style="38" bestFit="1" customWidth="1"/>
    <col min="54" max="16384" width="9.140625" style="38"/>
  </cols>
  <sheetData>
    <row r="2" spans="2:53" ht="20.100000000000001" customHeight="1" x14ac:dyDescent="0.25">
      <c r="C2" s="98">
        <v>95000000</v>
      </c>
      <c r="D2" s="98">
        <v>140000000</v>
      </c>
    </row>
    <row r="3" spans="2:53" ht="20.100000000000001" customHeight="1" x14ac:dyDescent="0.25">
      <c r="B3" s="22">
        <v>1</v>
      </c>
      <c r="C3" s="101" t="s">
        <v>10</v>
      </c>
      <c r="M3" s="22">
        <v>2</v>
      </c>
      <c r="N3" s="23" t="s">
        <v>24</v>
      </c>
      <c r="V3" s="22">
        <v>3</v>
      </c>
      <c r="W3" s="23" t="s">
        <v>37</v>
      </c>
      <c r="AD3" s="22">
        <v>4</v>
      </c>
      <c r="AE3" s="23" t="s">
        <v>42</v>
      </c>
      <c r="AF3" s="23" t="s">
        <v>42</v>
      </c>
      <c r="AL3" s="22">
        <v>5</v>
      </c>
      <c r="AM3" s="23" t="s">
        <v>53</v>
      </c>
      <c r="AQ3" s="22">
        <v>6</v>
      </c>
      <c r="AR3" s="23" t="s">
        <v>5</v>
      </c>
    </row>
    <row r="4" spans="2:53" ht="20.100000000000001" customHeight="1" x14ac:dyDescent="0.25">
      <c r="C4" s="136" t="s">
        <v>228</v>
      </c>
      <c r="D4" s="136"/>
      <c r="E4" s="136"/>
      <c r="G4" s="10" t="s">
        <v>16</v>
      </c>
      <c r="H4" s="10" t="s">
        <v>19</v>
      </c>
      <c r="I4" s="12" t="s">
        <v>17</v>
      </c>
      <c r="J4" s="12" t="s">
        <v>18</v>
      </c>
      <c r="N4" s="10" t="s">
        <v>21</v>
      </c>
      <c r="O4" s="10" t="s">
        <v>4</v>
      </c>
      <c r="P4" s="10" t="s">
        <v>23</v>
      </c>
      <c r="W4" s="10" t="s">
        <v>32</v>
      </c>
      <c r="X4" s="10" t="s">
        <v>11</v>
      </c>
      <c r="Y4" s="10" t="s">
        <v>35</v>
      </c>
      <c r="Z4" s="10" t="s">
        <v>12</v>
      </c>
      <c r="AE4" s="10" t="s">
        <v>21</v>
      </c>
      <c r="AF4" s="10" t="s">
        <v>75</v>
      </c>
      <c r="AG4" s="10" t="s">
        <v>76</v>
      </c>
      <c r="AH4" s="10" t="s">
        <v>77</v>
      </c>
      <c r="AM4" s="10" t="s">
        <v>54</v>
      </c>
      <c r="AN4" s="10" t="s">
        <v>9</v>
      </c>
      <c r="AR4" s="132" t="s">
        <v>21</v>
      </c>
      <c r="AS4" s="132" t="s">
        <v>59</v>
      </c>
      <c r="AT4" s="132"/>
      <c r="AU4" s="132" t="s">
        <v>68</v>
      </c>
      <c r="AV4" s="132"/>
      <c r="AX4" s="127" t="s">
        <v>191</v>
      </c>
      <c r="AY4" s="128"/>
      <c r="AZ4" s="128"/>
      <c r="BA4" s="129"/>
    </row>
    <row r="5" spans="2:53" ht="20.100000000000001" customHeight="1" x14ac:dyDescent="0.25">
      <c r="C5" s="57" t="s">
        <v>13</v>
      </c>
      <c r="D5" s="102" t="s">
        <v>14</v>
      </c>
      <c r="E5" s="57" t="s">
        <v>36</v>
      </c>
      <c r="G5" s="32">
        <f>E6</f>
        <v>100000000</v>
      </c>
      <c r="H5" s="34">
        <f>I5*G5</f>
        <v>95000000</v>
      </c>
      <c r="I5" s="35">
        <v>0.95</v>
      </c>
      <c r="J5" s="34">
        <v>500000</v>
      </c>
      <c r="N5" s="40" t="s">
        <v>26</v>
      </c>
      <c r="O5" s="42">
        <v>100</v>
      </c>
      <c r="P5" s="42">
        <v>100</v>
      </c>
      <c r="W5" s="41" t="s">
        <v>4</v>
      </c>
      <c r="X5" s="133">
        <v>375</v>
      </c>
      <c r="Y5" s="133">
        <v>400</v>
      </c>
      <c r="Z5" s="133">
        <v>425</v>
      </c>
      <c r="AE5" s="40" t="s">
        <v>26</v>
      </c>
      <c r="AF5" s="42">
        <v>100</v>
      </c>
      <c r="AG5" s="61">
        <v>3000000</v>
      </c>
      <c r="AH5" s="62">
        <v>0.2</v>
      </c>
      <c r="AM5" s="40" t="s">
        <v>56</v>
      </c>
      <c r="AN5" s="50">
        <v>100000</v>
      </c>
      <c r="AR5" s="132"/>
      <c r="AS5" s="10" t="s">
        <v>4</v>
      </c>
      <c r="AT5" s="10" t="s">
        <v>23</v>
      </c>
      <c r="AU5" s="10" t="s">
        <v>4</v>
      </c>
      <c r="AV5" s="10" t="s">
        <v>23</v>
      </c>
      <c r="AX5" s="10" t="s">
        <v>102</v>
      </c>
      <c r="AY5" s="12" t="s">
        <v>118</v>
      </c>
      <c r="AZ5" s="12" t="s">
        <v>17</v>
      </c>
      <c r="BA5" s="12" t="s">
        <v>119</v>
      </c>
    </row>
    <row r="6" spans="2:53" ht="20.100000000000001" customHeight="1" x14ac:dyDescent="0.25">
      <c r="C6" s="32" t="str">
        <f>"&lt; "&amp;TEXT(C2,"#,###")</f>
        <v>&lt; 95,000,000</v>
      </c>
      <c r="E6" s="33">
        <v>100000000</v>
      </c>
      <c r="G6" s="32">
        <f>G5</f>
        <v>100000000</v>
      </c>
      <c r="H6" s="34">
        <f>I6*G6</f>
        <v>97500000</v>
      </c>
      <c r="I6" s="35">
        <v>0.97499999999999998</v>
      </c>
      <c r="J6" s="34">
        <v>750000</v>
      </c>
      <c r="N6" s="40" t="s">
        <v>27</v>
      </c>
      <c r="O6" s="42">
        <v>100</v>
      </c>
      <c r="P6" s="42">
        <v>100</v>
      </c>
      <c r="W6" s="41" t="s">
        <v>92</v>
      </c>
      <c r="X6" s="133"/>
      <c r="Y6" s="133"/>
      <c r="Z6" s="133"/>
      <c r="AE6" s="40" t="s">
        <v>25</v>
      </c>
      <c r="AF6" s="42">
        <v>100</v>
      </c>
      <c r="AG6" s="61">
        <v>8000000</v>
      </c>
      <c r="AH6" s="62">
        <v>0.2</v>
      </c>
      <c r="AM6" s="40" t="s">
        <v>57</v>
      </c>
      <c r="AN6" s="50">
        <v>150000</v>
      </c>
      <c r="AR6" s="40" t="s">
        <v>26</v>
      </c>
      <c r="AS6" s="42">
        <v>100</v>
      </c>
      <c r="AT6" s="42">
        <v>100</v>
      </c>
      <c r="AU6" s="62">
        <v>0.35</v>
      </c>
      <c r="AV6" s="62">
        <v>0.35</v>
      </c>
      <c r="AX6" s="73" t="s">
        <v>194</v>
      </c>
      <c r="AY6" s="130">
        <v>5000000</v>
      </c>
      <c r="AZ6" s="35">
        <v>0.8</v>
      </c>
      <c r="BA6" s="34">
        <f>AY6*AZ6</f>
        <v>4000000</v>
      </c>
    </row>
    <row r="7" spans="2:53" ht="20.100000000000001" customHeight="1" x14ac:dyDescent="0.25">
      <c r="C7" s="32" t="str">
        <f>"&gt; "&amp;TEXT(C2,"#,###")</f>
        <v>&gt; 95,000,000</v>
      </c>
      <c r="D7" s="137" t="s">
        <v>174</v>
      </c>
      <c r="E7" s="138"/>
      <c r="G7" s="32">
        <f>G6</f>
        <v>100000000</v>
      </c>
      <c r="H7" s="34">
        <f>I7*G7</f>
        <v>100000000</v>
      </c>
      <c r="I7" s="35">
        <v>1</v>
      </c>
      <c r="J7" s="34">
        <v>1250000</v>
      </c>
      <c r="N7" s="40" t="s">
        <v>25</v>
      </c>
      <c r="O7" s="42">
        <v>100</v>
      </c>
      <c r="P7" s="42">
        <v>100</v>
      </c>
      <c r="AE7" s="40" t="s">
        <v>27</v>
      </c>
      <c r="AF7" s="42">
        <v>100</v>
      </c>
      <c r="AG7" s="61">
        <v>6000000</v>
      </c>
      <c r="AH7" s="62">
        <v>0.15</v>
      </c>
      <c r="AM7" s="40" t="s">
        <v>55</v>
      </c>
      <c r="AN7" s="50">
        <v>250000</v>
      </c>
      <c r="AR7" s="40" t="s">
        <v>25</v>
      </c>
      <c r="AS7" s="42">
        <v>100</v>
      </c>
      <c r="AT7" s="42">
        <v>100</v>
      </c>
      <c r="AU7" s="62">
        <v>0.35</v>
      </c>
      <c r="AV7" s="62">
        <v>0.35</v>
      </c>
      <c r="AX7" s="41" t="s">
        <v>195</v>
      </c>
      <c r="AY7" s="131"/>
      <c r="AZ7" s="35">
        <v>1</v>
      </c>
      <c r="BA7" s="34">
        <f>AY6*AZ7</f>
        <v>5000000</v>
      </c>
    </row>
    <row r="8" spans="2:53" ht="20.100000000000001" customHeight="1" x14ac:dyDescent="0.25">
      <c r="AE8" s="40" t="s">
        <v>44</v>
      </c>
      <c r="AF8" s="42">
        <v>100</v>
      </c>
      <c r="AG8" s="61">
        <v>10000000</v>
      </c>
      <c r="AH8" s="62">
        <v>0.15</v>
      </c>
      <c r="AR8" s="40" t="s">
        <v>183</v>
      </c>
      <c r="AS8" s="42">
        <v>100</v>
      </c>
      <c r="AT8" s="42">
        <v>100</v>
      </c>
      <c r="AU8" s="62">
        <v>0.3</v>
      </c>
      <c r="AV8" s="62">
        <v>0.3</v>
      </c>
    </row>
    <row r="9" spans="2:53" ht="20.100000000000001" customHeight="1" x14ac:dyDescent="0.25">
      <c r="C9" s="136" t="s">
        <v>227</v>
      </c>
      <c r="D9" s="136"/>
      <c r="E9" s="136"/>
      <c r="G9" s="10" t="s">
        <v>16</v>
      </c>
      <c r="H9" s="10" t="s">
        <v>19</v>
      </c>
      <c r="I9" s="12" t="s">
        <v>17</v>
      </c>
      <c r="J9" s="12" t="s">
        <v>18</v>
      </c>
    </row>
    <row r="10" spans="2:53" ht="20.100000000000001" customHeight="1" x14ac:dyDescent="0.25">
      <c r="C10" s="57" t="s">
        <v>13</v>
      </c>
      <c r="D10" s="102" t="s">
        <v>14</v>
      </c>
      <c r="E10" s="57" t="s">
        <v>36</v>
      </c>
      <c r="G10" s="32">
        <f>E11</f>
        <v>150000000</v>
      </c>
      <c r="H10" s="34">
        <f>I10*G10</f>
        <v>142500000</v>
      </c>
      <c r="I10" s="35">
        <v>0.95</v>
      </c>
      <c r="J10" s="34">
        <v>500000</v>
      </c>
      <c r="AR10" s="132" t="s">
        <v>63</v>
      </c>
      <c r="AS10" s="132"/>
      <c r="AT10" s="132"/>
      <c r="AU10" s="132"/>
      <c r="AV10" s="132"/>
    </row>
    <row r="11" spans="2:53" ht="20.100000000000001" customHeight="1" x14ac:dyDescent="0.25">
      <c r="C11" s="32" t="str">
        <f>"&lt; "&amp;TEXT(D2,"#,###")</f>
        <v>&lt; 140,000,000</v>
      </c>
      <c r="E11" s="33">
        <v>150000000</v>
      </c>
      <c r="G11" s="32">
        <f>G10</f>
        <v>150000000</v>
      </c>
      <c r="H11" s="34">
        <f>I11*G11</f>
        <v>146250000</v>
      </c>
      <c r="I11" s="35">
        <v>0.97499999999999998</v>
      </c>
      <c r="J11" s="34">
        <v>750000</v>
      </c>
      <c r="AE11" s="10" t="s">
        <v>21</v>
      </c>
      <c r="AF11" s="10" t="s">
        <v>75</v>
      </c>
      <c r="AG11" s="127" t="s">
        <v>16</v>
      </c>
      <c r="AH11" s="129"/>
      <c r="AR11" s="10" t="s">
        <v>21</v>
      </c>
      <c r="AS11" s="10" t="s">
        <v>60</v>
      </c>
      <c r="AT11" s="10" t="s">
        <v>61</v>
      </c>
      <c r="AU11" s="10" t="s">
        <v>17</v>
      </c>
      <c r="AV11" s="10" t="s">
        <v>17</v>
      </c>
    </row>
    <row r="12" spans="2:53" ht="20.100000000000001" customHeight="1" x14ac:dyDescent="0.25">
      <c r="C12" s="32" t="str">
        <f>"&gt; "&amp;TEXT(D2,"#,###")</f>
        <v>&gt; 140,000,000</v>
      </c>
      <c r="D12" s="137" t="s">
        <v>174</v>
      </c>
      <c r="E12" s="138"/>
      <c r="G12" s="32">
        <f>G11</f>
        <v>150000000</v>
      </c>
      <c r="H12" s="34">
        <f>I12*G12</f>
        <v>150000000</v>
      </c>
      <c r="I12" s="35">
        <v>1</v>
      </c>
      <c r="J12" s="34">
        <v>1250000</v>
      </c>
      <c r="N12" s="10" t="s">
        <v>21</v>
      </c>
      <c r="O12" s="10" t="s">
        <v>31</v>
      </c>
      <c r="AE12" s="40" t="s">
        <v>58</v>
      </c>
      <c r="AF12" s="42">
        <v>150</v>
      </c>
      <c r="AG12" s="134" t="s">
        <v>188</v>
      </c>
      <c r="AH12" s="135"/>
      <c r="AR12" s="40" t="s">
        <v>26</v>
      </c>
      <c r="AS12" s="107">
        <v>100</v>
      </c>
      <c r="AT12" s="107">
        <v>99</v>
      </c>
      <c r="AU12" s="62">
        <f>AT12/AS12</f>
        <v>0.99</v>
      </c>
      <c r="AV12" s="62">
        <f>AU12%*AU6*100</f>
        <v>0.34649999999999992</v>
      </c>
    </row>
    <row r="13" spans="2:53" ht="20.100000000000001" customHeight="1" x14ac:dyDescent="0.25">
      <c r="N13" s="40" t="s">
        <v>26</v>
      </c>
      <c r="O13" s="41" t="s">
        <v>181</v>
      </c>
      <c r="W13" s="38">
        <v>25</v>
      </c>
      <c r="X13" s="38">
        <v>15</v>
      </c>
      <c r="Y13" s="38">
        <f>X13*$W$13</f>
        <v>375</v>
      </c>
      <c r="Z13" s="38">
        <f>Y13*1.1</f>
        <v>412.50000000000006</v>
      </c>
      <c r="AA13" s="38">
        <f>Z13/25</f>
        <v>16.500000000000004</v>
      </c>
      <c r="AR13" s="40" t="s">
        <v>25</v>
      </c>
      <c r="AS13" s="107">
        <v>100</v>
      </c>
      <c r="AT13" s="107">
        <v>100</v>
      </c>
      <c r="AU13" s="62">
        <f t="shared" ref="AU13:AU15" si="0">AT13/AS13</f>
        <v>1</v>
      </c>
      <c r="AV13" s="62">
        <f>AU13%*AU7*100</f>
        <v>0.35</v>
      </c>
    </row>
    <row r="14" spans="2:53" ht="20.100000000000001" customHeight="1" x14ac:dyDescent="0.25">
      <c r="N14" s="40" t="s">
        <v>27</v>
      </c>
      <c r="O14" s="41" t="s">
        <v>34</v>
      </c>
      <c r="X14" s="38">
        <v>16</v>
      </c>
      <c r="Y14" s="38">
        <f t="shared" ref="Y14:Y15" si="1">X14*$W$13</f>
        <v>400</v>
      </c>
      <c r="Z14" s="38">
        <f t="shared" ref="Z14:Z15" si="2">Y14*1.1</f>
        <v>440.00000000000006</v>
      </c>
      <c r="AA14" s="38">
        <f t="shared" ref="AA14:AA15" si="3">Z14/25</f>
        <v>17.600000000000001</v>
      </c>
      <c r="AR14" s="40" t="s">
        <v>183</v>
      </c>
      <c r="AS14" s="107">
        <v>100</v>
      </c>
      <c r="AT14" s="107">
        <v>200</v>
      </c>
      <c r="AU14" s="62">
        <f t="shared" si="0"/>
        <v>2</v>
      </c>
      <c r="AV14" s="62">
        <v>0.3</v>
      </c>
    </row>
    <row r="15" spans="2:53" ht="20.100000000000001" customHeight="1" x14ac:dyDescent="0.25">
      <c r="D15" s="98">
        <v>96000000</v>
      </c>
      <c r="N15" s="40" t="s">
        <v>25</v>
      </c>
      <c r="O15" s="41" t="s">
        <v>34</v>
      </c>
      <c r="X15" s="38">
        <v>17</v>
      </c>
      <c r="Y15" s="38">
        <f t="shared" si="1"/>
        <v>425</v>
      </c>
      <c r="Z15" s="38">
        <f t="shared" si="2"/>
        <v>467.50000000000006</v>
      </c>
      <c r="AA15" s="38">
        <f t="shared" si="3"/>
        <v>18.700000000000003</v>
      </c>
      <c r="AR15" s="10" t="s">
        <v>62</v>
      </c>
      <c r="AS15" s="108">
        <f>SUM(AS12:AS14)</f>
        <v>300</v>
      </c>
      <c r="AT15" s="108">
        <f t="shared" ref="AT15:AV15" si="4">SUM(AT12:AT14)</f>
        <v>399</v>
      </c>
      <c r="AU15" s="109">
        <f t="shared" si="0"/>
        <v>1.33</v>
      </c>
      <c r="AV15" s="109">
        <f t="shared" si="4"/>
        <v>0.99649999999999994</v>
      </c>
    </row>
    <row r="16" spans="2:53" ht="20.100000000000001" customHeight="1" x14ac:dyDescent="0.25">
      <c r="D16" s="98">
        <f>D15*1.1</f>
        <v>105600000.00000001</v>
      </c>
    </row>
    <row r="17" spans="24:45" ht="20.100000000000001" customHeight="1" x14ac:dyDescent="0.25">
      <c r="AR17" s="10" t="s">
        <v>64</v>
      </c>
      <c r="AS17" s="10" t="s">
        <v>5</v>
      </c>
    </row>
    <row r="18" spans="24:45" ht="20.100000000000001" customHeight="1" x14ac:dyDescent="0.25">
      <c r="X18" s="38">
        <f>240/12</f>
        <v>20</v>
      </c>
      <c r="AR18" s="40" t="s">
        <v>65</v>
      </c>
      <c r="AS18" s="62">
        <v>-0.2</v>
      </c>
    </row>
    <row r="19" spans="24:45" ht="20.100000000000001" customHeight="1" x14ac:dyDescent="0.25">
      <c r="X19" s="38">
        <f>X18*75%</f>
        <v>15</v>
      </c>
      <c r="AR19" s="40" t="s">
        <v>66</v>
      </c>
      <c r="AS19" s="62">
        <v>-0.1</v>
      </c>
    </row>
    <row r="20" spans="24:45" ht="20.100000000000001" customHeight="1" x14ac:dyDescent="0.25">
      <c r="AR20" s="40" t="s">
        <v>67</v>
      </c>
      <c r="AS20" s="62">
        <v>0</v>
      </c>
    </row>
    <row r="23" spans="24:45" ht="20.100000000000001" customHeight="1" x14ac:dyDescent="0.25">
      <c r="AE23" s="10" t="s">
        <v>49</v>
      </c>
      <c r="AF23" s="10" t="s">
        <v>69</v>
      </c>
      <c r="AG23" s="10" t="s">
        <v>31</v>
      </c>
    </row>
    <row r="24" spans="24:45" ht="20.100000000000001" customHeight="1" x14ac:dyDescent="0.25">
      <c r="AE24" s="40" t="s">
        <v>27</v>
      </c>
      <c r="AF24" s="50">
        <v>15</v>
      </c>
      <c r="AG24" s="50">
        <v>16700</v>
      </c>
    </row>
    <row r="25" spans="24:45" ht="20.100000000000001" customHeight="1" x14ac:dyDescent="0.25">
      <c r="AE25" s="40" t="s">
        <v>47</v>
      </c>
      <c r="AF25" s="50">
        <v>15</v>
      </c>
      <c r="AG25" s="50">
        <v>8400</v>
      </c>
    </row>
    <row r="26" spans="24:45" ht="20.100000000000001" customHeight="1" x14ac:dyDescent="0.25">
      <c r="AE26" s="40" t="s">
        <v>48</v>
      </c>
      <c r="AF26" s="50">
        <v>15</v>
      </c>
      <c r="AG26" s="50">
        <v>17000</v>
      </c>
    </row>
    <row r="27" spans="24:45" ht="20.100000000000001" customHeight="1" x14ac:dyDescent="0.25">
      <c r="AE27" s="40" t="s">
        <v>26</v>
      </c>
      <c r="AF27" s="50">
        <v>15</v>
      </c>
      <c r="AG27" s="50">
        <f>1680*4</f>
        <v>6720</v>
      </c>
    </row>
    <row r="28" spans="24:45" ht="20.100000000000001" customHeight="1" x14ac:dyDescent="0.25">
      <c r="AE28" s="40" t="s">
        <v>25</v>
      </c>
      <c r="AF28" s="50">
        <v>15</v>
      </c>
      <c r="AG28" s="50">
        <v>19920</v>
      </c>
    </row>
    <row r="29" spans="24:45" ht="20.100000000000001" customHeight="1" x14ac:dyDescent="0.25">
      <c r="AE29" s="40" t="s">
        <v>44</v>
      </c>
      <c r="AF29" s="50">
        <v>15</v>
      </c>
      <c r="AG29" s="50">
        <v>16700</v>
      </c>
    </row>
    <row r="30" spans="24:45" ht="20.100000000000001" customHeight="1" x14ac:dyDescent="0.25">
      <c r="AE30" s="40" t="s">
        <v>46</v>
      </c>
      <c r="AF30" s="50">
        <v>15</v>
      </c>
      <c r="AG30" s="50">
        <v>8350</v>
      </c>
    </row>
  </sheetData>
  <mergeCells count="15">
    <mergeCell ref="AG11:AH11"/>
    <mergeCell ref="AG12:AH12"/>
    <mergeCell ref="AX4:BA4"/>
    <mergeCell ref="AY6:AY7"/>
    <mergeCell ref="C4:E4"/>
    <mergeCell ref="D7:E7"/>
    <mergeCell ref="C9:E9"/>
    <mergeCell ref="D12:E12"/>
    <mergeCell ref="X5:X6"/>
    <mergeCell ref="Y5:Y6"/>
    <mergeCell ref="Z5:Z6"/>
    <mergeCell ref="AU4:AV4"/>
    <mergeCell ref="AR10:AV10"/>
    <mergeCell ref="AR4:AR5"/>
    <mergeCell ref="AS4:A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E0A7-C5F1-44AD-A56F-BBAE48F5E07F}">
  <sheetPr filterMode="1">
    <tabColor rgb="FFFF0000"/>
  </sheetPr>
  <dimension ref="A2:I102"/>
  <sheetViews>
    <sheetView showGridLines="0" tabSelected="1" topLeftCell="A60" zoomScale="75" zoomScaleNormal="75" workbookViewId="0">
      <selection activeCell="C43" sqref="C43"/>
    </sheetView>
  </sheetViews>
  <sheetFormatPr defaultRowHeight="15" x14ac:dyDescent="0.25"/>
  <cols>
    <col min="1" max="1" width="5.28515625" style="116" customWidth="1"/>
    <col min="2" max="2" width="6.85546875" style="9" customWidth="1"/>
    <col min="3" max="3" width="123.7109375" style="9" customWidth="1"/>
    <col min="4" max="4" width="8.5703125" style="1" customWidth="1"/>
    <col min="5" max="5" width="13.42578125" style="9" customWidth="1"/>
    <col min="6" max="6" width="17.140625" style="9" customWidth="1"/>
    <col min="7" max="7" width="14.5703125" style="9" bestFit="1" customWidth="1"/>
    <col min="8" max="8" width="11.5703125" style="9" bestFit="1" customWidth="1"/>
    <col min="9" max="16384" width="9.140625" style="9"/>
  </cols>
  <sheetData>
    <row r="2" spans="1:9" s="7" customFormat="1" ht="32.25" thickBot="1" x14ac:dyDescent="0.3">
      <c r="A2" s="112"/>
      <c r="B2" s="49" t="s">
        <v>100</v>
      </c>
      <c r="D2" s="25"/>
    </row>
    <row r="3" spans="1:9" s="6" customFormat="1" ht="27.75" customHeight="1" thickBot="1" x14ac:dyDescent="0.3">
      <c r="A3" s="113"/>
      <c r="B3" s="4" t="s">
        <v>6</v>
      </c>
      <c r="C3" s="4" t="s">
        <v>7</v>
      </c>
      <c r="D3" s="122" t="s">
        <v>8</v>
      </c>
      <c r="E3" s="123"/>
      <c r="F3" s="5" t="s">
        <v>9</v>
      </c>
      <c r="G3" s="47"/>
      <c r="H3" s="48"/>
      <c r="I3" s="7"/>
    </row>
    <row r="4" spans="1:9" s="2" customFormat="1" ht="9" customHeight="1" thickBot="1" x14ac:dyDescent="0.3">
      <c r="A4" s="114"/>
      <c r="B4" s="3" t="str">
        <f>B3</f>
        <v>NO</v>
      </c>
      <c r="C4" s="3" t="str">
        <f t="shared" ref="C4:F4" si="0">C3</f>
        <v>INDIKATOR PENILAIAN</v>
      </c>
      <c r="D4" s="3" t="e">
        <f>#REF!</f>
        <v>#REF!</v>
      </c>
      <c r="E4" s="3" t="str">
        <f>D3</f>
        <v>RANGE</v>
      </c>
      <c r="F4" s="3" t="str">
        <f t="shared" si="0"/>
        <v>NILAI</v>
      </c>
    </row>
    <row r="5" spans="1:9" s="8" customFormat="1" ht="18.75" x14ac:dyDescent="0.25">
      <c r="A5" s="115">
        <v>1</v>
      </c>
      <c r="B5" s="43">
        <v>1</v>
      </c>
      <c r="C5" s="13" t="s">
        <v>10</v>
      </c>
      <c r="D5" s="26" t="s">
        <v>11</v>
      </c>
      <c r="E5" s="14">
        <v>0.95</v>
      </c>
      <c r="F5" s="15">
        <v>750000</v>
      </c>
    </row>
    <row r="6" spans="1:9" ht="18.75" x14ac:dyDescent="0.25">
      <c r="A6" s="116">
        <v>1</v>
      </c>
      <c r="B6" s="44"/>
      <c r="C6" s="16"/>
      <c r="D6" s="27" t="s">
        <v>35</v>
      </c>
      <c r="E6" s="17">
        <v>0.97499999999999998</v>
      </c>
      <c r="F6" s="18">
        <v>1000000</v>
      </c>
      <c r="G6" s="37"/>
    </row>
    <row r="7" spans="1:9" ht="18.75" x14ac:dyDescent="0.25">
      <c r="A7" s="116">
        <v>1</v>
      </c>
      <c r="B7" s="44"/>
      <c r="C7" s="16"/>
      <c r="D7" s="27" t="s">
        <v>12</v>
      </c>
      <c r="E7" s="17">
        <v>1</v>
      </c>
      <c r="F7" s="18">
        <v>1500000</v>
      </c>
    </row>
    <row r="8" spans="1:9" ht="18.75" x14ac:dyDescent="0.25">
      <c r="A8" s="116">
        <v>1</v>
      </c>
      <c r="B8" s="44"/>
      <c r="C8" s="16"/>
      <c r="D8" s="28"/>
      <c r="E8" s="19"/>
      <c r="F8" s="16"/>
    </row>
    <row r="9" spans="1:9" ht="18.75" x14ac:dyDescent="0.25">
      <c r="A9" s="116">
        <v>1</v>
      </c>
      <c r="B9" s="44"/>
      <c r="C9" s="16"/>
      <c r="D9" s="28"/>
      <c r="E9" s="19"/>
      <c r="F9" s="16"/>
    </row>
    <row r="10" spans="1:9" ht="18.75" x14ac:dyDescent="0.25">
      <c r="A10" s="116">
        <v>1</v>
      </c>
      <c r="B10" s="44"/>
      <c r="C10" s="16"/>
      <c r="D10" s="28"/>
      <c r="E10" s="19"/>
      <c r="F10" s="16"/>
    </row>
    <row r="11" spans="1:9" ht="18.75" x14ac:dyDescent="0.25">
      <c r="A11" s="116">
        <v>1</v>
      </c>
      <c r="B11" s="44"/>
      <c r="C11" s="24" t="s">
        <v>52</v>
      </c>
      <c r="D11" s="28"/>
      <c r="E11" s="19"/>
      <c r="F11" s="16"/>
    </row>
    <row r="12" spans="1:9" ht="18.75" x14ac:dyDescent="0.25">
      <c r="A12" s="116">
        <v>1</v>
      </c>
      <c r="B12" s="44"/>
      <c r="C12" s="24" t="s">
        <v>148</v>
      </c>
      <c r="D12" s="28"/>
      <c r="E12" s="19"/>
      <c r="F12" s="16"/>
    </row>
    <row r="13" spans="1:9" ht="19.5" thickBot="1" x14ac:dyDescent="0.3">
      <c r="A13" s="116">
        <v>1</v>
      </c>
      <c r="B13" s="44"/>
      <c r="C13" s="24"/>
      <c r="D13" s="28"/>
      <c r="E13" s="19"/>
      <c r="F13" s="16"/>
    </row>
    <row r="14" spans="1:9" ht="19.5" hidden="1" thickBot="1" x14ac:dyDescent="0.3">
      <c r="A14" s="116">
        <v>0</v>
      </c>
      <c r="B14" s="44"/>
      <c r="C14" s="24"/>
      <c r="D14" s="28"/>
      <c r="E14" s="19"/>
      <c r="F14" s="16"/>
    </row>
    <row r="15" spans="1:9" ht="19.5" hidden="1" thickBot="1" x14ac:dyDescent="0.3">
      <c r="A15" s="116">
        <v>0</v>
      </c>
      <c r="B15" s="44"/>
      <c r="C15" s="16"/>
      <c r="D15" s="28"/>
      <c r="E15" s="19"/>
      <c r="F15" s="16"/>
    </row>
    <row r="16" spans="1:9" ht="19.5" hidden="1" thickBot="1" x14ac:dyDescent="0.3">
      <c r="A16" s="116">
        <v>0</v>
      </c>
      <c r="B16" s="44"/>
      <c r="C16" s="16"/>
      <c r="D16" s="28"/>
      <c r="E16" s="19"/>
      <c r="F16" s="16"/>
    </row>
    <row r="17" spans="1:7" ht="19.5" hidden="1" thickBot="1" x14ac:dyDescent="0.3">
      <c r="A17" s="116">
        <v>0</v>
      </c>
      <c r="B17" s="44"/>
      <c r="C17" s="16"/>
      <c r="D17" s="28"/>
      <c r="E17" s="19"/>
      <c r="F17" s="16"/>
    </row>
    <row r="18" spans="1:7" ht="19.5" hidden="1" thickBot="1" x14ac:dyDescent="0.3">
      <c r="A18" s="116">
        <v>0</v>
      </c>
      <c r="B18" s="44"/>
      <c r="C18" s="16"/>
      <c r="D18" s="28"/>
      <c r="E18" s="19"/>
      <c r="F18" s="16"/>
    </row>
    <row r="19" spans="1:7" ht="19.5" hidden="1" thickBot="1" x14ac:dyDescent="0.3">
      <c r="A19" s="116">
        <v>0</v>
      </c>
      <c r="B19" s="45"/>
      <c r="C19" s="20"/>
      <c r="D19" s="29"/>
      <c r="E19" s="21"/>
      <c r="F19" s="20"/>
    </row>
    <row r="20" spans="1:7" s="8" customFormat="1" ht="18.75" x14ac:dyDescent="0.25">
      <c r="A20" s="116">
        <v>1</v>
      </c>
      <c r="B20" s="43">
        <v>2</v>
      </c>
      <c r="C20" s="13" t="s">
        <v>72</v>
      </c>
      <c r="D20" s="26" t="s">
        <v>11</v>
      </c>
      <c r="E20" s="30" t="s">
        <v>29</v>
      </c>
      <c r="F20" s="15">
        <v>500000</v>
      </c>
      <c r="G20" s="51">
        <f>F20/2</f>
        <v>250000</v>
      </c>
    </row>
    <row r="21" spans="1:7" ht="18.75" x14ac:dyDescent="0.25">
      <c r="A21" s="116">
        <v>1</v>
      </c>
      <c r="B21" s="44"/>
      <c r="C21" s="16"/>
      <c r="D21" s="27" t="s">
        <v>35</v>
      </c>
      <c r="E21" s="31" t="s">
        <v>30</v>
      </c>
      <c r="F21" s="18">
        <v>1250000</v>
      </c>
      <c r="G21" s="51">
        <f>F21/3</f>
        <v>416666.66666666669</v>
      </c>
    </row>
    <row r="22" spans="1:7" ht="18.75" x14ac:dyDescent="0.25">
      <c r="A22" s="116">
        <v>1</v>
      </c>
      <c r="B22" s="44"/>
      <c r="C22" s="16"/>
      <c r="D22" s="27" t="s">
        <v>12</v>
      </c>
      <c r="E22" s="31" t="s">
        <v>95</v>
      </c>
      <c r="F22" s="18">
        <v>2000000</v>
      </c>
      <c r="G22" s="51">
        <f>F22/4</f>
        <v>500000</v>
      </c>
    </row>
    <row r="23" spans="1:7" ht="18.75" x14ac:dyDescent="0.25">
      <c r="A23" s="116">
        <v>1</v>
      </c>
      <c r="B23" s="44"/>
      <c r="C23" s="16"/>
      <c r="D23" s="28"/>
      <c r="E23" s="19"/>
      <c r="F23" s="16"/>
    </row>
    <row r="24" spans="1:7" ht="18.75" x14ac:dyDescent="0.25">
      <c r="A24" s="116">
        <v>1</v>
      </c>
      <c r="B24" s="44"/>
      <c r="C24" s="16"/>
      <c r="D24" s="28"/>
      <c r="E24" s="19"/>
      <c r="F24" s="16"/>
    </row>
    <row r="25" spans="1:7" ht="18.75" x14ac:dyDescent="0.25">
      <c r="A25" s="116">
        <v>1</v>
      </c>
      <c r="B25" s="44"/>
      <c r="C25" s="16"/>
      <c r="D25" s="28"/>
      <c r="E25" s="19"/>
      <c r="F25" s="16"/>
    </row>
    <row r="26" spans="1:7" ht="18.75" x14ac:dyDescent="0.25">
      <c r="A26" s="116">
        <v>1</v>
      </c>
      <c r="B26" s="44"/>
      <c r="C26" s="16"/>
      <c r="D26" s="28"/>
      <c r="E26" s="19"/>
      <c r="F26" s="16"/>
    </row>
    <row r="27" spans="1:7" ht="18.75" x14ac:dyDescent="0.25">
      <c r="A27" s="116">
        <v>1</v>
      </c>
      <c r="B27" s="44"/>
      <c r="C27" s="24" t="s">
        <v>52</v>
      </c>
      <c r="D27" s="28"/>
      <c r="E27" s="19"/>
      <c r="F27" s="16"/>
    </row>
    <row r="28" spans="1:7" ht="18.75" x14ac:dyDescent="0.25">
      <c r="A28" s="116">
        <v>1</v>
      </c>
      <c r="B28" s="44"/>
      <c r="C28" s="24" t="s">
        <v>161</v>
      </c>
      <c r="D28" s="28"/>
      <c r="E28" s="19"/>
      <c r="F28" s="16"/>
    </row>
    <row r="29" spans="1:7" ht="18.75" x14ac:dyDescent="0.25">
      <c r="A29" s="116">
        <v>1</v>
      </c>
      <c r="B29" s="44"/>
      <c r="C29" s="24" t="s">
        <v>180</v>
      </c>
      <c r="D29" s="28"/>
      <c r="E29" s="19"/>
      <c r="F29" s="16"/>
    </row>
    <row r="30" spans="1:7" ht="19.5" thickBot="1" x14ac:dyDescent="0.3">
      <c r="A30" s="116">
        <v>1</v>
      </c>
      <c r="B30" s="44"/>
      <c r="C30" s="24"/>
      <c r="D30" s="28"/>
      <c r="E30" s="19"/>
      <c r="F30" s="16"/>
    </row>
    <row r="31" spans="1:7" ht="19.5" hidden="1" thickBot="1" x14ac:dyDescent="0.3">
      <c r="A31" s="116">
        <v>0</v>
      </c>
      <c r="B31" s="44"/>
      <c r="C31" s="24"/>
      <c r="D31" s="28"/>
      <c r="E31" s="19"/>
      <c r="F31" s="16"/>
    </row>
    <row r="32" spans="1:7" ht="19.5" hidden="1" thickBot="1" x14ac:dyDescent="0.3">
      <c r="A32" s="116">
        <v>0</v>
      </c>
      <c r="B32" s="44"/>
      <c r="C32" s="24"/>
      <c r="D32" s="28"/>
      <c r="E32" s="19"/>
      <c r="F32" s="16"/>
    </row>
    <row r="33" spans="1:7" ht="19.5" hidden="1" thickBot="1" x14ac:dyDescent="0.3">
      <c r="A33" s="116">
        <v>0</v>
      </c>
      <c r="B33" s="44"/>
      <c r="C33" s="24"/>
      <c r="D33" s="28"/>
      <c r="E33" s="19"/>
      <c r="F33" s="16"/>
    </row>
    <row r="34" spans="1:7" ht="19.5" hidden="1" thickBot="1" x14ac:dyDescent="0.3">
      <c r="A34" s="116">
        <v>0</v>
      </c>
      <c r="B34" s="45"/>
      <c r="C34" s="20"/>
      <c r="D34" s="29"/>
      <c r="E34" s="21"/>
      <c r="F34" s="20"/>
    </row>
    <row r="35" spans="1:7" s="8" customFormat="1" ht="18.75" x14ac:dyDescent="0.25">
      <c r="A35" s="116">
        <v>1</v>
      </c>
      <c r="B35" s="43">
        <v>3</v>
      </c>
      <c r="C35" s="13" t="s">
        <v>103</v>
      </c>
      <c r="D35" s="26" t="s">
        <v>11</v>
      </c>
      <c r="E35" s="30"/>
      <c r="F35" s="15">
        <v>150000</v>
      </c>
      <c r="G35" s="51">
        <f>F35/300</f>
        <v>500</v>
      </c>
    </row>
    <row r="36" spans="1:7" ht="18.75" x14ac:dyDescent="0.25">
      <c r="A36" s="116">
        <v>1</v>
      </c>
      <c r="B36" s="44"/>
      <c r="C36" s="16"/>
      <c r="D36" s="27" t="s">
        <v>35</v>
      </c>
      <c r="E36" s="31"/>
      <c r="F36" s="18">
        <v>400000</v>
      </c>
      <c r="G36" s="51">
        <f>F36/325</f>
        <v>1230.7692307692307</v>
      </c>
    </row>
    <row r="37" spans="1:7" ht="18.75" x14ac:dyDescent="0.25">
      <c r="A37" s="116">
        <v>1</v>
      </c>
      <c r="B37" s="44"/>
      <c r="C37" s="16"/>
      <c r="D37" s="27" t="s">
        <v>12</v>
      </c>
      <c r="E37" s="31"/>
      <c r="F37" s="18">
        <v>750000</v>
      </c>
      <c r="G37" s="51">
        <f>F37/350</f>
        <v>2142.8571428571427</v>
      </c>
    </row>
    <row r="38" spans="1:7" ht="18.75" x14ac:dyDescent="0.25">
      <c r="A38" s="116">
        <v>1</v>
      </c>
      <c r="B38" s="44"/>
      <c r="C38" s="16"/>
      <c r="D38" s="28"/>
      <c r="E38" s="19"/>
      <c r="F38" s="16"/>
    </row>
    <row r="39" spans="1:7" ht="18.75" x14ac:dyDescent="0.25">
      <c r="A39" s="116">
        <v>1</v>
      </c>
      <c r="B39" s="44"/>
      <c r="C39" s="16"/>
      <c r="D39" s="28"/>
      <c r="E39" s="19"/>
      <c r="F39" s="16"/>
    </row>
    <row r="40" spans="1:7" ht="18.75" x14ac:dyDescent="0.25">
      <c r="A40" s="116">
        <v>1</v>
      </c>
      <c r="B40" s="44"/>
      <c r="C40" s="24"/>
      <c r="D40" s="28"/>
      <c r="E40" s="19"/>
      <c r="F40" s="16"/>
    </row>
    <row r="41" spans="1:7" ht="18.75" x14ac:dyDescent="0.25">
      <c r="A41" s="116">
        <v>1</v>
      </c>
      <c r="B41" s="44"/>
      <c r="C41" s="24"/>
      <c r="D41" s="28"/>
      <c r="E41" s="19"/>
      <c r="F41" s="16"/>
    </row>
    <row r="42" spans="1:7" ht="18.75" x14ac:dyDescent="0.25">
      <c r="A42" s="116">
        <v>1</v>
      </c>
      <c r="B42" s="44"/>
      <c r="C42" s="24" t="s">
        <v>111</v>
      </c>
      <c r="D42" s="28"/>
      <c r="E42" s="19"/>
      <c r="F42" s="16"/>
    </row>
    <row r="43" spans="1:7" ht="18.75" x14ac:dyDescent="0.25">
      <c r="A43" s="116">
        <v>1</v>
      </c>
      <c r="B43" s="44"/>
      <c r="C43" s="24" t="s">
        <v>112</v>
      </c>
      <c r="D43" s="28"/>
      <c r="E43" s="19"/>
      <c r="F43" s="16"/>
    </row>
    <row r="44" spans="1:7" ht="18.75" x14ac:dyDescent="0.25">
      <c r="A44" s="116">
        <v>1</v>
      </c>
      <c r="B44" s="44"/>
      <c r="C44" s="24" t="s">
        <v>113</v>
      </c>
      <c r="D44" s="28"/>
      <c r="E44" s="19"/>
      <c r="F44" s="16"/>
    </row>
    <row r="45" spans="1:7" ht="18.75" x14ac:dyDescent="0.25">
      <c r="A45" s="116">
        <v>1</v>
      </c>
      <c r="B45" s="44"/>
      <c r="C45" s="24" t="s">
        <v>114</v>
      </c>
      <c r="D45" s="28"/>
      <c r="E45" s="19"/>
      <c r="F45" s="16"/>
    </row>
    <row r="46" spans="1:7" ht="18.75" x14ac:dyDescent="0.25">
      <c r="A46" s="116">
        <v>1</v>
      </c>
      <c r="B46" s="44"/>
      <c r="C46" s="24" t="s">
        <v>200</v>
      </c>
      <c r="D46" s="28"/>
      <c r="E46" s="19"/>
      <c r="F46" s="16"/>
    </row>
    <row r="47" spans="1:7" ht="19.5" thickBot="1" x14ac:dyDescent="0.3">
      <c r="A47" s="116">
        <v>1</v>
      </c>
      <c r="B47" s="44"/>
      <c r="C47" s="24"/>
      <c r="D47" s="28"/>
      <c r="E47" s="19"/>
      <c r="F47" s="16"/>
    </row>
    <row r="48" spans="1:7" ht="19.5" hidden="1" thickBot="1" x14ac:dyDescent="0.3">
      <c r="A48" s="116">
        <v>0</v>
      </c>
      <c r="B48" s="44"/>
      <c r="C48" s="24"/>
      <c r="D48" s="28"/>
      <c r="E48" s="19"/>
      <c r="F48" s="16"/>
    </row>
    <row r="49" spans="1:7" ht="19.5" hidden="1" thickBot="1" x14ac:dyDescent="0.3">
      <c r="A49" s="116">
        <v>0</v>
      </c>
      <c r="B49" s="45"/>
      <c r="C49" s="20"/>
      <c r="D49" s="29"/>
      <c r="E49" s="21"/>
      <c r="F49" s="20"/>
    </row>
    <row r="50" spans="1:7" s="8" customFormat="1" ht="18.75" x14ac:dyDescent="0.25">
      <c r="A50" s="116">
        <v>1</v>
      </c>
      <c r="B50" s="43">
        <v>4</v>
      </c>
      <c r="C50" s="13" t="s">
        <v>83</v>
      </c>
      <c r="D50" s="26" t="s">
        <v>11</v>
      </c>
      <c r="E50" s="30" t="s">
        <v>80</v>
      </c>
      <c r="F50" s="15">
        <v>500000</v>
      </c>
      <c r="G50" s="51">
        <f>F50/85</f>
        <v>5882.3529411764703</v>
      </c>
    </row>
    <row r="51" spans="1:7" ht="18.75" x14ac:dyDescent="0.25">
      <c r="A51" s="116">
        <v>1</v>
      </c>
      <c r="B51" s="44"/>
      <c r="C51" s="16"/>
      <c r="D51" s="27" t="s">
        <v>35</v>
      </c>
      <c r="E51" s="31" t="s">
        <v>81</v>
      </c>
      <c r="F51" s="18">
        <v>1250000</v>
      </c>
      <c r="G51" s="51">
        <f>F51/95</f>
        <v>13157.894736842105</v>
      </c>
    </row>
    <row r="52" spans="1:7" ht="18.75" x14ac:dyDescent="0.25">
      <c r="A52" s="116">
        <v>1</v>
      </c>
      <c r="B52" s="44"/>
      <c r="C52" s="16"/>
      <c r="D52" s="27" t="s">
        <v>12</v>
      </c>
      <c r="E52" s="31" t="s">
        <v>82</v>
      </c>
      <c r="F52" s="18">
        <v>2000000</v>
      </c>
      <c r="G52" s="51">
        <f>F52/100</f>
        <v>20000</v>
      </c>
    </row>
    <row r="53" spans="1:7" ht="18.75" x14ac:dyDescent="0.25">
      <c r="A53" s="116">
        <v>1</v>
      </c>
      <c r="B53" s="44"/>
      <c r="C53" s="16"/>
      <c r="D53" s="28"/>
      <c r="E53" s="19"/>
      <c r="F53" s="16"/>
    </row>
    <row r="54" spans="1:7" ht="18.75" x14ac:dyDescent="0.25">
      <c r="A54" s="116">
        <v>1</v>
      </c>
      <c r="B54" s="44"/>
      <c r="C54" s="16"/>
      <c r="D54" s="28"/>
      <c r="E54" s="19"/>
      <c r="F54" s="16"/>
    </row>
    <row r="55" spans="1:7" ht="18.75" x14ac:dyDescent="0.25">
      <c r="A55" s="116">
        <v>1</v>
      </c>
      <c r="B55" s="44"/>
      <c r="C55" s="16"/>
      <c r="D55" s="28"/>
      <c r="E55" s="19"/>
      <c r="F55" s="16"/>
    </row>
    <row r="56" spans="1:7" ht="18.75" x14ac:dyDescent="0.25">
      <c r="A56" s="116">
        <v>1</v>
      </c>
      <c r="B56" s="44"/>
      <c r="C56" s="24" t="s">
        <v>52</v>
      </c>
      <c r="D56" s="28"/>
      <c r="E56" s="19"/>
      <c r="F56" s="16"/>
    </row>
    <row r="57" spans="1:7" ht="18.75" x14ac:dyDescent="0.25">
      <c r="A57" s="116">
        <v>1</v>
      </c>
      <c r="B57" s="44"/>
      <c r="C57" s="24" t="s">
        <v>162</v>
      </c>
      <c r="D57" s="28"/>
      <c r="E57" s="19"/>
      <c r="F57" s="16"/>
    </row>
    <row r="58" spans="1:7" ht="18.75" x14ac:dyDescent="0.25">
      <c r="A58" s="116">
        <v>1</v>
      </c>
      <c r="B58" s="44"/>
      <c r="C58" s="24" t="s">
        <v>143</v>
      </c>
      <c r="D58" s="28"/>
      <c r="E58" s="19"/>
      <c r="F58" s="16"/>
    </row>
    <row r="59" spans="1:7" ht="18.75" x14ac:dyDescent="0.25">
      <c r="A59" s="116">
        <v>1</v>
      </c>
      <c r="B59" s="44"/>
      <c r="C59" s="24" t="s">
        <v>163</v>
      </c>
      <c r="D59" s="28"/>
      <c r="E59" s="19"/>
      <c r="F59" s="16"/>
    </row>
    <row r="60" spans="1:7" ht="19.5" thickBot="1" x14ac:dyDescent="0.3">
      <c r="A60" s="116">
        <v>1</v>
      </c>
      <c r="B60" s="44"/>
      <c r="C60" s="24"/>
      <c r="D60" s="28"/>
      <c r="E60" s="19"/>
      <c r="F60" s="16"/>
    </row>
    <row r="61" spans="1:7" ht="19.5" hidden="1" thickBot="1" x14ac:dyDescent="0.3">
      <c r="A61" s="116">
        <v>0</v>
      </c>
      <c r="B61" s="44"/>
      <c r="C61" s="24"/>
      <c r="D61" s="28"/>
      <c r="E61" s="19"/>
      <c r="F61" s="16"/>
    </row>
    <row r="62" spans="1:7" ht="19.5" hidden="1" thickBot="1" x14ac:dyDescent="0.3">
      <c r="A62" s="116">
        <v>0</v>
      </c>
      <c r="B62" s="44"/>
      <c r="C62" s="24"/>
      <c r="D62" s="28"/>
      <c r="E62" s="19"/>
      <c r="F62" s="16"/>
    </row>
    <row r="63" spans="1:7" ht="19.5" hidden="1" thickBot="1" x14ac:dyDescent="0.3">
      <c r="A63" s="116">
        <v>0</v>
      </c>
      <c r="B63" s="44"/>
      <c r="C63" s="24"/>
      <c r="D63" s="28"/>
      <c r="E63" s="19"/>
      <c r="F63" s="16"/>
    </row>
    <row r="64" spans="1:7" ht="19.5" hidden="1" thickBot="1" x14ac:dyDescent="0.3">
      <c r="A64" s="116">
        <v>0</v>
      </c>
      <c r="B64" s="45"/>
      <c r="C64" s="20"/>
      <c r="D64" s="29"/>
      <c r="E64" s="21"/>
      <c r="F64" s="20"/>
    </row>
    <row r="65" spans="1:7" s="8" customFormat="1" ht="18.75" x14ac:dyDescent="0.25">
      <c r="A65" s="116">
        <v>1</v>
      </c>
      <c r="B65" s="43">
        <v>5</v>
      </c>
      <c r="C65" s="13" t="s">
        <v>74</v>
      </c>
      <c r="D65" s="26" t="s">
        <v>11</v>
      </c>
      <c r="E65" s="63">
        <v>1</v>
      </c>
      <c r="F65" s="15">
        <v>100000</v>
      </c>
    </row>
    <row r="66" spans="1:7" ht="18.75" x14ac:dyDescent="0.25">
      <c r="A66" s="116">
        <v>1</v>
      </c>
      <c r="B66" s="44"/>
      <c r="C66" s="16"/>
      <c r="D66" s="27" t="s">
        <v>35</v>
      </c>
      <c r="E66" s="64">
        <v>1</v>
      </c>
      <c r="F66" s="18">
        <v>100000</v>
      </c>
      <c r="G66" s="37"/>
    </row>
    <row r="67" spans="1:7" ht="18.75" x14ac:dyDescent="0.25">
      <c r="A67" s="116">
        <v>1</v>
      </c>
      <c r="B67" s="44"/>
      <c r="C67" s="16"/>
      <c r="D67" s="27" t="s">
        <v>12</v>
      </c>
      <c r="E67" s="64">
        <v>2</v>
      </c>
      <c r="F67" s="18">
        <v>250000</v>
      </c>
    </row>
    <row r="68" spans="1:7" ht="18.75" x14ac:dyDescent="0.25">
      <c r="A68" s="116">
        <v>1</v>
      </c>
      <c r="B68" s="44"/>
      <c r="C68" s="16"/>
      <c r="D68" s="28"/>
      <c r="E68" s="19"/>
      <c r="F68" s="16"/>
    </row>
    <row r="69" spans="1:7" ht="18.75" x14ac:dyDescent="0.25">
      <c r="A69" s="116">
        <v>1</v>
      </c>
      <c r="B69" s="44"/>
      <c r="C69" s="16"/>
      <c r="D69" s="28"/>
      <c r="E69" s="19"/>
      <c r="F69" s="16"/>
    </row>
    <row r="70" spans="1:7" ht="18.75" x14ac:dyDescent="0.25">
      <c r="A70" s="116">
        <v>1</v>
      </c>
      <c r="B70" s="44"/>
      <c r="C70" s="24" t="s">
        <v>52</v>
      </c>
      <c r="D70" s="28"/>
      <c r="E70" s="19"/>
      <c r="F70" s="16"/>
    </row>
    <row r="71" spans="1:7" ht="18.75" x14ac:dyDescent="0.25">
      <c r="A71" s="116">
        <v>1</v>
      </c>
      <c r="B71" s="44"/>
      <c r="C71" s="24" t="s">
        <v>164</v>
      </c>
      <c r="D71" s="28"/>
      <c r="E71" s="19"/>
      <c r="F71" s="16"/>
    </row>
    <row r="72" spans="1:7" ht="18.75" x14ac:dyDescent="0.25">
      <c r="A72" s="116">
        <v>1</v>
      </c>
      <c r="B72" s="44"/>
      <c r="C72" s="24" t="s">
        <v>165</v>
      </c>
      <c r="D72" s="28"/>
      <c r="E72" s="19"/>
      <c r="F72" s="16"/>
    </row>
    <row r="73" spans="1:7" ht="19.5" thickBot="1" x14ac:dyDescent="0.3">
      <c r="A73" s="116">
        <v>1</v>
      </c>
      <c r="B73" s="44"/>
      <c r="C73" s="24"/>
      <c r="D73" s="28"/>
      <c r="E73" s="19"/>
      <c r="F73" s="16"/>
    </row>
    <row r="74" spans="1:7" ht="19.5" hidden="1" thickBot="1" x14ac:dyDescent="0.3">
      <c r="A74" s="116">
        <v>0</v>
      </c>
      <c r="B74" s="44"/>
      <c r="C74" s="24"/>
      <c r="D74" s="28"/>
      <c r="E74" s="19"/>
      <c r="F74" s="16"/>
    </row>
    <row r="75" spans="1:7" ht="19.5" hidden="1" thickBot="1" x14ac:dyDescent="0.3">
      <c r="A75" s="116">
        <v>0</v>
      </c>
      <c r="B75" s="44"/>
      <c r="C75" s="24"/>
      <c r="D75" s="28"/>
      <c r="E75" s="19"/>
      <c r="F75" s="16"/>
    </row>
    <row r="76" spans="1:7" ht="19.5" hidden="1" thickBot="1" x14ac:dyDescent="0.3">
      <c r="A76" s="116">
        <v>0</v>
      </c>
      <c r="B76" s="44"/>
      <c r="C76" s="24"/>
      <c r="D76" s="28"/>
      <c r="E76" s="19"/>
      <c r="F76" s="16"/>
    </row>
    <row r="77" spans="1:7" ht="19.5" hidden="1" thickBot="1" x14ac:dyDescent="0.3">
      <c r="A77" s="116">
        <v>0</v>
      </c>
      <c r="B77" s="44"/>
      <c r="C77" s="24"/>
      <c r="D77" s="28"/>
      <c r="E77" s="19"/>
      <c r="F77" s="16"/>
    </row>
    <row r="78" spans="1:7" ht="19.5" hidden="1" thickBot="1" x14ac:dyDescent="0.3">
      <c r="A78" s="116">
        <v>0</v>
      </c>
      <c r="B78" s="44"/>
      <c r="C78" s="24"/>
      <c r="D78" s="28"/>
      <c r="E78" s="19"/>
      <c r="F78" s="16"/>
    </row>
    <row r="79" spans="1:7" ht="19.5" hidden="1" thickBot="1" x14ac:dyDescent="0.3">
      <c r="A79" s="116">
        <v>0</v>
      </c>
      <c r="B79" s="45"/>
      <c r="C79" s="20"/>
      <c r="D79" s="29"/>
      <c r="E79" s="21"/>
      <c r="F79" s="20"/>
    </row>
    <row r="80" spans="1:7" s="8" customFormat="1" ht="18.75" x14ac:dyDescent="0.25">
      <c r="A80" s="116">
        <v>1</v>
      </c>
      <c r="B80" s="43"/>
      <c r="C80" s="13" t="s">
        <v>197</v>
      </c>
      <c r="D80" s="26" t="s">
        <v>11</v>
      </c>
      <c r="E80" s="63"/>
      <c r="F80" s="15">
        <v>0</v>
      </c>
    </row>
    <row r="81" spans="1:8" ht="18.75" x14ac:dyDescent="0.25">
      <c r="A81" s="116">
        <v>1</v>
      </c>
      <c r="B81" s="44"/>
      <c r="C81" s="16"/>
      <c r="D81" s="27" t="s">
        <v>35</v>
      </c>
      <c r="E81" s="64"/>
      <c r="F81" s="18">
        <v>0</v>
      </c>
      <c r="G81" s="37"/>
    </row>
    <row r="82" spans="1:8" ht="18.75" x14ac:dyDescent="0.25">
      <c r="A82" s="116">
        <v>1</v>
      </c>
      <c r="B82" s="44"/>
      <c r="C82" s="16"/>
      <c r="D82" s="27" t="s">
        <v>12</v>
      </c>
      <c r="E82" s="64"/>
      <c r="F82" s="67">
        <v>-0.15</v>
      </c>
    </row>
    <row r="83" spans="1:8" ht="18.75" x14ac:dyDescent="0.25">
      <c r="A83" s="116">
        <v>1</v>
      </c>
      <c r="B83" s="44"/>
      <c r="C83" s="16"/>
      <c r="D83" s="28"/>
      <c r="E83" s="19"/>
      <c r="F83" s="16"/>
    </row>
    <row r="84" spans="1:8" ht="18.75" x14ac:dyDescent="0.25">
      <c r="A84" s="116">
        <v>1</v>
      </c>
      <c r="B84" s="44"/>
      <c r="C84" s="16"/>
      <c r="D84" s="28"/>
      <c r="E84" s="19"/>
      <c r="F84" s="16"/>
    </row>
    <row r="85" spans="1:8" ht="18.75" x14ac:dyDescent="0.25">
      <c r="A85" s="116">
        <v>1</v>
      </c>
      <c r="B85" s="44"/>
      <c r="C85" s="16"/>
      <c r="D85" s="28"/>
      <c r="E85" s="19"/>
      <c r="F85" s="16"/>
    </row>
    <row r="86" spans="1:8" ht="18.75" x14ac:dyDescent="0.25">
      <c r="A86" s="116">
        <v>1</v>
      </c>
      <c r="B86" s="44"/>
      <c r="C86" s="24" t="s">
        <v>52</v>
      </c>
      <c r="D86" s="28"/>
      <c r="E86" s="19"/>
      <c r="F86" s="16"/>
    </row>
    <row r="87" spans="1:8" ht="18.75" x14ac:dyDescent="0.25">
      <c r="A87" s="116">
        <v>1</v>
      </c>
      <c r="B87" s="44"/>
      <c r="C87" s="24" t="s">
        <v>166</v>
      </c>
      <c r="D87" s="28"/>
      <c r="E87" s="19"/>
      <c r="F87" s="16"/>
    </row>
    <row r="88" spans="1:8" ht="18.75" x14ac:dyDescent="0.25">
      <c r="A88" s="116">
        <v>1</v>
      </c>
      <c r="B88" s="44"/>
      <c r="C88" s="24" t="s">
        <v>167</v>
      </c>
      <c r="D88" s="28"/>
      <c r="E88" s="19"/>
      <c r="F88" s="16"/>
    </row>
    <row r="89" spans="1:8" ht="19.5" thickBot="1" x14ac:dyDescent="0.3">
      <c r="A89" s="116">
        <v>1</v>
      </c>
      <c r="B89" s="44"/>
      <c r="C89" s="24"/>
      <c r="D89" s="28"/>
      <c r="E89" s="19"/>
      <c r="F89" s="16"/>
    </row>
    <row r="90" spans="1:8" ht="19.5" hidden="1" thickBot="1" x14ac:dyDescent="0.3">
      <c r="A90" s="116">
        <v>0</v>
      </c>
      <c r="B90" s="44"/>
      <c r="C90" s="24"/>
      <c r="D90" s="28"/>
      <c r="E90" s="19"/>
      <c r="F90" s="16"/>
    </row>
    <row r="91" spans="1:8" ht="19.5" hidden="1" thickBot="1" x14ac:dyDescent="0.3">
      <c r="A91" s="116">
        <v>0</v>
      </c>
      <c r="B91" s="44"/>
      <c r="C91" s="24"/>
      <c r="D91" s="28"/>
      <c r="E91" s="19"/>
      <c r="F91" s="16"/>
    </row>
    <row r="92" spans="1:8" ht="19.5" hidden="1" thickBot="1" x14ac:dyDescent="0.3">
      <c r="A92" s="116">
        <v>0</v>
      </c>
      <c r="B92" s="44"/>
      <c r="C92" s="24"/>
      <c r="D92" s="28"/>
      <c r="E92" s="19"/>
      <c r="F92" s="16"/>
    </row>
    <row r="93" spans="1:8" ht="19.5" hidden="1" thickBot="1" x14ac:dyDescent="0.3">
      <c r="A93" s="116">
        <v>0</v>
      </c>
      <c r="B93" s="44"/>
      <c r="C93" s="24"/>
      <c r="D93" s="28"/>
      <c r="E93" s="19"/>
      <c r="F93" s="16"/>
    </row>
    <row r="94" spans="1:8" ht="19.5" hidden="1" thickBot="1" x14ac:dyDescent="0.3">
      <c r="A94" s="116">
        <v>0</v>
      </c>
      <c r="B94" s="45"/>
      <c r="C94" s="20"/>
      <c r="D94" s="29"/>
      <c r="E94" s="21"/>
      <c r="F94" s="20"/>
    </row>
    <row r="95" spans="1:8" s="8" customFormat="1" ht="18.75" x14ac:dyDescent="0.25">
      <c r="A95" s="116">
        <v>1</v>
      </c>
      <c r="B95" s="43"/>
      <c r="C95" s="13"/>
      <c r="D95" s="26" t="s">
        <v>11</v>
      </c>
      <c r="E95" s="30"/>
      <c r="F95" s="15">
        <f>F5+F20+F35+F50+F65</f>
        <v>2000000</v>
      </c>
      <c r="G95" s="66">
        <f>F95/$F$97</f>
        <v>0.30769230769230771</v>
      </c>
    </row>
    <row r="96" spans="1:8" ht="18.75" x14ac:dyDescent="0.25">
      <c r="A96" s="116">
        <v>1</v>
      </c>
      <c r="B96" s="44"/>
      <c r="C96" s="16"/>
      <c r="D96" s="27" t="s">
        <v>35</v>
      </c>
      <c r="E96" s="31"/>
      <c r="F96" s="18">
        <f t="shared" ref="F96:F97" si="1">F6+F21+F36+F51+F66</f>
        <v>4000000</v>
      </c>
      <c r="G96" s="66">
        <f t="shared" ref="G96:G97" si="2">F96/$F$97</f>
        <v>0.61538461538461542</v>
      </c>
      <c r="H96" s="37"/>
    </row>
    <row r="97" spans="1:7" ht="18.75" x14ac:dyDescent="0.25">
      <c r="A97" s="116">
        <v>1</v>
      </c>
      <c r="B97" s="44"/>
      <c r="C97" s="16"/>
      <c r="D97" s="27" t="s">
        <v>12</v>
      </c>
      <c r="E97" s="31"/>
      <c r="F97" s="18">
        <f t="shared" si="1"/>
        <v>6500000</v>
      </c>
      <c r="G97" s="66">
        <f t="shared" si="2"/>
        <v>1</v>
      </c>
    </row>
    <row r="98" spans="1:7" ht="19.5" thickBot="1" x14ac:dyDescent="0.3">
      <c r="A98" s="116">
        <v>1</v>
      </c>
      <c r="B98" s="45"/>
      <c r="C98" s="20"/>
      <c r="D98" s="29"/>
      <c r="E98" s="21"/>
      <c r="F98" s="20"/>
    </row>
    <row r="99" spans="1:7" x14ac:dyDescent="0.25">
      <c r="B99" s="46"/>
    </row>
    <row r="100" spans="1:7" x14ac:dyDescent="0.25">
      <c r="F100" s="37">
        <f>F96</f>
        <v>4000000</v>
      </c>
    </row>
    <row r="101" spans="1:7" x14ac:dyDescent="0.25">
      <c r="F101" s="37">
        <f>F100*85%</f>
        <v>3400000</v>
      </c>
    </row>
    <row r="102" spans="1:7" x14ac:dyDescent="0.25">
      <c r="F102" s="37">
        <f>F101*80%</f>
        <v>2720000</v>
      </c>
    </row>
  </sheetData>
  <autoFilter ref="A4:I98" xr:uid="{D8A1FA1B-BE37-4968-8E2D-1F27B3B3568A}">
    <filterColumn colId="0">
      <filters>
        <filter val="1"/>
      </filters>
    </filterColumn>
  </autoFilter>
  <mergeCells count="1">
    <mergeCell ref="D3:E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5341-2646-4EDF-B004-0EE5760BAA1D}">
  <sheetPr>
    <tabColor rgb="FF7030A0"/>
  </sheetPr>
  <dimension ref="B3:AW20"/>
  <sheetViews>
    <sheetView showGridLines="0" topLeftCell="D1" workbookViewId="0">
      <selection activeCell="M10" sqref="M10:N13"/>
    </sheetView>
  </sheetViews>
  <sheetFormatPr defaultRowHeight="20.100000000000001" customHeight="1" x14ac:dyDescent="0.25"/>
  <cols>
    <col min="1" max="2" width="5.28515625" style="38" customWidth="1"/>
    <col min="3" max="3" width="15.5703125" style="38" customWidth="1"/>
    <col min="4" max="4" width="16.5703125" style="38" customWidth="1"/>
    <col min="5" max="5" width="3.5703125" style="38" customWidth="1"/>
    <col min="6" max="7" width="16" style="38" bestFit="1" customWidth="1"/>
    <col min="8" max="8" width="7.85546875" style="38" bestFit="1" customWidth="1"/>
    <col min="9" max="9" width="12.28515625" style="38" bestFit="1" customWidth="1"/>
    <col min="10" max="10" width="3" style="38" customWidth="1"/>
    <col min="11" max="11" width="3" style="39" customWidth="1"/>
    <col min="12" max="12" width="6" style="38" customWidth="1"/>
    <col min="13" max="13" width="15.7109375" style="38" customWidth="1"/>
    <col min="14" max="14" width="15" style="38" customWidth="1"/>
    <col min="15" max="15" width="12.42578125" style="38" customWidth="1"/>
    <col min="16" max="16" width="10" style="38" customWidth="1"/>
    <col min="17" max="17" width="2.85546875" style="38" customWidth="1"/>
    <col min="18" max="18" width="3" style="39" customWidth="1"/>
    <col min="19" max="19" width="6" style="38" customWidth="1"/>
    <col min="20" max="20" width="16.85546875" style="38" bestFit="1" customWidth="1"/>
    <col min="21" max="21" width="15.7109375" style="38" bestFit="1" customWidth="1"/>
    <col min="22" max="22" width="7.28515625" style="38" customWidth="1"/>
    <col min="23" max="23" width="15.7109375" style="38" bestFit="1" customWidth="1"/>
    <col min="24" max="24" width="14.28515625" style="38" bestFit="1" customWidth="1"/>
    <col min="25" max="25" width="10.5703125" style="38" customWidth="1"/>
    <col min="26" max="26" width="14.85546875" style="38" customWidth="1"/>
    <col min="27" max="27" width="2.85546875" style="38" customWidth="1"/>
    <col min="28" max="28" width="3" style="39" customWidth="1"/>
    <col min="29" max="29" width="6" style="38" customWidth="1"/>
    <col min="30" max="30" width="13.7109375" style="38" customWidth="1"/>
    <col min="31" max="31" width="12.7109375" style="38" bestFit="1" customWidth="1"/>
    <col min="32" max="32" width="2.85546875" style="38" customWidth="1"/>
    <col min="33" max="33" width="3" style="39" customWidth="1"/>
    <col min="34" max="34" width="6" style="38" customWidth="1"/>
    <col min="35" max="35" width="13.7109375" style="38" customWidth="1"/>
    <col min="36" max="36" width="12.7109375" style="38" bestFit="1" customWidth="1"/>
    <col min="37" max="37" width="2.85546875" style="38" customWidth="1"/>
    <col min="38" max="38" width="3" style="39" customWidth="1"/>
    <col min="39" max="39" width="6" style="38" customWidth="1"/>
    <col min="40" max="40" width="52.28515625" style="38" customWidth="1"/>
    <col min="41" max="41" width="10.42578125" style="38" customWidth="1"/>
    <col min="42" max="45" width="9.5703125" style="38" customWidth="1"/>
    <col min="46" max="46" width="14.28515625" style="38" bestFit="1" customWidth="1"/>
    <col min="47" max="47" width="11.5703125" style="38" bestFit="1" customWidth="1"/>
    <col min="48" max="48" width="9.5703125" style="38" customWidth="1"/>
    <col min="49" max="49" width="11.85546875" style="38" bestFit="1" customWidth="1"/>
    <col min="50" max="16384" width="9.140625" style="38"/>
  </cols>
  <sheetData>
    <row r="3" spans="2:49" ht="20.100000000000001" customHeight="1" x14ac:dyDescent="0.25">
      <c r="B3" s="22">
        <v>1</v>
      </c>
      <c r="C3" s="23" t="s">
        <v>10</v>
      </c>
      <c r="L3" s="22">
        <v>2</v>
      </c>
      <c r="M3" s="23" t="s">
        <v>78</v>
      </c>
      <c r="S3" s="22">
        <v>3</v>
      </c>
      <c r="T3" s="23" t="s">
        <v>199</v>
      </c>
      <c r="AC3" s="22">
        <v>4</v>
      </c>
      <c r="AD3" s="23" t="s">
        <v>73</v>
      </c>
      <c r="AH3" s="22">
        <v>5</v>
      </c>
      <c r="AI3" s="23" t="s">
        <v>84</v>
      </c>
      <c r="AM3" s="22">
        <v>6</v>
      </c>
      <c r="AN3" s="23" t="s">
        <v>5</v>
      </c>
    </row>
    <row r="4" spans="2:49" ht="20.100000000000001" customHeight="1" x14ac:dyDescent="0.25">
      <c r="C4" s="10" t="s">
        <v>13</v>
      </c>
      <c r="D4" s="10" t="s">
        <v>36</v>
      </c>
      <c r="F4" s="10" t="s">
        <v>16</v>
      </c>
      <c r="G4" s="10" t="s">
        <v>19</v>
      </c>
      <c r="H4" s="12" t="s">
        <v>17</v>
      </c>
      <c r="I4" s="12" t="s">
        <v>18</v>
      </c>
      <c r="M4" s="10" t="s">
        <v>21</v>
      </c>
      <c r="N4" s="10" t="s">
        <v>75</v>
      </c>
      <c r="O4" s="10" t="s">
        <v>76</v>
      </c>
      <c r="P4" s="10" t="s">
        <v>77</v>
      </c>
      <c r="T4" s="75" t="s">
        <v>16</v>
      </c>
      <c r="U4" s="75" t="s">
        <v>61</v>
      </c>
      <c r="V4" s="75" t="s">
        <v>17</v>
      </c>
      <c r="W4" s="76" t="s">
        <v>105</v>
      </c>
      <c r="X4" s="77" t="s">
        <v>110</v>
      </c>
      <c r="Y4" s="75" t="s">
        <v>106</v>
      </c>
      <c r="Z4" s="75" t="s">
        <v>107</v>
      </c>
      <c r="AD4" s="10" t="s">
        <v>79</v>
      </c>
      <c r="AE4" s="10" t="s">
        <v>9</v>
      </c>
      <c r="AI4" s="10" t="s">
        <v>146</v>
      </c>
      <c r="AJ4" s="10" t="s">
        <v>9</v>
      </c>
      <c r="AN4" s="10" t="s">
        <v>89</v>
      </c>
      <c r="AO4" s="10" t="s">
        <v>1</v>
      </c>
      <c r="AT4" s="127" t="s">
        <v>196</v>
      </c>
      <c r="AU4" s="128"/>
      <c r="AV4" s="128"/>
      <c r="AW4" s="129"/>
    </row>
    <row r="5" spans="2:49" ht="20.100000000000001" customHeight="1" x14ac:dyDescent="0.25">
      <c r="C5" s="32">
        <v>95000000</v>
      </c>
      <c r="D5" s="33">
        <v>100000000</v>
      </c>
      <c r="F5" s="32">
        <f>D5</f>
        <v>100000000</v>
      </c>
      <c r="G5" s="34">
        <f>H5*F5</f>
        <v>100000000</v>
      </c>
      <c r="H5" s="35">
        <v>1</v>
      </c>
      <c r="I5" s="34">
        <v>1500000</v>
      </c>
      <c r="M5" s="40" t="s">
        <v>26</v>
      </c>
      <c r="N5" s="42">
        <v>50</v>
      </c>
      <c r="O5" s="61">
        <v>3000000</v>
      </c>
      <c r="P5" s="62">
        <v>0.2</v>
      </c>
      <c r="T5" s="50">
        <v>250000000</v>
      </c>
      <c r="U5" s="61">
        <f>T5*1.15</f>
        <v>287500000</v>
      </c>
      <c r="V5" s="62">
        <f>U5/T5</f>
        <v>1.1499999999999999</v>
      </c>
      <c r="W5" s="61">
        <f>U5-T5</f>
        <v>37500000</v>
      </c>
      <c r="X5" s="78" t="s">
        <v>108</v>
      </c>
      <c r="Y5" s="79">
        <v>7.4999999999999997E-3</v>
      </c>
      <c r="Z5" s="80">
        <f t="shared" ref="Z5:Z7" si="0">MIN(W5*Y5,750000)</f>
        <v>281250</v>
      </c>
      <c r="AD5" s="65" t="s">
        <v>80</v>
      </c>
      <c r="AE5" s="50">
        <v>500000</v>
      </c>
      <c r="AI5" s="65" t="s">
        <v>85</v>
      </c>
      <c r="AJ5" s="50">
        <v>100000</v>
      </c>
      <c r="AN5" s="40" t="s">
        <v>90</v>
      </c>
      <c r="AO5" s="41" t="s">
        <v>45</v>
      </c>
      <c r="AT5" s="10" t="s">
        <v>102</v>
      </c>
      <c r="AU5" s="12" t="s">
        <v>118</v>
      </c>
      <c r="AV5" s="12" t="s">
        <v>17</v>
      </c>
      <c r="AW5" s="12" t="s">
        <v>119</v>
      </c>
    </row>
    <row r="6" spans="2:49" ht="20.100000000000001" customHeight="1" x14ac:dyDescent="0.25">
      <c r="C6" s="32" t="str">
        <f>"&gt; "&amp;TEXT(C5,"#,###")</f>
        <v>&gt; 95,000,000</v>
      </c>
      <c r="D6" s="103" t="s">
        <v>99</v>
      </c>
      <c r="F6" s="32">
        <f>F5</f>
        <v>100000000</v>
      </c>
      <c r="G6" s="34">
        <f>H6*F6</f>
        <v>97500000</v>
      </c>
      <c r="H6" s="35">
        <v>0.97499999999999998</v>
      </c>
      <c r="I6" s="34">
        <v>1000000</v>
      </c>
      <c r="M6" s="40" t="s">
        <v>25</v>
      </c>
      <c r="N6" s="42">
        <v>50</v>
      </c>
      <c r="O6" s="61">
        <v>8000000</v>
      </c>
      <c r="P6" s="62">
        <v>0.2</v>
      </c>
      <c r="T6" s="50">
        <v>250000000</v>
      </c>
      <c r="U6" s="61">
        <v>250000000</v>
      </c>
      <c r="V6" s="62">
        <f>U6/T6</f>
        <v>1</v>
      </c>
      <c r="W6" s="61">
        <f>U6-T6</f>
        <v>0</v>
      </c>
      <c r="X6" s="78" t="s">
        <v>109</v>
      </c>
      <c r="Y6" s="79"/>
      <c r="Z6" s="80">
        <f t="shared" si="0"/>
        <v>0</v>
      </c>
      <c r="AD6" s="65" t="s">
        <v>81</v>
      </c>
      <c r="AE6" s="50">
        <v>1250000</v>
      </c>
      <c r="AI6" s="65" t="s">
        <v>86</v>
      </c>
      <c r="AJ6" s="50">
        <v>250000</v>
      </c>
      <c r="AN6" s="40" t="s">
        <v>122</v>
      </c>
      <c r="AO6" s="41" t="s">
        <v>45</v>
      </c>
      <c r="AT6" s="73" t="s">
        <v>194</v>
      </c>
      <c r="AU6" s="130">
        <v>6500000</v>
      </c>
      <c r="AV6" s="35">
        <v>0.8</v>
      </c>
      <c r="AW6" s="34">
        <f>AU6*AV6</f>
        <v>5200000</v>
      </c>
    </row>
    <row r="7" spans="2:49" ht="20.100000000000001" customHeight="1" x14ac:dyDescent="0.25">
      <c r="F7" s="32">
        <f>F6</f>
        <v>100000000</v>
      </c>
      <c r="G7" s="34">
        <f>H7*F7</f>
        <v>95000000</v>
      </c>
      <c r="H7" s="35">
        <v>0.95</v>
      </c>
      <c r="I7" s="34">
        <v>750000</v>
      </c>
      <c r="M7" s="40" t="s">
        <v>27</v>
      </c>
      <c r="N7" s="42">
        <v>50</v>
      </c>
      <c r="O7" s="61">
        <v>6000000</v>
      </c>
      <c r="P7" s="62">
        <v>0.15</v>
      </c>
      <c r="T7" s="50">
        <v>250000000</v>
      </c>
      <c r="U7" s="61">
        <v>500000000</v>
      </c>
      <c r="V7" s="62">
        <f>U7/T7</f>
        <v>2</v>
      </c>
      <c r="W7" s="61">
        <f>U7-T7</f>
        <v>250000000</v>
      </c>
      <c r="X7" s="78" t="s">
        <v>109</v>
      </c>
      <c r="Y7" s="79"/>
      <c r="Z7" s="80">
        <f t="shared" si="0"/>
        <v>0</v>
      </c>
      <c r="AD7" s="65" t="s">
        <v>82</v>
      </c>
      <c r="AE7" s="50">
        <v>2000000</v>
      </c>
      <c r="AN7" s="40" t="s">
        <v>123</v>
      </c>
      <c r="AO7" s="41" t="s">
        <v>45</v>
      </c>
      <c r="AT7" s="41" t="s">
        <v>195</v>
      </c>
      <c r="AU7" s="131"/>
      <c r="AV7" s="35">
        <v>1</v>
      </c>
      <c r="AW7" s="34">
        <f>AU6*AV7</f>
        <v>6500000</v>
      </c>
    </row>
    <row r="8" spans="2:49" ht="20.100000000000001" customHeight="1" x14ac:dyDescent="0.25">
      <c r="D8" s="96">
        <v>95500000</v>
      </c>
      <c r="M8" s="40" t="s">
        <v>44</v>
      </c>
      <c r="N8" s="42">
        <v>50</v>
      </c>
      <c r="O8" s="61">
        <v>10000000</v>
      </c>
      <c r="P8" s="62">
        <v>0.15</v>
      </c>
      <c r="T8" s="50">
        <v>250000000</v>
      </c>
      <c r="U8" s="61">
        <v>650000000</v>
      </c>
      <c r="V8" s="62">
        <f>U8/T8</f>
        <v>2.6</v>
      </c>
      <c r="W8" s="61">
        <f>U8-T8</f>
        <v>400000000</v>
      </c>
      <c r="X8" s="78" t="s">
        <v>108</v>
      </c>
      <c r="Y8" s="79">
        <v>7.4999999999999997E-3</v>
      </c>
      <c r="Z8" s="80">
        <f>MIN(W8*Y8,750000)</f>
        <v>750000</v>
      </c>
    </row>
    <row r="9" spans="2:49" ht="20.100000000000001" customHeight="1" x14ac:dyDescent="0.25">
      <c r="D9" s="96">
        <f>D8*1.1</f>
        <v>105050000.00000001</v>
      </c>
      <c r="P9"/>
      <c r="Z9" s="111"/>
    </row>
    <row r="10" spans="2:49" ht="20.100000000000001" customHeight="1" x14ac:dyDescent="0.25">
      <c r="M10" s="10" t="s">
        <v>21</v>
      </c>
      <c r="N10" s="10" t="s">
        <v>18</v>
      </c>
      <c r="Z10" s="111">
        <f>Y8*W5</f>
        <v>281250</v>
      </c>
      <c r="AN10" s="132" t="s">
        <v>63</v>
      </c>
      <c r="AO10" s="132"/>
      <c r="AP10" s="132"/>
      <c r="AQ10" s="132"/>
      <c r="AR10" s="132"/>
    </row>
    <row r="11" spans="2:49" ht="20.100000000000001" customHeight="1" x14ac:dyDescent="0.25">
      <c r="M11" s="34" t="s">
        <v>29</v>
      </c>
      <c r="N11" s="61">
        <v>500000</v>
      </c>
      <c r="AN11" s="10" t="s">
        <v>21</v>
      </c>
      <c r="AO11" s="10" t="s">
        <v>60</v>
      </c>
      <c r="AP11" s="10" t="s">
        <v>61</v>
      </c>
      <c r="AQ11" s="10" t="s">
        <v>17</v>
      </c>
      <c r="AR11" s="10" t="s">
        <v>17</v>
      </c>
    </row>
    <row r="12" spans="2:49" ht="20.100000000000001" customHeight="1" x14ac:dyDescent="0.25">
      <c r="M12" s="34" t="s">
        <v>30</v>
      </c>
      <c r="N12" s="61">
        <v>1250000</v>
      </c>
      <c r="AN12" s="40" t="s">
        <v>26</v>
      </c>
      <c r="AO12" s="50">
        <v>100</v>
      </c>
      <c r="AP12" s="50">
        <v>98</v>
      </c>
      <c r="AQ12" s="55">
        <f>AP12/AO12</f>
        <v>0.98</v>
      </c>
      <c r="AR12" s="55">
        <f>AQ12%*AV6*100</f>
        <v>0.78400000000000003</v>
      </c>
    </row>
    <row r="13" spans="2:49" ht="20.100000000000001" customHeight="1" x14ac:dyDescent="0.25">
      <c r="M13" s="34" t="s">
        <v>95</v>
      </c>
      <c r="N13" s="61">
        <v>2000000</v>
      </c>
      <c r="AN13" s="40" t="s">
        <v>25</v>
      </c>
      <c r="AO13" s="50">
        <v>100</v>
      </c>
      <c r="AP13" s="50">
        <v>100</v>
      </c>
      <c r="AQ13" s="55">
        <f t="shared" ref="AQ13:AQ15" si="1">AP13/AO13</f>
        <v>1</v>
      </c>
      <c r="AR13" s="55">
        <f>AQ13%*AV7*100</f>
        <v>1</v>
      </c>
    </row>
    <row r="14" spans="2:49" ht="20.100000000000001" customHeight="1" x14ac:dyDescent="0.25">
      <c r="AN14" s="40" t="s">
        <v>58</v>
      </c>
      <c r="AO14" s="50">
        <v>150</v>
      </c>
      <c r="AP14" s="50">
        <v>150</v>
      </c>
      <c r="AQ14" s="55">
        <f t="shared" si="1"/>
        <v>1</v>
      </c>
      <c r="AR14" s="55">
        <f>AQ14%*AV8*100</f>
        <v>0</v>
      </c>
    </row>
    <row r="15" spans="2:49" ht="20.100000000000001" customHeight="1" x14ac:dyDescent="0.25">
      <c r="AN15" s="10" t="s">
        <v>62</v>
      </c>
      <c r="AO15" s="57">
        <f>SUM(AO12:AO14)</f>
        <v>350</v>
      </c>
      <c r="AP15" s="57">
        <f t="shared" ref="AP15:AR15" si="2">SUM(AP12:AP14)</f>
        <v>348</v>
      </c>
      <c r="AQ15" s="56">
        <f t="shared" si="1"/>
        <v>0.99428571428571433</v>
      </c>
      <c r="AR15" s="56">
        <f t="shared" si="2"/>
        <v>1.784</v>
      </c>
    </row>
    <row r="17" spans="14:41" ht="20.100000000000001" customHeight="1" x14ac:dyDescent="0.25">
      <c r="AN17" s="10" t="s">
        <v>64</v>
      </c>
      <c r="AO17" s="10" t="s">
        <v>5</v>
      </c>
    </row>
    <row r="18" spans="14:41" ht="20.100000000000001" customHeight="1" x14ac:dyDescent="0.25">
      <c r="N18" s="38">
        <v>8</v>
      </c>
      <c r="O18" s="38">
        <v>50000</v>
      </c>
      <c r="AN18" s="40" t="s">
        <v>65</v>
      </c>
      <c r="AO18" s="54">
        <v>-0.2</v>
      </c>
    </row>
    <row r="19" spans="14:41" ht="20.100000000000001" customHeight="1" x14ac:dyDescent="0.25">
      <c r="N19" s="38">
        <f>N18*O18</f>
        <v>400000</v>
      </c>
      <c r="AN19" s="40" t="s">
        <v>66</v>
      </c>
      <c r="AO19" s="54">
        <v>-0.1</v>
      </c>
    </row>
    <row r="20" spans="14:41" ht="20.100000000000001" customHeight="1" x14ac:dyDescent="0.25">
      <c r="O20" s="98">
        <f>N19*25</f>
        <v>10000000</v>
      </c>
      <c r="AN20" s="40" t="s">
        <v>67</v>
      </c>
      <c r="AO20" s="54">
        <v>0</v>
      </c>
    </row>
  </sheetData>
  <mergeCells count="3">
    <mergeCell ref="AN10:AR10"/>
    <mergeCell ref="AT4:AW4"/>
    <mergeCell ref="AU6:A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8FAC-9D1E-48B1-A789-9CDB4CDA7741}">
  <sheetPr filterMode="1">
    <tabColor rgb="FFFF0000"/>
  </sheetPr>
  <dimension ref="A2:I99"/>
  <sheetViews>
    <sheetView showGridLines="0" topLeftCell="A65" zoomScale="75" zoomScaleNormal="75" workbookViewId="0">
      <selection activeCell="C89" sqref="C89"/>
    </sheetView>
  </sheetViews>
  <sheetFormatPr defaultRowHeight="15" x14ac:dyDescent="0.25"/>
  <cols>
    <col min="1" max="1" width="5.28515625" style="68" customWidth="1"/>
    <col min="2" max="2" width="6.85546875" style="9" customWidth="1"/>
    <col min="3" max="3" width="123.7109375" style="9" customWidth="1"/>
    <col min="4" max="4" width="8.5703125" style="1" customWidth="1"/>
    <col min="5" max="5" width="13.42578125" style="9" customWidth="1"/>
    <col min="6" max="6" width="17.140625" style="9" bestFit="1" customWidth="1"/>
    <col min="7" max="7" width="14.5703125" style="9" bestFit="1" customWidth="1"/>
    <col min="8" max="8" width="11.5703125" style="9" bestFit="1" customWidth="1"/>
    <col min="9" max="16384" width="9.140625" style="9"/>
  </cols>
  <sheetData>
    <row r="2" spans="1:9" s="7" customFormat="1" ht="32.25" thickBot="1" x14ac:dyDescent="0.3">
      <c r="A2" s="69"/>
      <c r="B2" s="49" t="s">
        <v>101</v>
      </c>
      <c r="D2" s="25"/>
    </row>
    <row r="3" spans="1:9" s="6" customFormat="1" ht="27.75" customHeight="1" thickBot="1" x14ac:dyDescent="0.3">
      <c r="A3" s="70"/>
      <c r="B3" s="4" t="s">
        <v>6</v>
      </c>
      <c r="C3" s="4" t="s">
        <v>7</v>
      </c>
      <c r="D3" s="122" t="s">
        <v>8</v>
      </c>
      <c r="E3" s="123"/>
      <c r="F3" s="5" t="s">
        <v>9</v>
      </c>
      <c r="G3" s="47"/>
      <c r="H3" s="48"/>
      <c r="I3" s="7"/>
    </row>
    <row r="4" spans="1:9" s="2" customFormat="1" ht="9" customHeight="1" thickBot="1" x14ac:dyDescent="0.3">
      <c r="A4" s="71"/>
      <c r="B4" s="3" t="str">
        <f>B3</f>
        <v>NO</v>
      </c>
      <c r="C4" s="3" t="str">
        <f t="shared" ref="C4:F4" si="0">C3</f>
        <v>INDIKATOR PENILAIAN</v>
      </c>
      <c r="D4" s="3" t="e">
        <f>#REF!</f>
        <v>#REF!</v>
      </c>
      <c r="E4" s="3" t="str">
        <f>D3</f>
        <v>RANGE</v>
      </c>
      <c r="F4" s="3" t="str">
        <f t="shared" si="0"/>
        <v>NILAI</v>
      </c>
    </row>
    <row r="5" spans="1:9" s="8" customFormat="1" ht="18.75" x14ac:dyDescent="0.25">
      <c r="A5" s="72">
        <v>1</v>
      </c>
      <c r="B5" s="43">
        <v>1</v>
      </c>
      <c r="C5" s="13" t="s">
        <v>10</v>
      </c>
      <c r="D5" s="26" t="s">
        <v>11</v>
      </c>
      <c r="E5" s="14">
        <v>0.95</v>
      </c>
      <c r="F5" s="15">
        <v>1250000</v>
      </c>
    </row>
    <row r="6" spans="1:9" ht="18.75" x14ac:dyDescent="0.25">
      <c r="A6" s="68">
        <v>1</v>
      </c>
      <c r="B6" s="44"/>
      <c r="C6" s="16"/>
      <c r="D6" s="27" t="s">
        <v>35</v>
      </c>
      <c r="E6" s="17">
        <v>0.97499999999999998</v>
      </c>
      <c r="F6" s="18">
        <v>1750000</v>
      </c>
      <c r="G6" s="37"/>
    </row>
    <row r="7" spans="1:9" ht="18.75" x14ac:dyDescent="0.25">
      <c r="A7" s="68">
        <v>1</v>
      </c>
      <c r="B7" s="44"/>
      <c r="C7" s="16"/>
      <c r="D7" s="27" t="s">
        <v>12</v>
      </c>
      <c r="E7" s="17">
        <v>1</v>
      </c>
      <c r="F7" s="18">
        <v>2500000</v>
      </c>
    </row>
    <row r="8" spans="1:9" ht="18.75" x14ac:dyDescent="0.25">
      <c r="A8" s="68">
        <v>1</v>
      </c>
      <c r="B8" s="44"/>
      <c r="C8" s="16"/>
      <c r="D8" s="28"/>
      <c r="E8" s="19"/>
      <c r="F8" s="16"/>
    </row>
    <row r="9" spans="1:9" ht="18.75" x14ac:dyDescent="0.25">
      <c r="A9" s="68">
        <v>1</v>
      </c>
      <c r="B9" s="44"/>
      <c r="C9" s="16"/>
      <c r="D9" s="28"/>
      <c r="E9" s="19"/>
      <c r="F9" s="16"/>
    </row>
    <row r="10" spans="1:9" ht="18.75" x14ac:dyDescent="0.25">
      <c r="A10" s="68">
        <v>1</v>
      </c>
      <c r="B10" s="44"/>
      <c r="C10" s="16"/>
      <c r="D10" s="28"/>
      <c r="E10" s="19"/>
      <c r="F10" s="16"/>
    </row>
    <row r="11" spans="1:9" ht="18.75" x14ac:dyDescent="0.25">
      <c r="A11" s="68">
        <v>1</v>
      </c>
      <c r="B11" s="44"/>
      <c r="C11" s="24"/>
      <c r="D11" s="28"/>
      <c r="E11" s="19"/>
      <c r="F11" s="82"/>
    </row>
    <row r="12" spans="1:9" ht="18.75" x14ac:dyDescent="0.25">
      <c r="A12" s="68">
        <v>1</v>
      </c>
      <c r="B12" s="44"/>
      <c r="C12" s="24" t="s">
        <v>52</v>
      </c>
      <c r="D12" s="28"/>
      <c r="E12" s="19"/>
      <c r="F12" s="16"/>
    </row>
    <row r="13" spans="1:9" ht="18.75" x14ac:dyDescent="0.25">
      <c r="A13" s="68">
        <v>1</v>
      </c>
      <c r="B13" s="44"/>
      <c r="C13" s="24" t="s">
        <v>148</v>
      </c>
      <c r="D13" s="28"/>
      <c r="E13" s="19"/>
      <c r="F13" s="16"/>
    </row>
    <row r="14" spans="1:9" ht="19.5" thickBot="1" x14ac:dyDescent="0.3">
      <c r="A14" s="68">
        <v>1</v>
      </c>
      <c r="B14" s="44"/>
      <c r="C14" s="24"/>
      <c r="D14" s="28"/>
      <c r="E14" s="19"/>
      <c r="F14" s="16"/>
    </row>
    <row r="15" spans="1:9" ht="19.5" hidden="1" thickBot="1" x14ac:dyDescent="0.3">
      <c r="A15" s="68">
        <v>0</v>
      </c>
      <c r="B15" s="44"/>
      <c r="C15" s="16"/>
      <c r="D15" s="28"/>
      <c r="E15" s="19"/>
      <c r="F15" s="16"/>
    </row>
    <row r="16" spans="1:9" ht="19.5" hidden="1" thickBot="1" x14ac:dyDescent="0.3">
      <c r="A16" s="68">
        <v>0</v>
      </c>
      <c r="B16" s="44"/>
      <c r="C16" s="16"/>
      <c r="D16" s="28"/>
      <c r="E16" s="19"/>
      <c r="F16" s="16"/>
    </row>
    <row r="17" spans="1:7" ht="19.5" hidden="1" thickBot="1" x14ac:dyDescent="0.3">
      <c r="A17" s="68">
        <v>0</v>
      </c>
      <c r="B17" s="44"/>
      <c r="C17" s="16"/>
      <c r="D17" s="28"/>
      <c r="E17" s="19"/>
      <c r="F17" s="16"/>
    </row>
    <row r="18" spans="1:7" ht="19.5" hidden="1" thickBot="1" x14ac:dyDescent="0.3">
      <c r="A18" s="68">
        <v>0</v>
      </c>
      <c r="B18" s="44"/>
      <c r="C18" s="16"/>
      <c r="D18" s="28"/>
      <c r="E18" s="19"/>
      <c r="F18" s="16"/>
    </row>
    <row r="19" spans="1:7" ht="19.5" hidden="1" thickBot="1" x14ac:dyDescent="0.3">
      <c r="A19" s="68">
        <v>0</v>
      </c>
      <c r="B19" s="45"/>
      <c r="C19" s="20"/>
      <c r="D19" s="29"/>
      <c r="E19" s="21"/>
      <c r="F19" s="20"/>
    </row>
    <row r="20" spans="1:7" s="8" customFormat="1" ht="18.75" x14ac:dyDescent="0.25">
      <c r="A20" s="68">
        <v>1</v>
      </c>
      <c r="B20" s="43">
        <v>2</v>
      </c>
      <c r="C20" s="13" t="s">
        <v>72</v>
      </c>
      <c r="D20" s="26" t="s">
        <v>11</v>
      </c>
      <c r="E20" s="30" t="s">
        <v>29</v>
      </c>
      <c r="F20" s="15">
        <v>1000000</v>
      </c>
      <c r="G20" s="51">
        <f>F20/2</f>
        <v>500000</v>
      </c>
    </row>
    <row r="21" spans="1:7" ht="18.75" x14ac:dyDescent="0.25">
      <c r="A21" s="68">
        <v>1</v>
      </c>
      <c r="B21" s="44"/>
      <c r="C21" s="16"/>
      <c r="D21" s="27" t="s">
        <v>35</v>
      </c>
      <c r="E21" s="31" t="s">
        <v>30</v>
      </c>
      <c r="F21" s="18">
        <v>1750000</v>
      </c>
      <c r="G21" s="51">
        <f>F21/3</f>
        <v>583333.33333333337</v>
      </c>
    </row>
    <row r="22" spans="1:7" ht="18.75" x14ac:dyDescent="0.25">
      <c r="A22" s="68">
        <v>1</v>
      </c>
      <c r="B22" s="44"/>
      <c r="C22" s="16"/>
      <c r="D22" s="27" t="s">
        <v>12</v>
      </c>
      <c r="E22" s="31" t="s">
        <v>95</v>
      </c>
      <c r="F22" s="18">
        <v>3000000</v>
      </c>
      <c r="G22" s="51">
        <f>F22/4</f>
        <v>750000</v>
      </c>
    </row>
    <row r="23" spans="1:7" ht="18.75" x14ac:dyDescent="0.25">
      <c r="A23" s="68">
        <v>1</v>
      </c>
      <c r="B23" s="44"/>
      <c r="C23" s="16"/>
      <c r="D23" s="28"/>
      <c r="E23" s="19"/>
      <c r="F23" s="16"/>
    </row>
    <row r="24" spans="1:7" ht="18.75" x14ac:dyDescent="0.25">
      <c r="A24" s="68">
        <v>1</v>
      </c>
      <c r="B24" s="44"/>
      <c r="C24" s="16"/>
      <c r="D24" s="28"/>
      <c r="E24" s="19"/>
      <c r="F24" s="16"/>
    </row>
    <row r="25" spans="1:7" ht="18.75" x14ac:dyDescent="0.25">
      <c r="A25" s="68">
        <v>1</v>
      </c>
      <c r="B25" s="44"/>
      <c r="C25" s="16"/>
      <c r="D25" s="28"/>
      <c r="E25" s="19"/>
      <c r="F25" s="16"/>
    </row>
    <row r="26" spans="1:7" ht="18.75" x14ac:dyDescent="0.25">
      <c r="A26" s="68">
        <v>1</v>
      </c>
      <c r="B26" s="44"/>
      <c r="C26" s="16"/>
      <c r="D26" s="28"/>
      <c r="E26" s="19"/>
      <c r="F26" s="16"/>
    </row>
    <row r="27" spans="1:7" ht="18.75" x14ac:dyDescent="0.25">
      <c r="A27" s="68">
        <v>1</v>
      </c>
      <c r="B27" s="44"/>
      <c r="C27" s="24" t="s">
        <v>52</v>
      </c>
      <c r="D27" s="28"/>
      <c r="E27" s="19"/>
      <c r="F27" s="16"/>
    </row>
    <row r="28" spans="1:7" ht="18.75" x14ac:dyDescent="0.25">
      <c r="A28" s="68">
        <v>1</v>
      </c>
      <c r="B28" s="44"/>
      <c r="C28" s="24" t="s">
        <v>161</v>
      </c>
      <c r="D28" s="28"/>
      <c r="E28" s="19"/>
      <c r="F28" s="16"/>
    </row>
    <row r="29" spans="1:7" ht="18.75" x14ac:dyDescent="0.25">
      <c r="A29" s="68">
        <v>1</v>
      </c>
      <c r="B29" s="44"/>
      <c r="C29" s="24" t="s">
        <v>180</v>
      </c>
      <c r="D29" s="28"/>
      <c r="E29" s="19"/>
      <c r="F29" s="16"/>
    </row>
    <row r="30" spans="1:7" ht="19.5" thickBot="1" x14ac:dyDescent="0.3">
      <c r="A30" s="68">
        <v>1</v>
      </c>
      <c r="B30" s="44"/>
      <c r="C30" s="24"/>
      <c r="D30" s="28"/>
      <c r="E30" s="19"/>
      <c r="F30" s="16"/>
    </row>
    <row r="31" spans="1:7" ht="19.5" hidden="1" thickBot="1" x14ac:dyDescent="0.3">
      <c r="A31" s="68">
        <v>0</v>
      </c>
      <c r="B31" s="44"/>
      <c r="C31" s="24"/>
      <c r="D31" s="28"/>
      <c r="E31" s="19"/>
      <c r="F31" s="16"/>
    </row>
    <row r="32" spans="1:7" ht="19.5" hidden="1" thickBot="1" x14ac:dyDescent="0.3">
      <c r="A32" s="68">
        <v>0</v>
      </c>
      <c r="B32" s="44"/>
      <c r="C32" s="24"/>
      <c r="D32" s="28"/>
      <c r="E32" s="19"/>
      <c r="F32" s="16"/>
    </row>
    <row r="33" spans="1:7" ht="19.5" hidden="1" thickBot="1" x14ac:dyDescent="0.3">
      <c r="A33" s="68">
        <v>0</v>
      </c>
      <c r="B33" s="44"/>
      <c r="C33" s="24"/>
      <c r="D33" s="28"/>
      <c r="E33" s="19"/>
      <c r="F33" s="16"/>
    </row>
    <row r="34" spans="1:7" ht="19.5" hidden="1" thickBot="1" x14ac:dyDescent="0.3">
      <c r="A34" s="68">
        <v>0</v>
      </c>
      <c r="B34" s="45"/>
      <c r="C34" s="20"/>
      <c r="D34" s="29"/>
      <c r="E34" s="21"/>
      <c r="F34" s="20"/>
    </row>
    <row r="35" spans="1:7" s="8" customFormat="1" ht="18.75" x14ac:dyDescent="0.25">
      <c r="A35" s="68">
        <v>1</v>
      </c>
      <c r="B35" s="43">
        <v>3</v>
      </c>
      <c r="C35" s="13" t="s">
        <v>103</v>
      </c>
      <c r="D35" s="26" t="s">
        <v>11</v>
      </c>
      <c r="E35" s="30"/>
      <c r="F35" s="15">
        <v>500000</v>
      </c>
      <c r="G35" s="51"/>
    </row>
    <row r="36" spans="1:7" ht="18.75" x14ac:dyDescent="0.25">
      <c r="A36" s="68">
        <v>1</v>
      </c>
      <c r="B36" s="44"/>
      <c r="C36" s="16"/>
      <c r="D36" s="27" t="s">
        <v>35</v>
      </c>
      <c r="E36" s="31"/>
      <c r="F36" s="18">
        <v>750000</v>
      </c>
      <c r="G36" s="51"/>
    </row>
    <row r="37" spans="1:7" ht="18.75" x14ac:dyDescent="0.25">
      <c r="A37" s="68">
        <v>1</v>
      </c>
      <c r="B37" s="44"/>
      <c r="C37" s="16"/>
      <c r="D37" s="27" t="s">
        <v>12</v>
      </c>
      <c r="E37" s="31"/>
      <c r="F37" s="18">
        <v>1000000</v>
      </c>
      <c r="G37" s="51"/>
    </row>
    <row r="38" spans="1:7" ht="18.75" x14ac:dyDescent="0.25">
      <c r="A38" s="68">
        <v>1</v>
      </c>
      <c r="B38" s="44"/>
      <c r="C38" s="16"/>
      <c r="D38" s="28"/>
      <c r="E38" s="19"/>
      <c r="F38" s="16"/>
    </row>
    <row r="39" spans="1:7" ht="18.75" x14ac:dyDescent="0.25">
      <c r="A39" s="68">
        <v>1</v>
      </c>
      <c r="B39" s="44"/>
      <c r="C39" s="16"/>
      <c r="D39" s="28"/>
      <c r="E39" s="19"/>
      <c r="F39" s="16"/>
    </row>
    <row r="40" spans="1:7" ht="18.75" x14ac:dyDescent="0.25">
      <c r="A40" s="68">
        <v>1</v>
      </c>
      <c r="B40" s="44"/>
      <c r="C40" s="24"/>
      <c r="D40" s="28"/>
      <c r="E40" s="19"/>
      <c r="F40" s="16"/>
    </row>
    <row r="41" spans="1:7" ht="18.75" x14ac:dyDescent="0.25">
      <c r="A41" s="68">
        <v>1</v>
      </c>
      <c r="B41" s="44"/>
      <c r="C41" s="24"/>
      <c r="D41" s="28"/>
      <c r="E41" s="19"/>
      <c r="F41" s="16"/>
    </row>
    <row r="42" spans="1:7" ht="18.75" x14ac:dyDescent="0.25">
      <c r="A42" s="68">
        <v>1</v>
      </c>
      <c r="B42" s="44"/>
      <c r="C42" s="24" t="s">
        <v>111</v>
      </c>
      <c r="D42" s="28"/>
      <c r="E42" s="19"/>
      <c r="F42" s="16"/>
    </row>
    <row r="43" spans="1:7" ht="18.75" x14ac:dyDescent="0.25">
      <c r="A43" s="68">
        <v>1</v>
      </c>
      <c r="B43" s="44"/>
      <c r="C43" s="24" t="s">
        <v>112</v>
      </c>
      <c r="D43" s="28"/>
      <c r="E43" s="19"/>
      <c r="F43" s="16"/>
    </row>
    <row r="44" spans="1:7" ht="18.75" x14ac:dyDescent="0.25">
      <c r="A44" s="68">
        <v>1</v>
      </c>
      <c r="B44" s="44"/>
      <c r="C44" s="24" t="s">
        <v>113</v>
      </c>
      <c r="D44" s="28"/>
      <c r="E44" s="19"/>
      <c r="F44" s="16"/>
    </row>
    <row r="45" spans="1:7" ht="18.75" x14ac:dyDescent="0.25">
      <c r="A45" s="68">
        <v>1</v>
      </c>
      <c r="B45" s="44"/>
      <c r="C45" s="24" t="s">
        <v>114</v>
      </c>
      <c r="D45" s="28"/>
      <c r="E45" s="19"/>
      <c r="F45" s="16"/>
    </row>
    <row r="46" spans="1:7" ht="18.75" x14ac:dyDescent="0.25">
      <c r="A46" s="68">
        <v>1</v>
      </c>
      <c r="B46" s="44"/>
      <c r="C46" s="24" t="s">
        <v>168</v>
      </c>
      <c r="D46" s="28"/>
      <c r="E46" s="19"/>
      <c r="F46" s="16"/>
    </row>
    <row r="47" spans="1:7" ht="19.5" thickBot="1" x14ac:dyDescent="0.3">
      <c r="A47" s="68">
        <v>1</v>
      </c>
      <c r="B47" s="44"/>
      <c r="C47" s="24"/>
      <c r="D47" s="28"/>
      <c r="E47" s="19"/>
      <c r="F47" s="16"/>
    </row>
    <row r="48" spans="1:7" ht="19.5" hidden="1" thickBot="1" x14ac:dyDescent="0.3">
      <c r="A48" s="68">
        <v>0</v>
      </c>
      <c r="B48" s="44"/>
      <c r="C48" s="24"/>
      <c r="D48" s="28"/>
      <c r="E48" s="19"/>
      <c r="F48" s="16"/>
    </row>
    <row r="49" spans="1:7" ht="19.5" hidden="1" thickBot="1" x14ac:dyDescent="0.3">
      <c r="A49" s="68">
        <v>0</v>
      </c>
      <c r="B49" s="45"/>
      <c r="C49" s="20"/>
      <c r="D49" s="29"/>
      <c r="E49" s="21"/>
      <c r="F49" s="20"/>
    </row>
    <row r="50" spans="1:7" s="8" customFormat="1" ht="18.75" x14ac:dyDescent="0.25">
      <c r="A50" s="68">
        <v>1</v>
      </c>
      <c r="B50" s="43">
        <v>4</v>
      </c>
      <c r="C50" s="13" t="s">
        <v>83</v>
      </c>
      <c r="D50" s="26" t="s">
        <v>11</v>
      </c>
      <c r="E50" s="30" t="s">
        <v>115</v>
      </c>
      <c r="F50" s="15">
        <v>500000</v>
      </c>
      <c r="G50" s="51">
        <f>F50/(85%*50)</f>
        <v>11764.705882352941</v>
      </c>
    </row>
    <row r="51" spans="1:7" ht="18.75" x14ac:dyDescent="0.25">
      <c r="A51" s="68">
        <v>1</v>
      </c>
      <c r="B51" s="44"/>
      <c r="C51" s="16"/>
      <c r="D51" s="27" t="s">
        <v>35</v>
      </c>
      <c r="E51" s="31" t="s">
        <v>81</v>
      </c>
      <c r="F51" s="18">
        <v>1250000</v>
      </c>
      <c r="G51" s="51">
        <f t="shared" ref="G51:G53" si="1">F51/(85%*50)</f>
        <v>29411.764705882353</v>
      </c>
    </row>
    <row r="52" spans="1:7" ht="18.75" x14ac:dyDescent="0.25">
      <c r="A52" s="68">
        <v>1</v>
      </c>
      <c r="B52" s="44"/>
      <c r="C52" s="16"/>
      <c r="D52" s="27" t="s">
        <v>35</v>
      </c>
      <c r="E52" s="31" t="s">
        <v>116</v>
      </c>
      <c r="F52" s="18">
        <v>1750000</v>
      </c>
      <c r="G52" s="51">
        <f t="shared" si="1"/>
        <v>41176.470588235294</v>
      </c>
    </row>
    <row r="53" spans="1:7" ht="18.75" x14ac:dyDescent="0.25">
      <c r="A53" s="68">
        <v>1</v>
      </c>
      <c r="B53" s="44"/>
      <c r="C53" s="16"/>
      <c r="D53" s="27" t="s">
        <v>12</v>
      </c>
      <c r="E53" s="31" t="s">
        <v>82</v>
      </c>
      <c r="F53" s="18">
        <v>2500000</v>
      </c>
      <c r="G53" s="51">
        <f t="shared" si="1"/>
        <v>58823.529411764706</v>
      </c>
    </row>
    <row r="54" spans="1:7" ht="18.75" x14ac:dyDescent="0.25">
      <c r="A54" s="68">
        <v>1</v>
      </c>
      <c r="B54" s="44"/>
      <c r="C54" s="16"/>
      <c r="D54" s="28"/>
      <c r="E54" s="19"/>
      <c r="F54" s="16"/>
    </row>
    <row r="55" spans="1:7" ht="18.75" x14ac:dyDescent="0.25">
      <c r="A55" s="68">
        <v>1</v>
      </c>
      <c r="B55" s="44"/>
      <c r="C55" s="16"/>
      <c r="D55" s="28"/>
      <c r="E55" s="19"/>
      <c r="F55" s="16"/>
    </row>
    <row r="56" spans="1:7" ht="18.75" x14ac:dyDescent="0.25">
      <c r="A56" s="68">
        <v>1</v>
      </c>
      <c r="B56" s="44"/>
      <c r="C56" s="16"/>
      <c r="D56" s="28"/>
      <c r="E56" s="19"/>
      <c r="F56" s="16"/>
    </row>
    <row r="57" spans="1:7" ht="18.75" x14ac:dyDescent="0.25">
      <c r="A57" s="68">
        <v>1</v>
      </c>
      <c r="B57" s="44"/>
      <c r="C57" s="24" t="s">
        <v>52</v>
      </c>
      <c r="D57" s="28"/>
      <c r="E57" s="19"/>
      <c r="F57" s="16"/>
    </row>
    <row r="58" spans="1:7" ht="18.75" x14ac:dyDescent="0.25">
      <c r="A58" s="68">
        <v>1</v>
      </c>
      <c r="B58" s="44"/>
      <c r="C58" s="24" t="s">
        <v>162</v>
      </c>
      <c r="D58" s="28"/>
      <c r="E58" s="19"/>
      <c r="F58" s="16"/>
    </row>
    <row r="59" spans="1:7" ht="18.75" x14ac:dyDescent="0.25">
      <c r="A59" s="68">
        <v>1</v>
      </c>
      <c r="B59" s="44"/>
      <c r="C59" s="24" t="s">
        <v>143</v>
      </c>
      <c r="D59" s="28"/>
      <c r="E59" s="19"/>
      <c r="F59" s="16"/>
    </row>
    <row r="60" spans="1:7" ht="19.5" thickBot="1" x14ac:dyDescent="0.3">
      <c r="A60" s="68">
        <v>1</v>
      </c>
      <c r="B60" s="44"/>
      <c r="C60" s="24" t="s">
        <v>163</v>
      </c>
      <c r="D60" s="28"/>
      <c r="E60" s="19"/>
      <c r="F60" s="16"/>
    </row>
    <row r="61" spans="1:7" ht="19.5" hidden="1" thickBot="1" x14ac:dyDescent="0.3">
      <c r="A61" s="68">
        <v>0</v>
      </c>
      <c r="B61" s="44"/>
      <c r="C61" s="24"/>
      <c r="D61" s="28"/>
      <c r="E61" s="19"/>
      <c r="F61" s="16"/>
    </row>
    <row r="62" spans="1:7" ht="19.5" hidden="1" thickBot="1" x14ac:dyDescent="0.3">
      <c r="A62" s="68">
        <v>0</v>
      </c>
      <c r="B62" s="44"/>
      <c r="C62" s="24"/>
      <c r="D62" s="28"/>
      <c r="E62" s="19"/>
      <c r="F62" s="16"/>
    </row>
    <row r="63" spans="1:7" ht="19.5" hidden="1" thickBot="1" x14ac:dyDescent="0.3">
      <c r="A63" s="68">
        <v>0</v>
      </c>
      <c r="B63" s="44"/>
      <c r="C63" s="24"/>
      <c r="D63" s="28"/>
      <c r="E63" s="19"/>
      <c r="F63" s="16"/>
    </row>
    <row r="64" spans="1:7" ht="19.5" hidden="1" thickBot="1" x14ac:dyDescent="0.3">
      <c r="A64" s="68">
        <v>0</v>
      </c>
      <c r="B64" s="45"/>
      <c r="C64" s="20"/>
      <c r="D64" s="29"/>
      <c r="E64" s="21"/>
      <c r="F64" s="20"/>
    </row>
    <row r="65" spans="1:7" s="8" customFormat="1" ht="18.75" x14ac:dyDescent="0.25">
      <c r="A65" s="68">
        <v>1</v>
      </c>
      <c r="B65" s="43">
        <v>5</v>
      </c>
      <c r="C65" s="13" t="s">
        <v>74</v>
      </c>
      <c r="D65" s="26" t="s">
        <v>11</v>
      </c>
      <c r="E65" s="63">
        <v>1</v>
      </c>
      <c r="F65" s="15">
        <v>250000</v>
      </c>
    </row>
    <row r="66" spans="1:7" ht="18.75" x14ac:dyDescent="0.25">
      <c r="A66" s="68">
        <v>1</v>
      </c>
      <c r="B66" s="44"/>
      <c r="C66" s="16"/>
      <c r="D66" s="27" t="s">
        <v>35</v>
      </c>
      <c r="E66" s="64">
        <v>1</v>
      </c>
      <c r="F66" s="18">
        <v>250000</v>
      </c>
      <c r="G66" s="37"/>
    </row>
    <row r="67" spans="1:7" ht="18.75" x14ac:dyDescent="0.25">
      <c r="A67" s="68">
        <v>1</v>
      </c>
      <c r="B67" s="44"/>
      <c r="C67" s="16"/>
      <c r="D67" s="27" t="s">
        <v>12</v>
      </c>
      <c r="E67" s="64">
        <v>2</v>
      </c>
      <c r="F67" s="18">
        <v>500000</v>
      </c>
    </row>
    <row r="68" spans="1:7" ht="18.75" x14ac:dyDescent="0.25">
      <c r="A68" s="68">
        <v>1</v>
      </c>
      <c r="B68" s="44"/>
      <c r="C68" s="16"/>
      <c r="D68" s="28"/>
      <c r="E68" s="19"/>
      <c r="F68" s="16"/>
    </row>
    <row r="69" spans="1:7" ht="18.75" x14ac:dyDescent="0.25">
      <c r="A69" s="68">
        <v>1</v>
      </c>
      <c r="B69" s="44"/>
      <c r="C69" s="16"/>
      <c r="D69" s="28"/>
      <c r="E69" s="19"/>
      <c r="F69" s="16"/>
    </row>
    <row r="70" spans="1:7" ht="18.75" x14ac:dyDescent="0.25">
      <c r="A70" s="68">
        <v>1</v>
      </c>
      <c r="B70" s="44"/>
      <c r="C70" s="24" t="s">
        <v>52</v>
      </c>
      <c r="D70" s="28"/>
      <c r="E70" s="19"/>
      <c r="F70" s="16"/>
    </row>
    <row r="71" spans="1:7" ht="18.75" x14ac:dyDescent="0.25">
      <c r="A71" s="68">
        <v>1</v>
      </c>
      <c r="B71" s="44"/>
      <c r="C71" s="24" t="s">
        <v>164</v>
      </c>
      <c r="D71" s="28"/>
      <c r="E71" s="19"/>
      <c r="F71" s="16"/>
    </row>
    <row r="72" spans="1:7" ht="18.75" x14ac:dyDescent="0.25">
      <c r="A72" s="68">
        <v>1</v>
      </c>
      <c r="B72" s="44"/>
      <c r="C72" s="24" t="s">
        <v>165</v>
      </c>
      <c r="D72" s="28"/>
      <c r="E72" s="19"/>
      <c r="F72" s="16"/>
    </row>
    <row r="73" spans="1:7" ht="19.5" thickBot="1" x14ac:dyDescent="0.3">
      <c r="A73" s="68">
        <v>1</v>
      </c>
      <c r="B73" s="44"/>
      <c r="C73" s="24"/>
      <c r="D73" s="28"/>
      <c r="E73" s="19"/>
      <c r="F73" s="16"/>
    </row>
    <row r="74" spans="1:7" ht="19.5" hidden="1" thickBot="1" x14ac:dyDescent="0.3">
      <c r="A74" s="68">
        <v>0</v>
      </c>
      <c r="B74" s="44"/>
      <c r="C74" s="24"/>
      <c r="D74" s="28"/>
      <c r="E74" s="19"/>
      <c r="F74" s="16"/>
    </row>
    <row r="75" spans="1:7" ht="19.5" hidden="1" thickBot="1" x14ac:dyDescent="0.3">
      <c r="A75" s="68">
        <v>0</v>
      </c>
      <c r="B75" s="44"/>
      <c r="C75" s="24"/>
      <c r="D75" s="28"/>
      <c r="E75" s="19"/>
      <c r="F75" s="16"/>
    </row>
    <row r="76" spans="1:7" ht="19.5" hidden="1" thickBot="1" x14ac:dyDescent="0.3">
      <c r="A76" s="68">
        <v>0</v>
      </c>
      <c r="B76" s="44"/>
      <c r="C76" s="24"/>
      <c r="D76" s="28"/>
      <c r="E76" s="19"/>
      <c r="F76" s="16"/>
    </row>
    <row r="77" spans="1:7" ht="19.5" hidden="1" thickBot="1" x14ac:dyDescent="0.3">
      <c r="A77" s="68">
        <v>0</v>
      </c>
      <c r="B77" s="44"/>
      <c r="C77" s="24"/>
      <c r="D77" s="28"/>
      <c r="E77" s="19"/>
      <c r="F77" s="16"/>
    </row>
    <row r="78" spans="1:7" ht="19.5" hidden="1" thickBot="1" x14ac:dyDescent="0.3">
      <c r="A78" s="68">
        <v>0</v>
      </c>
      <c r="B78" s="44"/>
      <c r="C78" s="24"/>
      <c r="D78" s="28"/>
      <c r="E78" s="19"/>
      <c r="F78" s="16"/>
    </row>
    <row r="79" spans="1:7" ht="19.5" hidden="1" thickBot="1" x14ac:dyDescent="0.3">
      <c r="A79" s="68">
        <v>0</v>
      </c>
      <c r="B79" s="45"/>
      <c r="C79" s="20"/>
      <c r="D79" s="29"/>
      <c r="E79" s="21"/>
      <c r="F79" s="20"/>
    </row>
    <row r="80" spans="1:7" s="8" customFormat="1" ht="18.75" x14ac:dyDescent="0.25">
      <c r="A80" s="68">
        <v>1</v>
      </c>
      <c r="B80" s="43"/>
      <c r="C80" s="13" t="s">
        <v>120</v>
      </c>
      <c r="D80" s="26" t="s">
        <v>11</v>
      </c>
      <c r="E80" s="63"/>
      <c r="F80" s="15">
        <v>0</v>
      </c>
    </row>
    <row r="81" spans="1:8" ht="18.75" x14ac:dyDescent="0.25">
      <c r="A81" s="68">
        <v>1</v>
      </c>
      <c r="B81" s="44"/>
      <c r="C81" s="16"/>
      <c r="D81" s="27" t="s">
        <v>35</v>
      </c>
      <c r="E81" s="64"/>
      <c r="F81" s="18">
        <v>0</v>
      </c>
      <c r="G81" s="37"/>
    </row>
    <row r="82" spans="1:8" ht="18.75" x14ac:dyDescent="0.25">
      <c r="A82" s="68">
        <v>1</v>
      </c>
      <c r="B82" s="44"/>
      <c r="C82" s="16"/>
      <c r="D82" s="27" t="s">
        <v>12</v>
      </c>
      <c r="E82" s="64"/>
      <c r="F82" s="67">
        <v>-0.1</v>
      </c>
    </row>
    <row r="83" spans="1:8" ht="18.75" x14ac:dyDescent="0.25">
      <c r="A83" s="68">
        <v>1</v>
      </c>
      <c r="B83" s="44"/>
      <c r="C83" s="16"/>
      <c r="D83" s="28"/>
      <c r="E83" s="19"/>
      <c r="F83" s="16"/>
    </row>
    <row r="84" spans="1:8" ht="18.75" x14ac:dyDescent="0.25">
      <c r="A84" s="68">
        <v>1</v>
      </c>
      <c r="B84" s="44"/>
      <c r="C84" s="16"/>
      <c r="D84" s="28"/>
      <c r="E84" s="19"/>
      <c r="F84" s="16"/>
    </row>
    <row r="85" spans="1:8" ht="18.75" x14ac:dyDescent="0.25">
      <c r="A85" s="68">
        <v>1</v>
      </c>
      <c r="B85" s="44"/>
      <c r="C85" s="16"/>
      <c r="D85" s="28"/>
      <c r="E85" s="19"/>
      <c r="F85" s="16"/>
    </row>
    <row r="86" spans="1:8" ht="18.75" x14ac:dyDescent="0.25">
      <c r="A86" s="68">
        <v>1</v>
      </c>
      <c r="B86" s="44"/>
      <c r="C86" s="16"/>
      <c r="D86" s="28"/>
      <c r="E86" s="19"/>
      <c r="F86" s="16"/>
    </row>
    <row r="87" spans="1:8" ht="18.75" x14ac:dyDescent="0.25">
      <c r="A87" s="68">
        <v>1</v>
      </c>
      <c r="B87" s="44"/>
      <c r="C87" s="24" t="s">
        <v>52</v>
      </c>
      <c r="D87" s="28"/>
      <c r="E87" s="19"/>
      <c r="F87" s="16"/>
    </row>
    <row r="88" spans="1:8" ht="18.75" x14ac:dyDescent="0.25">
      <c r="A88" s="68">
        <v>1</v>
      </c>
      <c r="B88" s="44"/>
      <c r="C88" s="24" t="s">
        <v>235</v>
      </c>
      <c r="D88" s="28"/>
      <c r="E88" s="19"/>
      <c r="F88" s="16"/>
    </row>
    <row r="89" spans="1:8" ht="18.75" x14ac:dyDescent="0.25">
      <c r="A89" s="68">
        <v>1</v>
      </c>
      <c r="B89" s="44"/>
      <c r="C89" s="24" t="s">
        <v>147</v>
      </c>
      <c r="D89" s="28"/>
      <c r="E89" s="19"/>
      <c r="F89" s="16"/>
    </row>
    <row r="90" spans="1:8" ht="19.5" thickBot="1" x14ac:dyDescent="0.3">
      <c r="A90" s="68">
        <v>1</v>
      </c>
      <c r="B90" s="44"/>
      <c r="C90" s="24"/>
      <c r="D90" s="28"/>
      <c r="E90" s="19"/>
      <c r="F90" s="16"/>
    </row>
    <row r="91" spans="1:8" ht="19.5" hidden="1" thickBot="1" x14ac:dyDescent="0.3">
      <c r="A91" s="68">
        <v>0</v>
      </c>
      <c r="B91" s="44"/>
      <c r="C91" s="24" t="s">
        <v>52</v>
      </c>
      <c r="D91" s="28"/>
      <c r="E91" s="19"/>
      <c r="F91" s="16"/>
    </row>
    <row r="92" spans="1:8" ht="19.5" hidden="1" thickBot="1" x14ac:dyDescent="0.3">
      <c r="A92" s="68">
        <v>0</v>
      </c>
      <c r="B92" s="44"/>
      <c r="C92" s="24" t="s">
        <v>91</v>
      </c>
      <c r="D92" s="28"/>
      <c r="E92" s="19"/>
      <c r="F92" s="16"/>
    </row>
    <row r="93" spans="1:8" ht="19.5" hidden="1" thickBot="1" x14ac:dyDescent="0.3">
      <c r="A93" s="68">
        <v>0</v>
      </c>
      <c r="B93" s="44"/>
      <c r="C93" s="24" t="s">
        <v>121</v>
      </c>
      <c r="D93" s="28"/>
      <c r="E93" s="19"/>
      <c r="F93" s="16"/>
    </row>
    <row r="94" spans="1:8" ht="19.5" hidden="1" thickBot="1" x14ac:dyDescent="0.3">
      <c r="A94" s="68">
        <v>0</v>
      </c>
      <c r="B94" s="45"/>
      <c r="C94" s="20"/>
      <c r="D94" s="29"/>
      <c r="E94" s="21"/>
      <c r="F94" s="20"/>
    </row>
    <row r="95" spans="1:8" s="8" customFormat="1" ht="18.75" x14ac:dyDescent="0.25">
      <c r="A95" s="68">
        <v>1</v>
      </c>
      <c r="B95" s="43"/>
      <c r="C95" s="13"/>
      <c r="D95" s="26" t="s">
        <v>11</v>
      </c>
      <c r="E95" s="30"/>
      <c r="F95" s="15">
        <f>F5+F20+F35+F50+F65</f>
        <v>3500000</v>
      </c>
      <c r="G95" s="66">
        <f>F95/$F$97</f>
        <v>0.36842105263157893</v>
      </c>
    </row>
    <row r="96" spans="1:8" ht="18.75" x14ac:dyDescent="0.25">
      <c r="A96" s="68">
        <v>1</v>
      </c>
      <c r="B96" s="44"/>
      <c r="C96" s="16"/>
      <c r="D96" s="27" t="s">
        <v>35</v>
      </c>
      <c r="E96" s="31"/>
      <c r="F96" s="18">
        <f>F6+F21+F36+F51+F66</f>
        <v>5750000</v>
      </c>
      <c r="G96" s="66">
        <f t="shared" ref="G96:G97" si="2">F96/$F$97</f>
        <v>0.60526315789473684</v>
      </c>
      <c r="H96" s="37"/>
    </row>
    <row r="97" spans="1:8" ht="18.75" x14ac:dyDescent="0.25">
      <c r="A97" s="68">
        <v>1</v>
      </c>
      <c r="B97" s="44"/>
      <c r="C97" s="16"/>
      <c r="D97" s="27" t="s">
        <v>12</v>
      </c>
      <c r="E97" s="31"/>
      <c r="F97" s="18">
        <f>F7+F22+F37+F53+F67</f>
        <v>9500000</v>
      </c>
      <c r="G97" s="66">
        <f t="shared" si="2"/>
        <v>1</v>
      </c>
      <c r="H97" s="37"/>
    </row>
    <row r="98" spans="1:8" ht="19.5" thickBot="1" x14ac:dyDescent="0.3">
      <c r="A98" s="68">
        <v>1</v>
      </c>
      <c r="B98" s="45"/>
      <c r="C98" s="20"/>
      <c r="D98" s="29"/>
      <c r="E98" s="21"/>
      <c r="F98" s="20"/>
    </row>
    <row r="99" spans="1:8" x14ac:dyDescent="0.25">
      <c r="B99" s="46"/>
    </row>
  </sheetData>
  <autoFilter ref="A4:I98" xr:uid="{D8A1FA1B-BE37-4968-8E2D-1F27B3B3568A}">
    <filterColumn colId="0">
      <filters>
        <filter val="1"/>
      </filters>
    </filterColumn>
  </autoFilter>
  <mergeCells count="1">
    <mergeCell ref="D3:E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09A7-C408-4311-8223-7F498A50CB63}">
  <sheetPr>
    <tabColor rgb="FF7030A0"/>
  </sheetPr>
  <dimension ref="B2:AX20"/>
  <sheetViews>
    <sheetView showGridLines="0" topLeftCell="E1" workbookViewId="0">
      <selection activeCell="M4" sqref="M4:P8"/>
    </sheetView>
  </sheetViews>
  <sheetFormatPr defaultRowHeight="20.100000000000001" customHeight="1" x14ac:dyDescent="0.25"/>
  <cols>
    <col min="1" max="2" width="5.28515625" style="38" customWidth="1"/>
    <col min="3" max="3" width="15.140625" style="38" customWidth="1"/>
    <col min="4" max="4" width="17.85546875" style="38" customWidth="1"/>
    <col min="5" max="5" width="2.28515625" style="38" customWidth="1"/>
    <col min="6" max="7" width="16" style="38" bestFit="1" customWidth="1"/>
    <col min="8" max="8" width="7.85546875" style="38" bestFit="1" customWidth="1"/>
    <col min="9" max="9" width="12.7109375" style="38" bestFit="1" customWidth="1"/>
    <col min="10" max="10" width="2" style="38" customWidth="1"/>
    <col min="11" max="11" width="3" style="39" customWidth="1"/>
    <col min="12" max="12" width="6" style="38" customWidth="1"/>
    <col min="13" max="13" width="24.42578125" style="38" customWidth="1"/>
    <col min="14" max="14" width="11.5703125" style="38" bestFit="1" customWidth="1"/>
    <col min="15" max="15" width="12.42578125" style="38" customWidth="1"/>
    <col min="16" max="16" width="10" style="38" customWidth="1"/>
    <col min="17" max="17" width="2.85546875" style="38" customWidth="1"/>
    <col min="18" max="18" width="3" style="39" customWidth="1"/>
    <col min="19" max="19" width="6" style="38" customWidth="1"/>
    <col min="20" max="20" width="16.85546875" style="38" bestFit="1" customWidth="1"/>
    <col min="21" max="21" width="15.7109375" style="38" bestFit="1" customWidth="1"/>
    <col min="22" max="22" width="7.28515625" style="38" customWidth="1"/>
    <col min="23" max="23" width="15.7109375" style="38" bestFit="1" customWidth="1"/>
    <col min="24" max="24" width="14.28515625" style="38" bestFit="1" customWidth="1"/>
    <col min="25" max="25" width="10.5703125" style="38" customWidth="1"/>
    <col min="26" max="26" width="14.85546875" style="38" customWidth="1"/>
    <col min="27" max="27" width="9.140625" style="38"/>
    <col min="28" max="28" width="2.85546875" style="38" customWidth="1"/>
    <col min="29" max="29" width="3" style="39" customWidth="1"/>
    <col min="30" max="30" width="6" style="38" customWidth="1"/>
    <col min="31" max="31" width="13.7109375" style="38" customWidth="1"/>
    <col min="32" max="32" width="12.7109375" style="38" bestFit="1" customWidth="1"/>
    <col min="33" max="33" width="2.85546875" style="38" customWidth="1"/>
    <col min="34" max="34" width="3" style="39" customWidth="1"/>
    <col min="35" max="35" width="6" style="38" customWidth="1"/>
    <col min="36" max="36" width="13.7109375" style="38" customWidth="1"/>
    <col min="37" max="37" width="12.7109375" style="38" bestFit="1" customWidth="1"/>
    <col min="38" max="38" width="2.85546875" style="38" customWidth="1"/>
    <col min="39" max="39" width="3" style="39" customWidth="1"/>
    <col min="40" max="40" width="6" style="38" customWidth="1"/>
    <col min="41" max="41" width="51.5703125" style="38" customWidth="1"/>
    <col min="42" max="42" width="10.42578125" style="38" customWidth="1"/>
    <col min="43" max="46" width="9.5703125" style="38" customWidth="1"/>
    <col min="47" max="47" width="14.28515625" style="38" bestFit="1" customWidth="1"/>
    <col min="48" max="48" width="12.7109375" style="38" bestFit="1" customWidth="1"/>
    <col min="49" max="49" width="9.5703125" style="38" customWidth="1"/>
    <col min="50" max="50" width="13" style="38" customWidth="1"/>
    <col min="51" max="51" width="9.5703125" style="38" customWidth="1"/>
    <col min="52" max="16384" width="9.140625" style="38"/>
  </cols>
  <sheetData>
    <row r="2" spans="2:50" ht="20.100000000000001" customHeight="1" x14ac:dyDescent="0.25">
      <c r="AU2" s="127" t="s">
        <v>198</v>
      </c>
      <c r="AV2" s="128"/>
      <c r="AW2" s="128"/>
      <c r="AX2" s="129"/>
    </row>
    <row r="3" spans="2:50" ht="20.100000000000001" customHeight="1" x14ac:dyDescent="0.25">
      <c r="B3" s="22">
        <v>1</v>
      </c>
      <c r="C3" s="23" t="s">
        <v>10</v>
      </c>
      <c r="L3" s="22">
        <v>2</v>
      </c>
      <c r="M3" s="23" t="s">
        <v>78</v>
      </c>
      <c r="S3" s="22">
        <v>3</v>
      </c>
      <c r="T3" s="23" t="s">
        <v>104</v>
      </c>
      <c r="AD3" s="22">
        <v>4</v>
      </c>
      <c r="AE3" s="23" t="s">
        <v>73</v>
      </c>
      <c r="AI3" s="22">
        <v>5</v>
      </c>
      <c r="AJ3" s="23" t="s">
        <v>84</v>
      </c>
      <c r="AN3" s="22">
        <v>6</v>
      </c>
      <c r="AO3" s="23" t="s">
        <v>5</v>
      </c>
      <c r="AU3" s="10" t="s">
        <v>102</v>
      </c>
      <c r="AV3" s="12" t="s">
        <v>118</v>
      </c>
      <c r="AW3" s="12" t="s">
        <v>17</v>
      </c>
      <c r="AX3" s="12" t="s">
        <v>119</v>
      </c>
    </row>
    <row r="4" spans="2:50" ht="20.100000000000001" customHeight="1" x14ac:dyDescent="0.25">
      <c r="C4" s="10" t="s">
        <v>13</v>
      </c>
      <c r="D4" s="10" t="s">
        <v>36</v>
      </c>
      <c r="F4" s="10" t="s">
        <v>16</v>
      </c>
      <c r="G4" s="10" t="s">
        <v>19</v>
      </c>
      <c r="H4" s="12" t="s">
        <v>17</v>
      </c>
      <c r="I4" s="12" t="s">
        <v>18</v>
      </c>
      <c r="M4" s="10" t="s">
        <v>21</v>
      </c>
      <c r="N4" s="10" t="s">
        <v>75</v>
      </c>
      <c r="O4" s="10" t="s">
        <v>76</v>
      </c>
      <c r="P4" s="10" t="s">
        <v>77</v>
      </c>
      <c r="T4" s="75" t="s">
        <v>16</v>
      </c>
      <c r="U4" s="75" t="s">
        <v>61</v>
      </c>
      <c r="V4" s="75" t="s">
        <v>17</v>
      </c>
      <c r="W4" s="76" t="s">
        <v>105</v>
      </c>
      <c r="X4" s="77" t="s">
        <v>110</v>
      </c>
      <c r="Y4" s="75" t="s">
        <v>106</v>
      </c>
      <c r="Z4" s="75" t="s">
        <v>107</v>
      </c>
      <c r="AE4" s="10" t="s">
        <v>79</v>
      </c>
      <c r="AF4" s="10" t="s">
        <v>9</v>
      </c>
      <c r="AJ4" s="10" t="s">
        <v>146</v>
      </c>
      <c r="AK4" s="10" t="s">
        <v>9</v>
      </c>
      <c r="AO4" s="10" t="s">
        <v>89</v>
      </c>
      <c r="AP4" s="10" t="s">
        <v>0</v>
      </c>
      <c r="AU4" s="73" t="s">
        <v>169</v>
      </c>
      <c r="AV4" s="130">
        <v>9500000</v>
      </c>
      <c r="AW4" s="35">
        <v>0.8</v>
      </c>
      <c r="AX4" s="34">
        <f>$AV$4*AW4</f>
        <v>7600000</v>
      </c>
    </row>
    <row r="5" spans="2:50" ht="20.100000000000001" customHeight="1" x14ac:dyDescent="0.25">
      <c r="C5" s="34" t="s">
        <v>13</v>
      </c>
      <c r="D5" s="83" t="s">
        <v>99</v>
      </c>
      <c r="F5" s="32">
        <f>C8</f>
        <v>580000000</v>
      </c>
      <c r="G5" s="34">
        <f>H5*F5</f>
        <v>551000000</v>
      </c>
      <c r="H5" s="35">
        <v>0.95</v>
      </c>
      <c r="I5" s="34">
        <v>1250000</v>
      </c>
      <c r="M5" s="40" t="s">
        <v>26</v>
      </c>
      <c r="N5" s="42">
        <v>30</v>
      </c>
      <c r="O5" s="61">
        <v>3000000</v>
      </c>
      <c r="P5" s="62">
        <v>0.2</v>
      </c>
      <c r="T5" s="50">
        <v>1000000000</v>
      </c>
      <c r="U5" s="61">
        <v>2000000000</v>
      </c>
      <c r="V5" s="62">
        <f>U5/T5</f>
        <v>2</v>
      </c>
      <c r="W5" s="61">
        <f>U5-T5</f>
        <v>1000000000</v>
      </c>
      <c r="X5" s="78" t="s">
        <v>108</v>
      </c>
      <c r="Y5" s="79">
        <v>2.5000000000000001E-3</v>
      </c>
      <c r="Z5" s="80">
        <f>MIN(W5*Y5,1000000)</f>
        <v>1000000</v>
      </c>
      <c r="AE5" s="65" t="s">
        <v>115</v>
      </c>
      <c r="AF5" s="50">
        <v>500000</v>
      </c>
      <c r="AJ5" s="65" t="s">
        <v>85</v>
      </c>
      <c r="AK5" s="50">
        <v>250000</v>
      </c>
      <c r="AO5" s="40" t="s">
        <v>90</v>
      </c>
      <c r="AP5" s="41" t="s">
        <v>45</v>
      </c>
      <c r="AU5" s="41" t="s">
        <v>170</v>
      </c>
      <c r="AV5" s="131"/>
      <c r="AW5" s="35">
        <v>1</v>
      </c>
      <c r="AX5" s="34">
        <f>$AV$4*AW5</f>
        <v>9500000</v>
      </c>
    </row>
    <row r="6" spans="2:50" ht="20.100000000000001" customHeight="1" x14ac:dyDescent="0.25">
      <c r="F6" s="32">
        <f>F5</f>
        <v>580000000</v>
      </c>
      <c r="G6" s="34">
        <f>H6*F6</f>
        <v>565500000</v>
      </c>
      <c r="H6" s="35">
        <v>0.97499999999999998</v>
      </c>
      <c r="I6" s="34">
        <v>1750000</v>
      </c>
      <c r="M6" s="40" t="s">
        <v>25</v>
      </c>
      <c r="N6" s="42">
        <v>30</v>
      </c>
      <c r="O6" s="61">
        <v>12000000</v>
      </c>
      <c r="P6" s="62">
        <v>0.2</v>
      </c>
      <c r="T6" s="50">
        <v>1000000000</v>
      </c>
      <c r="U6" s="61">
        <v>2000000000</v>
      </c>
      <c r="V6" s="62">
        <f>U6/T6</f>
        <v>2</v>
      </c>
      <c r="W6" s="61">
        <f>U6-T6</f>
        <v>1000000000</v>
      </c>
      <c r="X6" s="78" t="s">
        <v>109</v>
      </c>
      <c r="Y6" s="79"/>
      <c r="Z6" s="80">
        <f t="shared" ref="Z6:Z8" si="0">MIN(W6*Y6,1000000)</f>
        <v>0</v>
      </c>
      <c r="AE6" s="65" t="s">
        <v>81</v>
      </c>
      <c r="AF6" s="50">
        <v>1250000</v>
      </c>
      <c r="AJ6" s="65" t="s">
        <v>86</v>
      </c>
      <c r="AK6" s="50">
        <v>500000</v>
      </c>
      <c r="AO6" s="40" t="s">
        <v>122</v>
      </c>
      <c r="AP6" s="41" t="s">
        <v>45</v>
      </c>
    </row>
    <row r="7" spans="2:50" ht="20.100000000000001" customHeight="1" x14ac:dyDescent="0.25">
      <c r="C7" s="10" t="s">
        <v>63</v>
      </c>
      <c r="D7" s="10" t="s">
        <v>36</v>
      </c>
      <c r="F7" s="32">
        <f>F6</f>
        <v>580000000</v>
      </c>
      <c r="G7" s="34">
        <f>H7*F7</f>
        <v>580000000</v>
      </c>
      <c r="H7" s="35">
        <v>1</v>
      </c>
      <c r="I7" s="34">
        <v>2500000</v>
      </c>
      <c r="M7" s="40" t="s">
        <v>27</v>
      </c>
      <c r="N7" s="42">
        <v>30</v>
      </c>
      <c r="O7" s="61">
        <v>8000000</v>
      </c>
      <c r="P7" s="62">
        <v>0.15</v>
      </c>
      <c r="T7" s="50">
        <v>1000000000</v>
      </c>
      <c r="U7" s="80">
        <v>950000000</v>
      </c>
      <c r="V7" s="62">
        <f>U7/T7</f>
        <v>0.95</v>
      </c>
      <c r="W7" s="61">
        <f>U7-T7</f>
        <v>-50000000</v>
      </c>
      <c r="X7" s="78" t="s">
        <v>108</v>
      </c>
      <c r="Y7" s="79"/>
      <c r="Z7" s="80">
        <f t="shared" si="0"/>
        <v>0</v>
      </c>
      <c r="AE7" s="65" t="s">
        <v>116</v>
      </c>
      <c r="AF7" s="50">
        <v>1750000</v>
      </c>
      <c r="AO7" s="40" t="s">
        <v>124</v>
      </c>
      <c r="AP7" s="41" t="s">
        <v>45</v>
      </c>
    </row>
    <row r="8" spans="2:50" ht="20.100000000000001" customHeight="1" x14ac:dyDescent="0.25">
      <c r="C8" s="32">
        <v>580000000</v>
      </c>
      <c r="D8" s="83">
        <f>C8*1.1</f>
        <v>638000000</v>
      </c>
      <c r="M8" s="40" t="s">
        <v>44</v>
      </c>
      <c r="N8" s="42">
        <v>30</v>
      </c>
      <c r="O8" s="61">
        <v>35000000</v>
      </c>
      <c r="P8" s="62">
        <v>0.15</v>
      </c>
      <c r="T8" s="50">
        <v>1000000000</v>
      </c>
      <c r="U8" s="61">
        <v>1250000000</v>
      </c>
      <c r="V8" s="62">
        <f>U8/T8</f>
        <v>1.25</v>
      </c>
      <c r="W8" s="61">
        <f>U8-T8</f>
        <v>250000000</v>
      </c>
      <c r="X8" s="78" t="s">
        <v>108</v>
      </c>
      <c r="Y8" s="79">
        <v>2.5000000000000001E-3</v>
      </c>
      <c r="Z8" s="80">
        <f t="shared" si="0"/>
        <v>625000</v>
      </c>
      <c r="AE8" s="65" t="s">
        <v>82</v>
      </c>
      <c r="AF8" s="50">
        <v>2500000</v>
      </c>
    </row>
    <row r="9" spans="2:50" ht="20.100000000000001" customHeight="1" x14ac:dyDescent="0.25">
      <c r="P9"/>
    </row>
    <row r="10" spans="2:50" ht="20.100000000000001" customHeight="1" x14ac:dyDescent="0.25">
      <c r="M10" s="10" t="s">
        <v>21</v>
      </c>
      <c r="N10" s="10" t="s">
        <v>18</v>
      </c>
      <c r="AO10" s="132" t="s">
        <v>63</v>
      </c>
      <c r="AP10" s="132"/>
      <c r="AQ10" s="132"/>
      <c r="AR10" s="132"/>
      <c r="AS10" s="132"/>
    </row>
    <row r="11" spans="2:50" ht="20.100000000000001" customHeight="1" x14ac:dyDescent="0.25">
      <c r="M11" s="34" t="s">
        <v>29</v>
      </c>
      <c r="N11" s="61">
        <v>1000000</v>
      </c>
      <c r="O11" s="74"/>
      <c r="P11" s="74">
        <f>N11/2</f>
        <v>500000</v>
      </c>
      <c r="AO11" s="10" t="s">
        <v>21</v>
      </c>
      <c r="AP11" s="10" t="s">
        <v>60</v>
      </c>
      <c r="AQ11" s="10" t="s">
        <v>61</v>
      </c>
      <c r="AR11" s="10" t="s">
        <v>17</v>
      </c>
      <c r="AS11" s="10" t="s">
        <v>17</v>
      </c>
    </row>
    <row r="12" spans="2:50" ht="20.100000000000001" customHeight="1" x14ac:dyDescent="0.25">
      <c r="M12" s="34" t="s">
        <v>30</v>
      </c>
      <c r="N12" s="61">
        <v>1750000</v>
      </c>
      <c r="P12" s="74">
        <f>N12/3</f>
        <v>583333.33333333337</v>
      </c>
      <c r="AO12" s="40" t="s">
        <v>26</v>
      </c>
      <c r="AP12" s="50">
        <v>100</v>
      </c>
      <c r="AQ12" s="50">
        <v>98</v>
      </c>
      <c r="AR12" s="55">
        <f>AQ12/AP12</f>
        <v>0.98</v>
      </c>
      <c r="AS12" s="55" t="e">
        <f>AR12%*#REF!*100</f>
        <v>#REF!</v>
      </c>
    </row>
    <row r="13" spans="2:50" ht="20.100000000000001" customHeight="1" x14ac:dyDescent="0.25">
      <c r="M13" s="34" t="s">
        <v>95</v>
      </c>
      <c r="N13" s="61">
        <v>3000000</v>
      </c>
      <c r="P13" s="74">
        <f>N13/4</f>
        <v>750000</v>
      </c>
      <c r="AO13" s="40" t="s">
        <v>25</v>
      </c>
      <c r="AP13" s="50">
        <v>100</v>
      </c>
      <c r="AQ13" s="50">
        <v>100</v>
      </c>
      <c r="AR13" s="55">
        <f t="shared" ref="AR13:AR15" si="1">AQ13/AP13</f>
        <v>1</v>
      </c>
      <c r="AS13" s="55">
        <f>AR13%*AX7*100</f>
        <v>0</v>
      </c>
    </row>
    <row r="14" spans="2:50" ht="20.100000000000001" customHeight="1" x14ac:dyDescent="0.25">
      <c r="AO14" s="40" t="s">
        <v>58</v>
      </c>
      <c r="AP14" s="50">
        <v>150</v>
      </c>
      <c r="AQ14" s="50">
        <v>150</v>
      </c>
      <c r="AR14" s="55">
        <f t="shared" si="1"/>
        <v>1</v>
      </c>
      <c r="AS14" s="55">
        <f>AR14%*AX8*100</f>
        <v>0</v>
      </c>
    </row>
    <row r="15" spans="2:50" ht="20.100000000000001" customHeight="1" x14ac:dyDescent="0.25">
      <c r="AO15" s="10" t="s">
        <v>62</v>
      </c>
      <c r="AP15" s="57">
        <f>SUM(AP12:AP14)</f>
        <v>350</v>
      </c>
      <c r="AQ15" s="57">
        <f t="shared" ref="AQ15:AS15" si="2">SUM(AQ12:AQ14)</f>
        <v>348</v>
      </c>
      <c r="AR15" s="56">
        <f t="shared" si="1"/>
        <v>0.99428571428571433</v>
      </c>
      <c r="AS15" s="56" t="e">
        <f t="shared" si="2"/>
        <v>#REF!</v>
      </c>
    </row>
    <row r="16" spans="2:50" ht="20.100000000000001" customHeight="1" x14ac:dyDescent="0.25">
      <c r="N16" s="38">
        <v>5</v>
      </c>
      <c r="O16" s="38">
        <v>102000</v>
      </c>
    </row>
    <row r="17" spans="14:42" ht="20.100000000000001" customHeight="1" x14ac:dyDescent="0.25">
      <c r="N17" s="38">
        <f>N16*25</f>
        <v>125</v>
      </c>
      <c r="O17" s="98">
        <f>N17*O16</f>
        <v>12750000</v>
      </c>
      <c r="AO17" s="10" t="s">
        <v>64</v>
      </c>
      <c r="AP17" s="10" t="s">
        <v>5</v>
      </c>
    </row>
    <row r="18" spans="14:42" ht="20.100000000000001" customHeight="1" x14ac:dyDescent="0.25">
      <c r="AO18" s="40" t="s">
        <v>65</v>
      </c>
      <c r="AP18" s="54">
        <v>-0.2</v>
      </c>
    </row>
    <row r="19" spans="14:42" ht="20.100000000000001" customHeight="1" x14ac:dyDescent="0.25">
      <c r="N19" s="38">
        <f>30/48</f>
        <v>0.625</v>
      </c>
      <c r="AO19" s="40" t="s">
        <v>66</v>
      </c>
      <c r="AP19" s="54">
        <v>-0.1</v>
      </c>
    </row>
    <row r="20" spans="14:42" ht="20.100000000000001" customHeight="1" x14ac:dyDescent="0.25">
      <c r="AO20" s="40" t="s">
        <v>67</v>
      </c>
      <c r="AP20" s="54">
        <v>0</v>
      </c>
    </row>
  </sheetData>
  <mergeCells count="3">
    <mergeCell ref="AO10:AS10"/>
    <mergeCell ref="AV4:AV5"/>
    <mergeCell ref="AU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6236-F70F-4B93-931B-3842F1F9DF0E}">
  <sheetPr>
    <tabColor rgb="FFFF0000"/>
  </sheetPr>
  <dimension ref="A2:I99"/>
  <sheetViews>
    <sheetView showGridLines="0" topLeftCell="A70" zoomScale="75" zoomScaleNormal="75" workbookViewId="0">
      <selection activeCell="C89" sqref="C89"/>
    </sheetView>
  </sheetViews>
  <sheetFormatPr defaultRowHeight="15" x14ac:dyDescent="0.25"/>
  <cols>
    <col min="1" max="1" width="5.28515625" style="95" customWidth="1"/>
    <col min="2" max="2" width="6.85546875" style="9" customWidth="1"/>
    <col min="3" max="3" width="131.42578125" style="9" customWidth="1"/>
    <col min="4" max="4" width="8.5703125" style="1" customWidth="1"/>
    <col min="5" max="5" width="13.42578125" style="9" customWidth="1"/>
    <col min="6" max="6" width="17.140625" style="9" bestFit="1" customWidth="1"/>
    <col min="7" max="8" width="14.5703125" style="9" bestFit="1" customWidth="1"/>
    <col min="9" max="16384" width="9.140625" style="9"/>
  </cols>
  <sheetData>
    <row r="2" spans="1:9" s="7" customFormat="1" ht="32.25" thickBot="1" x14ac:dyDescent="0.3">
      <c r="A2" s="91"/>
      <c r="B2" s="49" t="s">
        <v>206</v>
      </c>
      <c r="D2" s="25"/>
    </row>
    <row r="3" spans="1:9" s="6" customFormat="1" ht="27.75" customHeight="1" thickBot="1" x14ac:dyDescent="0.3">
      <c r="A3" s="92"/>
      <c r="B3" s="4" t="s">
        <v>6</v>
      </c>
      <c r="C3" s="4" t="s">
        <v>7</v>
      </c>
      <c r="D3" s="122" t="s">
        <v>8</v>
      </c>
      <c r="E3" s="123"/>
      <c r="F3" s="5" t="s">
        <v>9</v>
      </c>
      <c r="G3" s="47"/>
      <c r="H3" s="48"/>
      <c r="I3" s="7"/>
    </row>
    <row r="4" spans="1:9" s="2" customFormat="1" ht="9" customHeight="1" thickBot="1" x14ac:dyDescent="0.3">
      <c r="A4" s="93"/>
      <c r="B4" s="3" t="str">
        <f>B3</f>
        <v>NO</v>
      </c>
      <c r="C4" s="3" t="str">
        <f t="shared" ref="C4:F4" si="0">C3</f>
        <v>INDIKATOR PENILAIAN</v>
      </c>
      <c r="D4" s="3" t="e">
        <f>#REF!</f>
        <v>#REF!</v>
      </c>
      <c r="E4" s="3" t="str">
        <f>D3</f>
        <v>RANGE</v>
      </c>
      <c r="F4" s="3" t="str">
        <f t="shared" si="0"/>
        <v>NILAI</v>
      </c>
    </row>
    <row r="5" spans="1:9" s="8" customFormat="1" ht="18.75" x14ac:dyDescent="0.25">
      <c r="A5" s="94">
        <v>1</v>
      </c>
      <c r="B5" s="43">
        <v>1</v>
      </c>
      <c r="C5" s="13" t="s">
        <v>10</v>
      </c>
      <c r="D5" s="27" t="s">
        <v>11</v>
      </c>
      <c r="E5" s="14">
        <v>0.95</v>
      </c>
      <c r="F5" s="15">
        <v>500000</v>
      </c>
    </row>
    <row r="6" spans="1:9" ht="18.75" x14ac:dyDescent="0.25">
      <c r="A6" s="95">
        <v>1</v>
      </c>
      <c r="B6" s="44"/>
      <c r="C6" s="16"/>
      <c r="D6" s="27" t="s">
        <v>35</v>
      </c>
      <c r="E6" s="17">
        <v>0.97499999999999998</v>
      </c>
      <c r="F6" s="18">
        <v>1250000</v>
      </c>
      <c r="G6" s="37"/>
    </row>
    <row r="7" spans="1:9" ht="18.75" x14ac:dyDescent="0.25">
      <c r="A7" s="95">
        <v>1</v>
      </c>
      <c r="B7" s="44"/>
      <c r="C7" s="16"/>
      <c r="D7" s="27" t="s">
        <v>35</v>
      </c>
      <c r="E7" s="17">
        <v>1</v>
      </c>
      <c r="F7" s="18">
        <v>2000000</v>
      </c>
    </row>
    <row r="8" spans="1:9" ht="18.75" x14ac:dyDescent="0.25">
      <c r="A8" s="95">
        <v>1</v>
      </c>
      <c r="B8" s="44"/>
      <c r="C8" s="16"/>
      <c r="D8" s="27" t="s">
        <v>35</v>
      </c>
      <c r="E8" s="17">
        <v>1.05</v>
      </c>
      <c r="F8" s="18">
        <v>2500000</v>
      </c>
    </row>
    <row r="9" spans="1:9" ht="18.75" x14ac:dyDescent="0.25">
      <c r="A9" s="95">
        <v>1</v>
      </c>
      <c r="B9" s="44"/>
      <c r="C9" s="16"/>
      <c r="D9" s="27" t="s">
        <v>35</v>
      </c>
      <c r="E9" s="17">
        <v>1.1000000000000001</v>
      </c>
      <c r="F9" s="18">
        <v>3000000</v>
      </c>
    </row>
    <row r="10" spans="1:9" ht="18.75" x14ac:dyDescent="0.25">
      <c r="A10" s="95">
        <v>1</v>
      </c>
      <c r="B10" s="44"/>
      <c r="C10" s="16"/>
      <c r="D10" s="27" t="s">
        <v>12</v>
      </c>
      <c r="E10" s="17">
        <v>1.1499999999999999</v>
      </c>
      <c r="F10" s="18">
        <v>4000000</v>
      </c>
    </row>
    <row r="11" spans="1:9" ht="18.75" x14ac:dyDescent="0.25">
      <c r="A11" s="95">
        <v>1</v>
      </c>
      <c r="B11" s="44"/>
      <c r="C11" s="24"/>
      <c r="D11" s="27"/>
      <c r="E11" s="17"/>
      <c r="F11" s="18"/>
    </row>
    <row r="12" spans="1:9" ht="18.75" x14ac:dyDescent="0.25">
      <c r="A12" s="95">
        <v>1</v>
      </c>
      <c r="B12" s="44"/>
      <c r="C12" s="24"/>
      <c r="D12" s="28"/>
      <c r="E12" s="19"/>
      <c r="F12" s="16"/>
    </row>
    <row r="13" spans="1:9" ht="18.75" x14ac:dyDescent="0.25">
      <c r="A13" s="95">
        <v>1</v>
      </c>
      <c r="B13" s="44"/>
      <c r="C13" s="24"/>
      <c r="D13" s="28"/>
      <c r="E13" s="19"/>
      <c r="F13" s="16"/>
    </row>
    <row r="14" spans="1:9" ht="18.75" x14ac:dyDescent="0.25">
      <c r="A14" s="95">
        <v>1</v>
      </c>
      <c r="B14" s="44"/>
      <c r="C14" s="24" t="s">
        <v>52</v>
      </c>
      <c r="D14" s="28"/>
      <c r="E14" s="19"/>
      <c r="F14" s="16"/>
    </row>
    <row r="15" spans="1:9" ht="18.75" x14ac:dyDescent="0.25">
      <c r="A15" s="95">
        <v>1</v>
      </c>
      <c r="B15" s="44"/>
      <c r="C15" s="24" t="s">
        <v>126</v>
      </c>
      <c r="D15" s="28"/>
      <c r="E15" s="19"/>
      <c r="F15" s="16"/>
    </row>
    <row r="16" spans="1:9" ht="18.75" x14ac:dyDescent="0.25">
      <c r="A16" s="95">
        <v>1</v>
      </c>
      <c r="B16" s="44"/>
      <c r="C16" s="24" t="s">
        <v>127</v>
      </c>
      <c r="D16" s="28"/>
      <c r="E16" s="19"/>
      <c r="F16" s="16"/>
    </row>
    <row r="17" spans="1:7" ht="18.75" x14ac:dyDescent="0.25">
      <c r="A17" s="95">
        <v>1</v>
      </c>
      <c r="B17" s="44"/>
      <c r="C17" s="16"/>
      <c r="D17" s="28"/>
      <c r="E17" s="19"/>
      <c r="F17" s="16"/>
    </row>
    <row r="18" spans="1:7" ht="18.75" x14ac:dyDescent="0.25">
      <c r="A18" s="95">
        <v>0</v>
      </c>
      <c r="B18" s="44"/>
      <c r="C18" s="16"/>
      <c r="D18" s="28"/>
      <c r="E18" s="19"/>
      <c r="F18" s="16"/>
    </row>
    <row r="19" spans="1:7" ht="19.5" thickBot="1" x14ac:dyDescent="0.3">
      <c r="A19" s="95">
        <v>0</v>
      </c>
      <c r="B19" s="45"/>
      <c r="C19" s="20"/>
      <c r="D19" s="29"/>
      <c r="E19" s="21"/>
      <c r="F19" s="20"/>
    </row>
    <row r="20" spans="1:7" s="8" customFormat="1" ht="18.75" x14ac:dyDescent="0.25">
      <c r="A20" s="95">
        <v>1</v>
      </c>
      <c r="B20" s="43">
        <v>2</v>
      </c>
      <c r="C20" s="13" t="s">
        <v>211</v>
      </c>
      <c r="D20" s="26" t="s">
        <v>11</v>
      </c>
      <c r="E20" s="30" t="s">
        <v>29</v>
      </c>
      <c r="F20" s="15">
        <v>1000000</v>
      </c>
      <c r="G20" s="51">
        <f>F20/2</f>
        <v>500000</v>
      </c>
    </row>
    <row r="21" spans="1:7" ht="18.75" x14ac:dyDescent="0.25">
      <c r="A21" s="95">
        <v>1</v>
      </c>
      <c r="B21" s="44"/>
      <c r="C21" s="16"/>
      <c r="D21" s="27" t="s">
        <v>35</v>
      </c>
      <c r="E21" s="31" t="s">
        <v>30</v>
      </c>
      <c r="F21" s="18">
        <v>2000000</v>
      </c>
      <c r="G21" s="51">
        <f>F21/3</f>
        <v>666666.66666666663</v>
      </c>
    </row>
    <row r="22" spans="1:7" ht="18.75" x14ac:dyDescent="0.25">
      <c r="A22" s="95">
        <v>1</v>
      </c>
      <c r="B22" s="44"/>
      <c r="C22" s="16"/>
      <c r="D22" s="27" t="s">
        <v>12</v>
      </c>
      <c r="E22" s="31" t="s">
        <v>95</v>
      </c>
      <c r="F22" s="18">
        <v>3000000</v>
      </c>
      <c r="G22" s="51">
        <f>F22/4</f>
        <v>750000</v>
      </c>
    </row>
    <row r="23" spans="1:7" ht="18.75" x14ac:dyDescent="0.25">
      <c r="A23" s="95">
        <v>1</v>
      </c>
      <c r="B23" s="44"/>
      <c r="C23" s="16"/>
      <c r="D23" s="28"/>
      <c r="E23" s="19"/>
      <c r="F23" s="16"/>
    </row>
    <row r="24" spans="1:7" ht="18.75" x14ac:dyDescent="0.25">
      <c r="A24" s="95">
        <v>1</v>
      </c>
      <c r="B24" s="44"/>
      <c r="C24" s="16"/>
      <c r="D24" s="28"/>
      <c r="E24" s="19"/>
      <c r="F24" s="16"/>
    </row>
    <row r="25" spans="1:7" ht="18.75" x14ac:dyDescent="0.25">
      <c r="A25" s="95">
        <v>1</v>
      </c>
      <c r="B25" s="44"/>
      <c r="C25" s="16"/>
      <c r="D25" s="28"/>
      <c r="E25" s="19"/>
      <c r="F25" s="16"/>
    </row>
    <row r="26" spans="1:7" ht="18.75" x14ac:dyDescent="0.25">
      <c r="A26" s="95">
        <v>1</v>
      </c>
      <c r="B26" s="44"/>
      <c r="C26" s="16"/>
      <c r="D26" s="28"/>
      <c r="E26" s="19"/>
      <c r="F26" s="16"/>
    </row>
    <row r="27" spans="1:7" ht="18.75" x14ac:dyDescent="0.25">
      <c r="A27" s="95">
        <v>1</v>
      </c>
      <c r="B27" s="44"/>
      <c r="C27" s="24" t="s">
        <v>52</v>
      </c>
      <c r="D27" s="28"/>
      <c r="E27" s="19"/>
      <c r="F27" s="16"/>
    </row>
    <row r="28" spans="1:7" ht="18.75" x14ac:dyDescent="0.25">
      <c r="A28" s="95">
        <v>1</v>
      </c>
      <c r="B28" s="44"/>
      <c r="C28" s="24" t="s">
        <v>129</v>
      </c>
      <c r="D28" s="28"/>
      <c r="E28" s="19"/>
      <c r="F28" s="16"/>
    </row>
    <row r="29" spans="1:7" ht="18.75" x14ac:dyDescent="0.25">
      <c r="A29" s="95">
        <v>1</v>
      </c>
      <c r="B29" s="44"/>
      <c r="C29" s="24" t="s">
        <v>212</v>
      </c>
      <c r="D29" s="28"/>
      <c r="E29" s="19"/>
      <c r="F29" s="16"/>
    </row>
    <row r="30" spans="1:7" ht="21" x14ac:dyDescent="0.25">
      <c r="A30" s="95">
        <v>1</v>
      </c>
      <c r="B30" s="44"/>
      <c r="C30" s="144" t="s">
        <v>213</v>
      </c>
      <c r="D30" s="28"/>
      <c r="E30" s="19"/>
      <c r="F30" s="16"/>
    </row>
    <row r="31" spans="1:7" ht="18.75" x14ac:dyDescent="0.25">
      <c r="A31" s="95">
        <v>1</v>
      </c>
      <c r="B31" s="44"/>
      <c r="C31" s="24"/>
      <c r="D31" s="28"/>
      <c r="E31" s="19"/>
      <c r="F31" s="16"/>
    </row>
    <row r="32" spans="1:7" ht="18.75" x14ac:dyDescent="0.25">
      <c r="A32" s="95">
        <v>0</v>
      </c>
      <c r="B32" s="44"/>
      <c r="C32" s="24" t="s">
        <v>128</v>
      </c>
      <c r="D32" s="28"/>
      <c r="E32" s="19"/>
      <c r="F32" s="16"/>
    </row>
    <row r="33" spans="1:7" ht="18.75" x14ac:dyDescent="0.25">
      <c r="A33" s="95">
        <v>0</v>
      </c>
      <c r="B33" s="44"/>
      <c r="C33" s="24"/>
      <c r="D33" s="28"/>
      <c r="E33" s="19"/>
      <c r="F33" s="16"/>
    </row>
    <row r="34" spans="1:7" ht="19.5" thickBot="1" x14ac:dyDescent="0.3">
      <c r="A34" s="95">
        <v>0</v>
      </c>
      <c r="B34" s="45"/>
      <c r="C34" s="20"/>
      <c r="D34" s="29"/>
      <c r="E34" s="21"/>
      <c r="F34" s="20"/>
    </row>
    <row r="35" spans="1:7" s="8" customFormat="1" ht="18.75" x14ac:dyDescent="0.25">
      <c r="A35" s="95">
        <v>1</v>
      </c>
      <c r="B35" s="43">
        <v>3</v>
      </c>
      <c r="C35" s="13" t="s">
        <v>43</v>
      </c>
      <c r="D35" s="26" t="s">
        <v>11</v>
      </c>
      <c r="E35" s="30">
        <v>0.95</v>
      </c>
      <c r="F35" s="15">
        <v>500000</v>
      </c>
      <c r="G35" s="51"/>
    </row>
    <row r="36" spans="1:7" ht="18.75" x14ac:dyDescent="0.25">
      <c r="A36" s="95">
        <v>1</v>
      </c>
      <c r="B36" s="44"/>
      <c r="C36" s="16"/>
      <c r="D36" s="27" t="s">
        <v>35</v>
      </c>
      <c r="E36" s="31">
        <v>0.97499999999999998</v>
      </c>
      <c r="F36" s="18">
        <v>750000</v>
      </c>
      <c r="G36" s="51"/>
    </row>
    <row r="37" spans="1:7" ht="18.75" x14ac:dyDescent="0.25">
      <c r="A37" s="95">
        <v>1</v>
      </c>
      <c r="B37" s="44"/>
      <c r="C37" s="16"/>
      <c r="D37" s="27" t="s">
        <v>12</v>
      </c>
      <c r="E37" s="31">
        <v>1</v>
      </c>
      <c r="F37" s="18">
        <v>1250000</v>
      </c>
      <c r="G37" s="51"/>
    </row>
    <row r="38" spans="1:7" ht="18.75" x14ac:dyDescent="0.25">
      <c r="A38" s="95">
        <v>1</v>
      </c>
      <c r="B38" s="44"/>
      <c r="C38" s="16"/>
      <c r="D38" s="28"/>
      <c r="E38" s="19"/>
      <c r="F38" s="16"/>
    </row>
    <row r="39" spans="1:7" ht="18.75" x14ac:dyDescent="0.25">
      <c r="A39" s="95">
        <v>1</v>
      </c>
      <c r="B39" s="44"/>
      <c r="C39" s="16"/>
      <c r="D39" s="28"/>
      <c r="E39" s="19"/>
      <c r="F39" s="16"/>
    </row>
    <row r="40" spans="1:7" ht="18.75" x14ac:dyDescent="0.25">
      <c r="A40" s="95">
        <v>1</v>
      </c>
      <c r="B40" s="44"/>
      <c r="C40" s="24"/>
      <c r="D40" s="28"/>
      <c r="E40" s="19"/>
      <c r="F40" s="16"/>
    </row>
    <row r="41" spans="1:7" ht="18.75" x14ac:dyDescent="0.25">
      <c r="A41" s="95">
        <v>1</v>
      </c>
      <c r="B41" s="44"/>
      <c r="C41" s="24"/>
      <c r="D41" s="28"/>
      <c r="E41" s="19"/>
      <c r="F41" s="16"/>
    </row>
    <row r="42" spans="1:7" ht="18.75" x14ac:dyDescent="0.25">
      <c r="A42" s="95">
        <v>1</v>
      </c>
      <c r="B42" s="44"/>
      <c r="C42" s="16"/>
      <c r="D42" s="28"/>
      <c r="E42" s="19"/>
      <c r="F42" s="16"/>
    </row>
    <row r="43" spans="1:7" ht="18.75" x14ac:dyDescent="0.25">
      <c r="A43" s="95">
        <v>1</v>
      </c>
      <c r="B43" s="44"/>
      <c r="C43" s="24"/>
      <c r="D43" s="28"/>
      <c r="E43" s="19"/>
      <c r="F43" s="16"/>
    </row>
    <row r="44" spans="1:7" ht="18.75" x14ac:dyDescent="0.25">
      <c r="A44" s="95">
        <v>1</v>
      </c>
      <c r="B44" s="44"/>
      <c r="C44" s="24" t="s">
        <v>52</v>
      </c>
      <c r="D44" s="28"/>
      <c r="E44" s="19"/>
      <c r="F44" s="16"/>
    </row>
    <row r="45" spans="1:7" ht="18.75" x14ac:dyDescent="0.25">
      <c r="A45" s="95">
        <v>1</v>
      </c>
      <c r="B45" s="44"/>
      <c r="C45" s="24" t="s">
        <v>138</v>
      </c>
      <c r="D45" s="28"/>
      <c r="E45" s="19"/>
      <c r="F45" s="16"/>
    </row>
    <row r="46" spans="1:7" ht="18.75" x14ac:dyDescent="0.25">
      <c r="A46" s="95">
        <v>1</v>
      </c>
      <c r="B46" s="44"/>
      <c r="C46" s="24" t="s">
        <v>139</v>
      </c>
      <c r="D46" s="28"/>
      <c r="E46" s="19"/>
      <c r="F46" s="16"/>
    </row>
    <row r="47" spans="1:7" ht="18.75" x14ac:dyDescent="0.25">
      <c r="A47" s="95">
        <v>1</v>
      </c>
      <c r="B47" s="44"/>
      <c r="C47" s="24" t="s">
        <v>236</v>
      </c>
      <c r="D47" s="28"/>
      <c r="E47" s="19"/>
      <c r="F47" s="16"/>
    </row>
    <row r="48" spans="1:7" ht="18.75" x14ac:dyDescent="0.25">
      <c r="A48" s="95">
        <v>1</v>
      </c>
      <c r="B48" s="44"/>
      <c r="C48" s="24"/>
      <c r="D48" s="28"/>
      <c r="E48" s="19"/>
      <c r="F48" s="16"/>
    </row>
    <row r="49" spans="1:7" ht="19.5" thickBot="1" x14ac:dyDescent="0.3">
      <c r="A49" s="95">
        <v>0</v>
      </c>
      <c r="B49" s="45"/>
      <c r="C49" s="20"/>
      <c r="D49" s="29"/>
      <c r="E49" s="21"/>
      <c r="F49" s="20"/>
    </row>
    <row r="50" spans="1:7" s="8" customFormat="1" ht="18.75" x14ac:dyDescent="0.25">
      <c r="A50" s="95">
        <v>1</v>
      </c>
      <c r="B50" s="43">
        <v>4</v>
      </c>
      <c r="C50" s="13" t="s">
        <v>83</v>
      </c>
      <c r="D50" s="26" t="s">
        <v>11</v>
      </c>
      <c r="E50" s="30" t="s">
        <v>115</v>
      </c>
      <c r="F50" s="15">
        <v>750000</v>
      </c>
      <c r="G50" s="51">
        <f>F50/(85%*50)</f>
        <v>17647.058823529413</v>
      </c>
    </row>
    <row r="51" spans="1:7" ht="18.75" x14ac:dyDescent="0.25">
      <c r="A51" s="95">
        <v>1</v>
      </c>
      <c r="B51" s="44"/>
      <c r="C51" s="16"/>
      <c r="D51" s="27" t="s">
        <v>35</v>
      </c>
      <c r="E51" s="31" t="s">
        <v>81</v>
      </c>
      <c r="F51" s="18">
        <v>1000000</v>
      </c>
      <c r="G51" s="51">
        <f t="shared" ref="G51:G53" si="1">F51/(85%*50)</f>
        <v>23529.411764705881</v>
      </c>
    </row>
    <row r="52" spans="1:7" ht="18.75" x14ac:dyDescent="0.25">
      <c r="A52" s="95">
        <v>1</v>
      </c>
      <c r="B52" s="44"/>
      <c r="C52" s="16"/>
      <c r="D52" s="27" t="s">
        <v>35</v>
      </c>
      <c r="E52" s="31" t="s">
        <v>116</v>
      </c>
      <c r="F52" s="18">
        <v>2000000</v>
      </c>
      <c r="G52" s="51">
        <f t="shared" si="1"/>
        <v>47058.823529411762</v>
      </c>
    </row>
    <row r="53" spans="1:7" ht="18.75" x14ac:dyDescent="0.25">
      <c r="A53" s="95">
        <v>1</v>
      </c>
      <c r="B53" s="44"/>
      <c r="C53" s="16"/>
      <c r="D53" s="27" t="s">
        <v>12</v>
      </c>
      <c r="E53" s="31" t="s">
        <v>82</v>
      </c>
      <c r="F53" s="18">
        <v>3000000</v>
      </c>
      <c r="G53" s="51">
        <f t="shared" si="1"/>
        <v>70588.23529411765</v>
      </c>
    </row>
    <row r="54" spans="1:7" ht="18.75" x14ac:dyDescent="0.25">
      <c r="A54" s="95">
        <v>1</v>
      </c>
      <c r="B54" s="44"/>
      <c r="C54" s="16"/>
      <c r="D54" s="28"/>
      <c r="E54" s="19"/>
      <c r="F54" s="16"/>
    </row>
    <row r="55" spans="1:7" ht="18.75" x14ac:dyDescent="0.25">
      <c r="A55" s="95">
        <v>1</v>
      </c>
      <c r="B55" s="44"/>
      <c r="C55" s="16"/>
      <c r="D55" s="28"/>
      <c r="E55" s="19"/>
      <c r="F55" s="16"/>
    </row>
    <row r="56" spans="1:7" ht="18.75" x14ac:dyDescent="0.25">
      <c r="A56" s="95">
        <v>1</v>
      </c>
      <c r="B56" s="44"/>
      <c r="C56" s="16"/>
      <c r="D56" s="28"/>
      <c r="E56" s="19"/>
      <c r="F56" s="16"/>
    </row>
    <row r="57" spans="1:7" ht="18.75" x14ac:dyDescent="0.25">
      <c r="A57" s="95">
        <v>1</v>
      </c>
      <c r="B57" s="44"/>
      <c r="C57" s="24" t="s">
        <v>52</v>
      </c>
      <c r="D57" s="28"/>
      <c r="E57" s="19"/>
      <c r="F57" s="16"/>
    </row>
    <row r="58" spans="1:7" ht="18.75" x14ac:dyDescent="0.25">
      <c r="A58" s="95">
        <v>1</v>
      </c>
      <c r="B58" s="44"/>
      <c r="C58" s="24" t="s">
        <v>142</v>
      </c>
      <c r="D58" s="28"/>
      <c r="E58" s="19"/>
      <c r="F58" s="16"/>
    </row>
    <row r="59" spans="1:7" ht="18.75" x14ac:dyDescent="0.25">
      <c r="A59" s="95">
        <v>1</v>
      </c>
      <c r="B59" s="44"/>
      <c r="C59" s="24" t="s">
        <v>143</v>
      </c>
      <c r="D59" s="28"/>
      <c r="E59" s="19"/>
      <c r="F59" s="16"/>
    </row>
    <row r="60" spans="1:7" ht="18.75" x14ac:dyDescent="0.25">
      <c r="A60" s="95">
        <v>1</v>
      </c>
      <c r="B60" s="44"/>
      <c r="C60" s="24" t="s">
        <v>144</v>
      </c>
      <c r="D60" s="28"/>
      <c r="E60" s="19"/>
      <c r="F60" s="16"/>
    </row>
    <row r="61" spans="1:7" ht="18.75" x14ac:dyDescent="0.25">
      <c r="A61" s="95">
        <v>1</v>
      </c>
      <c r="B61" s="44"/>
      <c r="C61" s="24" t="s">
        <v>145</v>
      </c>
      <c r="D61" s="28"/>
      <c r="E61" s="19"/>
      <c r="F61" s="16"/>
    </row>
    <row r="62" spans="1:7" ht="18.75" x14ac:dyDescent="0.25">
      <c r="A62" s="95">
        <v>1</v>
      </c>
      <c r="B62" s="44"/>
      <c r="C62" s="24"/>
      <c r="D62" s="28"/>
      <c r="E62" s="19"/>
      <c r="F62" s="16"/>
    </row>
    <row r="63" spans="1:7" ht="18.75" x14ac:dyDescent="0.25">
      <c r="A63" s="95">
        <v>0</v>
      </c>
      <c r="B63" s="44"/>
      <c r="C63" s="24"/>
      <c r="D63" s="28"/>
      <c r="E63" s="19"/>
      <c r="F63" s="16"/>
    </row>
    <row r="64" spans="1:7" ht="19.5" thickBot="1" x14ac:dyDescent="0.3">
      <c r="A64" s="95">
        <v>0</v>
      </c>
      <c r="B64" s="45"/>
      <c r="C64" s="20"/>
      <c r="D64" s="29"/>
      <c r="E64" s="21"/>
      <c r="F64" s="20"/>
    </row>
    <row r="65" spans="1:7" s="8" customFormat="1" ht="18.75" x14ac:dyDescent="0.25">
      <c r="A65" s="95">
        <v>1</v>
      </c>
      <c r="B65" s="43">
        <v>5</v>
      </c>
      <c r="C65" s="13" t="s">
        <v>74</v>
      </c>
      <c r="D65" s="26" t="s">
        <v>11</v>
      </c>
      <c r="E65" s="63">
        <v>1</v>
      </c>
      <c r="F65" s="15">
        <v>250000</v>
      </c>
    </row>
    <row r="66" spans="1:7" ht="18.75" x14ac:dyDescent="0.25">
      <c r="A66" s="95">
        <v>1</v>
      </c>
      <c r="B66" s="44"/>
      <c r="C66" s="16"/>
      <c r="D66" s="27" t="s">
        <v>35</v>
      </c>
      <c r="E66" s="64">
        <v>1</v>
      </c>
      <c r="F66" s="18">
        <v>250000</v>
      </c>
      <c r="G66" s="37"/>
    </row>
    <row r="67" spans="1:7" ht="18.75" x14ac:dyDescent="0.25">
      <c r="A67" s="95">
        <v>1</v>
      </c>
      <c r="B67" s="44"/>
      <c r="C67" s="16"/>
      <c r="D67" s="27" t="s">
        <v>12</v>
      </c>
      <c r="E67" s="64">
        <v>2</v>
      </c>
      <c r="F67" s="18">
        <v>750000</v>
      </c>
    </row>
    <row r="68" spans="1:7" ht="18.75" x14ac:dyDescent="0.25">
      <c r="A68" s="95">
        <v>1</v>
      </c>
      <c r="B68" s="44"/>
      <c r="C68" s="16"/>
      <c r="D68" s="28"/>
      <c r="E68" s="19"/>
      <c r="F68" s="16"/>
    </row>
    <row r="69" spans="1:7" ht="18.75" x14ac:dyDescent="0.25">
      <c r="A69" s="95">
        <v>1</v>
      </c>
      <c r="B69" s="44"/>
      <c r="C69" s="16"/>
      <c r="D69" s="28"/>
      <c r="E69" s="19"/>
      <c r="F69" s="16"/>
    </row>
    <row r="70" spans="1:7" ht="18.75" x14ac:dyDescent="0.25">
      <c r="A70" s="95">
        <v>1</v>
      </c>
      <c r="B70" s="44"/>
      <c r="C70" s="24" t="s">
        <v>52</v>
      </c>
      <c r="D70" s="28"/>
      <c r="E70" s="19"/>
      <c r="F70" s="16"/>
    </row>
    <row r="71" spans="1:7" ht="18.75" x14ac:dyDescent="0.25">
      <c r="A71" s="95">
        <v>1</v>
      </c>
      <c r="B71" s="44"/>
      <c r="C71" s="24" t="s">
        <v>87</v>
      </c>
      <c r="D71" s="28"/>
      <c r="E71" s="19"/>
      <c r="F71" s="16"/>
    </row>
    <row r="72" spans="1:7" ht="18.75" x14ac:dyDescent="0.25">
      <c r="A72" s="95">
        <v>1</v>
      </c>
      <c r="B72" s="44"/>
      <c r="C72" s="24" t="s">
        <v>88</v>
      </c>
      <c r="D72" s="28"/>
      <c r="E72" s="19"/>
      <c r="F72" s="16"/>
    </row>
    <row r="73" spans="1:7" ht="18.75" x14ac:dyDescent="0.25">
      <c r="A73" s="95">
        <v>1</v>
      </c>
      <c r="B73" s="44"/>
      <c r="C73" s="24"/>
      <c r="D73" s="28"/>
      <c r="E73" s="19"/>
      <c r="F73" s="16"/>
    </row>
    <row r="74" spans="1:7" ht="18.75" x14ac:dyDescent="0.25">
      <c r="A74" s="95">
        <v>0</v>
      </c>
      <c r="B74" s="44"/>
      <c r="C74" s="24"/>
      <c r="D74" s="28"/>
      <c r="E74" s="19"/>
      <c r="F74" s="16"/>
    </row>
    <row r="75" spans="1:7" ht="18.75" x14ac:dyDescent="0.25">
      <c r="A75" s="95">
        <v>0</v>
      </c>
      <c r="B75" s="44"/>
      <c r="C75" s="24"/>
      <c r="D75" s="28"/>
      <c r="E75" s="19"/>
      <c r="F75" s="16"/>
    </row>
    <row r="76" spans="1:7" ht="18.75" x14ac:dyDescent="0.25">
      <c r="A76" s="95">
        <v>0</v>
      </c>
      <c r="B76" s="44"/>
      <c r="C76" s="24"/>
      <c r="D76" s="28"/>
      <c r="E76" s="19"/>
      <c r="F76" s="16"/>
    </row>
    <row r="77" spans="1:7" ht="18.75" x14ac:dyDescent="0.25">
      <c r="A77" s="95">
        <v>0</v>
      </c>
      <c r="B77" s="44"/>
      <c r="C77" s="24"/>
      <c r="D77" s="28"/>
      <c r="E77" s="19"/>
      <c r="F77" s="16"/>
    </row>
    <row r="78" spans="1:7" ht="18.75" x14ac:dyDescent="0.25">
      <c r="A78" s="95">
        <v>0</v>
      </c>
      <c r="B78" s="44"/>
      <c r="C78" s="24"/>
      <c r="D78" s="28"/>
      <c r="E78" s="19"/>
      <c r="F78" s="16"/>
    </row>
    <row r="79" spans="1:7" ht="19.5" thickBot="1" x14ac:dyDescent="0.3">
      <c r="A79" s="95">
        <v>0</v>
      </c>
      <c r="B79" s="45"/>
      <c r="C79" s="20"/>
      <c r="D79" s="29"/>
      <c r="E79" s="21"/>
      <c r="F79" s="20"/>
    </row>
    <row r="80" spans="1:7" s="8" customFormat="1" ht="18.75" x14ac:dyDescent="0.25">
      <c r="A80" s="95">
        <v>1</v>
      </c>
      <c r="B80" s="43"/>
      <c r="C80" s="13" t="s">
        <v>209</v>
      </c>
      <c r="D80" s="26" t="s">
        <v>11</v>
      </c>
      <c r="E80" s="63"/>
      <c r="F80" s="15">
        <v>0</v>
      </c>
    </row>
    <row r="81" spans="1:8" ht="18.75" x14ac:dyDescent="0.25">
      <c r="A81" s="95">
        <v>1</v>
      </c>
      <c r="B81" s="44"/>
      <c r="C81" s="16"/>
      <c r="D81" s="27" t="s">
        <v>35</v>
      </c>
      <c r="E81" s="64"/>
      <c r="F81" s="18">
        <v>0</v>
      </c>
      <c r="G81" s="37"/>
    </row>
    <row r="82" spans="1:8" ht="18.75" x14ac:dyDescent="0.25">
      <c r="A82" s="95">
        <v>1</v>
      </c>
      <c r="B82" s="44"/>
      <c r="C82" s="16"/>
      <c r="D82" s="27" t="s">
        <v>12</v>
      </c>
      <c r="E82" s="64"/>
      <c r="F82" s="67">
        <v>-0.1</v>
      </c>
    </row>
    <row r="83" spans="1:8" ht="18.75" x14ac:dyDescent="0.25">
      <c r="A83" s="95">
        <v>1</v>
      </c>
      <c r="B83" s="44"/>
      <c r="C83" s="16"/>
      <c r="D83" s="28"/>
      <c r="E83" s="19"/>
      <c r="F83" s="16"/>
    </row>
    <row r="84" spans="1:8" ht="18.75" x14ac:dyDescent="0.25">
      <c r="A84" s="95">
        <v>1</v>
      </c>
      <c r="B84" s="44"/>
      <c r="C84" s="16"/>
      <c r="D84" s="28"/>
      <c r="E84" s="19"/>
      <c r="F84" s="16"/>
    </row>
    <row r="85" spans="1:8" ht="18.75" x14ac:dyDescent="0.25">
      <c r="A85" s="95">
        <v>1</v>
      </c>
      <c r="B85" s="44"/>
      <c r="C85" s="16"/>
      <c r="D85" s="28"/>
      <c r="E85" s="19"/>
      <c r="F85" s="16"/>
    </row>
    <row r="86" spans="1:8" ht="18.75" x14ac:dyDescent="0.25">
      <c r="A86" s="95">
        <v>1</v>
      </c>
      <c r="B86" s="44"/>
      <c r="C86" s="24"/>
      <c r="D86" s="28"/>
      <c r="E86" s="19"/>
      <c r="F86" s="16"/>
    </row>
    <row r="87" spans="1:8" ht="18.75" x14ac:dyDescent="0.25">
      <c r="A87" s="95">
        <v>1</v>
      </c>
      <c r="B87" s="44"/>
      <c r="C87" s="24"/>
      <c r="D87" s="28"/>
      <c r="E87" s="19"/>
      <c r="F87" s="16"/>
    </row>
    <row r="88" spans="1:8" ht="18.75" x14ac:dyDescent="0.25">
      <c r="A88" s="95">
        <v>1</v>
      </c>
      <c r="B88" s="44"/>
      <c r="C88" s="24"/>
      <c r="D88" s="28"/>
      <c r="E88" s="19"/>
      <c r="F88" s="16"/>
    </row>
    <row r="89" spans="1:8" ht="18.75" x14ac:dyDescent="0.25">
      <c r="A89" s="95">
        <v>1</v>
      </c>
      <c r="B89" s="44"/>
      <c r="C89" s="24" t="s">
        <v>52</v>
      </c>
      <c r="D89" s="28"/>
      <c r="E89" s="19"/>
      <c r="F89" s="16"/>
    </row>
    <row r="90" spans="1:8" ht="18.75" x14ac:dyDescent="0.25">
      <c r="A90" s="95">
        <v>1</v>
      </c>
      <c r="B90" s="44"/>
      <c r="C90" s="24" t="s">
        <v>166</v>
      </c>
      <c r="D90" s="28"/>
      <c r="E90" s="19"/>
      <c r="F90" s="16"/>
    </row>
    <row r="91" spans="1:8" ht="18.75" x14ac:dyDescent="0.25">
      <c r="A91" s="95">
        <v>0</v>
      </c>
      <c r="B91" s="44"/>
      <c r="C91" s="24" t="s">
        <v>178</v>
      </c>
      <c r="D91" s="28"/>
      <c r="E91" s="19"/>
      <c r="F91" s="16"/>
    </row>
    <row r="92" spans="1:8" ht="18.75" x14ac:dyDescent="0.25">
      <c r="A92" s="95">
        <v>0</v>
      </c>
      <c r="B92" s="44"/>
      <c r="C92" s="24" t="s">
        <v>179</v>
      </c>
      <c r="D92" s="28"/>
      <c r="E92" s="19"/>
      <c r="F92" s="16"/>
    </row>
    <row r="93" spans="1:8" ht="18.75" x14ac:dyDescent="0.25">
      <c r="A93" s="95">
        <v>0</v>
      </c>
      <c r="B93" s="44"/>
      <c r="C93" s="24"/>
      <c r="D93" s="28"/>
      <c r="E93" s="19"/>
      <c r="F93" s="16"/>
    </row>
    <row r="94" spans="1:8" ht="19.5" thickBot="1" x14ac:dyDescent="0.3">
      <c r="A94" s="95">
        <v>0</v>
      </c>
      <c r="B94" s="45"/>
      <c r="C94" s="20"/>
      <c r="D94" s="29"/>
      <c r="E94" s="21"/>
      <c r="F94" s="20"/>
    </row>
    <row r="95" spans="1:8" s="8" customFormat="1" ht="18.75" x14ac:dyDescent="0.25">
      <c r="A95" s="95">
        <v>1</v>
      </c>
      <c r="B95" s="43"/>
      <c r="C95" s="13"/>
      <c r="D95" s="26" t="s">
        <v>11</v>
      </c>
      <c r="E95" s="30"/>
      <c r="F95" s="15">
        <f>F6+F20+F35+F51+F65</f>
        <v>4000000</v>
      </c>
      <c r="G95" s="66">
        <f>F95/$F$97</f>
        <v>0.36363636363636365</v>
      </c>
      <c r="H95" s="51"/>
    </row>
    <row r="96" spans="1:8" ht="18.75" x14ac:dyDescent="0.25">
      <c r="A96" s="95">
        <v>1</v>
      </c>
      <c r="B96" s="44"/>
      <c r="C96" s="16"/>
      <c r="D96" s="27" t="s">
        <v>35</v>
      </c>
      <c r="E96" s="31"/>
      <c r="F96" s="18">
        <f>F7+F21+F36+F51+F66</f>
        <v>6000000</v>
      </c>
      <c r="G96" s="66">
        <f t="shared" ref="G96:G97" si="2">F96/$F$97</f>
        <v>0.54545454545454541</v>
      </c>
      <c r="H96" s="37"/>
    </row>
    <row r="97" spans="1:8" ht="18.75" x14ac:dyDescent="0.25">
      <c r="A97" s="95">
        <v>1</v>
      </c>
      <c r="B97" s="44"/>
      <c r="C97" s="16"/>
      <c r="D97" s="27" t="s">
        <v>12</v>
      </c>
      <c r="E97" s="31"/>
      <c r="F97" s="18">
        <f>F9+F22+F37+F53+F67</f>
        <v>11000000</v>
      </c>
      <c r="G97" s="66">
        <f t="shared" si="2"/>
        <v>1</v>
      </c>
      <c r="H97" s="37"/>
    </row>
    <row r="98" spans="1:8" ht="19.5" thickBot="1" x14ac:dyDescent="0.3">
      <c r="A98" s="95">
        <v>1</v>
      </c>
      <c r="B98" s="45"/>
      <c r="C98" s="20"/>
      <c r="D98" s="29"/>
      <c r="E98" s="21"/>
      <c r="F98" s="20"/>
    </row>
    <row r="99" spans="1:8" x14ac:dyDescent="0.25">
      <c r="B99" s="46"/>
    </row>
  </sheetData>
  <autoFilter ref="A4:I98" xr:uid="{D8A1FA1B-BE37-4968-8E2D-1F27B3B3568A}"/>
  <mergeCells count="1"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REG-TX2</vt:lpstr>
      <vt:lpstr>LAMP REG-TX2</vt:lpstr>
      <vt:lpstr>REG-TX3-TX4-KVS</vt:lpstr>
      <vt:lpstr>LAMP REG-TX3</vt:lpstr>
      <vt:lpstr>AEG</vt:lpstr>
      <vt:lpstr>LAMP AEG</vt:lpstr>
      <vt:lpstr>AEP</vt:lpstr>
      <vt:lpstr>LAMP AEP</vt:lpstr>
      <vt:lpstr>ASS MIX</vt:lpstr>
      <vt:lpstr>LAMP ASS MIX</vt:lpstr>
      <vt:lpstr>ASS PARETO</vt:lpstr>
      <vt:lpstr>LAMP ASS PARETO</vt:lpstr>
      <vt:lpstr>ASS DIST</vt:lpstr>
      <vt:lpstr>LAMP ASS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Lauw</dc:creator>
  <cp:lastModifiedBy>Billy Lauw</cp:lastModifiedBy>
  <dcterms:created xsi:type="dcterms:W3CDTF">2025-07-28T06:24:20Z</dcterms:created>
  <dcterms:modified xsi:type="dcterms:W3CDTF">2025-08-05T05:05:30Z</dcterms:modified>
</cp:coreProperties>
</file>